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24226"/>
  <mc:AlternateContent xmlns:mc="http://schemas.openxmlformats.org/markup-compatibility/2006">
    <mc:Choice Requires="x15">
      <x15ac:absPath xmlns:x15ac="http://schemas.microsoft.com/office/spreadsheetml/2010/11/ac" url="C:\Users\Lina Osorio\Desktop\SUPERTRANSPORTE\2026\01. ESTUDIOS DE MERCADO Y DE SECTOR\08_PAPELERIA\"/>
    </mc:Choice>
  </mc:AlternateContent>
  <xr:revisionPtr revIDLastSave="0" documentId="13_ncr:1_{6C9C5E60-E8D2-4CE5-ABC6-E0F84B56C72C}" xr6:coauthVersionLast="47" xr6:coauthVersionMax="47" xr10:uidLastSave="{00000000-0000-0000-0000-000000000000}"/>
  <bookViews>
    <workbookView xWindow="-110" yWindow="-110" windowWidth="19420" windowHeight="10300" tabRatio="705" xr2:uid="{00000000-000D-0000-FFFF-FFFF00000000}"/>
  </bookViews>
  <sheets>
    <sheet name="INICIAL" sheetId="117" r:id="rId1"/>
    <sheet name="DEPURADO" sheetId="140" r:id="rId2"/>
    <sheet name="POE" sheetId="141" r:id="rId3"/>
    <sheet name="FM-029 Depurada 4Nov2020" sheetId="103" state="hidden" r:id="rId4"/>
    <sheet name="FM-029 Depurada16Oct2020" sheetId="102" state="hidden" r:id="rId5"/>
    <sheet name="FM-029 Depurada18Ago2020" sheetId="101" state="hidden" r:id="rId6"/>
    <sheet name="FM-029 Depurarada" sheetId="100" state="hidden" r:id="rId7"/>
    <sheet name="FM-029 Sin depurar" sheetId="94" state="hidden" r:id="rId8"/>
    <sheet name="MATRIZ UAERMV OTRAS VIGENCIAS" sheetId="5" state="hidden" r:id="rId9"/>
  </sheets>
  <externalReferences>
    <externalReference r:id="rId10"/>
    <externalReference r:id="rId11"/>
    <externalReference r:id="rId12"/>
  </externalReferences>
  <definedNames>
    <definedName name="_xlnm._FilterDatabase" localSheetId="1" hidden="1">DEPURADO!$A$5:$Y$78</definedName>
    <definedName name="_xlnm._FilterDatabase" localSheetId="3" hidden="1">'FM-029 Depurada 4Nov2020'!#REF!</definedName>
    <definedName name="_xlnm._FilterDatabase" localSheetId="4" hidden="1">'FM-029 Depurada16Oct2020'!#REF!</definedName>
    <definedName name="_xlnm._FilterDatabase" localSheetId="5" hidden="1">'FM-029 Depurada18Ago2020'!#REF!</definedName>
    <definedName name="_xlnm._FilterDatabase" localSheetId="6" hidden="1">'FM-029 Depurarada'!#REF!</definedName>
    <definedName name="_xlnm._FilterDatabase" localSheetId="7" hidden="1">'FM-029 Sin depurar'!#REF!</definedName>
    <definedName name="_xlnm._FilterDatabase" localSheetId="0" hidden="1">INICIAL!$A$5:$Y$78</definedName>
    <definedName name="_xlnm._FilterDatabase" localSheetId="2" hidden="1">POE!$A$5:$Y$78</definedName>
    <definedName name="_xlnm.Print_Area" localSheetId="1">DEPURADO!$B$1:$T$79</definedName>
    <definedName name="_xlnm.Print_Area" localSheetId="3">'FM-029 Depurada 4Nov2020'!$B$1:$U$56</definedName>
    <definedName name="_xlnm.Print_Area" localSheetId="4">'FM-029 Depurada16Oct2020'!$B$1:$V$56</definedName>
    <definedName name="_xlnm.Print_Area" localSheetId="5">'FM-029 Depurada18Ago2020'!$B$1:$V$56</definedName>
    <definedName name="_xlnm.Print_Area" localSheetId="6">'FM-029 Depurarada'!$B$1:$U$56</definedName>
    <definedName name="_xlnm.Print_Area" localSheetId="7">'FM-029 Sin depurar'!$B$1:$V$56</definedName>
    <definedName name="_xlnm.Print_Area" localSheetId="0">INICIAL!$B$1:$T$79</definedName>
    <definedName name="_xlnm.Print_Area" localSheetId="2">POE!$B$1:$T$79</definedName>
    <definedName name="dol" localSheetId="1">[1]TABULACION!#REF!</definedName>
    <definedName name="dol" localSheetId="3">[1]TABULACION!#REF!</definedName>
    <definedName name="dol" localSheetId="4">[1]TABULACION!#REF!</definedName>
    <definedName name="dol" localSheetId="5">[1]TABULACION!#REF!</definedName>
    <definedName name="dol" localSheetId="6">[1]TABULACION!#REF!</definedName>
    <definedName name="dol" localSheetId="7">[1]TABULACION!#REF!</definedName>
    <definedName name="dol" localSheetId="0">[1]TABULACION!#REF!</definedName>
    <definedName name="dol" localSheetId="2">[1]TABULACION!#REF!</definedName>
    <definedName name="dol">[1]TABULACION!#REF!</definedName>
    <definedName name="DOLAR">[2]TABULACION!$C$22</definedName>
    <definedName name="DOLAR1" localSheetId="1">[3]TABULACION!#REF!</definedName>
    <definedName name="DOLAR1" localSheetId="3">[3]TABULACION!#REF!</definedName>
    <definedName name="DOLAR1" localSheetId="4">[3]TABULACION!#REF!</definedName>
    <definedName name="DOLAR1" localSheetId="5">[3]TABULACION!#REF!</definedName>
    <definedName name="DOLAR1" localSheetId="6">[3]TABULACION!#REF!</definedName>
    <definedName name="DOLAR1" localSheetId="7">[3]TABULACION!#REF!</definedName>
    <definedName name="DOLAR1" localSheetId="0">[3]TABULACION!#REF!</definedName>
    <definedName name="DOLAR1" localSheetId="2">[3]TABULACION!#REF!</definedName>
    <definedName name="DOLAR1">[3]TABULACION!#REF!</definedName>
    <definedName name="LO" localSheetId="1">[3]TABULACION!#REF!</definedName>
    <definedName name="LO" localSheetId="3">[3]TABULACION!#REF!</definedName>
    <definedName name="LO" localSheetId="4">[3]TABULACION!#REF!</definedName>
    <definedName name="LO" localSheetId="5">[3]TABULACION!#REF!</definedName>
    <definedName name="LO" localSheetId="6">[3]TABULACION!#REF!</definedName>
    <definedName name="LO" localSheetId="7">[3]TABULACION!#REF!</definedName>
    <definedName name="LO" localSheetId="0">[3]TABULACION!#REF!</definedName>
    <definedName name="LO" localSheetId="2">[3]TABULACION!#REF!</definedName>
    <definedName name="LO">[3]TABULACION!#REF!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3" i="141" l="1"/>
  <c r="B44" i="141"/>
  <c r="B45" i="141"/>
  <c r="B46" i="141" s="1"/>
  <c r="B47" i="141" s="1"/>
  <c r="B43" i="140"/>
  <c r="B44" i="140" s="1"/>
  <c r="B45" i="140" s="1"/>
  <c r="B46" i="140" s="1"/>
  <c r="B47" i="140" s="1"/>
  <c r="B43" i="117"/>
  <c r="B44" i="117" s="1"/>
  <c r="B45" i="117" s="1"/>
  <c r="B46" i="117" s="1"/>
  <c r="B47" i="117" s="1"/>
  <c r="O47" i="141"/>
  <c r="F99" i="141"/>
  <c r="F98" i="141"/>
  <c r="F97" i="141"/>
  <c r="F96" i="141"/>
  <c r="F95" i="141"/>
  <c r="F94" i="141"/>
  <c r="F93" i="141"/>
  <c r="F92" i="141"/>
  <c r="F91" i="141"/>
  <c r="F90" i="141"/>
  <c r="F89" i="141"/>
  <c r="F88" i="141"/>
  <c r="F87" i="141"/>
  <c r="F86" i="141"/>
  <c r="F85" i="141"/>
  <c r="F84" i="141"/>
  <c r="O76" i="141"/>
  <c r="O75" i="141"/>
  <c r="O74" i="141"/>
  <c r="O73" i="141"/>
  <c r="P72" i="141"/>
  <c r="Q72" i="141" s="1"/>
  <c r="R72" i="141" s="1"/>
  <c r="S72" i="141" s="1"/>
  <c r="N72" i="141"/>
  <c r="O72" i="141" s="1"/>
  <c r="M72" i="141"/>
  <c r="P71" i="141"/>
  <c r="N71" i="141"/>
  <c r="O71" i="141" s="1"/>
  <c r="M71" i="141"/>
  <c r="P70" i="141"/>
  <c r="N70" i="141"/>
  <c r="O70" i="141" s="1"/>
  <c r="M70" i="141"/>
  <c r="P69" i="141"/>
  <c r="N69" i="141"/>
  <c r="O69" i="141" s="1"/>
  <c r="M69" i="141"/>
  <c r="P68" i="141"/>
  <c r="N68" i="141"/>
  <c r="O68" i="141" s="1"/>
  <c r="M68" i="141"/>
  <c r="P67" i="141"/>
  <c r="Q67" i="141" s="1"/>
  <c r="R67" i="141" s="1"/>
  <c r="S67" i="141" s="1"/>
  <c r="N67" i="141"/>
  <c r="O67" i="141" s="1"/>
  <c r="M67" i="141"/>
  <c r="P66" i="141"/>
  <c r="N66" i="141"/>
  <c r="O66" i="141" s="1"/>
  <c r="M66" i="141"/>
  <c r="P65" i="141"/>
  <c r="N65" i="141"/>
  <c r="O65" i="141" s="1"/>
  <c r="M65" i="141"/>
  <c r="Q64" i="141"/>
  <c r="R64" i="141" s="1"/>
  <c r="S64" i="141" s="1"/>
  <c r="P64" i="141"/>
  <c r="N64" i="141"/>
  <c r="O64" i="141" s="1"/>
  <c r="M64" i="141"/>
  <c r="P63" i="141"/>
  <c r="N63" i="141"/>
  <c r="O63" i="141" s="1"/>
  <c r="M63" i="141"/>
  <c r="P62" i="141"/>
  <c r="Q62" i="141" s="1"/>
  <c r="R62" i="141" s="1"/>
  <c r="S62" i="141" s="1"/>
  <c r="O62" i="141"/>
  <c r="N62" i="141"/>
  <c r="M62" i="141"/>
  <c r="P61" i="141"/>
  <c r="Q61" i="141" s="1"/>
  <c r="R61" i="141" s="1"/>
  <c r="S61" i="141" s="1"/>
  <c r="N61" i="141"/>
  <c r="O61" i="141" s="1"/>
  <c r="M61" i="141"/>
  <c r="P60" i="141"/>
  <c r="N60" i="141"/>
  <c r="O60" i="141" s="1"/>
  <c r="M60" i="141"/>
  <c r="P59" i="141"/>
  <c r="N59" i="141"/>
  <c r="O59" i="141" s="1"/>
  <c r="M59" i="141"/>
  <c r="P58" i="141"/>
  <c r="N58" i="141"/>
  <c r="O58" i="141" s="1"/>
  <c r="M58" i="141"/>
  <c r="P57" i="141"/>
  <c r="N57" i="141"/>
  <c r="O57" i="141" s="1"/>
  <c r="M57" i="141"/>
  <c r="Q56" i="141"/>
  <c r="R56" i="141" s="1"/>
  <c r="S56" i="141" s="1"/>
  <c r="P56" i="141"/>
  <c r="N56" i="141"/>
  <c r="O56" i="141" s="1"/>
  <c r="M56" i="141"/>
  <c r="P55" i="141"/>
  <c r="Q55" i="141" s="1"/>
  <c r="R55" i="141" s="1"/>
  <c r="S55" i="141" s="1"/>
  <c r="N55" i="141"/>
  <c r="O55" i="141" s="1"/>
  <c r="M55" i="141"/>
  <c r="P54" i="141"/>
  <c r="Q54" i="141" s="1"/>
  <c r="R54" i="141" s="1"/>
  <c r="S54" i="141" s="1"/>
  <c r="O54" i="141"/>
  <c r="N54" i="141"/>
  <c r="M54" i="141"/>
  <c r="P53" i="141"/>
  <c r="N53" i="141"/>
  <c r="O53" i="141" s="1"/>
  <c r="M53" i="141"/>
  <c r="P52" i="141"/>
  <c r="Q52" i="141" s="1"/>
  <c r="R52" i="141" s="1"/>
  <c r="S52" i="141" s="1"/>
  <c r="N52" i="141"/>
  <c r="O52" i="141" s="1"/>
  <c r="M52" i="141"/>
  <c r="P51" i="141"/>
  <c r="N51" i="141"/>
  <c r="O51" i="141" s="1"/>
  <c r="M51" i="141"/>
  <c r="P50" i="141"/>
  <c r="N50" i="141"/>
  <c r="O50" i="141" s="1"/>
  <c r="M50" i="141"/>
  <c r="P49" i="141"/>
  <c r="Q49" i="141" s="1"/>
  <c r="R49" i="141" s="1"/>
  <c r="S49" i="141" s="1"/>
  <c r="N49" i="141"/>
  <c r="O49" i="141" s="1"/>
  <c r="M49" i="141"/>
  <c r="P48" i="141"/>
  <c r="Q48" i="141" s="1"/>
  <c r="R48" i="141" s="1"/>
  <c r="S48" i="141" s="1"/>
  <c r="N48" i="141"/>
  <c r="O48" i="141" s="1"/>
  <c r="P47" i="141"/>
  <c r="N47" i="141"/>
  <c r="M47" i="141"/>
  <c r="P46" i="141"/>
  <c r="N46" i="141"/>
  <c r="O46" i="141" s="1"/>
  <c r="M46" i="141"/>
  <c r="Q45" i="141"/>
  <c r="R45" i="141" s="1"/>
  <c r="S45" i="141" s="1"/>
  <c r="P45" i="141"/>
  <c r="N45" i="141"/>
  <c r="O45" i="141" s="1"/>
  <c r="M45" i="141"/>
  <c r="P44" i="141"/>
  <c r="N44" i="141"/>
  <c r="O44" i="141" s="1"/>
  <c r="M44" i="141"/>
  <c r="P43" i="141"/>
  <c r="Q43" i="141" s="1"/>
  <c r="R43" i="141" s="1"/>
  <c r="S43" i="141" s="1"/>
  <c r="N43" i="141"/>
  <c r="O43" i="141" s="1"/>
  <c r="M43" i="141"/>
  <c r="P42" i="141"/>
  <c r="N42" i="141"/>
  <c r="O42" i="141" s="1"/>
  <c r="M42" i="141"/>
  <c r="P41" i="141"/>
  <c r="Q41" i="141" s="1"/>
  <c r="R41" i="141" s="1"/>
  <c r="S41" i="141" s="1"/>
  <c r="N41" i="141"/>
  <c r="O41" i="141" s="1"/>
  <c r="M41" i="141"/>
  <c r="P40" i="141"/>
  <c r="N40" i="141"/>
  <c r="O40" i="141" s="1"/>
  <c r="M40" i="141"/>
  <c r="Q39" i="141"/>
  <c r="R39" i="141" s="1"/>
  <c r="S39" i="141" s="1"/>
  <c r="P39" i="141"/>
  <c r="N39" i="141"/>
  <c r="O39" i="141" s="1"/>
  <c r="M39" i="141"/>
  <c r="P38" i="141"/>
  <c r="N38" i="141"/>
  <c r="O38" i="141" s="1"/>
  <c r="M38" i="141"/>
  <c r="P37" i="141"/>
  <c r="N37" i="141"/>
  <c r="O37" i="141" s="1"/>
  <c r="M37" i="141"/>
  <c r="P36" i="141"/>
  <c r="N36" i="141"/>
  <c r="O36" i="141" s="1"/>
  <c r="M36" i="141"/>
  <c r="P35" i="141"/>
  <c r="N35" i="141"/>
  <c r="O35" i="141" s="1"/>
  <c r="M35" i="141"/>
  <c r="P34" i="141"/>
  <c r="N34" i="141"/>
  <c r="O34" i="141" s="1"/>
  <c r="M34" i="141"/>
  <c r="P33" i="141"/>
  <c r="N33" i="141"/>
  <c r="O33" i="141" s="1"/>
  <c r="M33" i="141"/>
  <c r="P32" i="141"/>
  <c r="N32" i="141"/>
  <c r="O32" i="141" s="1"/>
  <c r="M32" i="141"/>
  <c r="P31" i="141"/>
  <c r="Q31" i="141" s="1"/>
  <c r="R31" i="141" s="1"/>
  <c r="S31" i="141" s="1"/>
  <c r="O31" i="141"/>
  <c r="N31" i="141"/>
  <c r="M31" i="141"/>
  <c r="P30" i="141"/>
  <c r="Q30" i="141" s="1"/>
  <c r="R30" i="141" s="1"/>
  <c r="S30" i="141" s="1"/>
  <c r="O30" i="141"/>
  <c r="N30" i="141"/>
  <c r="M30" i="141"/>
  <c r="P29" i="141"/>
  <c r="Q29" i="141" s="1"/>
  <c r="R29" i="141" s="1"/>
  <c r="S29" i="141" s="1"/>
  <c r="O29" i="141"/>
  <c r="N29" i="141"/>
  <c r="M29" i="141"/>
  <c r="P28" i="141"/>
  <c r="Q28" i="141" s="1"/>
  <c r="R28" i="141" s="1"/>
  <c r="S28" i="141" s="1"/>
  <c r="O28" i="141"/>
  <c r="N28" i="141"/>
  <c r="M28" i="141"/>
  <c r="P27" i="141"/>
  <c r="Q27" i="141" s="1"/>
  <c r="R27" i="141" s="1"/>
  <c r="S27" i="141" s="1"/>
  <c r="O27" i="141"/>
  <c r="N27" i="141"/>
  <c r="M27" i="141"/>
  <c r="P26" i="141"/>
  <c r="Q26" i="141" s="1"/>
  <c r="R26" i="141" s="1"/>
  <c r="S26" i="141" s="1"/>
  <c r="O26" i="141"/>
  <c r="N26" i="141"/>
  <c r="M26" i="141"/>
  <c r="P25" i="141"/>
  <c r="Q25" i="141" s="1"/>
  <c r="R25" i="141" s="1"/>
  <c r="S25" i="141" s="1"/>
  <c r="O25" i="141"/>
  <c r="N25" i="141"/>
  <c r="M25" i="141"/>
  <c r="P24" i="141"/>
  <c r="Q24" i="141" s="1"/>
  <c r="R24" i="141" s="1"/>
  <c r="S24" i="141" s="1"/>
  <c r="O24" i="141"/>
  <c r="N24" i="141"/>
  <c r="M24" i="141"/>
  <c r="P23" i="141"/>
  <c r="Q23" i="141" s="1"/>
  <c r="R23" i="141" s="1"/>
  <c r="S23" i="141" s="1"/>
  <c r="N23" i="141"/>
  <c r="O23" i="141" s="1"/>
  <c r="M23" i="141"/>
  <c r="P22" i="141"/>
  <c r="Q22" i="141" s="1"/>
  <c r="R22" i="141" s="1"/>
  <c r="S22" i="141" s="1"/>
  <c r="O22" i="141"/>
  <c r="N22" i="141"/>
  <c r="M22" i="141"/>
  <c r="P21" i="141"/>
  <c r="Q21" i="141" s="1"/>
  <c r="R21" i="141" s="1"/>
  <c r="S21" i="141" s="1"/>
  <c r="N21" i="141"/>
  <c r="O21" i="141" s="1"/>
  <c r="M21" i="141"/>
  <c r="P20" i="141"/>
  <c r="Q20" i="141" s="1"/>
  <c r="R20" i="141" s="1"/>
  <c r="S20" i="141" s="1"/>
  <c r="O20" i="141"/>
  <c r="N20" i="141"/>
  <c r="M20" i="141"/>
  <c r="P19" i="141"/>
  <c r="Q19" i="141" s="1"/>
  <c r="R19" i="141" s="1"/>
  <c r="S19" i="141" s="1"/>
  <c r="N19" i="141"/>
  <c r="O19" i="141" s="1"/>
  <c r="M19" i="141"/>
  <c r="P18" i="141"/>
  <c r="Q18" i="141" s="1"/>
  <c r="R18" i="141" s="1"/>
  <c r="S18" i="141" s="1"/>
  <c r="O18" i="141"/>
  <c r="N18" i="141"/>
  <c r="M18" i="141"/>
  <c r="P17" i="141"/>
  <c r="Q17" i="141" s="1"/>
  <c r="R17" i="141" s="1"/>
  <c r="S17" i="141" s="1"/>
  <c r="N17" i="141"/>
  <c r="O17" i="141" s="1"/>
  <c r="M17" i="141"/>
  <c r="P16" i="141"/>
  <c r="Q16" i="141" s="1"/>
  <c r="R16" i="141" s="1"/>
  <c r="S16" i="141" s="1"/>
  <c r="O16" i="141"/>
  <c r="N16" i="141"/>
  <c r="M16" i="141"/>
  <c r="P15" i="141"/>
  <c r="N15" i="141"/>
  <c r="Q15" i="141" s="1"/>
  <c r="R15" i="141" s="1"/>
  <c r="S15" i="141" s="1"/>
  <c r="M15" i="141"/>
  <c r="P14" i="141"/>
  <c r="Q14" i="141" s="1"/>
  <c r="R14" i="141" s="1"/>
  <c r="S14" i="141" s="1"/>
  <c r="N14" i="141"/>
  <c r="O14" i="141" s="1"/>
  <c r="M14" i="141"/>
  <c r="P13" i="141"/>
  <c r="N13" i="141"/>
  <c r="O13" i="141" s="1"/>
  <c r="M13" i="141"/>
  <c r="P12" i="141"/>
  <c r="Q12" i="141" s="1"/>
  <c r="R12" i="141" s="1"/>
  <c r="S12" i="141" s="1"/>
  <c r="N12" i="141"/>
  <c r="O12" i="141" s="1"/>
  <c r="M12" i="141"/>
  <c r="P11" i="141"/>
  <c r="N11" i="141"/>
  <c r="O11" i="141" s="1"/>
  <c r="M11" i="141"/>
  <c r="P10" i="141"/>
  <c r="Q10" i="141" s="1"/>
  <c r="R10" i="141" s="1"/>
  <c r="S10" i="141" s="1"/>
  <c r="N10" i="141"/>
  <c r="O10" i="141" s="1"/>
  <c r="M10" i="141"/>
  <c r="P9" i="141"/>
  <c r="N9" i="141"/>
  <c r="O9" i="141" s="1"/>
  <c r="M9" i="141"/>
  <c r="B9" i="141"/>
  <c r="B10" i="141" s="1"/>
  <c r="B11" i="141" s="1"/>
  <c r="B12" i="141" s="1"/>
  <c r="B13" i="141" s="1"/>
  <c r="B14" i="141" s="1"/>
  <c r="B15" i="141" s="1"/>
  <c r="B16" i="141" s="1"/>
  <c r="B17" i="141" s="1"/>
  <c r="B18" i="141" s="1"/>
  <c r="B19" i="141" s="1"/>
  <c r="B20" i="141" s="1"/>
  <c r="B21" i="141" s="1"/>
  <c r="B22" i="141" s="1"/>
  <c r="B23" i="141" s="1"/>
  <c r="B24" i="141" s="1"/>
  <c r="B25" i="141" s="1"/>
  <c r="B26" i="141" s="1"/>
  <c r="B27" i="141" s="1"/>
  <c r="B28" i="141" s="1"/>
  <c r="B29" i="141" s="1"/>
  <c r="B30" i="141" s="1"/>
  <c r="B31" i="141" s="1"/>
  <c r="B32" i="141" s="1"/>
  <c r="B33" i="141" s="1"/>
  <c r="B34" i="141" s="1"/>
  <c r="B35" i="141" s="1"/>
  <c r="B36" i="141" s="1"/>
  <c r="B37" i="141" s="1"/>
  <c r="B38" i="141" s="1"/>
  <c r="B39" i="141" s="1"/>
  <c r="B40" i="141" s="1"/>
  <c r="B41" i="141" s="1"/>
  <c r="B42" i="141" s="1"/>
  <c r="P8" i="141"/>
  <c r="Q8" i="141" s="1"/>
  <c r="R8" i="141" s="1"/>
  <c r="S8" i="141" s="1"/>
  <c r="O8" i="141"/>
  <c r="N8" i="141"/>
  <c r="M8" i="141"/>
  <c r="P7" i="141"/>
  <c r="Q7" i="141" s="1"/>
  <c r="R7" i="141" s="1"/>
  <c r="S7" i="141" s="1"/>
  <c r="N7" i="141"/>
  <c r="O7" i="141" s="1"/>
  <c r="M7" i="141"/>
  <c r="F99" i="140"/>
  <c r="F98" i="140"/>
  <c r="F97" i="140"/>
  <c r="F96" i="140"/>
  <c r="F95" i="140"/>
  <c r="F94" i="140"/>
  <c r="F93" i="140"/>
  <c r="F92" i="140"/>
  <c r="F91" i="140"/>
  <c r="F90" i="140"/>
  <c r="F89" i="140"/>
  <c r="F88" i="140"/>
  <c r="F87" i="140"/>
  <c r="F86" i="140"/>
  <c r="F85" i="140"/>
  <c r="F84" i="140"/>
  <c r="O76" i="140"/>
  <c r="O75" i="140"/>
  <c r="O74" i="140"/>
  <c r="O73" i="140"/>
  <c r="P72" i="140"/>
  <c r="Q72" i="140" s="1"/>
  <c r="R72" i="140" s="1"/>
  <c r="S72" i="140" s="1"/>
  <c r="N72" i="140"/>
  <c r="O72" i="140" s="1"/>
  <c r="M72" i="140"/>
  <c r="P71" i="140"/>
  <c r="Q71" i="140" s="1"/>
  <c r="R71" i="140" s="1"/>
  <c r="S71" i="140" s="1"/>
  <c r="N71" i="140"/>
  <c r="O71" i="140" s="1"/>
  <c r="M71" i="140"/>
  <c r="Q70" i="140"/>
  <c r="R70" i="140" s="1"/>
  <c r="S70" i="140" s="1"/>
  <c r="P70" i="140"/>
  <c r="N70" i="140"/>
  <c r="O70" i="140" s="1"/>
  <c r="M70" i="140"/>
  <c r="P69" i="140"/>
  <c r="N69" i="140"/>
  <c r="O69" i="140" s="1"/>
  <c r="M69" i="140"/>
  <c r="P68" i="140"/>
  <c r="Q68" i="140" s="1"/>
  <c r="R68" i="140" s="1"/>
  <c r="S68" i="140" s="1"/>
  <c r="N68" i="140"/>
  <c r="O68" i="140" s="1"/>
  <c r="M68" i="140"/>
  <c r="P67" i="140"/>
  <c r="N67" i="140"/>
  <c r="O67" i="140" s="1"/>
  <c r="M67" i="140"/>
  <c r="P66" i="140"/>
  <c r="Q66" i="140" s="1"/>
  <c r="R66" i="140" s="1"/>
  <c r="S66" i="140" s="1"/>
  <c r="N66" i="140"/>
  <c r="O66" i="140" s="1"/>
  <c r="M66" i="140"/>
  <c r="P65" i="140"/>
  <c r="Q65" i="140" s="1"/>
  <c r="R65" i="140" s="1"/>
  <c r="S65" i="140" s="1"/>
  <c r="N65" i="140"/>
  <c r="O65" i="140" s="1"/>
  <c r="M65" i="140"/>
  <c r="Q64" i="140"/>
  <c r="R64" i="140" s="1"/>
  <c r="S64" i="140" s="1"/>
  <c r="P64" i="140"/>
  <c r="N64" i="140"/>
  <c r="O64" i="140" s="1"/>
  <c r="M64" i="140"/>
  <c r="P63" i="140"/>
  <c r="Q63" i="140" s="1"/>
  <c r="R63" i="140" s="1"/>
  <c r="S63" i="140" s="1"/>
  <c r="N63" i="140"/>
  <c r="O63" i="140" s="1"/>
  <c r="M63" i="140"/>
  <c r="P62" i="140"/>
  <c r="Q62" i="140" s="1"/>
  <c r="R62" i="140" s="1"/>
  <c r="S62" i="140" s="1"/>
  <c r="N62" i="140"/>
  <c r="O62" i="140" s="1"/>
  <c r="M62" i="140"/>
  <c r="P61" i="140"/>
  <c r="O61" i="140"/>
  <c r="N61" i="140"/>
  <c r="M61" i="140"/>
  <c r="P60" i="140"/>
  <c r="N60" i="140"/>
  <c r="O60" i="140" s="1"/>
  <c r="M60" i="140"/>
  <c r="P59" i="140"/>
  <c r="Q59" i="140" s="1"/>
  <c r="R59" i="140" s="1"/>
  <c r="S59" i="140" s="1"/>
  <c r="N59" i="140"/>
  <c r="O59" i="140" s="1"/>
  <c r="M59" i="140"/>
  <c r="P58" i="140"/>
  <c r="N58" i="140"/>
  <c r="O58" i="140" s="1"/>
  <c r="M58" i="140"/>
  <c r="P57" i="140"/>
  <c r="Q57" i="140" s="1"/>
  <c r="R57" i="140" s="1"/>
  <c r="S57" i="140" s="1"/>
  <c r="N57" i="140"/>
  <c r="O57" i="140" s="1"/>
  <c r="M57" i="140"/>
  <c r="P56" i="140"/>
  <c r="Q56" i="140" s="1"/>
  <c r="R56" i="140" s="1"/>
  <c r="S56" i="140" s="1"/>
  <c r="N56" i="140"/>
  <c r="O56" i="140" s="1"/>
  <c r="M56" i="140"/>
  <c r="P55" i="140"/>
  <c r="N55" i="140"/>
  <c r="O55" i="140" s="1"/>
  <c r="M55" i="140"/>
  <c r="P54" i="140"/>
  <c r="N54" i="140"/>
  <c r="Q54" i="140" s="1"/>
  <c r="R54" i="140" s="1"/>
  <c r="S54" i="140" s="1"/>
  <c r="M54" i="140"/>
  <c r="P53" i="140"/>
  <c r="N53" i="140"/>
  <c r="O53" i="140" s="1"/>
  <c r="M53" i="140"/>
  <c r="P52" i="140"/>
  <c r="N52" i="140"/>
  <c r="O52" i="140" s="1"/>
  <c r="M52" i="140"/>
  <c r="P51" i="140"/>
  <c r="N51" i="140"/>
  <c r="O51" i="140" s="1"/>
  <c r="M51" i="140"/>
  <c r="P50" i="140"/>
  <c r="Q50" i="140" s="1"/>
  <c r="R50" i="140" s="1"/>
  <c r="S50" i="140" s="1"/>
  <c r="N50" i="140"/>
  <c r="O50" i="140" s="1"/>
  <c r="M50" i="140"/>
  <c r="P49" i="140"/>
  <c r="Q49" i="140" s="1"/>
  <c r="R49" i="140" s="1"/>
  <c r="S49" i="140" s="1"/>
  <c r="N49" i="140"/>
  <c r="O49" i="140" s="1"/>
  <c r="M49" i="140"/>
  <c r="P48" i="140"/>
  <c r="N48" i="140"/>
  <c r="O48" i="140" s="1"/>
  <c r="P47" i="140"/>
  <c r="N47" i="140"/>
  <c r="O47" i="140" s="1"/>
  <c r="M47" i="140"/>
  <c r="P46" i="140"/>
  <c r="N46" i="140"/>
  <c r="O46" i="140" s="1"/>
  <c r="M46" i="140"/>
  <c r="P45" i="140"/>
  <c r="N45" i="140"/>
  <c r="O45" i="140" s="1"/>
  <c r="M45" i="140"/>
  <c r="P44" i="140"/>
  <c r="N44" i="140"/>
  <c r="O44" i="140" s="1"/>
  <c r="M44" i="140"/>
  <c r="P43" i="140"/>
  <c r="N43" i="140"/>
  <c r="Q43" i="140" s="1"/>
  <c r="R43" i="140" s="1"/>
  <c r="S43" i="140" s="1"/>
  <c r="M43" i="140"/>
  <c r="P42" i="140"/>
  <c r="Q42" i="140" s="1"/>
  <c r="R42" i="140" s="1"/>
  <c r="S42" i="140" s="1"/>
  <c r="N42" i="140"/>
  <c r="O42" i="140" s="1"/>
  <c r="M42" i="140"/>
  <c r="P41" i="140"/>
  <c r="Q41" i="140" s="1"/>
  <c r="R41" i="140" s="1"/>
  <c r="S41" i="140" s="1"/>
  <c r="O41" i="140"/>
  <c r="N41" i="140"/>
  <c r="M41" i="140"/>
  <c r="Q40" i="140"/>
  <c r="R40" i="140" s="1"/>
  <c r="S40" i="140" s="1"/>
  <c r="P40" i="140"/>
  <c r="O40" i="140"/>
  <c r="N40" i="140"/>
  <c r="M40" i="140"/>
  <c r="Q39" i="140"/>
  <c r="R39" i="140" s="1"/>
  <c r="S39" i="140" s="1"/>
  <c r="P39" i="140"/>
  <c r="N39" i="140"/>
  <c r="O39" i="140" s="1"/>
  <c r="M39" i="140"/>
  <c r="P38" i="140"/>
  <c r="N38" i="140"/>
  <c r="O38" i="140" s="1"/>
  <c r="M38" i="140"/>
  <c r="Q37" i="140"/>
  <c r="R37" i="140" s="1"/>
  <c r="S37" i="140" s="1"/>
  <c r="P37" i="140"/>
  <c r="O37" i="140"/>
  <c r="N37" i="140"/>
  <c r="M37" i="140"/>
  <c r="P36" i="140"/>
  <c r="N36" i="140"/>
  <c r="O36" i="140" s="1"/>
  <c r="M36" i="140"/>
  <c r="P35" i="140"/>
  <c r="O35" i="140"/>
  <c r="N35" i="140"/>
  <c r="M35" i="140"/>
  <c r="P34" i="140"/>
  <c r="Q34" i="140" s="1"/>
  <c r="R34" i="140" s="1"/>
  <c r="S34" i="140" s="1"/>
  <c r="O34" i="140"/>
  <c r="N34" i="140"/>
  <c r="M34" i="140"/>
  <c r="P33" i="140"/>
  <c r="Q33" i="140" s="1"/>
  <c r="R33" i="140" s="1"/>
  <c r="S33" i="140" s="1"/>
  <c r="N33" i="140"/>
  <c r="O33" i="140" s="1"/>
  <c r="M33" i="140"/>
  <c r="P32" i="140"/>
  <c r="Q32" i="140" s="1"/>
  <c r="R32" i="140" s="1"/>
  <c r="S32" i="140" s="1"/>
  <c r="O32" i="140"/>
  <c r="N32" i="140"/>
  <c r="M32" i="140"/>
  <c r="P31" i="140"/>
  <c r="N31" i="140"/>
  <c r="Q31" i="140" s="1"/>
  <c r="R31" i="140" s="1"/>
  <c r="S31" i="140" s="1"/>
  <c r="M31" i="140"/>
  <c r="P30" i="140"/>
  <c r="O30" i="140"/>
  <c r="N30" i="140"/>
  <c r="M30" i="140"/>
  <c r="P29" i="140"/>
  <c r="N29" i="140"/>
  <c r="O29" i="140" s="1"/>
  <c r="M29" i="140"/>
  <c r="Q28" i="140"/>
  <c r="R28" i="140" s="1"/>
  <c r="S28" i="140" s="1"/>
  <c r="P28" i="140"/>
  <c r="O28" i="140"/>
  <c r="N28" i="140"/>
  <c r="M28" i="140"/>
  <c r="P27" i="140"/>
  <c r="Q27" i="140" s="1"/>
  <c r="R27" i="140" s="1"/>
  <c r="S27" i="140" s="1"/>
  <c r="N27" i="140"/>
  <c r="O27" i="140" s="1"/>
  <c r="M27" i="140"/>
  <c r="P26" i="140"/>
  <c r="Q26" i="140" s="1"/>
  <c r="R26" i="140" s="1"/>
  <c r="S26" i="140" s="1"/>
  <c r="N26" i="140"/>
  <c r="O26" i="140" s="1"/>
  <c r="M26" i="140"/>
  <c r="P25" i="140"/>
  <c r="Q25" i="140" s="1"/>
  <c r="R25" i="140" s="1"/>
  <c r="S25" i="140" s="1"/>
  <c r="O25" i="140"/>
  <c r="N25" i="140"/>
  <c r="M25" i="140"/>
  <c r="P24" i="140"/>
  <c r="Q24" i="140" s="1"/>
  <c r="R24" i="140" s="1"/>
  <c r="S24" i="140" s="1"/>
  <c r="N24" i="140"/>
  <c r="O24" i="140" s="1"/>
  <c r="M24" i="140"/>
  <c r="P23" i="140"/>
  <c r="Q23" i="140" s="1"/>
  <c r="R23" i="140" s="1"/>
  <c r="S23" i="140" s="1"/>
  <c r="N23" i="140"/>
  <c r="O23" i="140" s="1"/>
  <c r="M23" i="140"/>
  <c r="P22" i="140"/>
  <c r="N22" i="140"/>
  <c r="O22" i="140" s="1"/>
  <c r="M22" i="140"/>
  <c r="P21" i="140"/>
  <c r="O21" i="140"/>
  <c r="N21" i="140"/>
  <c r="M21" i="140"/>
  <c r="P20" i="140"/>
  <c r="Q20" i="140" s="1"/>
  <c r="R20" i="140" s="1"/>
  <c r="S20" i="140" s="1"/>
  <c r="O20" i="140"/>
  <c r="N20" i="140"/>
  <c r="M20" i="140"/>
  <c r="P19" i="140"/>
  <c r="N19" i="140"/>
  <c r="O19" i="140" s="1"/>
  <c r="M19" i="140"/>
  <c r="P18" i="140"/>
  <c r="Q18" i="140" s="1"/>
  <c r="R18" i="140" s="1"/>
  <c r="S18" i="140" s="1"/>
  <c r="O18" i="140"/>
  <c r="N18" i="140"/>
  <c r="M18" i="140"/>
  <c r="P17" i="140"/>
  <c r="N17" i="140"/>
  <c r="O17" i="140" s="1"/>
  <c r="M17" i="140"/>
  <c r="P16" i="140"/>
  <c r="Q16" i="140" s="1"/>
  <c r="R16" i="140" s="1"/>
  <c r="S16" i="140" s="1"/>
  <c r="O16" i="140"/>
  <c r="N16" i="140"/>
  <c r="M16" i="140"/>
  <c r="P15" i="140"/>
  <c r="N15" i="140"/>
  <c r="O15" i="140" s="1"/>
  <c r="M15" i="140"/>
  <c r="P14" i="140"/>
  <c r="Q14" i="140" s="1"/>
  <c r="R14" i="140" s="1"/>
  <c r="S14" i="140" s="1"/>
  <c r="O14" i="140"/>
  <c r="N14" i="140"/>
  <c r="M14" i="140"/>
  <c r="P13" i="140"/>
  <c r="N13" i="140"/>
  <c r="O13" i="140" s="1"/>
  <c r="M13" i="140"/>
  <c r="P12" i="140"/>
  <c r="Q12" i="140" s="1"/>
  <c r="R12" i="140" s="1"/>
  <c r="S12" i="140" s="1"/>
  <c r="N12" i="140"/>
  <c r="O12" i="140" s="1"/>
  <c r="M12" i="140"/>
  <c r="P11" i="140"/>
  <c r="O11" i="140"/>
  <c r="N11" i="140"/>
  <c r="M11" i="140"/>
  <c r="P10" i="140"/>
  <c r="N10" i="140"/>
  <c r="O10" i="140" s="1"/>
  <c r="M10" i="140"/>
  <c r="P9" i="140"/>
  <c r="N9" i="140"/>
  <c r="O9" i="140" s="1"/>
  <c r="M9" i="140"/>
  <c r="B9" i="140"/>
  <c r="B10" i="140" s="1"/>
  <c r="B11" i="140" s="1"/>
  <c r="B12" i="140" s="1"/>
  <c r="B13" i="140" s="1"/>
  <c r="B14" i="140" s="1"/>
  <c r="B15" i="140" s="1"/>
  <c r="B16" i="140" s="1"/>
  <c r="B17" i="140" s="1"/>
  <c r="B18" i="140" s="1"/>
  <c r="B19" i="140" s="1"/>
  <c r="B20" i="140" s="1"/>
  <c r="B21" i="140" s="1"/>
  <c r="B22" i="140" s="1"/>
  <c r="B23" i="140" s="1"/>
  <c r="B24" i="140" s="1"/>
  <c r="B25" i="140" s="1"/>
  <c r="B26" i="140" s="1"/>
  <c r="B27" i="140" s="1"/>
  <c r="B28" i="140" s="1"/>
  <c r="B29" i="140" s="1"/>
  <c r="B30" i="140" s="1"/>
  <c r="B31" i="140" s="1"/>
  <c r="B32" i="140" s="1"/>
  <c r="B33" i="140" s="1"/>
  <c r="B34" i="140" s="1"/>
  <c r="B35" i="140" s="1"/>
  <c r="B36" i="140" s="1"/>
  <c r="B37" i="140" s="1"/>
  <c r="B38" i="140" s="1"/>
  <c r="B39" i="140" s="1"/>
  <c r="B40" i="140" s="1"/>
  <c r="B41" i="140" s="1"/>
  <c r="B42" i="140" s="1"/>
  <c r="P8" i="140"/>
  <c r="N8" i="140"/>
  <c r="O8" i="140" s="1"/>
  <c r="M8" i="140"/>
  <c r="P7" i="140"/>
  <c r="Q7" i="140" s="1"/>
  <c r="R7" i="140" s="1"/>
  <c r="S7" i="140" s="1"/>
  <c r="O7" i="140"/>
  <c r="N7" i="140"/>
  <c r="M7" i="140"/>
  <c r="N7" i="117"/>
  <c r="N48" i="117"/>
  <c r="O48" i="117" s="1"/>
  <c r="Q38" i="141" l="1"/>
  <c r="R38" i="141" s="1"/>
  <c r="S38" i="141" s="1"/>
  <c r="Q70" i="141"/>
  <c r="R70" i="141" s="1"/>
  <c r="S70" i="141" s="1"/>
  <c r="Q60" i="141"/>
  <c r="R60" i="141" s="1"/>
  <c r="S60" i="141" s="1"/>
  <c r="Q9" i="141"/>
  <c r="R9" i="141" s="1"/>
  <c r="S9" i="141" s="1"/>
  <c r="O15" i="141"/>
  <c r="O77" i="141" s="1"/>
  <c r="Q32" i="141"/>
  <c r="R32" i="141" s="1"/>
  <c r="S32" i="141" s="1"/>
  <c r="Q34" i="141"/>
  <c r="R34" i="141" s="1"/>
  <c r="S34" i="141" s="1"/>
  <c r="Q36" i="141"/>
  <c r="R36" i="141" s="1"/>
  <c r="S36" i="141" s="1"/>
  <c r="Q65" i="141"/>
  <c r="R65" i="141" s="1"/>
  <c r="S65" i="141" s="1"/>
  <c r="Q11" i="141"/>
  <c r="R11" i="141" s="1"/>
  <c r="S11" i="141" s="1"/>
  <c r="Q13" i="141"/>
  <c r="R13" i="141" s="1"/>
  <c r="S13" i="141" s="1"/>
  <c r="Q40" i="141"/>
  <c r="R40" i="141" s="1"/>
  <c r="S40" i="141" s="1"/>
  <c r="Q42" i="141"/>
  <c r="R42" i="141" s="1"/>
  <c r="S42" i="141" s="1"/>
  <c r="Q44" i="141"/>
  <c r="R44" i="141" s="1"/>
  <c r="S44" i="141" s="1"/>
  <c r="Q46" i="141"/>
  <c r="R46" i="141" s="1"/>
  <c r="S46" i="141" s="1"/>
  <c r="Q63" i="141"/>
  <c r="R63" i="141" s="1"/>
  <c r="S63" i="141" s="1"/>
  <c r="Q53" i="141"/>
  <c r="R53" i="141" s="1"/>
  <c r="S53" i="141" s="1"/>
  <c r="Q71" i="141"/>
  <c r="R71" i="141" s="1"/>
  <c r="S71" i="141" s="1"/>
  <c r="Q33" i="141"/>
  <c r="R33" i="141" s="1"/>
  <c r="S33" i="141" s="1"/>
  <c r="Q35" i="141"/>
  <c r="R35" i="141" s="1"/>
  <c r="S35" i="141" s="1"/>
  <c r="Q37" i="141"/>
  <c r="R37" i="141" s="1"/>
  <c r="S37" i="141" s="1"/>
  <c r="Q47" i="141"/>
  <c r="R47" i="141" s="1"/>
  <c r="S47" i="141" s="1"/>
  <c r="Q69" i="141"/>
  <c r="R69" i="141" s="1"/>
  <c r="S69" i="141" s="1"/>
  <c r="Q11" i="140"/>
  <c r="R11" i="140" s="1"/>
  <c r="S11" i="140" s="1"/>
  <c r="Q21" i="140"/>
  <c r="R21" i="140" s="1"/>
  <c r="S21" i="140" s="1"/>
  <c r="Q30" i="140"/>
  <c r="R30" i="140" s="1"/>
  <c r="S30" i="140" s="1"/>
  <c r="Q35" i="140"/>
  <c r="R35" i="140" s="1"/>
  <c r="S35" i="140" s="1"/>
  <c r="Q55" i="140"/>
  <c r="R55" i="140" s="1"/>
  <c r="S55" i="140" s="1"/>
  <c r="O31" i="140"/>
  <c r="Q44" i="140"/>
  <c r="R44" i="140" s="1"/>
  <c r="S44" i="140" s="1"/>
  <c r="O43" i="140"/>
  <c r="O54" i="140"/>
  <c r="Q8" i="140"/>
  <c r="R8" i="140" s="1"/>
  <c r="S8" i="140" s="1"/>
  <c r="Q10" i="140"/>
  <c r="R10" i="140" s="1"/>
  <c r="S10" i="140" s="1"/>
  <c r="Q29" i="140"/>
  <c r="R29" i="140" s="1"/>
  <c r="S29" i="140" s="1"/>
  <c r="Q36" i="140"/>
  <c r="R36" i="140" s="1"/>
  <c r="S36" i="140" s="1"/>
  <c r="Q58" i="140"/>
  <c r="R58" i="140" s="1"/>
  <c r="S58" i="140" s="1"/>
  <c r="Q38" i="140"/>
  <c r="R38" i="140" s="1"/>
  <c r="S38" i="140" s="1"/>
  <c r="Q48" i="140"/>
  <c r="R48" i="140" s="1"/>
  <c r="S48" i="140" s="1"/>
  <c r="Q52" i="140"/>
  <c r="R52" i="140" s="1"/>
  <c r="S52" i="140" s="1"/>
  <c r="Q61" i="140"/>
  <c r="R61" i="140" s="1"/>
  <c r="S61" i="140" s="1"/>
  <c r="Q58" i="141"/>
  <c r="R58" i="141" s="1"/>
  <c r="S58" i="141" s="1"/>
  <c r="Q68" i="141"/>
  <c r="R68" i="141" s="1"/>
  <c r="S68" i="141" s="1"/>
  <c r="Q50" i="141"/>
  <c r="R50" i="141" s="1"/>
  <c r="S50" i="141" s="1"/>
  <c r="Q51" i="141"/>
  <c r="R51" i="141" s="1"/>
  <c r="S51" i="141" s="1"/>
  <c r="Q66" i="141"/>
  <c r="R66" i="141" s="1"/>
  <c r="S66" i="141" s="1"/>
  <c r="Q57" i="141"/>
  <c r="R57" i="141" s="1"/>
  <c r="S57" i="141" s="1"/>
  <c r="Q59" i="141"/>
  <c r="R59" i="141" s="1"/>
  <c r="S59" i="141" s="1"/>
  <c r="Q46" i="140"/>
  <c r="R46" i="140" s="1"/>
  <c r="S46" i="140" s="1"/>
  <c r="Q47" i="140"/>
  <c r="R47" i="140" s="1"/>
  <c r="S47" i="140" s="1"/>
  <c r="Q45" i="140"/>
  <c r="R45" i="140" s="1"/>
  <c r="S45" i="140" s="1"/>
  <c r="Q22" i="140"/>
  <c r="R22" i="140" s="1"/>
  <c r="S22" i="140" s="1"/>
  <c r="Q19" i="140"/>
  <c r="R19" i="140" s="1"/>
  <c r="S19" i="140" s="1"/>
  <c r="Q17" i="140"/>
  <c r="R17" i="140" s="1"/>
  <c r="S17" i="140" s="1"/>
  <c r="Q15" i="140"/>
  <c r="R15" i="140" s="1"/>
  <c r="S15" i="140" s="1"/>
  <c r="Q13" i="140"/>
  <c r="R13" i="140" s="1"/>
  <c r="S13" i="140" s="1"/>
  <c r="Q9" i="140"/>
  <c r="R9" i="140" s="1"/>
  <c r="S9" i="140" s="1"/>
  <c r="Q53" i="140"/>
  <c r="R53" i="140" s="1"/>
  <c r="S53" i="140" s="1"/>
  <c r="Q60" i="140"/>
  <c r="R60" i="140" s="1"/>
  <c r="S60" i="140" s="1"/>
  <c r="Q67" i="140"/>
  <c r="R67" i="140" s="1"/>
  <c r="S67" i="140" s="1"/>
  <c r="Q51" i="140"/>
  <c r="R51" i="140" s="1"/>
  <c r="S51" i="140" s="1"/>
  <c r="Q69" i="140"/>
  <c r="R69" i="140" s="1"/>
  <c r="S69" i="140" s="1"/>
  <c r="O77" i="140"/>
  <c r="N45" i="117" l="1"/>
  <c r="P44" i="117"/>
  <c r="P39" i="117"/>
  <c r="P38" i="117"/>
  <c r="P31" i="117"/>
  <c r="P30" i="117"/>
  <c r="P23" i="117"/>
  <c r="P22" i="117"/>
  <c r="P15" i="117"/>
  <c r="M14" i="117"/>
  <c r="O7" i="117"/>
  <c r="B9" i="117"/>
  <c r="B10" i="117" s="1"/>
  <c r="B11" i="117" s="1"/>
  <c r="B12" i="117" s="1"/>
  <c r="B13" i="117" s="1"/>
  <c r="B14" i="117" s="1"/>
  <c r="B15" i="117" s="1"/>
  <c r="B16" i="117" s="1"/>
  <c r="B17" i="117" s="1"/>
  <c r="B18" i="117" s="1"/>
  <c r="B19" i="117" s="1"/>
  <c r="B20" i="117" s="1"/>
  <c r="B21" i="117" s="1"/>
  <c r="B22" i="117" s="1"/>
  <c r="B23" i="117" s="1"/>
  <c r="B24" i="117" s="1"/>
  <c r="B25" i="117" s="1"/>
  <c r="B26" i="117" s="1"/>
  <c r="B27" i="117" s="1"/>
  <c r="B28" i="117" s="1"/>
  <c r="B29" i="117" s="1"/>
  <c r="B30" i="117" s="1"/>
  <c r="B31" i="117" s="1"/>
  <c r="B32" i="117" s="1"/>
  <c r="B33" i="117" s="1"/>
  <c r="B34" i="117" s="1"/>
  <c r="B35" i="117" s="1"/>
  <c r="B36" i="117" s="1"/>
  <c r="B37" i="117" s="1"/>
  <c r="B38" i="117" s="1"/>
  <c r="B39" i="117" s="1"/>
  <c r="B40" i="117" s="1"/>
  <c r="B41" i="117" s="1"/>
  <c r="B42" i="117" s="1"/>
  <c r="M8" i="117"/>
  <c r="M9" i="117"/>
  <c r="M10" i="117"/>
  <c r="M11" i="117"/>
  <c r="M12" i="117"/>
  <c r="M13" i="117"/>
  <c r="M16" i="117"/>
  <c r="M17" i="117"/>
  <c r="M18" i="117"/>
  <c r="M19" i="117"/>
  <c r="M20" i="117"/>
  <c r="M21" i="117"/>
  <c r="M24" i="117"/>
  <c r="M25" i="117"/>
  <c r="M26" i="117"/>
  <c r="M27" i="117"/>
  <c r="M28" i="117"/>
  <c r="M29" i="117"/>
  <c r="M32" i="117"/>
  <c r="M33" i="117"/>
  <c r="M34" i="117"/>
  <c r="M35" i="117"/>
  <c r="M36" i="117"/>
  <c r="M37" i="117"/>
  <c r="M40" i="117"/>
  <c r="M41" i="117"/>
  <c r="M42" i="117"/>
  <c r="M43" i="117"/>
  <c r="M46" i="117"/>
  <c r="M47" i="117"/>
  <c r="M49" i="117"/>
  <c r="M50" i="117"/>
  <c r="M51" i="117"/>
  <c r="M52" i="117"/>
  <c r="M53" i="117"/>
  <c r="M54" i="117"/>
  <c r="M55" i="117"/>
  <c r="M56" i="117"/>
  <c r="M57" i="117"/>
  <c r="M58" i="117"/>
  <c r="M59" i="117"/>
  <c r="M60" i="117"/>
  <c r="M61" i="117"/>
  <c r="M62" i="117"/>
  <c r="P8" i="117"/>
  <c r="P9" i="117"/>
  <c r="P10" i="117"/>
  <c r="P11" i="117"/>
  <c r="P12" i="117"/>
  <c r="P13" i="117"/>
  <c r="P16" i="117"/>
  <c r="P17" i="117"/>
  <c r="P18" i="117"/>
  <c r="P19" i="117"/>
  <c r="P20" i="117"/>
  <c r="P21" i="117"/>
  <c r="P24" i="117"/>
  <c r="P25" i="117"/>
  <c r="P26" i="117"/>
  <c r="P27" i="117"/>
  <c r="P28" i="117"/>
  <c r="P29" i="117"/>
  <c r="P32" i="117"/>
  <c r="P33" i="117"/>
  <c r="P34" i="117"/>
  <c r="P35" i="117"/>
  <c r="P36" i="117"/>
  <c r="P37" i="117"/>
  <c r="P40" i="117"/>
  <c r="P41" i="117"/>
  <c r="P42" i="117"/>
  <c r="P43" i="117"/>
  <c r="P46" i="117"/>
  <c r="P47" i="117"/>
  <c r="P48" i="117"/>
  <c r="P49" i="117"/>
  <c r="P50" i="117"/>
  <c r="P51" i="117"/>
  <c r="P52" i="117"/>
  <c r="P53" i="117"/>
  <c r="P54" i="117"/>
  <c r="P55" i="117"/>
  <c r="P56" i="117"/>
  <c r="P57" i="117"/>
  <c r="P58" i="117"/>
  <c r="P59" i="117"/>
  <c r="P60" i="117"/>
  <c r="P61" i="117"/>
  <c r="N8" i="117"/>
  <c r="N9" i="117"/>
  <c r="N10" i="117"/>
  <c r="N11" i="117"/>
  <c r="N12" i="117"/>
  <c r="N13" i="117"/>
  <c r="N16" i="117"/>
  <c r="N17" i="117"/>
  <c r="N18" i="117"/>
  <c r="N19" i="117"/>
  <c r="N20" i="117"/>
  <c r="N21" i="117"/>
  <c r="N23" i="117"/>
  <c r="N24" i="117"/>
  <c r="N25" i="117"/>
  <c r="N26" i="117"/>
  <c r="N27" i="117"/>
  <c r="N28" i="117"/>
  <c r="N29" i="117"/>
  <c r="N31" i="117"/>
  <c r="N32" i="117"/>
  <c r="N33" i="117"/>
  <c r="N34" i="117"/>
  <c r="N35" i="117"/>
  <c r="N36" i="117"/>
  <c r="N37" i="117"/>
  <c r="N39" i="117"/>
  <c r="N40" i="117"/>
  <c r="N41" i="117"/>
  <c r="N42" i="117"/>
  <c r="N43" i="117"/>
  <c r="N46" i="117"/>
  <c r="N47" i="117"/>
  <c r="O47" i="117" s="1"/>
  <c r="N49" i="117"/>
  <c r="N50" i="117"/>
  <c r="N51" i="117"/>
  <c r="N52" i="117"/>
  <c r="N53" i="117"/>
  <c r="N54" i="117"/>
  <c r="N55" i="117"/>
  <c r="N56" i="117"/>
  <c r="N57" i="117"/>
  <c r="N58" i="117"/>
  <c r="N59" i="117"/>
  <c r="N60" i="117"/>
  <c r="N61" i="117"/>
  <c r="M23" i="117" l="1"/>
  <c r="M30" i="117"/>
  <c r="M45" i="117"/>
  <c r="M39" i="117"/>
  <c r="M31" i="117"/>
  <c r="M15" i="117"/>
  <c r="M44" i="117"/>
  <c r="M38" i="117"/>
  <c r="M22" i="117"/>
  <c r="N15" i="117"/>
  <c r="P45" i="117"/>
  <c r="N44" i="117"/>
  <c r="O44" i="117" s="1"/>
  <c r="N38" i="117"/>
  <c r="O38" i="117" s="1"/>
  <c r="N30" i="117"/>
  <c r="O30" i="117" s="1"/>
  <c r="N22" i="117"/>
  <c r="O22" i="117" s="1"/>
  <c r="N14" i="117"/>
  <c r="O14" i="117" s="1"/>
  <c r="P14" i="117"/>
  <c r="P62" i="117"/>
  <c r="N62" i="117"/>
  <c r="O62" i="117" s="1"/>
  <c r="F89" i="117"/>
  <c r="Q8" i="117"/>
  <c r="R8" i="117" s="1"/>
  <c r="S8" i="117" s="1"/>
  <c r="Q9" i="117"/>
  <c r="R9" i="117" s="1"/>
  <c r="S9" i="117" s="1"/>
  <c r="Q10" i="117"/>
  <c r="R10" i="117" s="1"/>
  <c r="S10" i="117" s="1"/>
  <c r="Q16" i="117"/>
  <c r="R16" i="117" s="1"/>
  <c r="S16" i="117" s="1"/>
  <c r="Q17" i="117"/>
  <c r="R17" i="117" s="1"/>
  <c r="S17" i="117" s="1"/>
  <c r="Q18" i="117"/>
  <c r="R18" i="117" s="1"/>
  <c r="S18" i="117" s="1"/>
  <c r="Q24" i="117"/>
  <c r="R24" i="117" s="1"/>
  <c r="S24" i="117" s="1"/>
  <c r="Q25" i="117"/>
  <c r="R25" i="117" s="1"/>
  <c r="S25" i="117" s="1"/>
  <c r="Q26" i="117"/>
  <c r="R26" i="117" s="1"/>
  <c r="S26" i="117" s="1"/>
  <c r="Q32" i="117"/>
  <c r="R32" i="117" s="1"/>
  <c r="S32" i="117" s="1"/>
  <c r="Q33" i="117"/>
  <c r="R33" i="117" s="1"/>
  <c r="S33" i="117" s="1"/>
  <c r="Q34" i="117"/>
  <c r="R34" i="117" s="1"/>
  <c r="S34" i="117" s="1"/>
  <c r="Q40" i="117"/>
  <c r="R40" i="117" s="1"/>
  <c r="S40" i="117" s="1"/>
  <c r="Q41" i="117"/>
  <c r="R41" i="117" s="1"/>
  <c r="S41" i="117" s="1"/>
  <c r="Q42" i="117"/>
  <c r="R42" i="117" s="1"/>
  <c r="S42" i="117" s="1"/>
  <c r="Q46" i="117"/>
  <c r="R46" i="117" s="1"/>
  <c r="S46" i="117" s="1"/>
  <c r="Q47" i="117"/>
  <c r="R47" i="117" s="1"/>
  <c r="S47" i="117" s="1"/>
  <c r="Q48" i="117"/>
  <c r="R48" i="117" s="1"/>
  <c r="S48" i="117" s="1"/>
  <c r="Q54" i="117"/>
  <c r="R54" i="117" s="1"/>
  <c r="S54" i="117" s="1"/>
  <c r="Q55" i="117"/>
  <c r="R55" i="117" s="1"/>
  <c r="S55" i="117" s="1"/>
  <c r="Q56" i="117"/>
  <c r="R56" i="117" s="1"/>
  <c r="S56" i="117" s="1"/>
  <c r="P63" i="117"/>
  <c r="P64" i="117"/>
  <c r="P65" i="117"/>
  <c r="P66" i="117"/>
  <c r="P67" i="117"/>
  <c r="P68" i="117"/>
  <c r="P69" i="117"/>
  <c r="P70" i="117"/>
  <c r="P71" i="117"/>
  <c r="P72" i="117"/>
  <c r="O31" i="117"/>
  <c r="O32" i="117"/>
  <c r="O37" i="117"/>
  <c r="O53" i="117"/>
  <c r="O54" i="117"/>
  <c r="O73" i="117"/>
  <c r="O74" i="117"/>
  <c r="O75" i="117"/>
  <c r="O76" i="117"/>
  <c r="M70" i="117"/>
  <c r="M66" i="117"/>
  <c r="O8" i="117"/>
  <c r="O9" i="117"/>
  <c r="O10" i="117"/>
  <c r="O11" i="117"/>
  <c r="O12" i="117"/>
  <c r="O13" i="117"/>
  <c r="O15" i="117"/>
  <c r="O16" i="117"/>
  <c r="O17" i="117"/>
  <c r="O18" i="117"/>
  <c r="O19" i="117"/>
  <c r="O20" i="117"/>
  <c r="O21" i="117"/>
  <c r="O23" i="117"/>
  <c r="O24" i="117"/>
  <c r="O25" i="117"/>
  <c r="O26" i="117"/>
  <c r="O27" i="117"/>
  <c r="O28" i="117"/>
  <c r="O29" i="117"/>
  <c r="O33" i="117"/>
  <c r="O34" i="117"/>
  <c r="O35" i="117"/>
  <c r="O36" i="117"/>
  <c r="O39" i="117"/>
  <c r="O40" i="117"/>
  <c r="O41" i="117"/>
  <c r="O42" i="117"/>
  <c r="O43" i="117"/>
  <c r="O45" i="117"/>
  <c r="O46" i="117"/>
  <c r="O49" i="117"/>
  <c r="O50" i="117"/>
  <c r="O51" i="117"/>
  <c r="O52" i="117"/>
  <c r="O55" i="117"/>
  <c r="O56" i="117"/>
  <c r="O57" i="117"/>
  <c r="O58" i="117"/>
  <c r="O59" i="117"/>
  <c r="O60" i="117"/>
  <c r="O61" i="117"/>
  <c r="N63" i="117"/>
  <c r="O63" i="117" s="1"/>
  <c r="N64" i="117"/>
  <c r="O64" i="117" s="1"/>
  <c r="N65" i="117"/>
  <c r="O65" i="117" s="1"/>
  <c r="N67" i="117"/>
  <c r="O67" i="117" s="1"/>
  <c r="N68" i="117"/>
  <c r="O68" i="117" s="1"/>
  <c r="N69" i="117"/>
  <c r="O69" i="117" s="1"/>
  <c r="N70" i="117"/>
  <c r="O70" i="117" s="1"/>
  <c r="N71" i="117"/>
  <c r="O71" i="117" s="1"/>
  <c r="N72" i="117"/>
  <c r="O72" i="117" s="1"/>
  <c r="M63" i="117"/>
  <c r="M64" i="117"/>
  <c r="M65" i="117"/>
  <c r="M67" i="117"/>
  <c r="M68" i="117"/>
  <c r="M69" i="117"/>
  <c r="M71" i="117"/>
  <c r="M72" i="117"/>
  <c r="O77" i="117" l="1"/>
  <c r="Q71" i="117"/>
  <c r="R71" i="117" s="1"/>
  <c r="S71" i="117" s="1"/>
  <c r="Q70" i="117"/>
  <c r="R70" i="117" s="1"/>
  <c r="S70" i="117" s="1"/>
  <c r="Q62" i="117"/>
  <c r="R62" i="117" s="1"/>
  <c r="S62" i="117" s="1"/>
  <c r="Q63" i="117"/>
  <c r="R63" i="117" s="1"/>
  <c r="S63" i="117" s="1"/>
  <c r="Q72" i="117"/>
  <c r="R72" i="117" s="1"/>
  <c r="S72" i="117" s="1"/>
  <c r="Q69" i="117"/>
  <c r="R69" i="117" s="1"/>
  <c r="S69" i="117" s="1"/>
  <c r="Q61" i="117"/>
  <c r="R61" i="117" s="1"/>
  <c r="S61" i="117" s="1"/>
  <c r="Q53" i="117"/>
  <c r="R53" i="117" s="1"/>
  <c r="S53" i="117" s="1"/>
  <c r="Q45" i="117"/>
  <c r="R45" i="117" s="1"/>
  <c r="S45" i="117" s="1"/>
  <c r="Q39" i="117"/>
  <c r="R39" i="117" s="1"/>
  <c r="S39" i="117" s="1"/>
  <c r="Q31" i="117"/>
  <c r="R31" i="117" s="1"/>
  <c r="S31" i="117" s="1"/>
  <c r="Q23" i="117"/>
  <c r="R23" i="117" s="1"/>
  <c r="S23" i="117" s="1"/>
  <c r="Q15" i="117"/>
  <c r="R15" i="117" s="1"/>
  <c r="S15" i="117" s="1"/>
  <c r="Q68" i="117"/>
  <c r="R68" i="117" s="1"/>
  <c r="S68" i="117" s="1"/>
  <c r="Q60" i="117"/>
  <c r="R60" i="117" s="1"/>
  <c r="S60" i="117" s="1"/>
  <c r="Q52" i="117"/>
  <c r="R52" i="117" s="1"/>
  <c r="S52" i="117" s="1"/>
  <c r="Q44" i="117"/>
  <c r="R44" i="117" s="1"/>
  <c r="S44" i="117" s="1"/>
  <c r="Q38" i="117"/>
  <c r="R38" i="117" s="1"/>
  <c r="S38" i="117" s="1"/>
  <c r="Q30" i="117"/>
  <c r="R30" i="117" s="1"/>
  <c r="S30" i="117" s="1"/>
  <c r="Q22" i="117"/>
  <c r="R22" i="117" s="1"/>
  <c r="S22" i="117" s="1"/>
  <c r="Q14" i="117"/>
  <c r="R14" i="117" s="1"/>
  <c r="S14" i="117" s="1"/>
  <c r="Q67" i="117"/>
  <c r="R67" i="117" s="1"/>
  <c r="S67" i="117" s="1"/>
  <c r="Q59" i="117"/>
  <c r="R59" i="117" s="1"/>
  <c r="S59" i="117" s="1"/>
  <c r="Q51" i="117"/>
  <c r="R51" i="117" s="1"/>
  <c r="S51" i="117" s="1"/>
  <c r="Q43" i="117"/>
  <c r="R43" i="117" s="1"/>
  <c r="S43" i="117" s="1"/>
  <c r="Q37" i="117"/>
  <c r="R37" i="117" s="1"/>
  <c r="S37" i="117" s="1"/>
  <c r="Q29" i="117"/>
  <c r="R29" i="117" s="1"/>
  <c r="S29" i="117" s="1"/>
  <c r="Q21" i="117"/>
  <c r="R21" i="117" s="1"/>
  <c r="S21" i="117" s="1"/>
  <c r="Q13" i="117"/>
  <c r="R13" i="117" s="1"/>
  <c r="S13" i="117" s="1"/>
  <c r="Q58" i="117"/>
  <c r="R58" i="117" s="1"/>
  <c r="S58" i="117" s="1"/>
  <c r="Q50" i="117"/>
  <c r="R50" i="117" s="1"/>
  <c r="S50" i="117" s="1"/>
  <c r="Q36" i="117"/>
  <c r="R36" i="117" s="1"/>
  <c r="S36" i="117" s="1"/>
  <c r="Q28" i="117"/>
  <c r="R28" i="117" s="1"/>
  <c r="S28" i="117" s="1"/>
  <c r="Q20" i="117"/>
  <c r="R20" i="117" s="1"/>
  <c r="S20" i="117" s="1"/>
  <c r="Q12" i="117"/>
  <c r="R12" i="117" s="1"/>
  <c r="S12" i="117" s="1"/>
  <c r="Q57" i="117"/>
  <c r="R57" i="117" s="1"/>
  <c r="S57" i="117" s="1"/>
  <c r="Q49" i="117"/>
  <c r="R49" i="117" s="1"/>
  <c r="S49" i="117" s="1"/>
  <c r="Q35" i="117"/>
  <c r="R35" i="117" s="1"/>
  <c r="S35" i="117" s="1"/>
  <c r="Q27" i="117"/>
  <c r="R27" i="117" s="1"/>
  <c r="S27" i="117" s="1"/>
  <c r="Q19" i="117"/>
  <c r="R19" i="117" s="1"/>
  <c r="S19" i="117" s="1"/>
  <c r="Q11" i="117"/>
  <c r="R11" i="117" s="1"/>
  <c r="S11" i="117" s="1"/>
  <c r="Q64" i="117"/>
  <c r="R64" i="117" s="1"/>
  <c r="S64" i="117" s="1"/>
  <c r="Q65" i="117"/>
  <c r="R65" i="117" s="1"/>
  <c r="S65" i="117" s="1"/>
  <c r="N66" i="117"/>
  <c r="O66" i="117" s="1"/>
  <c r="F97" i="117"/>
  <c r="F98" i="117"/>
  <c r="F99" i="117"/>
  <c r="F95" i="117"/>
  <c r="F94" i="117"/>
  <c r="F96" i="117"/>
  <c r="Q66" i="117" l="1"/>
  <c r="R66" i="117" s="1"/>
  <c r="S66" i="117" s="1"/>
  <c r="M7" i="117"/>
  <c r="F93" i="117" l="1"/>
  <c r="F92" i="117"/>
  <c r="F84" i="117"/>
  <c r="F85" i="117"/>
  <c r="F86" i="117"/>
  <c r="F87" i="117"/>
  <c r="F88" i="117"/>
  <c r="F90" i="117"/>
  <c r="F91" i="117"/>
  <c r="P7" i="117" l="1"/>
  <c r="Q7" i="117" s="1"/>
  <c r="R7" i="117" s="1"/>
  <c r="AA11" i="103"/>
  <c r="AA12" i="103"/>
  <c r="AA13" i="103"/>
  <c r="AA14" i="103"/>
  <c r="AA15" i="103"/>
  <c r="AA16" i="103"/>
  <c r="AA17" i="103"/>
  <c r="AA18" i="103"/>
  <c r="AA19" i="103"/>
  <c r="AA20" i="103"/>
  <c r="AA21" i="103"/>
  <c r="AA22" i="103"/>
  <c r="AA23" i="103"/>
  <c r="AA24" i="103"/>
  <c r="AA25" i="103"/>
  <c r="AA26" i="103"/>
  <c r="AA27" i="103"/>
  <c r="AA28" i="103"/>
  <c r="AA29" i="103"/>
  <c r="AA30" i="103"/>
  <c r="AA31" i="103"/>
  <c r="AA32" i="103"/>
  <c r="AA33" i="103"/>
  <c r="AA34" i="103"/>
  <c r="AA35" i="103"/>
  <c r="AA36" i="103"/>
  <c r="AA37" i="103"/>
  <c r="AA38" i="103"/>
  <c r="AA39" i="103"/>
  <c r="AA40" i="103"/>
  <c r="AA41" i="103"/>
  <c r="AA42" i="103"/>
  <c r="AA43" i="103"/>
  <c r="AA44" i="103"/>
  <c r="AA45" i="103"/>
  <c r="AA46" i="103"/>
  <c r="AA47" i="103"/>
  <c r="AA48" i="103"/>
  <c r="AA49" i="103"/>
  <c r="AA50" i="103"/>
  <c r="AA51" i="103"/>
  <c r="AA10" i="103"/>
  <c r="S7" i="117" l="1"/>
  <c r="H10" i="103"/>
  <c r="N10" i="103" s="1"/>
  <c r="H11" i="103"/>
  <c r="N11" i="103" s="1"/>
  <c r="H12" i="103"/>
  <c r="O12" i="103" s="1"/>
  <c r="H13" i="103"/>
  <c r="N13" i="103" s="1"/>
  <c r="Q13" i="103"/>
  <c r="H14" i="103"/>
  <c r="N14" i="103" s="1"/>
  <c r="O14" i="103"/>
  <c r="P14" i="103" s="1"/>
  <c r="Z14" i="103" s="1"/>
  <c r="Q14" i="103"/>
  <c r="H15" i="103"/>
  <c r="Q15" i="103" s="1"/>
  <c r="H16" i="103"/>
  <c r="O16" i="103" s="1"/>
  <c r="H17" i="103"/>
  <c r="N17" i="103" s="1"/>
  <c r="H18" i="103"/>
  <c r="Q18" i="103" s="1"/>
  <c r="H19" i="103"/>
  <c r="N19" i="103" s="1"/>
  <c r="H20" i="103"/>
  <c r="O20" i="103" s="1"/>
  <c r="H21" i="103"/>
  <c r="N21" i="103" s="1"/>
  <c r="H22" i="103"/>
  <c r="N22" i="103" s="1"/>
  <c r="N23" i="103"/>
  <c r="O23" i="103"/>
  <c r="Q23" i="103"/>
  <c r="H24" i="103"/>
  <c r="N24" i="103" s="1"/>
  <c r="H25" i="103"/>
  <c r="O25" i="103" s="1"/>
  <c r="H26" i="103"/>
  <c r="N26" i="103" s="1"/>
  <c r="H27" i="103"/>
  <c r="O27" i="103" s="1"/>
  <c r="P27" i="103" s="1"/>
  <c r="Z27" i="103" s="1"/>
  <c r="H28" i="103"/>
  <c r="O28" i="103" s="1"/>
  <c r="P28" i="103" s="1"/>
  <c r="Z28" i="103" s="1"/>
  <c r="H29" i="103"/>
  <c r="O29" i="103" s="1"/>
  <c r="H30" i="103"/>
  <c r="N30" i="103" s="1"/>
  <c r="N31" i="103"/>
  <c r="O31" i="103"/>
  <c r="P31" i="103" s="1"/>
  <c r="Z31" i="103" s="1"/>
  <c r="Q31" i="103"/>
  <c r="H32" i="103"/>
  <c r="N32" i="103" s="1"/>
  <c r="Q32" i="103"/>
  <c r="N33" i="103"/>
  <c r="O33" i="103"/>
  <c r="P33" i="103" s="1"/>
  <c r="Z33" i="103" s="1"/>
  <c r="Q33" i="103"/>
  <c r="N34" i="103"/>
  <c r="O34" i="103"/>
  <c r="P34" i="103" s="1"/>
  <c r="Z34" i="103" s="1"/>
  <c r="Q34" i="103"/>
  <c r="H35" i="103"/>
  <c r="N35" i="103" s="1"/>
  <c r="H36" i="103"/>
  <c r="O36" i="103" s="1"/>
  <c r="N37" i="103"/>
  <c r="O37" i="103"/>
  <c r="P37" i="103" s="1"/>
  <c r="Z37" i="103" s="1"/>
  <c r="Q37" i="103"/>
  <c r="H38" i="103"/>
  <c r="N38" i="103" s="1"/>
  <c r="H39" i="103"/>
  <c r="N39" i="103" s="1"/>
  <c r="H40" i="103"/>
  <c r="N40" i="103" s="1"/>
  <c r="H41" i="103"/>
  <c r="O41" i="103" s="1"/>
  <c r="H42" i="103"/>
  <c r="N42" i="103" s="1"/>
  <c r="H43" i="103"/>
  <c r="N43" i="103" s="1"/>
  <c r="N44" i="103"/>
  <c r="O44" i="103"/>
  <c r="P44" i="103" s="1"/>
  <c r="Z44" i="103" s="1"/>
  <c r="Q44" i="103"/>
  <c r="H45" i="103"/>
  <c r="N45" i="103" s="1"/>
  <c r="Q45" i="103"/>
  <c r="H46" i="103"/>
  <c r="O46" i="103" s="1"/>
  <c r="H47" i="103"/>
  <c r="N47" i="103" s="1"/>
  <c r="H48" i="103"/>
  <c r="N48" i="103" s="1"/>
  <c r="N49" i="103"/>
  <c r="O49" i="103"/>
  <c r="Q49" i="103"/>
  <c r="N50" i="103"/>
  <c r="O50" i="103"/>
  <c r="P50" i="103" s="1"/>
  <c r="Z50" i="103" s="1"/>
  <c r="Q50" i="103"/>
  <c r="G58" i="103"/>
  <c r="J62" i="103"/>
  <c r="J63" i="103" s="1"/>
  <c r="G68" i="103"/>
  <c r="R37" i="103" l="1"/>
  <c r="S37" i="103" s="1"/>
  <c r="T37" i="103" s="1"/>
  <c r="Q11" i="103"/>
  <c r="O10" i="103"/>
  <c r="P10" i="103" s="1"/>
  <c r="Z10" i="103" s="1"/>
  <c r="N29" i="103"/>
  <c r="N12" i="103"/>
  <c r="Q27" i="103"/>
  <c r="R27" i="103" s="1"/>
  <c r="S27" i="103" s="1"/>
  <c r="T27" i="103" s="1"/>
  <c r="Q39" i="103"/>
  <c r="R34" i="103"/>
  <c r="S34" i="103" s="1"/>
  <c r="T34" i="103" s="1"/>
  <c r="N27" i="103"/>
  <c r="Q41" i="103"/>
  <c r="Q29" i="103"/>
  <c r="R29" i="103" s="1"/>
  <c r="S29" i="103" s="1"/>
  <c r="T29" i="103" s="1"/>
  <c r="Q21" i="103"/>
  <c r="O32" i="103"/>
  <c r="P32" i="103" s="1"/>
  <c r="Z32" i="103" s="1"/>
  <c r="Q24" i="103"/>
  <c r="R24" i="103" s="1"/>
  <c r="S24" i="103" s="1"/>
  <c r="T24" i="103" s="1"/>
  <c r="O18" i="103"/>
  <c r="R18" i="103" s="1"/>
  <c r="S18" i="103" s="1"/>
  <c r="T18" i="103" s="1"/>
  <c r="Q16" i="103"/>
  <c r="R16" i="103" s="1"/>
  <c r="S16" i="103" s="1"/>
  <c r="T16" i="103" s="1"/>
  <c r="Q42" i="103"/>
  <c r="O24" i="103"/>
  <c r="P24" i="103" s="1"/>
  <c r="Z24" i="103" s="1"/>
  <c r="N20" i="103"/>
  <c r="N18" i="103"/>
  <c r="N16" i="103"/>
  <c r="Q48" i="103"/>
  <c r="R23" i="103"/>
  <c r="S23" i="103" s="1"/>
  <c r="T23" i="103" s="1"/>
  <c r="Q46" i="103"/>
  <c r="R46" i="103" s="1"/>
  <c r="S46" i="103" s="1"/>
  <c r="T46" i="103" s="1"/>
  <c r="Q35" i="103"/>
  <c r="R49" i="103"/>
  <c r="S49" i="103" s="1"/>
  <c r="T49" i="103" s="1"/>
  <c r="O48" i="103"/>
  <c r="P48" i="103" s="1"/>
  <c r="Z48" i="103" s="1"/>
  <c r="N46" i="103"/>
  <c r="R44" i="103"/>
  <c r="S44" i="103" s="1"/>
  <c r="T44" i="103" s="1"/>
  <c r="O35" i="103"/>
  <c r="P35" i="103" s="1"/>
  <c r="Z35" i="103" s="1"/>
  <c r="R32" i="103"/>
  <c r="S32" i="103" s="1"/>
  <c r="T32" i="103" s="1"/>
  <c r="N28" i="103"/>
  <c r="N25" i="103"/>
  <c r="Q22" i="103"/>
  <c r="Q20" i="103"/>
  <c r="R20" i="103" s="1"/>
  <c r="S20" i="103" s="1"/>
  <c r="T20" i="103" s="1"/>
  <c r="R33" i="103"/>
  <c r="S33" i="103" s="1"/>
  <c r="T33" i="103" s="1"/>
  <c r="R50" i="103"/>
  <c r="S50" i="103" s="1"/>
  <c r="T50" i="103" s="1"/>
  <c r="O15" i="103"/>
  <c r="P15" i="103" s="1"/>
  <c r="Z15" i="103" s="1"/>
  <c r="O45" i="103"/>
  <c r="P45" i="103" s="1"/>
  <c r="Z45" i="103" s="1"/>
  <c r="Q43" i="103"/>
  <c r="N41" i="103"/>
  <c r="O39" i="103"/>
  <c r="R31" i="103"/>
  <c r="S31" i="103" s="1"/>
  <c r="T31" i="103" s="1"/>
  <c r="Q28" i="103"/>
  <c r="R28" i="103" s="1"/>
  <c r="S28" i="103" s="1"/>
  <c r="T28" i="103" s="1"/>
  <c r="O22" i="103"/>
  <c r="Q19" i="103"/>
  <c r="N15" i="103"/>
  <c r="Q10" i="103"/>
  <c r="R10" i="103" s="1"/>
  <c r="S10" i="103" s="1"/>
  <c r="T10" i="103" s="1"/>
  <c r="Q26" i="103"/>
  <c r="O19" i="103"/>
  <c r="P19" i="103" s="1"/>
  <c r="Z19" i="103" s="1"/>
  <c r="Q17" i="103"/>
  <c r="Q12" i="103"/>
  <c r="R12" i="103" s="1"/>
  <c r="S12" i="103" s="1"/>
  <c r="T12" i="103" s="1"/>
  <c r="P49" i="103"/>
  <c r="Z49" i="103" s="1"/>
  <c r="Q47" i="103"/>
  <c r="O43" i="103"/>
  <c r="P43" i="103" s="1"/>
  <c r="Z43" i="103" s="1"/>
  <c r="Q40" i="103"/>
  <c r="Q36" i="103"/>
  <c r="O40" i="103"/>
  <c r="P40" i="103" s="1"/>
  <c r="Z40" i="103" s="1"/>
  <c r="Q38" i="103"/>
  <c r="N36" i="103"/>
  <c r="Q30" i="103"/>
  <c r="Q25" i="103"/>
  <c r="R25" i="103" s="1"/>
  <c r="S25" i="103" s="1"/>
  <c r="T25" i="103" s="1"/>
  <c r="P23" i="103"/>
  <c r="Z23" i="103" s="1"/>
  <c r="R14" i="103"/>
  <c r="S14" i="103" s="1"/>
  <c r="T14" i="103" s="1"/>
  <c r="O11" i="103"/>
  <c r="P11" i="103" s="1"/>
  <c r="Z11" i="103" s="1"/>
  <c r="P41" i="103"/>
  <c r="Z41" i="103" s="1"/>
  <c r="R41" i="103"/>
  <c r="S41" i="103" s="1"/>
  <c r="T41" i="103" s="1"/>
  <c r="P46" i="103"/>
  <c r="Z46" i="103" s="1"/>
  <c r="P29" i="103"/>
  <c r="Z29" i="103" s="1"/>
  <c r="P20" i="103"/>
  <c r="Z20" i="103" s="1"/>
  <c r="P12" i="103"/>
  <c r="Z12" i="103" s="1"/>
  <c r="P25" i="103"/>
  <c r="Z25" i="103" s="1"/>
  <c r="P16" i="103"/>
  <c r="Z16" i="103" s="1"/>
  <c r="P36" i="103"/>
  <c r="Z36" i="103" s="1"/>
  <c r="R36" i="103"/>
  <c r="S36" i="103" s="1"/>
  <c r="T36" i="103" s="1"/>
  <c r="R11" i="103"/>
  <c r="S11" i="103" s="1"/>
  <c r="T11" i="103" s="1"/>
  <c r="O42" i="103"/>
  <c r="P42" i="103" s="1"/>
  <c r="Z42" i="103" s="1"/>
  <c r="O38" i="103"/>
  <c r="P38" i="103" s="1"/>
  <c r="Z38" i="103" s="1"/>
  <c r="O30" i="103"/>
  <c r="P30" i="103" s="1"/>
  <c r="Z30" i="103" s="1"/>
  <c r="O26" i="103"/>
  <c r="P26" i="103" s="1"/>
  <c r="Z26" i="103" s="1"/>
  <c r="O21" i="103"/>
  <c r="P21" i="103" s="1"/>
  <c r="Z21" i="103" s="1"/>
  <c r="O17" i="103"/>
  <c r="P17" i="103" s="1"/>
  <c r="Z17" i="103" s="1"/>
  <c r="O13" i="103"/>
  <c r="P13" i="103" s="1"/>
  <c r="Z13" i="103" s="1"/>
  <c r="O47" i="103"/>
  <c r="P47" i="103" s="1"/>
  <c r="Z47" i="103" s="1"/>
  <c r="Q51" i="102"/>
  <c r="R35" i="103" l="1"/>
  <c r="S35" i="103" s="1"/>
  <c r="T35" i="103" s="1"/>
  <c r="P18" i="103"/>
  <c r="Z18" i="103" s="1"/>
  <c r="R48" i="103"/>
  <c r="S48" i="103" s="1"/>
  <c r="T48" i="103" s="1"/>
  <c r="R22" i="103"/>
  <c r="S22" i="103" s="1"/>
  <c r="T22" i="103" s="1"/>
  <c r="P22" i="103"/>
  <c r="Z22" i="103" s="1"/>
  <c r="R19" i="103"/>
  <c r="S19" i="103" s="1"/>
  <c r="T19" i="103" s="1"/>
  <c r="R45" i="103"/>
  <c r="S45" i="103" s="1"/>
  <c r="T45" i="103" s="1"/>
  <c r="R13" i="103"/>
  <c r="S13" i="103" s="1"/>
  <c r="T13" i="103" s="1"/>
  <c r="R39" i="103"/>
  <c r="S39" i="103" s="1"/>
  <c r="T39" i="103" s="1"/>
  <c r="P39" i="103"/>
  <c r="Z39" i="103" s="1"/>
  <c r="R40" i="103"/>
  <c r="S40" i="103" s="1"/>
  <c r="T40" i="103" s="1"/>
  <c r="R43" i="103"/>
  <c r="S43" i="103" s="1"/>
  <c r="T43" i="103" s="1"/>
  <c r="R15" i="103"/>
  <c r="S15" i="103" s="1"/>
  <c r="T15" i="103" s="1"/>
  <c r="R42" i="103"/>
  <c r="S42" i="103" s="1"/>
  <c r="T42" i="103" s="1"/>
  <c r="R17" i="103"/>
  <c r="S17" i="103" s="1"/>
  <c r="T17" i="103" s="1"/>
  <c r="R30" i="103"/>
  <c r="S30" i="103" s="1"/>
  <c r="T30" i="103" s="1"/>
  <c r="R26" i="103"/>
  <c r="S26" i="103" s="1"/>
  <c r="T26" i="103" s="1"/>
  <c r="R47" i="103"/>
  <c r="S47" i="103" s="1"/>
  <c r="T47" i="103" s="1"/>
  <c r="R21" i="103"/>
  <c r="S21" i="103" s="1"/>
  <c r="T21" i="103" s="1"/>
  <c r="R38" i="103"/>
  <c r="S38" i="103" s="1"/>
  <c r="T38" i="103" s="1"/>
  <c r="G68" i="102"/>
  <c r="J62" i="102"/>
  <c r="J63" i="102" s="1"/>
  <c r="G58" i="102"/>
  <c r="R50" i="102"/>
  <c r="S50" i="102" s="1"/>
  <c r="T50" i="102" s="1"/>
  <c r="U50" i="102" s="1"/>
  <c r="O50" i="102"/>
  <c r="AA49" i="102"/>
  <c r="R49" i="102"/>
  <c r="S49" i="102" s="1"/>
  <c r="T49" i="102" s="1"/>
  <c r="U49" i="102" s="1"/>
  <c r="O49" i="102"/>
  <c r="H48" i="102"/>
  <c r="O48" i="102" s="1"/>
  <c r="H47" i="102"/>
  <c r="R47" i="102" s="1"/>
  <c r="H46" i="102"/>
  <c r="R46" i="102" s="1"/>
  <c r="S46" i="102" s="1"/>
  <c r="T46" i="102" s="1"/>
  <c r="U46" i="102" s="1"/>
  <c r="H45" i="102"/>
  <c r="R45" i="102" s="1"/>
  <c r="R44" i="102"/>
  <c r="S44" i="102" s="1"/>
  <c r="T44" i="102" s="1"/>
  <c r="U44" i="102" s="1"/>
  <c r="O44" i="102"/>
  <c r="R43" i="102"/>
  <c r="S43" i="102" s="1"/>
  <c r="T43" i="102" s="1"/>
  <c r="U43" i="102" s="1"/>
  <c r="O43" i="102"/>
  <c r="H42" i="102"/>
  <c r="H41" i="102"/>
  <c r="H40" i="102"/>
  <c r="R40" i="102" s="1"/>
  <c r="S40" i="102" s="1"/>
  <c r="T40" i="102" s="1"/>
  <c r="U40" i="102" s="1"/>
  <c r="R39" i="102"/>
  <c r="O39" i="102"/>
  <c r="H38" i="102"/>
  <c r="R38" i="102" s="1"/>
  <c r="H37" i="102"/>
  <c r="R37" i="102" s="1"/>
  <c r="H36" i="102"/>
  <c r="H35" i="102"/>
  <c r="R35" i="102" s="1"/>
  <c r="S35" i="102" s="1"/>
  <c r="T35" i="102" s="1"/>
  <c r="U35" i="102" s="1"/>
  <c r="H34" i="102"/>
  <c r="R34" i="102" s="1"/>
  <c r="H33" i="102"/>
  <c r="H32" i="102"/>
  <c r="R31" i="102"/>
  <c r="O31" i="102"/>
  <c r="H30" i="102"/>
  <c r="R30" i="102" s="1"/>
  <c r="H29" i="102"/>
  <c r="R29" i="102" s="1"/>
  <c r="S29" i="102" s="1"/>
  <c r="T29" i="102" s="1"/>
  <c r="U29" i="102" s="1"/>
  <c r="H28" i="102"/>
  <c r="R28" i="102" s="1"/>
  <c r="H27" i="102"/>
  <c r="R27" i="102" s="1"/>
  <c r="S27" i="102" s="1"/>
  <c r="T27" i="102" s="1"/>
  <c r="U27" i="102" s="1"/>
  <c r="H26" i="102"/>
  <c r="R26" i="102" s="1"/>
  <c r="S26" i="102" s="1"/>
  <c r="T26" i="102" s="1"/>
  <c r="U26" i="102" s="1"/>
  <c r="H25" i="102"/>
  <c r="R25" i="102" s="1"/>
  <c r="H24" i="102"/>
  <c r="R24" i="102" s="1"/>
  <c r="H23" i="102"/>
  <c r="R22" i="102"/>
  <c r="O22" i="102"/>
  <c r="H21" i="102"/>
  <c r="R21" i="102" s="1"/>
  <c r="S21" i="102" s="1"/>
  <c r="T21" i="102" s="1"/>
  <c r="U21" i="102" s="1"/>
  <c r="H20" i="102"/>
  <c r="R20" i="102" s="1"/>
  <c r="S20" i="102" s="1"/>
  <c r="T20" i="102" s="1"/>
  <c r="U20" i="102" s="1"/>
  <c r="H19" i="102"/>
  <c r="R19" i="102" s="1"/>
  <c r="H18" i="102"/>
  <c r="R18" i="102" s="1"/>
  <c r="S18" i="102" s="1"/>
  <c r="T18" i="102" s="1"/>
  <c r="U18" i="102" s="1"/>
  <c r="H17" i="102"/>
  <c r="R17" i="102" s="1"/>
  <c r="H16" i="102"/>
  <c r="R16" i="102" s="1"/>
  <c r="S16" i="102" s="1"/>
  <c r="T16" i="102" s="1"/>
  <c r="U16" i="102" s="1"/>
  <c r="H15" i="102"/>
  <c r="R15" i="102" s="1"/>
  <c r="H14" i="102"/>
  <c r="O14" i="102" s="1"/>
  <c r="H13" i="102"/>
  <c r="R13" i="102" s="1"/>
  <c r="H12" i="102"/>
  <c r="R12" i="102" s="1"/>
  <c r="S12" i="102" s="1"/>
  <c r="T12" i="102" s="1"/>
  <c r="U12" i="102" s="1"/>
  <c r="H11" i="102"/>
  <c r="O11" i="102" s="1"/>
  <c r="N10" i="102"/>
  <c r="O10" i="102" s="1"/>
  <c r="H10" i="102"/>
  <c r="O45" i="102" l="1"/>
  <c r="O18" i="102"/>
  <c r="O16" i="102"/>
  <c r="O29" i="102"/>
  <c r="O35" i="102"/>
  <c r="O46" i="102"/>
  <c r="O20" i="102"/>
  <c r="O27" i="102"/>
  <c r="O30" i="102"/>
  <c r="O25" i="102"/>
  <c r="R14" i="102"/>
  <c r="S14" i="102" s="1"/>
  <c r="T14" i="102" s="1"/>
  <c r="U14" i="102" s="1"/>
  <c r="O21" i="102"/>
  <c r="O40" i="102"/>
  <c r="O17" i="102"/>
  <c r="P51" i="103"/>
  <c r="Z51" i="103" s="1"/>
  <c r="O26" i="102"/>
  <c r="O12" i="102"/>
  <c r="O34" i="102"/>
  <c r="O38" i="102"/>
  <c r="O32" i="102"/>
  <c r="O33" i="102"/>
  <c r="O41" i="102"/>
  <c r="R11" i="102"/>
  <c r="S11" i="102" s="1"/>
  <c r="T11" i="102" s="1"/>
  <c r="U11" i="102" s="1"/>
  <c r="O13" i="102"/>
  <c r="O23" i="102"/>
  <c r="O24" i="102"/>
  <c r="S31" i="102"/>
  <c r="T31" i="102" s="1"/>
  <c r="U31" i="102" s="1"/>
  <c r="R32" i="102"/>
  <c r="S32" i="102" s="1"/>
  <c r="T32" i="102" s="1"/>
  <c r="U32" i="102" s="1"/>
  <c r="S34" i="102"/>
  <c r="T34" i="102" s="1"/>
  <c r="U34" i="102" s="1"/>
  <c r="O36" i="102"/>
  <c r="O37" i="102"/>
  <c r="S39" i="102"/>
  <c r="T39" i="102" s="1"/>
  <c r="U39" i="102" s="1"/>
  <c r="R41" i="102"/>
  <c r="S41" i="102" s="1"/>
  <c r="T41" i="102" s="1"/>
  <c r="U41" i="102" s="1"/>
  <c r="S45" i="102"/>
  <c r="T45" i="102" s="1"/>
  <c r="U45" i="102" s="1"/>
  <c r="O47" i="102"/>
  <c r="O19" i="102"/>
  <c r="S17" i="102"/>
  <c r="T17" i="102" s="1"/>
  <c r="U17" i="102" s="1"/>
  <c r="S30" i="102"/>
  <c r="T30" i="102" s="1"/>
  <c r="U30" i="102" s="1"/>
  <c r="O42" i="102"/>
  <c r="R10" i="102"/>
  <c r="O15" i="102"/>
  <c r="S22" i="102"/>
  <c r="T22" i="102" s="1"/>
  <c r="U22" i="102" s="1"/>
  <c r="R23" i="102"/>
  <c r="S23" i="102" s="1"/>
  <c r="T23" i="102" s="1"/>
  <c r="U23" i="102" s="1"/>
  <c r="S25" i="102"/>
  <c r="T25" i="102" s="1"/>
  <c r="U25" i="102" s="1"/>
  <c r="O28" i="102"/>
  <c r="R33" i="102"/>
  <c r="S33" i="102" s="1"/>
  <c r="T33" i="102" s="1"/>
  <c r="U33" i="102" s="1"/>
  <c r="R36" i="102"/>
  <c r="S36" i="102" s="1"/>
  <c r="T36" i="102" s="1"/>
  <c r="U36" i="102" s="1"/>
  <c r="S38" i="102"/>
  <c r="T38" i="102" s="1"/>
  <c r="U38" i="102" s="1"/>
  <c r="R42" i="102"/>
  <c r="S42" i="102" s="1"/>
  <c r="T42" i="102" s="1"/>
  <c r="U42" i="102" s="1"/>
  <c r="S47" i="102"/>
  <c r="T47" i="102" s="1"/>
  <c r="U47" i="102" s="1"/>
  <c r="R48" i="102"/>
  <c r="S48" i="102" s="1"/>
  <c r="T48" i="102" s="1"/>
  <c r="U48" i="102" s="1"/>
  <c r="R22" i="101"/>
  <c r="R43" i="101"/>
  <c r="R44" i="101"/>
  <c r="R49" i="101"/>
  <c r="R50" i="101"/>
  <c r="N10" i="101"/>
  <c r="H29" i="101"/>
  <c r="R29" i="101" s="1"/>
  <c r="R39" i="101"/>
  <c r="R31" i="101"/>
  <c r="P22" i="101"/>
  <c r="P31" i="101"/>
  <c r="Q31" i="101" s="1"/>
  <c r="P39" i="101"/>
  <c r="Q39" i="101" s="1"/>
  <c r="P43" i="101"/>
  <c r="Q43" i="101" s="1"/>
  <c r="P44" i="101"/>
  <c r="Q44" i="101" s="1"/>
  <c r="P49" i="101"/>
  <c r="Q49" i="101" s="1"/>
  <c r="P50" i="101"/>
  <c r="Q50" i="101" s="1"/>
  <c r="O22" i="101"/>
  <c r="O31" i="101"/>
  <c r="O39" i="101"/>
  <c r="O43" i="101"/>
  <c r="O44" i="101"/>
  <c r="O49" i="101"/>
  <c r="O50" i="101"/>
  <c r="G68" i="101"/>
  <c r="J62" i="101"/>
  <c r="J63" i="101" s="1"/>
  <c r="G58" i="101"/>
  <c r="H48" i="101"/>
  <c r="P48" i="101" s="1"/>
  <c r="H47" i="101"/>
  <c r="P47" i="101" s="1"/>
  <c r="Q47" i="101" s="1"/>
  <c r="H46" i="101"/>
  <c r="R46" i="101" s="1"/>
  <c r="H45" i="101"/>
  <c r="P45" i="101" s="1"/>
  <c r="Q45" i="101" s="1"/>
  <c r="H42" i="101"/>
  <c r="R42" i="101" s="1"/>
  <c r="H41" i="101"/>
  <c r="R41" i="101" s="1"/>
  <c r="H40" i="101"/>
  <c r="R40" i="101" s="1"/>
  <c r="H38" i="101"/>
  <c r="R38" i="101" s="1"/>
  <c r="H37" i="101"/>
  <c r="R37" i="101" s="1"/>
  <c r="H36" i="101"/>
  <c r="R36" i="101" s="1"/>
  <c r="H35" i="101"/>
  <c r="R35" i="101" s="1"/>
  <c r="H34" i="101"/>
  <c r="P34" i="101" s="1"/>
  <c r="Q34" i="101" s="1"/>
  <c r="H33" i="101"/>
  <c r="R33" i="101" s="1"/>
  <c r="H32" i="101"/>
  <c r="P32" i="101" s="1"/>
  <c r="Q32" i="101" s="1"/>
  <c r="H30" i="101"/>
  <c r="R30" i="101" s="1"/>
  <c r="H28" i="101"/>
  <c r="R28" i="101" s="1"/>
  <c r="H27" i="101"/>
  <c r="O27" i="101" s="1"/>
  <c r="H26" i="101"/>
  <c r="R26" i="101" s="1"/>
  <c r="H25" i="101"/>
  <c r="P25" i="101" s="1"/>
  <c r="Q25" i="101" s="1"/>
  <c r="H24" i="101"/>
  <c r="P24" i="101" s="1"/>
  <c r="Q24" i="101" s="1"/>
  <c r="H23" i="101"/>
  <c r="P23" i="101" s="1"/>
  <c r="H21" i="101"/>
  <c r="R21" i="101" s="1"/>
  <c r="H20" i="101"/>
  <c r="R20" i="101" s="1"/>
  <c r="H19" i="101"/>
  <c r="R19" i="101" s="1"/>
  <c r="H18" i="101"/>
  <c r="R18" i="101" s="1"/>
  <c r="H17" i="101"/>
  <c r="P17" i="101" s="1"/>
  <c r="Q17" i="101" s="1"/>
  <c r="H16" i="101"/>
  <c r="P16" i="101" s="1"/>
  <c r="Q16" i="101" s="1"/>
  <c r="H15" i="101"/>
  <c r="P15" i="101" s="1"/>
  <c r="Q15" i="101" s="1"/>
  <c r="H14" i="101"/>
  <c r="R14" i="101" s="1"/>
  <c r="H13" i="101"/>
  <c r="R13" i="101" s="1"/>
  <c r="H12" i="101"/>
  <c r="O12" i="101" s="1"/>
  <c r="H11" i="101"/>
  <c r="R11" i="101" s="1"/>
  <c r="H10" i="101"/>
  <c r="P10" i="101" s="1"/>
  <c r="Q10" i="101" s="1"/>
  <c r="H41" i="94"/>
  <c r="H50" i="94"/>
  <c r="H49" i="94"/>
  <c r="H48" i="94"/>
  <c r="H47" i="94"/>
  <c r="H46" i="94"/>
  <c r="H45" i="94"/>
  <c r="H43" i="94"/>
  <c r="H42" i="94"/>
  <c r="H40" i="94"/>
  <c r="H39" i="94"/>
  <c r="H38" i="94"/>
  <c r="H37" i="94"/>
  <c r="H36" i="94"/>
  <c r="H35" i="94"/>
  <c r="H34" i="94"/>
  <c r="H33" i="94"/>
  <c r="H32" i="94"/>
  <c r="H30" i="94"/>
  <c r="H29" i="94"/>
  <c r="H28" i="94"/>
  <c r="H27" i="94"/>
  <c r="H26" i="94"/>
  <c r="H25" i="94"/>
  <c r="H24" i="94"/>
  <c r="H23" i="94"/>
  <c r="H22" i="94"/>
  <c r="H21" i="94"/>
  <c r="H20" i="94"/>
  <c r="H19" i="94"/>
  <c r="H18" i="94"/>
  <c r="H17" i="94"/>
  <c r="H16" i="94"/>
  <c r="H15" i="94"/>
  <c r="H14" i="94"/>
  <c r="H13" i="94"/>
  <c r="H12" i="94"/>
  <c r="H11" i="94"/>
  <c r="H10" i="94"/>
  <c r="O11" i="101" l="1"/>
  <c r="O30" i="101"/>
  <c r="P12" i="101"/>
  <c r="Q12" i="101" s="1"/>
  <c r="P36" i="101"/>
  <c r="Q36" i="101" s="1"/>
  <c r="R12" i="101"/>
  <c r="R45" i="101"/>
  <c r="S45" i="101" s="1"/>
  <c r="T45" i="101" s="1"/>
  <c r="U45" i="101" s="1"/>
  <c r="O20" i="101"/>
  <c r="R15" i="101"/>
  <c r="S15" i="101" s="1"/>
  <c r="T15" i="101" s="1"/>
  <c r="U15" i="101" s="1"/>
  <c r="P27" i="101"/>
  <c r="Q27" i="101" s="1"/>
  <c r="R27" i="101"/>
  <c r="S27" i="101" s="1"/>
  <c r="T27" i="101" s="1"/>
  <c r="U27" i="101" s="1"/>
  <c r="O46" i="101"/>
  <c r="O38" i="101"/>
  <c r="O28" i="101"/>
  <c r="O19" i="101"/>
  <c r="P30" i="101"/>
  <c r="Q30" i="101" s="1"/>
  <c r="P20" i="101"/>
  <c r="Q20" i="101" s="1"/>
  <c r="O36" i="101"/>
  <c r="P46" i="101"/>
  <c r="Q46" i="101" s="1"/>
  <c r="P38" i="101"/>
  <c r="S38" i="101" s="1"/>
  <c r="T38" i="101" s="1"/>
  <c r="U38" i="101" s="1"/>
  <c r="P28" i="101"/>
  <c r="Q28" i="101" s="1"/>
  <c r="P19" i="101"/>
  <c r="Q19" i="101" s="1"/>
  <c r="S31" i="101"/>
  <c r="T31" i="101" s="1"/>
  <c r="U31" i="101" s="1"/>
  <c r="Q48" i="101"/>
  <c r="AA48" i="101"/>
  <c r="O45" i="101"/>
  <c r="O37" i="101"/>
  <c r="O29" i="101"/>
  <c r="O21" i="101"/>
  <c r="O13" i="101"/>
  <c r="P37" i="101"/>
  <c r="Q37" i="101" s="1"/>
  <c r="P29" i="101"/>
  <c r="Q29" i="101" s="1"/>
  <c r="P21" i="101"/>
  <c r="Q21" i="101" s="1"/>
  <c r="P13" i="101"/>
  <c r="Q13" i="101" s="1"/>
  <c r="R32" i="101"/>
  <c r="S32" i="101" s="1"/>
  <c r="T32" i="101" s="1"/>
  <c r="U32" i="101" s="1"/>
  <c r="R16" i="101"/>
  <c r="S16" i="101" s="1"/>
  <c r="T16" i="101" s="1"/>
  <c r="U16" i="101" s="1"/>
  <c r="P35" i="101"/>
  <c r="Q35" i="101" s="1"/>
  <c r="P11" i="101"/>
  <c r="Q11" i="101" s="1"/>
  <c r="R48" i="101"/>
  <c r="S48" i="101" s="1"/>
  <c r="T48" i="101" s="1"/>
  <c r="U48" i="101" s="1"/>
  <c r="R17" i="101"/>
  <c r="S17" i="101" s="1"/>
  <c r="T17" i="101" s="1"/>
  <c r="U17" i="101" s="1"/>
  <c r="R34" i="101"/>
  <c r="S34" i="101" s="1"/>
  <c r="T34" i="101" s="1"/>
  <c r="U34" i="101" s="1"/>
  <c r="O14" i="101"/>
  <c r="P14" i="101"/>
  <c r="Q14" i="101" s="1"/>
  <c r="O35" i="101"/>
  <c r="O42" i="101"/>
  <c r="O34" i="101"/>
  <c r="O26" i="101"/>
  <c r="O18" i="101"/>
  <c r="P42" i="101"/>
  <c r="Q42" i="101" s="1"/>
  <c r="P26" i="101"/>
  <c r="Q26" i="101" s="1"/>
  <c r="P18" i="101"/>
  <c r="Q18" i="101" s="1"/>
  <c r="R47" i="101"/>
  <c r="S47" i="101" s="1"/>
  <c r="T47" i="101" s="1"/>
  <c r="U47" i="101" s="1"/>
  <c r="R25" i="101"/>
  <c r="S25" i="101" s="1"/>
  <c r="T25" i="101" s="1"/>
  <c r="U25" i="101" s="1"/>
  <c r="R10" i="101"/>
  <c r="S10" i="101" s="1"/>
  <c r="T10" i="101" s="1"/>
  <c r="U10" i="101" s="1"/>
  <c r="O41" i="101"/>
  <c r="O33" i="101"/>
  <c r="O25" i="101"/>
  <c r="O17" i="101"/>
  <c r="P41" i="101"/>
  <c r="Q41" i="101" s="1"/>
  <c r="P33" i="101"/>
  <c r="Q33" i="101" s="1"/>
  <c r="R24" i="101"/>
  <c r="S24" i="101" s="1"/>
  <c r="T24" i="101" s="1"/>
  <c r="U24" i="101" s="1"/>
  <c r="O48" i="101"/>
  <c r="O40" i="101"/>
  <c r="O32" i="101"/>
  <c r="O24" i="101"/>
  <c r="O16" i="101"/>
  <c r="P40" i="101"/>
  <c r="Q40" i="101" s="1"/>
  <c r="R23" i="101"/>
  <c r="O47" i="101"/>
  <c r="O23" i="101"/>
  <c r="O15" i="101"/>
  <c r="S13" i="102"/>
  <c r="T13" i="102" s="1"/>
  <c r="U13" i="102" s="1"/>
  <c r="S24" i="102"/>
  <c r="T24" i="102" s="1"/>
  <c r="U24" i="102" s="1"/>
  <c r="S15" i="102"/>
  <c r="T15" i="102" s="1"/>
  <c r="U15" i="102" s="1"/>
  <c r="S37" i="102"/>
  <c r="T37" i="102" s="1"/>
  <c r="U37" i="102" s="1"/>
  <c r="AA48" i="102"/>
  <c r="S10" i="102"/>
  <c r="T10" i="102" s="1"/>
  <c r="U10" i="102" s="1"/>
  <c r="S28" i="102"/>
  <c r="T28" i="102" s="1"/>
  <c r="U28" i="102" s="1"/>
  <c r="S19" i="102"/>
  <c r="T19" i="102" s="1"/>
  <c r="U19" i="102" s="1"/>
  <c r="Q22" i="101"/>
  <c r="S22" i="101"/>
  <c r="T22" i="101" s="1"/>
  <c r="U22" i="101" s="1"/>
  <c r="S49" i="101"/>
  <c r="T49" i="101" s="1"/>
  <c r="U49" i="101" s="1"/>
  <c r="S44" i="101"/>
  <c r="T44" i="101" s="1"/>
  <c r="U44" i="101" s="1"/>
  <c r="S12" i="101"/>
  <c r="T12" i="101" s="1"/>
  <c r="U12" i="101" s="1"/>
  <c r="S29" i="101"/>
  <c r="T29" i="101" s="1"/>
  <c r="U29" i="101" s="1"/>
  <c r="S40" i="101"/>
  <c r="T40" i="101" s="1"/>
  <c r="U40" i="101" s="1"/>
  <c r="S50" i="101"/>
  <c r="T50" i="101" s="1"/>
  <c r="U50" i="101" s="1"/>
  <c r="S20" i="101"/>
  <c r="T20" i="101" s="1"/>
  <c r="U20" i="101" s="1"/>
  <c r="S43" i="101"/>
  <c r="T43" i="101" s="1"/>
  <c r="U43" i="101" s="1"/>
  <c r="S39" i="101"/>
  <c r="T39" i="101" s="1"/>
  <c r="U39" i="101" s="1"/>
  <c r="S23" i="101"/>
  <c r="T23" i="101" s="1"/>
  <c r="U23" i="101" s="1"/>
  <c r="Q23" i="101"/>
  <c r="AA49" i="101"/>
  <c r="O10" i="101"/>
  <c r="O35" i="100"/>
  <c r="P35" i="100" s="1"/>
  <c r="Q11" i="100"/>
  <c r="Q12" i="100"/>
  <c r="Q13" i="100"/>
  <c r="Q14" i="100"/>
  <c r="Q15" i="100"/>
  <c r="Q16" i="100"/>
  <c r="Q17" i="100"/>
  <c r="Q18" i="100"/>
  <c r="Q19" i="100"/>
  <c r="Q20" i="100"/>
  <c r="Q21" i="100"/>
  <c r="Q22" i="100"/>
  <c r="Q23" i="100"/>
  <c r="Q24" i="100"/>
  <c r="Q25" i="100"/>
  <c r="Q26" i="100"/>
  <c r="Q27" i="100"/>
  <c r="Q28" i="100"/>
  <c r="Q29" i="100"/>
  <c r="Q30" i="100"/>
  <c r="Q31" i="100"/>
  <c r="Q32" i="100"/>
  <c r="Q33" i="100"/>
  <c r="Q34" i="100"/>
  <c r="Q35" i="100"/>
  <c r="Q36" i="100"/>
  <c r="Q37" i="100"/>
  <c r="Q38" i="100"/>
  <c r="Q39" i="100"/>
  <c r="Q40" i="100"/>
  <c r="Q41" i="100"/>
  <c r="Q42" i="100"/>
  <c r="Q43" i="100"/>
  <c r="Q44" i="100"/>
  <c r="Q45" i="100"/>
  <c r="Q46" i="100"/>
  <c r="Q47" i="100"/>
  <c r="Q48" i="100"/>
  <c r="Q49" i="100"/>
  <c r="Q50" i="100"/>
  <c r="O11" i="100"/>
  <c r="P11" i="100" s="1"/>
  <c r="O12" i="100"/>
  <c r="P12" i="100" s="1"/>
  <c r="O13" i="100"/>
  <c r="P13" i="100" s="1"/>
  <c r="O14" i="100"/>
  <c r="P14" i="100" s="1"/>
  <c r="O15" i="100"/>
  <c r="P15" i="100" s="1"/>
  <c r="O16" i="100"/>
  <c r="P16" i="100" s="1"/>
  <c r="O17" i="100"/>
  <c r="P17" i="100" s="1"/>
  <c r="O18" i="100"/>
  <c r="P18" i="100" s="1"/>
  <c r="O19" i="100"/>
  <c r="P19" i="100" s="1"/>
  <c r="O20" i="100"/>
  <c r="P20" i="100" s="1"/>
  <c r="O21" i="100"/>
  <c r="P21" i="100" s="1"/>
  <c r="O22" i="100"/>
  <c r="P22" i="100" s="1"/>
  <c r="O23" i="100"/>
  <c r="P23" i="100" s="1"/>
  <c r="O24" i="100"/>
  <c r="P24" i="100" s="1"/>
  <c r="O25" i="100"/>
  <c r="P25" i="100" s="1"/>
  <c r="O26" i="100"/>
  <c r="P26" i="100" s="1"/>
  <c r="O27" i="100"/>
  <c r="P27" i="100" s="1"/>
  <c r="O28" i="100"/>
  <c r="P28" i="100" s="1"/>
  <c r="O29" i="100"/>
  <c r="P29" i="100" s="1"/>
  <c r="O30" i="100"/>
  <c r="O31" i="100"/>
  <c r="P31" i="100" s="1"/>
  <c r="O32" i="100"/>
  <c r="P32" i="100" s="1"/>
  <c r="O33" i="100"/>
  <c r="O34" i="100"/>
  <c r="P34" i="100" s="1"/>
  <c r="O36" i="100"/>
  <c r="P36" i="100" s="1"/>
  <c r="O37" i="100"/>
  <c r="P37" i="100" s="1"/>
  <c r="O38" i="100"/>
  <c r="P38" i="100" s="1"/>
  <c r="O39" i="100"/>
  <c r="P39" i="100" s="1"/>
  <c r="O40" i="100"/>
  <c r="P40" i="100" s="1"/>
  <c r="O41" i="100"/>
  <c r="P41" i="100" s="1"/>
  <c r="O42" i="100"/>
  <c r="P42" i="100" s="1"/>
  <c r="O43" i="100"/>
  <c r="P43" i="100" s="1"/>
  <c r="O44" i="100"/>
  <c r="P44" i="100" s="1"/>
  <c r="O45" i="100"/>
  <c r="P45" i="100" s="1"/>
  <c r="O46" i="100"/>
  <c r="P46" i="100" s="1"/>
  <c r="O47" i="100"/>
  <c r="P47" i="100" s="1"/>
  <c r="O48" i="100"/>
  <c r="P48" i="100" s="1"/>
  <c r="O49" i="100"/>
  <c r="P49" i="100" s="1"/>
  <c r="O50" i="100"/>
  <c r="P50" i="100" s="1"/>
  <c r="N11" i="100"/>
  <c r="N12" i="100"/>
  <c r="N13" i="100"/>
  <c r="N14" i="100"/>
  <c r="N15" i="100"/>
  <c r="N16" i="100"/>
  <c r="N17" i="100"/>
  <c r="N18" i="100"/>
  <c r="N19" i="100"/>
  <c r="N20" i="100"/>
  <c r="N21" i="100"/>
  <c r="N22" i="100"/>
  <c r="N23" i="100"/>
  <c r="N24" i="100"/>
  <c r="N25" i="100"/>
  <c r="N26" i="100"/>
  <c r="N27" i="100"/>
  <c r="N28" i="100"/>
  <c r="N29" i="100"/>
  <c r="N30" i="100"/>
  <c r="N31" i="100"/>
  <c r="N32" i="100"/>
  <c r="N33" i="100"/>
  <c r="N34" i="100"/>
  <c r="N35" i="100"/>
  <c r="N36" i="100"/>
  <c r="N37" i="100"/>
  <c r="N38" i="100"/>
  <c r="N39" i="100"/>
  <c r="N40" i="100"/>
  <c r="N41" i="100"/>
  <c r="N42" i="100"/>
  <c r="N43" i="100"/>
  <c r="N44" i="100"/>
  <c r="N45" i="100"/>
  <c r="N46" i="100"/>
  <c r="N47" i="100"/>
  <c r="N48" i="100"/>
  <c r="N49" i="100"/>
  <c r="N50" i="100"/>
  <c r="G68" i="100"/>
  <c r="I62" i="100"/>
  <c r="I63" i="100" s="1"/>
  <c r="G58" i="100"/>
  <c r="Q10" i="100"/>
  <c r="M10" i="100"/>
  <c r="O10" i="100" s="1"/>
  <c r="R26" i="100" l="1"/>
  <c r="S30" i="101"/>
  <c r="T30" i="101" s="1"/>
  <c r="U30" i="101" s="1"/>
  <c r="R49" i="100"/>
  <c r="S49" i="100" s="1"/>
  <c r="T49" i="100" s="1"/>
  <c r="S36" i="101"/>
  <c r="T36" i="101" s="1"/>
  <c r="U36" i="101" s="1"/>
  <c r="R48" i="100"/>
  <c r="S48" i="100" s="1"/>
  <c r="T48" i="100" s="1"/>
  <c r="S35" i="101"/>
  <c r="T35" i="101" s="1"/>
  <c r="U35" i="101" s="1"/>
  <c r="R17" i="100"/>
  <c r="S13" i="101"/>
  <c r="T13" i="101" s="1"/>
  <c r="U13" i="101" s="1"/>
  <c r="S28" i="101"/>
  <c r="T28" i="101" s="1"/>
  <c r="U28" i="101" s="1"/>
  <c r="Q38" i="101"/>
  <c r="Q51" i="101" s="1"/>
  <c r="S19" i="101"/>
  <c r="T19" i="101" s="1"/>
  <c r="U19" i="101" s="1"/>
  <c r="S26" i="101"/>
  <c r="T26" i="101" s="1"/>
  <c r="U26" i="101" s="1"/>
  <c r="R46" i="100"/>
  <c r="S46" i="100" s="1"/>
  <c r="R38" i="100"/>
  <c r="S38" i="100" s="1"/>
  <c r="S37" i="101"/>
  <c r="T37" i="101" s="1"/>
  <c r="U37" i="101" s="1"/>
  <c r="S46" i="101"/>
  <c r="T46" i="101" s="1"/>
  <c r="U46" i="101" s="1"/>
  <c r="S18" i="101"/>
  <c r="T18" i="101" s="1"/>
  <c r="U18" i="101" s="1"/>
  <c r="S21" i="101"/>
  <c r="T21" i="101" s="1"/>
  <c r="U21" i="101" s="1"/>
  <c r="R22" i="100"/>
  <c r="S22" i="100" s="1"/>
  <c r="S42" i="101"/>
  <c r="T42" i="101" s="1"/>
  <c r="U42" i="101" s="1"/>
  <c r="R37" i="100"/>
  <c r="S37" i="100" s="1"/>
  <c r="R21" i="100"/>
  <c r="S21" i="100" s="1"/>
  <c r="T21" i="100" s="1"/>
  <c r="R13" i="100"/>
  <c r="S13" i="100" s="1"/>
  <c r="S33" i="101"/>
  <c r="T33" i="101" s="1"/>
  <c r="U33" i="101" s="1"/>
  <c r="R12" i="100"/>
  <c r="S12" i="100" s="1"/>
  <c r="T12" i="100" s="1"/>
  <c r="S41" i="101"/>
  <c r="T41" i="101" s="1"/>
  <c r="U41" i="101" s="1"/>
  <c r="S14" i="101"/>
  <c r="T14" i="101" s="1"/>
  <c r="U14" i="101" s="1"/>
  <c r="S11" i="101"/>
  <c r="T11" i="101" s="1"/>
  <c r="U11" i="101" s="1"/>
  <c r="N10" i="100"/>
  <c r="R40" i="100"/>
  <c r="S40" i="100" s="1"/>
  <c r="T40" i="100" s="1"/>
  <c r="R36" i="100"/>
  <c r="S36" i="100" s="1"/>
  <c r="T36" i="100" s="1"/>
  <c r="R28" i="100"/>
  <c r="S28" i="100" s="1"/>
  <c r="T28" i="100" s="1"/>
  <c r="R24" i="100"/>
  <c r="S24" i="100" s="1"/>
  <c r="T24" i="100" s="1"/>
  <c r="R20" i="100"/>
  <c r="S20" i="100" s="1"/>
  <c r="T20" i="100" s="1"/>
  <c r="R16" i="100"/>
  <c r="S16" i="100" s="1"/>
  <c r="T16" i="100" s="1"/>
  <c r="S26" i="100"/>
  <c r="T26" i="100" s="1"/>
  <c r="T22" i="100"/>
  <c r="R47" i="100"/>
  <c r="S47" i="100" s="1"/>
  <c r="T47" i="100" s="1"/>
  <c r="R39" i="100"/>
  <c r="S39" i="100" s="1"/>
  <c r="T39" i="100" s="1"/>
  <c r="R31" i="100"/>
  <c r="S31" i="100" s="1"/>
  <c r="T31" i="100" s="1"/>
  <c r="R27" i="100"/>
  <c r="S27" i="100" s="1"/>
  <c r="T27" i="100" s="1"/>
  <c r="R23" i="100"/>
  <c r="S23" i="100" s="1"/>
  <c r="T23" i="100" s="1"/>
  <c r="R19" i="100"/>
  <c r="S19" i="100" s="1"/>
  <c r="T19" i="100" s="1"/>
  <c r="T46" i="100"/>
  <c r="T38" i="100"/>
  <c r="R42" i="100"/>
  <c r="S42" i="100" s="1"/>
  <c r="T42" i="100" s="1"/>
  <c r="R14" i="100"/>
  <c r="S14" i="100" s="1"/>
  <c r="T14" i="100" s="1"/>
  <c r="R50" i="100"/>
  <c r="S50" i="100" s="1"/>
  <c r="T50" i="100" s="1"/>
  <c r="R45" i="100"/>
  <c r="S45" i="100" s="1"/>
  <c r="T45" i="100" s="1"/>
  <c r="R44" i="100"/>
  <c r="S44" i="100" s="1"/>
  <c r="R43" i="100"/>
  <c r="S43" i="100" s="1"/>
  <c r="T43" i="100" s="1"/>
  <c r="R41" i="100"/>
  <c r="S41" i="100" s="1"/>
  <c r="T41" i="100" s="1"/>
  <c r="R35" i="100"/>
  <c r="S35" i="100" s="1"/>
  <c r="T35" i="100" s="1"/>
  <c r="R34" i="100"/>
  <c r="S34" i="100" s="1"/>
  <c r="T34" i="100" s="1"/>
  <c r="R33" i="100"/>
  <c r="S33" i="100" s="1"/>
  <c r="T33" i="100" s="1"/>
  <c r="P33" i="100"/>
  <c r="R32" i="100"/>
  <c r="S32" i="100" s="1"/>
  <c r="T32" i="100" s="1"/>
  <c r="R30" i="100"/>
  <c r="S30" i="100" s="1"/>
  <c r="T30" i="100" s="1"/>
  <c r="P30" i="100"/>
  <c r="R29" i="100"/>
  <c r="S29" i="100" s="1"/>
  <c r="T29" i="100" s="1"/>
  <c r="R25" i="100"/>
  <c r="S25" i="100" s="1"/>
  <c r="T25" i="100" s="1"/>
  <c r="R18" i="100"/>
  <c r="S18" i="100" s="1"/>
  <c r="T18" i="100" s="1"/>
  <c r="S17" i="100"/>
  <c r="T17" i="100" s="1"/>
  <c r="R15" i="100"/>
  <c r="S15" i="100" s="1"/>
  <c r="T15" i="100" s="1"/>
  <c r="R11" i="100"/>
  <c r="S11" i="100" s="1"/>
  <c r="T11" i="100" s="1"/>
  <c r="T13" i="100"/>
  <c r="T37" i="100"/>
  <c r="P10" i="100"/>
  <c r="R10" i="100"/>
  <c r="S10" i="100" s="1"/>
  <c r="T10" i="100" s="1"/>
  <c r="R11" i="94"/>
  <c r="R12" i="94"/>
  <c r="R13" i="94"/>
  <c r="R14" i="94"/>
  <c r="R15" i="94"/>
  <c r="R16" i="94"/>
  <c r="R17" i="94"/>
  <c r="R18" i="94"/>
  <c r="R19" i="94"/>
  <c r="R20" i="94"/>
  <c r="R21" i="94"/>
  <c r="R22" i="94"/>
  <c r="R23" i="94"/>
  <c r="R24" i="94"/>
  <c r="R25" i="94"/>
  <c r="R26" i="94"/>
  <c r="R27" i="94"/>
  <c r="R28" i="94"/>
  <c r="R29" i="94"/>
  <c r="R30" i="94"/>
  <c r="R31" i="94"/>
  <c r="R32" i="94"/>
  <c r="R33" i="94"/>
  <c r="R34" i="94"/>
  <c r="R35" i="94"/>
  <c r="R36" i="94"/>
  <c r="R37" i="94"/>
  <c r="R38" i="94"/>
  <c r="R39" i="94"/>
  <c r="R40" i="94"/>
  <c r="R41" i="94"/>
  <c r="R42" i="94"/>
  <c r="R43" i="94"/>
  <c r="R44" i="94"/>
  <c r="R45" i="94"/>
  <c r="R46" i="94"/>
  <c r="R47" i="94"/>
  <c r="P11" i="94"/>
  <c r="P12" i="94"/>
  <c r="P13" i="94"/>
  <c r="P14" i="94"/>
  <c r="P15" i="94"/>
  <c r="P16" i="94"/>
  <c r="P17" i="94"/>
  <c r="P18" i="94"/>
  <c r="P19" i="94"/>
  <c r="P20" i="94"/>
  <c r="P21" i="94"/>
  <c r="P22" i="94"/>
  <c r="P23" i="94"/>
  <c r="P24" i="94"/>
  <c r="P25" i="94"/>
  <c r="P26" i="94"/>
  <c r="P27" i="94"/>
  <c r="P28" i="94"/>
  <c r="P29" i="94"/>
  <c r="P30" i="94"/>
  <c r="P31" i="94"/>
  <c r="P32" i="94"/>
  <c r="P33" i="94"/>
  <c r="P34" i="94"/>
  <c r="P35" i="94"/>
  <c r="P36" i="94"/>
  <c r="P37" i="94"/>
  <c r="P38" i="94"/>
  <c r="P39" i="94"/>
  <c r="Q39" i="94" s="1"/>
  <c r="P40" i="94"/>
  <c r="P41" i="94"/>
  <c r="P42" i="94"/>
  <c r="P43" i="94"/>
  <c r="P44" i="94"/>
  <c r="P45" i="94"/>
  <c r="P46" i="94"/>
  <c r="P47" i="94"/>
  <c r="O11" i="94"/>
  <c r="O12" i="94"/>
  <c r="O13" i="94"/>
  <c r="O14" i="94"/>
  <c r="O15" i="94"/>
  <c r="O16" i="94"/>
  <c r="O17" i="94"/>
  <c r="O18" i="94"/>
  <c r="O19" i="94"/>
  <c r="O20" i="94"/>
  <c r="O21" i="94"/>
  <c r="O22" i="94"/>
  <c r="O23" i="94"/>
  <c r="O24" i="94"/>
  <c r="O25" i="94"/>
  <c r="O26" i="94"/>
  <c r="O27" i="94"/>
  <c r="O28" i="94"/>
  <c r="O29" i="94"/>
  <c r="O30" i="94"/>
  <c r="O31" i="94"/>
  <c r="O32" i="94"/>
  <c r="O33" i="94"/>
  <c r="O34" i="94"/>
  <c r="O35" i="94"/>
  <c r="O36" i="94"/>
  <c r="O37" i="94"/>
  <c r="O38" i="94"/>
  <c r="O39" i="94"/>
  <c r="O40" i="94"/>
  <c r="O41" i="94"/>
  <c r="O42" i="94"/>
  <c r="O43" i="94"/>
  <c r="O44" i="94"/>
  <c r="O45" i="94"/>
  <c r="O46" i="94"/>
  <c r="O47" i="94"/>
  <c r="N10" i="94"/>
  <c r="O10" i="94" s="1"/>
  <c r="S11" i="94"/>
  <c r="T11" i="94" s="1"/>
  <c r="U11" i="94" s="1"/>
  <c r="S39" i="94" l="1"/>
  <c r="T39" i="94" s="1"/>
  <c r="U39" i="94" s="1"/>
  <c r="S35" i="94"/>
  <c r="T35" i="94" s="1"/>
  <c r="U35" i="94" s="1"/>
  <c r="P10" i="94"/>
  <c r="Q40" i="94"/>
  <c r="AA40" i="102"/>
  <c r="AA40" i="101"/>
  <c r="Q32" i="94"/>
  <c r="AA32" i="101"/>
  <c r="AA32" i="102"/>
  <c r="Q24" i="94"/>
  <c r="AA24" i="101"/>
  <c r="AA24" i="102"/>
  <c r="Q16" i="94"/>
  <c r="AA16" i="102"/>
  <c r="AA16" i="101"/>
  <c r="S40" i="94"/>
  <c r="T40" i="94" s="1"/>
  <c r="U40" i="94" s="1"/>
  <c r="S32" i="94"/>
  <c r="T32" i="94" s="1"/>
  <c r="U32" i="94" s="1"/>
  <c r="Q47" i="94"/>
  <c r="AA47" i="101"/>
  <c r="AA47" i="102"/>
  <c r="AA39" i="102"/>
  <c r="AA39" i="101"/>
  <c r="Q31" i="94"/>
  <c r="AA31" i="101"/>
  <c r="AA31" i="102"/>
  <c r="Q23" i="94"/>
  <c r="AA23" i="102"/>
  <c r="AA23" i="101"/>
  <c r="Q15" i="94"/>
  <c r="AA15" i="101"/>
  <c r="AA15" i="102"/>
  <c r="Q46" i="94"/>
  <c r="AA46" i="102"/>
  <c r="AA46" i="101"/>
  <c r="Q22" i="94"/>
  <c r="AA22" i="102"/>
  <c r="AA22" i="101"/>
  <c r="Q45" i="94"/>
  <c r="AA45" i="102"/>
  <c r="AA45" i="101"/>
  <c r="Q37" i="94"/>
  <c r="AA37" i="101"/>
  <c r="AA37" i="102"/>
  <c r="Q29" i="94"/>
  <c r="AA29" i="102"/>
  <c r="AA29" i="101"/>
  <c r="Q21" i="94"/>
  <c r="AA21" i="102"/>
  <c r="AA21" i="101"/>
  <c r="Q13" i="94"/>
  <c r="AA13" i="101"/>
  <c r="AA13" i="102"/>
  <c r="Q14" i="94"/>
  <c r="AA14" i="102"/>
  <c r="AA14" i="101"/>
  <c r="Q44" i="94"/>
  <c r="AA44" i="102"/>
  <c r="AA44" i="101"/>
  <c r="Q36" i="94"/>
  <c r="AA36" i="102"/>
  <c r="AA36" i="101"/>
  <c r="Q28" i="94"/>
  <c r="AA28" i="101"/>
  <c r="AA28" i="102"/>
  <c r="Q20" i="94"/>
  <c r="AA20" i="102"/>
  <c r="AA20" i="101"/>
  <c r="Q12" i="94"/>
  <c r="AA12" i="102"/>
  <c r="AA12" i="101"/>
  <c r="Q30" i="94"/>
  <c r="AA30" i="102"/>
  <c r="AA30" i="101"/>
  <c r="Q35" i="94"/>
  <c r="AA35" i="102"/>
  <c r="AA35" i="101"/>
  <c r="S19" i="94"/>
  <c r="T19" i="94" s="1"/>
  <c r="U19" i="94" s="1"/>
  <c r="AA19" i="101"/>
  <c r="AA19" i="102"/>
  <c r="Q38" i="94"/>
  <c r="AA38" i="102"/>
  <c r="AA38" i="101"/>
  <c r="S14" i="94"/>
  <c r="T14" i="94" s="1"/>
  <c r="U14" i="94" s="1"/>
  <c r="Q43" i="94"/>
  <c r="AA43" i="102"/>
  <c r="AA43" i="101"/>
  <c r="Q27" i="94"/>
  <c r="AA27" i="101"/>
  <c r="AA27" i="102"/>
  <c r="Q11" i="94"/>
  <c r="AA11" i="102"/>
  <c r="AA11" i="101"/>
  <c r="S27" i="94"/>
  <c r="T27" i="94" s="1"/>
  <c r="U27" i="94" s="1"/>
  <c r="AA42" i="101"/>
  <c r="AA42" i="102"/>
  <c r="Q34" i="94"/>
  <c r="AA34" i="102"/>
  <c r="AA34" i="101"/>
  <c r="Q26" i="94"/>
  <c r="AA26" i="101"/>
  <c r="AA26" i="102"/>
  <c r="Q18" i="94"/>
  <c r="AA18" i="102"/>
  <c r="AA18" i="101"/>
  <c r="Q42" i="94"/>
  <c r="AA41" i="102"/>
  <c r="AA41" i="101"/>
  <c r="Q33" i="94"/>
  <c r="AA33" i="101"/>
  <c r="AA33" i="102"/>
  <c r="Q25" i="94"/>
  <c r="AA25" i="102"/>
  <c r="AA25" i="101"/>
  <c r="Q17" i="94"/>
  <c r="AA17" i="102"/>
  <c r="AA17" i="101"/>
  <c r="Q41" i="94"/>
  <c r="S31" i="94"/>
  <c r="T31" i="94" s="1"/>
  <c r="U31" i="94" s="1"/>
  <c r="S28" i="94"/>
  <c r="T28" i="94" s="1"/>
  <c r="U28" i="94" s="1"/>
  <c r="S12" i="94"/>
  <c r="T12" i="94" s="1"/>
  <c r="U12" i="94" s="1"/>
  <c r="Q19" i="94"/>
  <c r="P51" i="100"/>
  <c r="T44" i="100"/>
  <c r="S42" i="94"/>
  <c r="T42" i="94" s="1"/>
  <c r="U42" i="94" s="1"/>
  <c r="S34" i="94"/>
  <c r="T34" i="94" s="1"/>
  <c r="U34" i="94" s="1"/>
  <c r="S30" i="94"/>
  <c r="T30" i="94" s="1"/>
  <c r="U30" i="94" s="1"/>
  <c r="S26" i="94"/>
  <c r="T26" i="94" s="1"/>
  <c r="U26" i="94" s="1"/>
  <c r="S22" i="94"/>
  <c r="T22" i="94" s="1"/>
  <c r="U22" i="94" s="1"/>
  <c r="S18" i="94"/>
  <c r="T18" i="94" s="1"/>
  <c r="U18" i="94" s="1"/>
  <c r="S25" i="94"/>
  <c r="T25" i="94" s="1"/>
  <c r="U25" i="94" s="1"/>
  <c r="S13" i="94"/>
  <c r="T13" i="94" s="1"/>
  <c r="U13" i="94" s="1"/>
  <c r="S37" i="94"/>
  <c r="T37" i="94" s="1"/>
  <c r="U37" i="94" s="1"/>
  <c r="S38" i="94"/>
  <c r="T38" i="94" s="1"/>
  <c r="U38" i="94" s="1"/>
  <c r="S41" i="94"/>
  <c r="T41" i="94" s="1"/>
  <c r="U41" i="94" s="1"/>
  <c r="S36" i="94"/>
  <c r="T36" i="94" s="1"/>
  <c r="U36" i="94" s="1"/>
  <c r="S33" i="94"/>
  <c r="T33" i="94" s="1"/>
  <c r="U33" i="94" s="1"/>
  <c r="S29" i="94"/>
  <c r="T29" i="94" s="1"/>
  <c r="U29" i="94" s="1"/>
  <c r="S24" i="94"/>
  <c r="T24" i="94" s="1"/>
  <c r="U24" i="94" s="1"/>
  <c r="S23" i="94"/>
  <c r="T23" i="94" s="1"/>
  <c r="U23" i="94" s="1"/>
  <c r="S21" i="94"/>
  <c r="T21" i="94" s="1"/>
  <c r="U21" i="94" s="1"/>
  <c r="S20" i="94"/>
  <c r="T20" i="94" s="1"/>
  <c r="U20" i="94" s="1"/>
  <c r="S17" i="94"/>
  <c r="T17" i="94" s="1"/>
  <c r="U17" i="94" s="1"/>
  <c r="S16" i="94"/>
  <c r="T16" i="94" s="1"/>
  <c r="U16" i="94" s="1"/>
  <c r="S15" i="94"/>
  <c r="T15" i="94" s="1"/>
  <c r="U15" i="94" s="1"/>
  <c r="Q10" i="94" l="1"/>
  <c r="AA10" i="102"/>
  <c r="AA10" i="101"/>
  <c r="R50" i="94"/>
  <c r="P50" i="94" l="1"/>
  <c r="O50" i="94"/>
  <c r="J62" i="94"/>
  <c r="J63" i="94" s="1"/>
  <c r="Q50" i="94" l="1"/>
  <c r="AA50" i="102"/>
  <c r="AA50" i="101"/>
  <c r="S47" i="94"/>
  <c r="R10" i="94"/>
  <c r="S50" i="94"/>
  <c r="S46" i="94"/>
  <c r="S45" i="94"/>
  <c r="T45" i="94" s="1"/>
  <c r="U45" i="94" s="1"/>
  <c r="S44" i="94" l="1"/>
  <c r="T44" i="94" s="1"/>
  <c r="U44" i="94" s="1"/>
  <c r="S10" i="94"/>
  <c r="T10" i="94" s="1"/>
  <c r="U10" i="94" s="1"/>
  <c r="Q51" i="94"/>
  <c r="S43" i="94"/>
  <c r="T43" i="94" s="1"/>
  <c r="U43" i="94" s="1"/>
  <c r="T46" i="94"/>
  <c r="U46" i="94" s="1"/>
  <c r="T47" i="94"/>
  <c r="U47" i="94" s="1"/>
  <c r="G68" i="94" l="1"/>
  <c r="G58" i="94"/>
  <c r="T50" i="94"/>
  <c r="U50" i="94" s="1"/>
  <c r="AN10" i="5"/>
  <c r="AN11" i="5" s="1"/>
  <c r="AN8" i="5"/>
  <c r="AN7" i="5"/>
  <c r="AN6" i="5"/>
  <c r="K6"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Bray</author>
  </authors>
  <commentList>
    <comment ref="B78" authorId="0" shapeId="0" xr:uid="{A50DCDE8-534A-4AC0-8C56-48EA8B2C4F41}">
      <text>
        <r>
          <rPr>
            <b/>
            <sz val="10"/>
            <color rgb="FF000000"/>
            <rFont val="Tahoma"/>
            <family val="2"/>
          </rPr>
          <t>David Bray:</t>
        </r>
        <r>
          <rPr>
            <sz val="10"/>
            <color rgb="FF000000"/>
            <rFont val="Tahoma"/>
            <family val="2"/>
          </rPr>
          <t xml:space="preserve">
</t>
        </r>
        <r>
          <rPr>
            <sz val="10"/>
            <color rgb="FF000000"/>
            <rFont val="Tahoma"/>
            <family val="2"/>
          </rPr>
          <t xml:space="preserve">NOTA CONFUSA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David Bray</author>
  </authors>
  <commentList>
    <comment ref="B78" authorId="0" shapeId="0" xr:uid="{E86CB24C-5E7A-4EF0-BF43-8319401AD140}">
      <text>
        <r>
          <rPr>
            <b/>
            <sz val="10"/>
            <color rgb="FF000000"/>
            <rFont val="Tahoma"/>
            <family val="2"/>
          </rPr>
          <t>David Bray:</t>
        </r>
        <r>
          <rPr>
            <sz val="10"/>
            <color rgb="FF000000"/>
            <rFont val="Tahoma"/>
            <family val="2"/>
          </rPr>
          <t xml:space="preserve">
</t>
        </r>
        <r>
          <rPr>
            <sz val="10"/>
            <color rgb="FF000000"/>
            <rFont val="Tahoma"/>
            <family val="2"/>
          </rPr>
          <t xml:space="preserve">NOTA CONFUSA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David Bray</author>
  </authors>
  <commentList>
    <comment ref="B78" authorId="0" shapeId="0" xr:uid="{48095453-E252-41C7-BC90-4FE32D3C7247}">
      <text>
        <r>
          <rPr>
            <b/>
            <sz val="10"/>
            <color rgb="FF000000"/>
            <rFont val="Tahoma"/>
            <family val="2"/>
          </rPr>
          <t>David Bray:</t>
        </r>
        <r>
          <rPr>
            <sz val="10"/>
            <color rgb="FF000000"/>
            <rFont val="Tahoma"/>
            <family val="2"/>
          </rPr>
          <t xml:space="preserve">
</t>
        </r>
        <r>
          <rPr>
            <sz val="10"/>
            <color rgb="FF000000"/>
            <rFont val="Tahoma"/>
            <family val="2"/>
          </rPr>
          <t xml:space="preserve">NOTA CONFUSA </t>
        </r>
      </text>
    </comment>
  </commentList>
</comments>
</file>

<file path=xl/sharedStrings.xml><?xml version="1.0" encoding="utf-8"?>
<sst xmlns="http://schemas.openxmlformats.org/spreadsheetml/2006/main" count="1025" uniqueCount="233">
  <si>
    <t>DESVIACION ESTANDAR</t>
  </si>
  <si>
    <t>MARGEN DE CONFIABILIDAD</t>
  </si>
  <si>
    <t>NIVEL DE CONFIABILIDAD DE LOS DATOS</t>
  </si>
  <si>
    <t>NIT</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</si>
  <si>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</si>
  <si>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</si>
  <si>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</si>
  <si>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</si>
  <si>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</si>
  <si>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</si>
  <si>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</si>
  <si>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</si>
  <si>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</si>
  <si>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</si>
  <si>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</si>
  <si>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</si>
  <si>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</si>
  <si>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</si>
  <si>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</si>
  <si>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</si>
  <si>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COMPORTAMIENTO DEL CONTRATISTA</t>
  </si>
  <si>
    <t>SANCIONES SI HUBO LUGAR A ELLO</t>
  </si>
  <si>
    <t>CRONOGRAMA DEL PROCESO DE CONTRATACION LUEGO DE LA FIRMA</t>
  </si>
  <si>
    <t>GARANTIAS EXIGIDAS</t>
  </si>
  <si>
    <t>SINIESTROS</t>
  </si>
  <si>
    <t>RELACION ITEMS A ADQUIRIR</t>
  </si>
  <si>
    <t>OTROSI</t>
  </si>
  <si>
    <t>Suministro</t>
  </si>
  <si>
    <t>Dotacion</t>
  </si>
  <si>
    <t>MIGUEL  ANDRES GUTIERREZ ROMERO  y/o GRAM REPRESENTACIONES</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</si>
  <si>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</si>
  <si>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</si>
  <si>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</si>
  <si>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</si>
  <si>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</si>
  <si>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</si>
  <si>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</si>
  <si>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</si>
  <si>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</si>
  <si>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</si>
  <si>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</si>
  <si>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</si>
  <si>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OK</t>
  </si>
  <si>
    <t>97 BLOQUEADORES</t>
  </si>
  <si>
    <t>contratacion de minima cuantia - ORDEN DE COMPRA</t>
  </si>
  <si>
    <t>BOTIQUINES AUTOMOVILES</t>
  </si>
  <si>
    <t>BOTIQUINES  FIJOS</t>
  </si>
  <si>
    <t>BLOQUEADOR SOLAR</t>
  </si>
  <si>
    <t>realizar la compra de 550 bloqueadores solares para los servidores públicos de la UNIDAD ADMINISTRATIVA ESPECIAL DE REHABILITACION Y MANTENIMIENTO VIAL</t>
  </si>
  <si>
    <t>LABORATORIO GELLSMA LTDA</t>
  </si>
  <si>
    <t>900135657-3</t>
  </si>
  <si>
    <t>DROGUERIA CONTINENTAL DE BOGOTA SAS</t>
  </si>
  <si>
    <t>900379030-3</t>
  </si>
  <si>
    <t>C&amp;P LICITACIONES Y CONSULTORIAS SAS.- ROSS NELLY CARDENAS PINZON</t>
  </si>
  <si>
    <t>contratacion de minima cuantia - CONTRATO DE COMPRAVENTA</t>
  </si>
  <si>
    <t>30 DE NOVIEMBRE DE 2012</t>
  </si>
  <si>
    <t>8 DIAS</t>
  </si>
  <si>
    <t>BLOQUEADOR SOLAR DE 120 ML</t>
  </si>
  <si>
    <t>900313623-7</t>
  </si>
  <si>
    <t>860.000.294-9</t>
  </si>
  <si>
    <t>900303527-5</t>
  </si>
  <si>
    <t>860001498-9</t>
  </si>
  <si>
    <t>65550326-1</t>
  </si>
  <si>
    <t xml:space="preserve"> 830102952-6 </t>
  </si>
  <si>
    <t>ITEM</t>
  </si>
  <si>
    <t>DESCRIPCIÓN</t>
  </si>
  <si>
    <t>MUESTRA</t>
  </si>
  <si>
    <t>VALOR PROMEDIO UNITARIO</t>
  </si>
  <si>
    <t>VALOR PROMEDIO TOTAL</t>
  </si>
  <si>
    <t>COEF VARIACION</t>
  </si>
  <si>
    <t>UND</t>
  </si>
  <si>
    <t>AÑO</t>
  </si>
  <si>
    <t>INFLACION</t>
  </si>
  <si>
    <t>Total</t>
  </si>
  <si>
    <t>COTIZACIONES GESTIONADAS PARA EL ESTUDIO DE SECTOR</t>
  </si>
  <si>
    <t>FORMATO CUADRO DE TABULACIÓN Y ANÁLISIS DE DATOS ESTADÍSTICOS - ESTUDIO DE SECTOR</t>
  </si>
  <si>
    <t>VERSIÓN: 2</t>
  </si>
  <si>
    <t>CÓDIGO: GCON-FM-029</t>
  </si>
  <si>
    <t>FECHA DE APLICACIÓN: JULIO DE 2019</t>
  </si>
  <si>
    <t>Cant.</t>
  </si>
  <si>
    <t xml:space="preserve"> </t>
  </si>
  <si>
    <r>
      <t xml:space="preserve">NOTA: </t>
    </r>
    <r>
      <rPr>
        <sz val="12"/>
        <color theme="1"/>
        <rFont val="Calibri"/>
        <family val="2"/>
        <scheme val="minor"/>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r>
      <rPr>
        <b/>
        <sz val="12"/>
        <color theme="1"/>
        <rFont val="Calibri"/>
        <family val="2"/>
        <scheme val="minor"/>
      </rPr>
      <t xml:space="preserve">
</t>
    </r>
  </si>
  <si>
    <t>VALOR UNITARIO  
SIN  IVA A PRECIO 2020</t>
  </si>
  <si>
    <t>LOS VALORES DE CONTRATOS DE LA UAERMV Y DE OTRAS ENTIDADES ESTAN INDEXADOS A 2020</t>
  </si>
  <si>
    <t>VALOR PRESUPUESTADO</t>
  </si>
  <si>
    <t>CONTRATACIONES OTRAS ENTIDADES</t>
  </si>
  <si>
    <r>
      <rPr>
        <b/>
        <sz val="12"/>
        <rFont val="Arial"/>
        <family val="2"/>
      </rPr>
      <t>Proyectó</t>
    </r>
    <r>
      <rPr>
        <sz val="12"/>
        <rFont val="Arial"/>
        <family val="2"/>
      </rPr>
      <t>: Angel Jerez - Contratista SG</t>
    </r>
  </si>
  <si>
    <t>1,12%</t>
  </si>
  <si>
    <t>CONTRATACIONES SIMILARES EN LA UMV</t>
  </si>
  <si>
    <t>TABULACIÓN NO DEPURADA COTIZACIONES Y CONTRATACIONES SIMILARES EN LA UAERMV Y/O DE  OTRAS ENTIDADES PARA EL ESTUDIO DE SECTOR</t>
  </si>
  <si>
    <t>TABULACIÓN DEPURADA COTIZACIONES Y CONTRATACIONES SIMILARES EN LA UAERMV Y/O DE  OTRAS ENTIDADES PARA EL ESTUDIO DE SECTOR</t>
  </si>
  <si>
    <t>Casco dieléctrico de seguridad color gris.
Casco de seguridad, con banda de sudor reemplazable, suspensión de 4 puntos, en banda de hilo, tipo rachet, con ajuste de altura, Sistema universal de ensamble para protectores auditivos tipo copa, alta resistencia, fabricado en Polímero de alto impacto, con 3 y/o 4 puntos de sujeción para barbuquejo en reata no elástico.</t>
  </si>
  <si>
    <t xml:space="preserve">Casco dieléctrico de seguridad color blanco. 
Casco de seguridad, con banda de sudor reemplazable, suspensión de 4 puntos, en banda de hilo, tipo rachet, con ajuste de altura, Sistema universal de ensamble para protectores auditivos tipo copa, alta resistencia, fabricado en Polímero de alto impacto, con 3 y/o 4 puntos de sujeción para barbuquejo en reata no elástico.  </t>
  </si>
  <si>
    <t xml:space="preserve">Casco dieléctrico de seguridad color azul.
Casco de seguridad, con banda de sudor reemplazable, suspensión de 4 puntos, en banda de hilo, tipo rachet, con ajuste de altura, Sistema universal de ensamble para protectores auditivos tipo copa, alta resistencia, fabricado en Polímero de alto impacto, con 3 y/o 4 puntos de sujeción para barbuquejo en reata no elástico. </t>
  </si>
  <si>
    <t>Gafas de Seguridad Lente Claro.
Gafas de seguridad con lente espejado, compuesto por unas lentes sin montura y unas patillas con longitud fija. Con protecciones laterales y sistema de difusión de la presión a través de la patilla.  Con almohadillas ajustables en el puente nasal y con recubrimiento antideslizante en la cara interna de la patilla. Excelente ajuste y buen campo de visión. Antirayadura y antiempañante.</t>
  </si>
  <si>
    <t>Gafas de seguridad lente claro adaptable para colocar sobre gafas formuladas.
Gafas de seguridad para utilizar sobre lentes formulados, material policarbonato con patillas de nylon para un mayor confort. Cubrimiento lateral para mayor visibilidad, protección de rayos U.V.</t>
  </si>
  <si>
    <t>Careta para esmerilar.
Fabricada en polímero de alta resistencia a la humedad, al calor y al impacto de partículas. Liviano e indeformable, visor transparente resistente al choque de partículas a gran velocidad.</t>
  </si>
  <si>
    <t>Respirador libre de Mantenimiento N95 con válvula NO PLEGABLE.
Fabricado con un Medio Filtrante Electrostático Avanzado, novedoso sistema de retención de partículas que permite mayor eficiencia del filtro con menor caída de presión con válvula de exhalación (válvula de aire fresco) que ofrece mayor comodidad y frescura al usuario. Brinda una efectiva, confortable e higiénica protección respiratoria contra aerosoles sólidos y ciertos líquidos sin aceite.</t>
  </si>
  <si>
    <t>Respirador libre de Mantenimiento N95 con válvula PLEGABLE
Fabricado con un Medio Filtrante Electrostático Avanzado, novedoso sistema de retención de partículas que permite mayor eficiencia del filtro con menor caída de presión con válvula de exhalación (válvula de aire fresco) que ofrece mayor comodidad y frescura al usuario. Brinda una efectiva, confortable e higiénica protección respiratoria contra aerosoles sólidos y ciertos líquidos sin aceite.</t>
  </si>
  <si>
    <t>Mascarilla P95 Vapores Orgánicos con Válvula.
Mascarillas P95 Vapores Orgánicos con Válvula para la protección de las personas contra riesgos respiratorios como polvos, neblinas, humos, vapores orgánicos y todo tipo de aerosoles.
Con efectividad de filtro contra material particulado, bandas elásticas resistentes, espuma suave y banda metálica para mayor comodidad y mejor sellado en la nariz.</t>
  </si>
  <si>
    <t>Mascara Full Face.
Pieza facial cara completa con visor, para colocar doble cartucho (ofrece la posibilidad de ser utilizada con filtros y cartuchos reemplazables para protección contra ciertos gases, vapores y material particulado).
Fabricada en elastómero, visor de policarbonato</t>
  </si>
  <si>
    <t xml:space="preserve">Mascara Media Cara.
Pieza facial media cara diseño anatómico y ajuste hermético, permite el uso de monogafas, para colocar doble cartucho  (ofrece la posibilidad de ser utilizada con filtros y cartuchos reemplazables para protección contra ciertos gases, vapores y material particulado) fabricada en material siliconado. </t>
  </si>
  <si>
    <t xml:space="preserve">Cartuchos para vapores orgánicos y gases ácidos.
Compatibles para instalar en mascara FULL FACE o Media Cara, protección para vapores orgánicos (exposición a solventes orgánicos, gases ácidos, humos metálicos, formaldehido, entre otros. 
Compatibles para adaptar filtros para material particulado, partículas aceitosas. </t>
  </si>
  <si>
    <t>Prefiltros para material particulado adaptables a cartuchos.
Compatibles para instalar sobre cartuchos con adaptador. 
Es fabricado con un Medio Filtrante Electrostático Avanzado, novedoso sistema de retención de partículas que permite mayor eficiencia del filtro con menor caída de presión.</t>
  </si>
  <si>
    <t xml:space="preserve">Filtro para Soldadura (material particulado y humos metálicos).
P100, filtro para material particulado y partículas de vapor orgánico y humos metálicos. Uso con respiradores reutilizables (cartuchos adaptables a mascara Full Face y Media Cara) </t>
  </si>
  <si>
    <t xml:space="preserve">Adaptador para instalar filtros sobre cartuchos.
Pieza plástica que sirve para sostener y acoplar los filtros de material particulado sobre los cartuchos. Compatibilidad en los diseños y ajuste en los cartuchos </t>
  </si>
  <si>
    <t>Protector auditivo de inserción.
Fabricados en silicona o elastómero termoplástico hipoalergénico, lavables y reutilizables.  NRR = 25 dB. Cordón de poliéster rompible trenzado, con estuche individual.</t>
  </si>
  <si>
    <t xml:space="preserve">Protector auditivo de inserción desechable tipo espuma.
Fabricados en espuma moldeable; por su estructura suave y redondeada se adapta fácilmente en conductos auditivos, grandes o pequeños. Reducción de Ruido (NRR) </t>
  </si>
  <si>
    <t>Protector Auditivo tipo Copa.
Diadema y orejeras acolchadas para mayor comodidad del usuario, incluso en largas jornadas de trabajo. Diadema graduable para mejor ajuste. Diadema rota para permitir su uso con casco. Atenuación global del protector; 25 dB, atenuación a altas frecuencias; 28 dB, atenuación a frecuencias medias; 22 dB, atenuación a bajas frecuencias; 15 28 dB.</t>
  </si>
  <si>
    <t>Guante de vaqueta corto.
Fabricado en 100% cuero (vaqueta), cosido en hilo de alta resistencia debe proporcionar la comodidad de un guante tejido, sin sacrificar la flexibilidad y la destreza.</t>
  </si>
  <si>
    <t xml:space="preserve">Guante vaqueta largo.
Fabricado en 100% cuero (vaqueta), debe proporcionar la comodidad de un guante tejido, sin sacrificar la flexibilidad y la destreza, manga larga para protección adicional en muñeca y parte del antebrazo. </t>
  </si>
  <si>
    <t>Guante de nitrilo para Sustancias Químicas (Verde Largo).
Fabricado en nitrilo (material sintético, bastante resistente a la mayoría de los productos químicos) hipoalergénicos.
Forro interno en algodón para mayor frescura; texturizados en la punta de los dedos y en la palma para brindar mayor agarre. 
Longitud= 18 Pulgadas (45.7 cm)
Espesor= 22mil (0.55mm).</t>
  </si>
  <si>
    <t>Guante  Poliuretano.
Fabricado en Nailon (74%) poliuretano (26%)
Provee una capa con buena resistencia a la abrasión y rasgado, protección contra líquidos, agarre en seco y húmedo y durabilidad. El recubrimiento ofrece la misma sensibilidad táctil de un guante delgado, pero con la protección de un guante recubierto.</t>
  </si>
  <si>
    <t>Guante de nitrilo azul.
Guante de nitrilo desechable de 8 mm de grosor, largo, de bajo Modulo, con puño enrollado, color azul, ambidiestro, ideal para usos generales y de laboratorio. Acabado rugoso para facilitar la manipulación de objetos resbalosos.</t>
  </si>
  <si>
    <t xml:space="preserve">Guante para soldador (resistente al calor Kevlar).
Fabricado en carnaza, con refuerzos en palmas y dedos costura con hilo doble. 
Resistentes a la abrasión y a las chispas de soldadura. </t>
  </si>
  <si>
    <t>Guante de hilaza recubiertos en látex.
Puño tejido, anatómico, resistencia mecánica, proporciona un agarre fuerte y de máxima destreza.
Composición: 40% Hilaza • 60% Látex, Talla única.</t>
  </si>
  <si>
    <t>Peto en carnaza.
Fabricado en carnaza fuerte, con grosor de 1.4 mm, para ser usado en labores de soldadura. Buena resistencia y flexibilidad, todas las costuras reforzadas.  Talla Grande/L o XL, con tiras de sujeción en el cuello y cintura.</t>
  </si>
  <si>
    <t>Chaqueta en Vaqueta.
Chaqueta fabricada en vaqueta, utilizada en trabajos de soldadura y/o fundición. Es ideal para proteger contra chispas o metales calientes. Color amarillo. Material: Vaqueta de cuero de res (vacuno), curtido al cromo, Hilo: poliéster, Cierres: broches metálicos.</t>
  </si>
  <si>
    <t xml:space="preserve">Peto plástico color negro.
Fabricado en material vinilo con soporte textil en poliéster para evitar desgarre, buenas resistencias físicas, color firme y durable que no se decolora ni se transfieren a otros materiales, calibre 25 (0.58 mm) industrial. Costuras con sistema de electro sellado, impiden filtraciones en las uniones. Talla Grande/L o XL, con tiras de sujeción en el cuello y cintura, hebillas plásticas y graduables para ajuste al cuerpo. </t>
  </si>
  <si>
    <t>DELANTAL PETO PARA GUADAÑA O MANDIL.
Elemento de protección personal que protege tronco del trabajador contra riesgos mecánicos abrasión corte de cuchilla perforación y quemaduras de chispas En carnaza medida 140 cm cuero curtido grosor mínimo aceptado por la norma internacional 1.3  a 1.8 mm son reforzadas además posee cintas para ajuste en cuello y espalda con hebilla metálica hilo algodón trenzado de 4 cabos calibre 40 costuras de 4 a 5 cm correas de 60 cm mínimo de largo por 1.5 cm de ancho.</t>
  </si>
  <si>
    <t xml:space="preserve">Canilleras con refuerzo para guadañar .
La estructura está compuesta por tiras metálicas en aluminio forradas en telas con refuerzo en nylon correas en nylon con hebillas para sujetas la pierna y el pie, se encuentran también en polietileno de alta resistencia montado en tela de nylon acolchada por tallas para que sean ajustables a la pierna del trabajador. </t>
  </si>
  <si>
    <t>Cubre cara y Cuello.
Fabricada en materiales frescos para protección del sol (Jean o Drill). Gorro tipo chavo o tipo pasamontañas que proteja nariz y boca.
Talla Grande.</t>
  </si>
  <si>
    <t>Protector o filtro solar FPS 50+.
Crema hipoalergénica, resistente a la transpiración. Inhibe la acción de los rayos UVA y UVB mediante la combinación de filtros físicos y químicos, alcanzando un factor de protección solar superior a 50+.</t>
  </si>
  <si>
    <t xml:space="preserve">Gafas para soldadura autógena.
El casquete de los lentes debe ser fabricado en material termoplástico. Cinta con elasticidad del 180% y el diseño ergonómico en las copas deben permitir un adecuado ajuste, los aros o soporte deben permitir el fácil recambio de los lentes. Los lentes deben absorber rayos lumínicos, infrarrojos y ultravioleta y controlan la trasmisión visible de la luz, para permitir distinguir los detalles del trabajo que se está realizando.    </t>
  </si>
  <si>
    <t xml:space="preserve">Repuesto vidrio para gafas de soldadura autógena.
Los lentes deben absorber rayos lumínicos, infrarrojos y ultravioleta y controlan la trasmisión visible de la luz, para permitir distinguir los detalles del trabajo que se está realizando.  </t>
  </si>
  <si>
    <t xml:space="preserve">Kit portátil con candados, tarjetas y broches. Componentes:
• candados de seguridad o de acero
• Tarjetas para bloqueo de alta resistencia que se pueden volver a usar y sujetadores de nylon.
• Broche de para bloqueo grupal.
• Bolsa de cinturón para bloqueo.
</t>
  </si>
  <si>
    <t>TERMOMETRO CORPORAL TIPO LASER. Con registros y garantía de 1 año.</t>
  </si>
  <si>
    <t>DESINFECTANTE SUELOS Y SUPERFICIES.
DESINFECTANTE CON ACCION MICROBIANA CONTRA: Mohos, Levaduras, Bacterias y Virus.</t>
  </si>
  <si>
    <t>ATOMIZADOR PLASTICO 500 Centímetros cúbicos</t>
  </si>
  <si>
    <t>Alcohol Glicerinado 70% elimina el 99% de los gérmenes, virus y bacterias, frasco 300ml a 1000ml</t>
  </si>
  <si>
    <t>Toallas Desechables</t>
  </si>
  <si>
    <t>PAR</t>
  </si>
  <si>
    <t xml:space="preserve">CAJA X 200 UND </t>
  </si>
  <si>
    <t>PARES
y/o
CAJA X 50 PARES</t>
  </si>
  <si>
    <t>Frasco Mayor o Igual a 100ml. Hasta 150ml.</t>
  </si>
  <si>
    <t>KIT</t>
  </si>
  <si>
    <t>GALON y/o LITRO</t>
  </si>
  <si>
    <t>UND Frasco de 1000ml</t>
  </si>
  <si>
    <t>PAQUETE</t>
  </si>
  <si>
    <t>SAISO SAS</t>
  </si>
  <si>
    <t>TECHNICAL SOLUTIONS SAFETY SAS</t>
  </si>
  <si>
    <t>CENTRAL DE SOLDADURAS Y PROTECCIÓN INDUSTRIAL SA</t>
  </si>
  <si>
    <t xml:space="preserve">ADQUISICIÓN DE ELEMENTOS DE PROTECCIÓN PERSONAL Y ELEMENTOS DE PROTECCIÓN CONTRA CAÍDAS </t>
  </si>
  <si>
    <t>Gafas de Seguridad Lente Oscuro.
Recubrimiento duro anti-rayaduras, antiestático y tratamiento antiempañante. Fabricados con materiales hipoalergénicos, lavables y reutilizables. Cuenta con cordón para colgar los lentes alrededor del cuello cuando no están en uso Cumplen los requerimientos de protección contra alto impacto y educación de la norma ANSI Z87.1: 2003. Protección contra radiaciones UV en un 99.9%. Lentes fabricados completamente con policarbonato de alto impacto.</t>
  </si>
  <si>
    <t>SDH-SMINC-014-2020</t>
  </si>
  <si>
    <t>MC-CUC-CA-037-2020</t>
  </si>
  <si>
    <t>MC-253-GINRED4-2020</t>
  </si>
  <si>
    <t>SASI 009 2019</t>
  </si>
  <si>
    <t>PRECIOS DE 2020</t>
  </si>
  <si>
    <t>Agroinsumos LTDA</t>
  </si>
  <si>
    <t xml:space="preserve">Equipo portátil con candados, tarjetas y broches. Componentes:
• candados de seguridad o de acero
• Tarjetas para bloqueo de alta resistencia que se pueden volver a usar y sujetadores de nylon.
• Broche de para bloqueo grupal.
• Bolsa de cinturón para bloqueo.
</t>
  </si>
  <si>
    <t>Equipo</t>
  </si>
  <si>
    <t>GALON</t>
  </si>
  <si>
    <t>Toallas Desechables x 150 unidades</t>
  </si>
  <si>
    <t>Diferencia 4Nov-16Oct</t>
  </si>
  <si>
    <t>Guante de nitrilo azul.
Guante de nitrilo desechable de 4mm a  8 mm de grosor, largo, de bajo Modulo, con puño enrollado, color azul, ambidiestro, ideal para usos generales y de laboratorio. Acabado rugoso para facilitar la manipulación de objetos resbalosos.</t>
  </si>
  <si>
    <t xml:space="preserve">Puño tejido, anatómico, resistencia mecánica, proporciona un agarre fuerte y de máxima destreza.
Composición: Hilaza y Palma en Látex, Talla única.
Composición de los guantes mínimo del 30% hasta el 80% Hilaza y mínimo del 20% hasta 70% látex,
El cual debe generar alta flexibilidad, durabilidad y garantiza protección contra riesgos mecánicos
</t>
  </si>
  <si>
    <t>Fabricado en carnaza fuerte, con grosor de 1.4 mm, para ser usado en labores de soldadura. Buena resistencia y flexibilidad, todas las costuras reforzadas.  TALLA UNICA. y el ajuste se da con las correas de sujeción y las hebillas plásticas, con tiras de sujeción en el cuello y cintura</t>
  </si>
  <si>
    <t xml:space="preserve">Chaqueta fabricada en vaqueta, utilizada en trabajos de soldadura y/o fundición. Es ideal para proteger contra chispas o metales calientes. Color amarillo. Material: Vaqueta de cuero de res (vacuno), curtido al cromo, Hilo: poliéster, Cierres: broches metálicos.
Garantizando la calidad, seguridad y durabilidad del producto.
</t>
  </si>
  <si>
    <t>PETO PLASTICO COLOR NEGRO
Fabricado en material vinilo con soporte textil en poliéster para evitar desgarre, buenas resistencias físicas, color firme y durable que no se decolora ni se transfieren a otros materiales, calibre 25 (0.58 mm) industrial. Costuras con sistema de electro sellado, impiden filtraciones en las uniones. TALLA UNICA. y el ajuste se da con las correas de sujeción y las hebillas plásticas, con tiras de sujeción en el cuello y cintura.</t>
  </si>
  <si>
    <t xml:space="preserve">Guante  Poliuretano
Fabricado con la siguiente composición de los guantes mínimo del 50% hasta el 80% nailon y mínimo del 20% hasta 50% poliuretano.
Provee una capa con buena resistencia a la abrasión y rasgado, protección contra líquidos, agarre en seco y húmedo y durabilidad. El recubrimiento ofrece la misma sensibilidad táctil de un guante delgado, pero con la protección de un guante recubierto.
El cual debe generar alta flexibilidad, durabilidad y garantiza protección contra riesgos mecánicos 
</t>
  </si>
  <si>
    <t xml:space="preserve">Frasco Mayor o Igual a 100ml. </t>
  </si>
  <si>
    <t xml:space="preserve">Protector Auditivo tipo Copa.
Diadema y orejeras acolchadas para mayor comodidad del usuario, incluso en largas jornadas de trabajo.
Diadema graduable para mejor ajuste.
Diadema rota para permitir su uso con casco. Atenuación global del protector; con los siguientes rangos 23 a 25 dB, atenuación a altas frecuencias; 26 a 28 dB, atenuación a frecuencias medias; 20 a 22 dB, atenuación a bajas frecuencias.
Para usar en cascos que sería suministrados en la misma ficha en los ítems 1, 2 y 3 y/o de diadema para ser usados en cualquier tipo de casco.
</t>
  </si>
  <si>
    <t xml:space="preserve">Respirador libre de Mantenimiento N95 con válvula O sin valvula PLEGABLE
Fabricado con un Medio Filtrante Electrostático Avanzado, novedoso sistema de retención de partículas que permite mayor eficiencia del filtro con menor caída de presión que ofrece mayor comodidad y frescura al usuario. Brinda una efectiva, confortable e higiénica protección respiratoria contra aerosoles sólidos y ciertos líquidos sin aceite
OPCIONAL. Se acepta respirador con válvula de exhalación (válvula de aire fresco) o Sin Válvula. 
</t>
  </si>
  <si>
    <t>Respirador libre de Mantenimiento N95 con válvula o Sin Válvula.  NO PLEGABLE.
Fabricado con un Medio Filtrante Electrostático Avanzado, novedoso sistema de retención de partículas que permite mayor eficiencia del filtro con menor caída de presión que ofrece mayor comodidad y frescura al usuario. Brinda una efectiva, confortable e higiénica protección respiratoria contra aerosoles sólidos y ciertos líquidos sin aceite
OPCIONAL. Se acepta respirador con válvula de exhalación (válvula de aire fresco) o Sin Válvula.</t>
  </si>
  <si>
    <t>Respirador libre de Mantenimiento N95 con válvula o Sin Válvula NO PLEGABLE.
Fabricado con un Medio Filtrante Electrostático Avanzado, novedoso sistema de retención de partículas que permite mayor eficiencia del filtro con menor caída de presión que ofrece mayor comodidad y frescura al usuario. Brinda una efectiva, confortable e higiénica protección respiratoria contra aerosoles sólidos y ciertos líquidos sin aceite
OPCIONAL. Se acepta respirador con válvula de exhalación (válvula de aire fresco) o Sin Válvula.</t>
  </si>
  <si>
    <t>DIFERENCIA EN CANTIDADES 4 NOV 19 NOV</t>
  </si>
  <si>
    <t>VALOR TOTAL</t>
  </si>
  <si>
    <t>Total todo costo</t>
  </si>
  <si>
    <r>
      <t xml:space="preserve">NOTA: </t>
    </r>
    <r>
      <rPr>
        <sz val="12"/>
        <rFont val="Calibri"/>
        <family val="2"/>
        <scheme val="minor"/>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r>
      <rPr>
        <b/>
        <sz val="12"/>
        <rFont val="Calibri"/>
        <family val="2"/>
        <scheme val="minor"/>
      </rPr>
      <t xml:space="preserve">
</t>
    </r>
  </si>
  <si>
    <t>DESCRIPCION</t>
  </si>
  <si>
    <t>UNIDAD</t>
  </si>
  <si>
    <t>ENERO</t>
  </si>
  <si>
    <t>IPC ACUMULADO ANUAL -DANE</t>
  </si>
  <si>
    <t>https://www.dane.gov.co/index.php/estadisticas-por-tema/precios-y-costos/indice-de-precios-al-consumidor-ipc/ipc-historico#indice-de-precios-al-consumidor-ipc-2025</t>
  </si>
  <si>
    <t>TABULACIÓN DEPURADA COTIZACIONES PARA EL ESTUDIO DE SECTOR Y DE MERCADO</t>
  </si>
  <si>
    <t>SOLINCO COLOMBIA S.A.S</t>
  </si>
  <si>
    <t>VALOR TOTAL
INCLUIDO IVA</t>
  </si>
  <si>
    <t>Support IT</t>
  </si>
  <si>
    <t>VALOR UNITARIO
INCLUIDO IVA</t>
  </si>
  <si>
    <t xml:space="preserve">verificado datos abiertos no se evidencia de iguales condiciones para coger datos referencia </t>
  </si>
  <si>
    <t>BISTURI</t>
  </si>
  <si>
    <t xml:space="preserve">UNIDAD  </t>
  </si>
  <si>
    <t>BLOCK DE NOTAS BLANCO CUADRICULADO TAMAÑO CARTA x 50 HOJAS</t>
  </si>
  <si>
    <t>BORRADOR NATA 20*20</t>
  </si>
  <si>
    <t xml:space="preserve"> BORRADOR PARA TABLERO ACRÍLICO</t>
  </si>
  <si>
    <t xml:space="preserve">UNIDAD </t>
  </si>
  <si>
    <t>CARTULINA BLANCA X OCTAVOS</t>
  </si>
  <si>
    <t>CINTA ADHESIVA DELGADA TRANSPARENTE 12MT X 40MT</t>
  </si>
  <si>
    <t>CINTA AISLANTE NEGRA 18MX29MM</t>
  </si>
  <si>
    <t>CINTA CERA IMPRESORA DE ZEBRA REF. SAT RCOUT110X74</t>
  </si>
  <si>
    <t>CINTA DE ENMASCARAR DELGADA 24MMX20 METROS</t>
  </si>
  <si>
    <t>CINTA DE ENMASCARAR GRUESA 48MM X40 METROS</t>
  </si>
  <si>
    <t>CINTA GAFFER 50M X50MM</t>
  </si>
  <si>
    <t>CINTA MÁGICA 19 MM X 32.9 M</t>
  </si>
  <si>
    <t>DVD´S</t>
  </si>
  <si>
    <t>ESFEROS TINTA NEGRA</t>
  </si>
  <si>
    <t>GANCHO DE COSEDORA ESTANDAR</t>
  </si>
  <si>
    <t>CAJA</t>
  </si>
  <si>
    <t>GANCHO DE COSEDORA INDUSTRIAL</t>
  </si>
  <si>
    <t>GRAPADORAS ESTANDAR</t>
  </si>
  <si>
    <t>GUILLOTINA METÁLICA A4</t>
  </si>
  <si>
    <t>LÁPIZ MINA NEGRA HB</t>
  </si>
  <si>
    <t>MARCADOR PERMANENTE NEGRO</t>
  </si>
  <si>
    <t>MARCADOR PUNTA FINA NEGRO</t>
  </si>
  <si>
    <t>MARCADORES BORRABLES – AZUL</t>
  </si>
  <si>
    <t>MARCADORES BORRABLES – NEGRO</t>
  </si>
  <si>
    <t>MARCADORES BORRABLES – ROJO</t>
  </si>
  <si>
    <t>MEMORIA USB  32 GB</t>
  </si>
  <si>
    <t>NOTAS ADHESIVAS EN COLORES 76 X 76 MM PAQUETE X 5</t>
  </si>
  <si>
    <t>PILAS ALCALINAS AA (PAR)</t>
  </si>
  <si>
    <t>PILAS ALCALINAS AAA (PAR)</t>
  </si>
  <si>
    <t>RESALTADOR - AMARRILLO</t>
  </si>
  <si>
    <t xml:space="preserve">RESMAS DE PAPEL TAMAÑO CARTA </t>
  </si>
  <si>
    <t>RESMAS DE PAPEL TAMAÑO OFICIO 75 G</t>
  </si>
  <si>
    <t>SACA GANCHOS ESTANDAR</t>
  </si>
  <si>
    <t>TABLA PORTA DOCUMENTOS TAMAÑO OFICIO</t>
  </si>
  <si>
    <t>TABLERO ACRILICO 120CMX80CM</t>
  </si>
  <si>
    <t>TAJALÁPIZ METÁLICO</t>
  </si>
  <si>
    <t>TIJERAS CORTADORA DE PAPEL 7”</t>
  </si>
  <si>
    <t>ADQUISICIÓN DE ELEMENTOS DE PAPELERÍA Y ÚTILES DE OFICINA PARA LAS DEPENDENCIAS DE LA SUPERTRANSPORTE.</t>
  </si>
  <si>
    <t>SIP-DA-007-2026</t>
  </si>
  <si>
    <t>SUMICORP LTDA</t>
  </si>
  <si>
    <t>CONSTRUCTORA PINEDA SAS</t>
  </si>
  <si>
    <t>CINTA ANCHA ADHESIVA TRANSPARENTE 100 M X 48 MM</t>
  </si>
  <si>
    <t>CINTA DOBLE FAZ 30M X 12MM</t>
  </si>
  <si>
    <t>MARCA PAGINAS - BANDERITAS - 5 COLORES/PAQUETE (100-125 HOJAS)</t>
  </si>
  <si>
    <t xml:space="preserve">CINTA DE IMPRESIÓN REF. RIBBON YMCKT‑KT DS3 D 350 </t>
  </si>
  <si>
    <t xml:space="preserve">TONER HP BLACK MANAGED W9004MC - MFP E62555/65/75 – REF CF237YC </t>
  </si>
  <si>
    <t>SEEMATECH</t>
  </si>
  <si>
    <t>GRUPO SUMINISTROS S.A.S.</t>
  </si>
  <si>
    <t>GRAN PAPELERIA BOLIVAR SAS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</si>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</sst>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42" formatCode="_-&quot;$&quot;\ * #,##0_-;\-&quot;$&quot;\ * #,##0_-;_-&quot;$&quot;\ * &quot;-&quot;_-;_-@_-"/>
    <numFmt numFmtId="43" formatCode="_-* #,##0.00_-;\-* #,##0.00_-;_-* &quot;-&quot;??_-;_-@_-"/>
    <numFmt numFmtId="164" formatCode="_-* #,##0.00\ &quot;€&quot;_-;\-* #,##0.00\ &quot;€&quot;_-;_-* &quot;-&quot;??\ &quot;€&quot;_-;_-@_-"/>
    <numFmt numFmtId="165" formatCode="_-&quot;$&quot;* #,##0.00_-;\-&quot;$&quot;* #,##0.00_-;_-&quot;$&quot;* &quot;-&quot;??_-;_-@_-"/>
    <numFmt numFmtId="166" formatCode="_(&quot;$&quot;* #,##0.00_);_(&quot;$&quot;* \(#,##0.00\);_(&quot;$&quot;* &quot;-&quot;??_);_(@_)"/>
    <numFmt numFmtId="167" formatCode="_(* #,##0.00_);_(* \(#,##0.00\);_(* &quot;-&quot;??_);_(@_)"/>
    <numFmt numFmtId="168" formatCode="_-* #,##0.00\ _€_-;\-* #,##0.00\ _€_-;_-* &quot;-&quot;??\ _€_-;_-@_-"/>
    <numFmt numFmtId="169" formatCode="_(&quot;$&quot;\ * #,##0.00_);_(&quot;$&quot;\ * \(#,##0.00\);_(&quot;$&quot;\ * &quot;-&quot;??_);_(@_)"/>
    <numFmt numFmtId="170" formatCode="&quot;$&quot;\ #,##0.00"/>
    <numFmt numFmtId="171" formatCode="[$-240A]d&quot; de &quot;mmmm&quot; de &quot;yyyy;@"/>
    <numFmt numFmtId="172" formatCode="_([$$-240A]\ * #,##0.00_);_([$$-240A]\ * \(#,##0.00\);_([$$-240A]\ * &quot;-&quot;??_);_(@_)"/>
    <numFmt numFmtId="173" formatCode="_ [$€-2]\ * #,##0.00_ ;_ [$€-2]\ * \-#,##0.00_ ;_ [$€-2]\ * &quot;-&quot;??_ "/>
    <numFmt numFmtId="174" formatCode="_ * #,##0.00_ ;_ * \-#,##0.00_ ;_ * &quot;-&quot;??_ ;_ @_ "/>
    <numFmt numFmtId="175" formatCode="_ * #,##0.00000_ ;_ * \-#,##0.00000_ ;_ * &quot;-&quot;??_ ;_ @_ "/>
    <numFmt numFmtId="176" formatCode="_ &quot;$&quot;\ * #,##0.00_ ;_ &quot;$&quot;\ * \-#,##0.00_ ;_ &quot;$&quot;\ * &quot;-&quot;??_ ;_ @_ "/>
    <numFmt numFmtId="177" formatCode="_(&quot;C$&quot;* #,##0.00_);_(&quot;C$&quot;* \(#,##0.00\);_(&quot;C$&quot;* &quot;-&quot;??_);_(@_)"/>
    <numFmt numFmtId="178" formatCode="&quot;$&quot;#,##0\ ;\(&quot;$&quot;#,##0\)"/>
    <numFmt numFmtId="179" formatCode="[$-C0A]d\-mmm\-yy;@"/>
    <numFmt numFmtId="180" formatCode="_-&quot;$&quot;* #,##0_-;\-&quot;$&quot;* #,##0_-;_-&quot;$&quot;* &quot;-&quot;??_-;_-@_-"/>
    <numFmt numFmtId="181" formatCode="0.000"/>
    <numFmt numFmtId="182" formatCode="_(&quot;$&quot;\ * #,##0_);_(&quot;$&quot;\ * \(#,##0\);_(&quot;$&quot;\ * &quot;-&quot;??_);_(@_)"/>
    <numFmt numFmtId="183" formatCode="_ * #,##0.00_ ;_ * \-#,##0.00_ ;_ * \-??_ ;_ @_ "/>
    <numFmt numFmtId="184" formatCode="\$#,##0\ ;\(\$#,##0\)"/>
    <numFmt numFmtId="185" formatCode="_([$€]* #,##0.00_);_([$€]* \(#,##0.00\);_([$€]* &quot;-&quot;??_);_(@_)"/>
    <numFmt numFmtId="186" formatCode="_ * #,##0_ ;_ * \-#,##0_ ;_ * \-??_ ;_ @_ "/>
    <numFmt numFmtId="187" formatCode="#,##0.0"/>
    <numFmt numFmtId="188" formatCode="_-* #,##0.00\ _P_t_s_-;\-* #,##0.00\ _P_t_s_-;_-* &quot;-&quot;??\ _P_t_s_-;_-@_-"/>
    <numFmt numFmtId="189" formatCode="_ &quot;$&quot;\ * #,##0_ ;_ &quot;$&quot;\ * \-#,##0_ ;_ &quot;$&quot;\ * &quot;-&quot;_ ;_ @_ "/>
    <numFmt numFmtId="190" formatCode="_-* #,##0.00\ &quot;Pta&quot;_-;\-* #,##0.00\ &quot;Pta&quot;_-;_-* &quot;-&quot;??\ &quot;Pta&quot;_-;_-@_-"/>
    <numFmt numFmtId="191" formatCode="_-* #,##0.00\ &quot;Pts&quot;_-;\-* #,##0.00\ &quot;Pts&quot;_-;_-* &quot;-&quot;??\ &quot;Pts&quot;_-;_-@_-"/>
    <numFmt numFmtId="192" formatCode="_-* #,##0.00\ [$€]_-;\-* #,##0.00\ [$€]_-;_-* &quot;-&quot;??\ [$€]_-;_-@_-"/>
    <numFmt numFmtId="193" formatCode="_-[$$-240A]\ * #,##0.00_-;\-[$$-240A]\ * #,##0.00_-;_-[$$-240A]\ * &quot;-&quot;??_-;_-@_-"/>
    <numFmt numFmtId="194" formatCode="_(* #,##0_);_(* \(#,##0\);_(* &quot;-&quot;??_);_(@_)"/>
    <numFmt numFmtId="195" formatCode="0.0%"/>
    <numFmt numFmtId="196" formatCode="_-[$$-240A]\ * #,##0_-;\-[$$-240A]\ * #,##0_-;_-[$$-240A]\ * &quot;-&quot;??_-;_-@_-"/>
    <numFmt numFmtId="197" formatCode="_-&quot;$&quot;\ * #,##0_-;\-&quot;$&quot;\ * #,##0_-;_-&quot;$&quot;\ * &quot;-&quot;??_-;_-@_-"/>
  </numFmts>
  <fonts count="95">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u/>
      <sz val="11"/>
      <color theme="10"/>
      <name val="Calibri"/>
      <family val="2"/>
      <scheme val="minor"/>
    </font>
    <font>
      <sz val="11"/>
      <color theme="0"/>
      <name val="Calibri"/>
      <family val="2"/>
      <scheme val="minor"/>
    </font>
    <font>
      <b/>
      <sz val="10"/>
      <color rgb="FF000000"/>
      <name val="Calibri"/>
      <family val="2"/>
      <scheme val="minor"/>
    </font>
    <font>
      <sz val="12"/>
      <color rgb="FF000000"/>
      <name val="Arial"/>
      <family val="2"/>
    </font>
    <font>
      <b/>
      <sz val="11"/>
      <color rgb="FFFF0000"/>
      <name val="Calibri"/>
      <family val="2"/>
      <scheme val="minor"/>
    </font>
    <font>
      <b/>
      <sz val="12"/>
      <color theme="1"/>
      <name val="Calibri"/>
      <family val="2"/>
      <scheme val="minor"/>
    </font>
    <font>
      <sz val="12"/>
      <name val="Arial"/>
      <family val="2"/>
    </font>
    <font>
      <sz val="12"/>
      <color theme="1"/>
      <name val="Arial"/>
      <family val="2"/>
    </font>
    <font>
      <b/>
      <sz val="12"/>
      <color rgb="FF000000"/>
      <name val="Calibri"/>
      <family val="2"/>
      <scheme val="minor"/>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24"/>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b/>
      <sz val="11"/>
      <color rgb="FFFA7D00"/>
      <name val="Calibri"/>
      <family val="2"/>
      <scheme val="minor"/>
    </font>
    <font>
      <i/>
      <sz val="11"/>
      <color rgb="FF7F7F7F"/>
      <name val="Calibri"/>
      <family val="2"/>
      <scheme val="minor"/>
    </font>
    <font>
      <u/>
      <sz val="11"/>
      <color theme="10"/>
      <name val="Calibri"/>
      <family val="2"/>
    </font>
    <font>
      <b/>
      <sz val="20"/>
      <color theme="0"/>
      <name val="Calibri"/>
      <family val="2"/>
      <scheme val="minor"/>
    </font>
    <font>
      <sz val="14"/>
      <color theme="1"/>
      <name val="Arial"/>
      <family val="2"/>
    </font>
    <font>
      <b/>
      <sz val="16"/>
      <color theme="1"/>
      <name val="Arial"/>
      <family val="2"/>
    </font>
    <font>
      <b/>
      <sz val="10"/>
      <color theme="1"/>
      <name val="Arial"/>
      <family val="2"/>
    </font>
    <font>
      <b/>
      <sz val="11"/>
      <color rgb="FF000000"/>
      <name val="Calibri"/>
      <family val="2"/>
      <scheme val="minor"/>
    </font>
    <font>
      <b/>
      <sz val="10"/>
      <color rgb="FF000000"/>
      <name val="Arial"/>
      <family val="2"/>
    </font>
    <font>
      <b/>
      <sz val="11"/>
      <color theme="1"/>
      <name val="Arial"/>
      <family val="2"/>
    </font>
    <font>
      <b/>
      <sz val="13"/>
      <color theme="1"/>
      <name val="Calibri"/>
      <family val="2"/>
      <scheme val="minor"/>
    </font>
    <font>
      <b/>
      <sz val="12"/>
      <name val="Arial"/>
      <family val="2"/>
    </font>
    <font>
      <b/>
      <sz val="10"/>
      <color theme="1"/>
      <name val="Calibri"/>
      <family val="2"/>
      <scheme val="minor"/>
    </font>
    <font>
      <sz val="12"/>
      <color theme="1"/>
      <name val="Calibri"/>
      <family val="2"/>
      <scheme val="minor"/>
    </font>
    <font>
      <sz val="12"/>
      <color theme="1"/>
      <name val="Arial Narrow"/>
      <family val="2"/>
    </font>
    <font>
      <sz val="22"/>
      <color theme="1"/>
      <name val="Calibri"/>
      <family val="2"/>
      <scheme val="minor"/>
    </font>
    <font>
      <b/>
      <sz val="22"/>
      <color theme="1"/>
      <name val="Calibri"/>
      <family val="2"/>
      <scheme val="minor"/>
    </font>
    <font>
      <sz val="14"/>
      <color rgb="FF000000"/>
      <name val="Arial"/>
      <family val="2"/>
    </font>
    <font>
      <b/>
      <sz val="9"/>
      <color theme="1"/>
      <name val="Calibri"/>
      <family val="2"/>
      <scheme val="minor"/>
    </font>
    <font>
      <sz val="9"/>
      <color theme="1"/>
      <name val="Calibri"/>
      <family val="2"/>
      <scheme val="minor"/>
    </font>
    <font>
      <b/>
      <sz val="8"/>
      <color rgb="FF000000"/>
      <name val="Calibri"/>
      <family val="2"/>
    </font>
    <font>
      <sz val="8"/>
      <color rgb="FF000000"/>
      <name val="Calibri"/>
      <family val="2"/>
    </font>
    <font>
      <sz val="12"/>
      <color indexed="8"/>
      <name val="Arial"/>
      <family val="2"/>
    </font>
    <font>
      <b/>
      <sz val="12"/>
      <name val="Calibri"/>
      <family val="2"/>
      <scheme val="minor"/>
    </font>
    <font>
      <sz val="12"/>
      <name val="Calibri"/>
      <family val="2"/>
      <scheme val="minor"/>
    </font>
    <font>
      <sz val="14"/>
      <color theme="1"/>
      <name val="Calibri"/>
      <family val="2"/>
      <scheme val="minor"/>
    </font>
    <font>
      <sz val="8"/>
      <name val="Calibri"/>
      <family val="2"/>
      <scheme val="minor"/>
    </font>
    <font>
      <sz val="10"/>
      <color rgb="FF000000"/>
      <name val="Tahoma"/>
      <family val="2"/>
    </font>
    <font>
      <b/>
      <sz val="10"/>
      <color rgb="FF000000"/>
      <name val="Tahoma"/>
      <family val="2"/>
    </font>
    <font>
      <sz val="10"/>
      <color theme="1"/>
      <name val="Verdana"/>
      <family val="2"/>
    </font>
    <font>
      <sz val="12"/>
      <color rgb="FF000000"/>
      <name val="Calibri"/>
      <family val="2"/>
      <scheme val="minor"/>
    </font>
    <font>
      <b/>
      <sz val="14"/>
      <color theme="0"/>
      <name val="Calibri"/>
      <family val="2"/>
      <scheme val="minor"/>
    </font>
    <font>
      <b/>
      <sz val="14"/>
      <color theme="0" tint="-4.9989318521683403E-2"/>
      <name val="Calibri"/>
      <family val="2"/>
      <scheme val="minor"/>
    </font>
    <font>
      <sz val="16"/>
      <name val="Calibri"/>
      <family val="2"/>
      <scheme val="minor"/>
    </font>
    <font>
      <b/>
      <sz val="14"/>
      <color theme="1"/>
      <name val="Calibri"/>
      <family val="2"/>
      <scheme val="minor"/>
    </font>
  </fonts>
  <fills count="80">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FFC7CE"/>
      </patternFill>
    </fill>
    <fill>
      <patternFill patternType="solid">
        <fgColor rgb="FFFFEB9C"/>
      </patternFill>
    </fill>
    <fill>
      <patternFill patternType="solid">
        <fgColor rgb="FFF2F2F2"/>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tint="-4.9989318521683403E-2"/>
        <bgColor indexed="64"/>
      </patternFill>
    </fill>
    <fill>
      <patternFill patternType="solid">
        <fgColor rgb="FFDEEAF6"/>
        <bgColor indexed="64"/>
      </patternFill>
    </fill>
    <fill>
      <patternFill patternType="solid">
        <fgColor theme="0"/>
        <bgColor indexed="31"/>
      </patternFill>
    </fill>
    <fill>
      <patternFill patternType="solid">
        <fgColor rgb="FFFFFFFF"/>
        <bgColor indexed="64"/>
      </patternFill>
    </fill>
    <fill>
      <patternFill patternType="solid">
        <fgColor theme="4" tint="0.59999389629810485"/>
        <bgColor indexed="31"/>
      </patternFill>
    </fill>
    <fill>
      <patternFill patternType="solid">
        <fgColor theme="4" tint="0.59999389629810485"/>
        <bgColor indexed="64"/>
      </patternFill>
    </fill>
    <fill>
      <patternFill patternType="solid">
        <fgColor rgb="FFFF0000"/>
        <bgColor indexed="64"/>
      </patternFill>
    </fill>
    <fill>
      <patternFill patternType="solid">
        <fgColor theme="3" tint="-0.249977111117893"/>
        <bgColor indexed="64"/>
      </patternFill>
    </fill>
    <fill>
      <patternFill patternType="solid">
        <fgColor theme="5" tint="0.59999389629810485"/>
        <bgColor indexed="64"/>
      </patternFill>
    </fill>
    <fill>
      <patternFill patternType="solid">
        <fgColor rgb="FFFFFF00"/>
        <bgColor indexed="64"/>
      </patternFill>
    </fill>
  </fills>
  <borders count="10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right/>
      <top/>
      <bottom style="dashed">
        <color indexed="64"/>
      </bottom>
      <diagonal/>
    </border>
    <border>
      <left/>
      <right style="dotted">
        <color indexed="64"/>
      </right>
      <top style="dashed">
        <color indexed="64"/>
      </top>
      <bottom style="dashed">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539">
    <xf numFmtId="0" fontId="0" fillId="0" borderId="0"/>
    <xf numFmtId="167" fontId="2" fillId="0" borderId="0" applyFont="0" applyFill="0" applyBorder="0" applyAlignment="0" applyProtection="0"/>
    <xf numFmtId="0" fontId="2" fillId="0" borderId="0"/>
    <xf numFmtId="165" fontId="2" fillId="0" borderId="0" applyFont="0" applyFill="0" applyBorder="0" applyAlignment="0" applyProtection="0"/>
    <xf numFmtId="0" fontId="7" fillId="0" borderId="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0" fontId="8" fillId="4"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0"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0" fontId="8" fillId="5"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0" fontId="8" fillId="6"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0" fontId="8" fillId="7"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9"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0"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0" fontId="8" fillId="9"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0" fontId="8" fillId="10"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0"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1"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0" fontId="8" fillId="13"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1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0" fontId="8" fillId="7"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5"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0" fontId="8" fillId="10"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8"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0" fontId="8" fillId="14"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8" fillId="12"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0" fontId="9" fillId="16"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0" fontId="9" fillId="11"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0" fontId="9" fillId="13"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0" fontId="9" fillId="17"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5"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0" fontId="9" fillId="1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8"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0" fontId="9" fillId="19"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9" fillId="11"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0" fontId="11" fillId="6"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1" fillId="8" borderId="0" applyNumberFormat="0" applyBorder="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0" fontId="12" fillId="24"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3" fillId="25" borderId="32"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0"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4" fillId="26" borderId="33" applyNumberFormat="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0" fontId="16" fillId="0" borderId="35"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172" fontId="15" fillId="0" borderId="34" applyNumberFormat="0" applyFill="0" applyAlignment="0" applyProtection="0"/>
    <xf numFmtId="0" fontId="14" fillId="26" borderId="33" applyNumberFormat="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0" fontId="18"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17" fillId="0" borderId="0" applyNumberFormat="0" applyFill="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0" fontId="9" fillId="21"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7"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0" fontId="9" fillId="22"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20"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0" fontId="9" fillId="23"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14"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0" fontId="9" fillId="17"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2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0"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18"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0" fontId="9" fillId="20"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9" fillId="22" borderId="0" applyNumberFormat="0" applyBorder="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0" fontId="19" fillId="9"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2" fontId="19" fillId="15" borderId="32" applyNumberFormat="0" applyAlignment="0" applyProtection="0"/>
    <xf numFmtId="173" fontId="7" fillId="0" borderId="0" applyFont="0" applyFill="0" applyBorder="0" applyAlignment="0" applyProtection="0"/>
    <xf numFmtId="0" fontId="11" fillId="6" borderId="0" applyNumberFormat="0" applyBorder="0" applyAlignment="0" applyProtection="0"/>
    <xf numFmtId="0" fontId="21" fillId="0" borderId="36" applyNumberFormat="0" applyFill="0" applyAlignment="0" applyProtection="0"/>
    <xf numFmtId="0" fontId="18" fillId="0" borderId="0" applyNumberFormat="0" applyFill="0" applyBorder="0" applyAlignment="0" applyProtection="0"/>
    <xf numFmtId="0" fontId="23" fillId="0" borderId="0" applyNumberFormat="0" applyFill="0" applyBorder="0" applyAlignment="0" applyProtection="0">
      <alignment vertical="top"/>
      <protection locked="0"/>
    </xf>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0" fontId="10" fillId="5"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172" fontId="10" fillId="7" borderId="0" applyNumberFormat="0" applyBorder="0" applyAlignment="0" applyProtection="0"/>
    <xf numFmtId="0" fontId="19" fillId="9" borderId="32" applyNumberFormat="0" applyAlignment="0" applyProtection="0"/>
    <xf numFmtId="0" fontId="16" fillId="0" borderId="35" applyNumberFormat="0" applyFill="0" applyAlignment="0" applyProtection="0"/>
    <xf numFmtId="170"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68" fontId="7"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4"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4" fontId="2" fillId="0" borderId="0" applyFont="0" applyFill="0" applyBorder="0" applyAlignment="0" applyProtection="0"/>
    <xf numFmtId="167" fontId="7" fillId="0" borderId="0" applyFont="0" applyFill="0" applyBorder="0" applyAlignment="0" applyProtection="0"/>
    <xf numFmtId="169" fontId="2"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6" fontId="2" fillId="0" borderId="0" applyFont="0" applyFill="0" applyBorder="0" applyAlignment="0" applyProtection="0"/>
    <xf numFmtId="177" fontId="7" fillId="0" borderId="0" applyFont="0" applyFill="0" applyBorder="0" applyAlignment="0" applyProtection="0"/>
    <xf numFmtId="178" fontId="24" fillId="0" borderId="0" applyFont="0" applyFill="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0" fontId="26"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25" fillId="15" borderId="0" applyNumberFormat="0" applyBorder="0" applyAlignment="0" applyProtection="0"/>
    <xf numFmtId="172" fontId="7" fillId="0" borderId="0"/>
    <xf numFmtId="0" fontId="27" fillId="0" borderId="0" applyNumberFormat="0" applyFill="0" applyBorder="0" applyProtection="0">
      <alignment vertical="top"/>
    </xf>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7" fillId="0" borderId="0"/>
    <xf numFmtId="174" fontId="7"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0" fontId="7"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7" fillId="0" borderId="0"/>
    <xf numFmtId="172" fontId="7" fillId="0" borderId="0"/>
    <xf numFmtId="172" fontId="7" fillId="0" borderId="0"/>
    <xf numFmtId="172" fontId="7" fillId="0" borderId="0"/>
    <xf numFmtId="172" fontId="7" fillId="0" borderId="0"/>
    <xf numFmtId="172" fontId="7" fillId="0" borderId="0"/>
    <xf numFmtId="172" fontId="8" fillId="0" borderId="0"/>
    <xf numFmtId="172" fontId="7" fillId="0" borderId="0"/>
    <xf numFmtId="172" fontId="8" fillId="0" borderId="0"/>
    <xf numFmtId="172" fontId="8" fillId="0" borderId="0"/>
    <xf numFmtId="172" fontId="8" fillId="0" borderId="0"/>
    <xf numFmtId="172" fontId="8" fillId="0" borderId="0"/>
    <xf numFmtId="172" fontId="8" fillId="0" borderId="0"/>
    <xf numFmtId="172" fontId="7" fillId="0" borderId="0"/>
    <xf numFmtId="172" fontId="7" fillId="0" borderId="0"/>
    <xf numFmtId="172" fontId="7" fillId="0" borderId="0"/>
    <xf numFmtId="172" fontId="7" fillId="0" borderId="0"/>
    <xf numFmtId="179" fontId="2" fillId="0" borderId="0"/>
    <xf numFmtId="179" fontId="2" fillId="0" borderId="0"/>
    <xf numFmtId="0" fontId="7" fillId="0" borderId="0"/>
    <xf numFmtId="0" fontId="7" fillId="0" borderId="0"/>
    <xf numFmtId="172" fontId="7" fillId="0" borderId="0"/>
    <xf numFmtId="172" fontId="7" fillId="0" borderId="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0"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172" fontId="7" fillId="12" borderId="39" applyNumberFormat="0" applyFont="0" applyAlignment="0" applyProtection="0"/>
    <xf numFmtId="0" fontId="7" fillId="12" borderId="3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0" fontId="28" fillId="24"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28" fillId="25" borderId="40" applyNumberFormat="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0"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15"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0"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20" fillId="0" borderId="0" applyNumberFormat="0" applyFill="0" applyBorder="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0" fontId="21" fillId="0" borderId="36"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0" fillId="0" borderId="41" applyNumberFormat="0" applyFill="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0" fontId="22" fillId="0" borderId="37"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2" fillId="0" borderId="42" applyNumberFormat="0" applyFill="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0" fontId="18" fillId="0" borderId="38"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17" fillId="0" borderId="43" applyNumberFormat="0" applyFill="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0" fontId="29"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1" fillId="0" borderId="0" applyNumberFormat="0" applyFill="0" applyBorder="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0" fontId="33" fillId="0" borderId="45"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172" fontId="33" fillId="0" borderId="44" applyNumberFormat="0" applyFill="0" applyAlignment="0" applyProtection="0"/>
    <xf numFmtId="0" fontId="15" fillId="0" borderId="0" applyNumberFormat="0" applyFill="0" applyBorder="0" applyAlignment="0" applyProtection="0"/>
    <xf numFmtId="167"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37" fillId="31" borderId="0" applyNumberFormat="0" applyBorder="0" applyAlignment="0" applyProtection="0"/>
    <xf numFmtId="0" fontId="7" fillId="0" borderId="0"/>
    <xf numFmtId="183" fontId="7" fillId="0" borderId="0" applyFill="0" applyBorder="0" applyAlignment="0" applyProtection="0"/>
    <xf numFmtId="9" fontId="7" fillId="0" borderId="0" applyFill="0" applyBorder="0" applyAlignment="0" applyProtection="0"/>
    <xf numFmtId="40" fontId="46" fillId="0" borderId="0">
      <alignment horizontal="center"/>
    </xf>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3" fontId="47" fillId="0" borderId="0">
      <alignment horizontal="center" vertical="center"/>
    </xf>
    <xf numFmtId="0" fontId="7" fillId="0" borderId="0"/>
    <xf numFmtId="0" fontId="47" fillId="0" borderId="65" applyNumberFormat="0" applyFont="0" applyFill="0" applyAlignment="0" applyProtection="0">
      <alignment horizontal="left"/>
    </xf>
    <xf numFmtId="3" fontId="7" fillId="0" borderId="0" applyFont="0" applyFill="0" applyBorder="0" applyAlignment="0" applyProtection="0"/>
    <xf numFmtId="3" fontId="7" fillId="0" borderId="0" applyFont="0" applyFill="0" applyBorder="0" applyAlignment="0" applyProtection="0"/>
    <xf numFmtId="184" fontId="7" fillId="0" borderId="0" applyFont="0" applyFill="0" applyBorder="0" applyAlignment="0" applyProtection="0"/>
    <xf numFmtId="184"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33" fillId="32" borderId="0" applyNumberFormat="0" applyBorder="0" applyAlignment="0" applyProtection="0"/>
    <xf numFmtId="0" fontId="33" fillId="33" borderId="0" applyNumberFormat="0" applyBorder="0" applyAlignment="0" applyProtection="0"/>
    <xf numFmtId="0" fontId="33" fillId="34"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9" fillId="36" borderId="0" applyNumberFormat="0" applyBorder="0" applyAlignment="0" applyProtection="0"/>
    <xf numFmtId="0" fontId="8" fillId="37" borderId="0" applyNumberFormat="0" applyBorder="0" applyAlignment="0" applyProtection="0"/>
    <xf numFmtId="0" fontId="8" fillId="38" borderId="0" applyNumberFormat="0" applyBorder="0" applyAlignment="0" applyProtection="0"/>
    <xf numFmtId="0" fontId="9" fillId="39" borderId="0" applyNumberFormat="0" applyBorder="0" applyAlignment="0" applyProtection="0"/>
    <xf numFmtId="0" fontId="8" fillId="37" borderId="0" applyNumberFormat="0" applyBorder="0" applyAlignment="0" applyProtection="0"/>
    <xf numFmtId="0" fontId="8" fillId="40" borderId="0" applyNumberFormat="0" applyBorder="0" applyAlignment="0" applyProtection="0"/>
    <xf numFmtId="0" fontId="9" fillId="38" borderId="0" applyNumberFormat="0" applyBorder="0" applyAlignment="0" applyProtection="0"/>
    <xf numFmtId="0" fontId="8" fillId="35" borderId="0" applyNumberFormat="0" applyBorder="0" applyAlignment="0" applyProtection="0"/>
    <xf numFmtId="0" fontId="8" fillId="38" borderId="0" applyNumberFormat="0" applyBorder="0" applyAlignment="0" applyProtection="0"/>
    <xf numFmtId="0" fontId="9" fillId="38" borderId="0" applyNumberFormat="0" applyBorder="0" applyAlignment="0" applyProtection="0"/>
    <xf numFmtId="0" fontId="8" fillId="41" borderId="0" applyNumberFormat="0" applyBorder="0" applyAlignment="0" applyProtection="0"/>
    <xf numFmtId="0" fontId="8" fillId="35" borderId="0" applyNumberFormat="0" applyBorder="0" applyAlignment="0" applyProtection="0"/>
    <xf numFmtId="0" fontId="9" fillId="36" borderId="0" applyNumberFormat="0" applyBorder="0" applyAlignment="0" applyProtection="0"/>
    <xf numFmtId="0" fontId="8" fillId="37" borderId="0" applyNumberFormat="0" applyBorder="0" applyAlignment="0" applyProtection="0"/>
    <xf numFmtId="0" fontId="8" fillId="42" borderId="0" applyNumberFormat="0" applyBorder="0" applyAlignment="0" applyProtection="0"/>
    <xf numFmtId="0" fontId="9" fillId="42" borderId="0" applyNumberFormat="0" applyBorder="0" applyAlignment="0" applyProtection="0"/>
    <xf numFmtId="0" fontId="48" fillId="0" borderId="0"/>
    <xf numFmtId="185" fontId="49" fillId="0" borderId="0" applyFont="0" applyFill="0" applyBorder="0" applyAlignment="0" applyProtection="0"/>
    <xf numFmtId="173" fontId="8" fillId="0" borderId="0" applyFont="0" applyFill="0" applyBorder="0" applyAlignment="0" applyProtection="0"/>
    <xf numFmtId="173" fontId="45" fillId="0" borderId="0" applyFont="0" applyFill="0" applyBorder="0" applyAlignment="0" applyProtection="0"/>
    <xf numFmtId="173" fontId="45" fillId="0" borderId="0" applyFont="0" applyFill="0" applyBorder="0" applyAlignment="0" applyProtection="0"/>
    <xf numFmtId="173" fontId="45"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181" fontId="7" fillId="0" borderId="0" applyFont="0" applyFill="0" applyBorder="0" applyAlignment="0" applyProtection="0"/>
    <xf numFmtId="186" fontId="7" fillId="0" borderId="0" applyFill="0" applyBorder="0" applyAlignment="0" applyProtection="0"/>
    <xf numFmtId="187" fontId="7" fillId="0" borderId="0" applyFont="0" applyFill="0" applyBorder="0" applyAlignment="0" applyProtection="0"/>
    <xf numFmtId="174" fontId="7" fillId="0" borderId="0" applyFont="0" applyFill="0" applyBorder="0" applyAlignment="0" applyProtection="0"/>
    <xf numFmtId="167" fontId="8" fillId="0" borderId="0" applyFont="0" applyFill="0" applyBorder="0" applyAlignment="0" applyProtection="0"/>
    <xf numFmtId="43" fontId="7" fillId="0" borderId="0" applyFont="0" applyFill="0" applyBorder="0" applyAlignment="0" applyProtection="0"/>
    <xf numFmtId="188" fontId="7" fillId="0" borderId="0" applyFont="0" applyFill="0" applyBorder="0" applyAlignment="0" applyProtection="0"/>
    <xf numFmtId="174" fontId="7" fillId="0" borderId="0" applyFont="0" applyFill="0" applyBorder="0" applyAlignment="0" applyProtection="0"/>
    <xf numFmtId="189" fontId="7" fillId="0" borderId="0" applyFont="0" applyFill="0" applyBorder="0" applyAlignment="0" applyProtection="0"/>
    <xf numFmtId="164" fontId="7" fillId="0" borderId="0" applyFont="0" applyFill="0" applyBorder="0" applyAlignment="0" applyProtection="0"/>
    <xf numFmtId="190" fontId="7"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76" fontId="7" fillId="0" borderId="0" applyFont="0" applyFill="0" applyBorder="0" applyAlignment="0" applyProtection="0"/>
    <xf numFmtId="0" fontId="7" fillId="0" borderId="0"/>
    <xf numFmtId="0" fontId="7" fillId="0" borderId="0"/>
    <xf numFmtId="0" fontId="7" fillId="0" borderId="0"/>
    <xf numFmtId="0" fontId="7" fillId="0" borderId="0"/>
    <xf numFmtId="0" fontId="50" fillId="0" borderId="0"/>
    <xf numFmtId="0" fontId="45" fillId="0" borderId="0"/>
    <xf numFmtId="0" fontId="45" fillId="0" borderId="0"/>
    <xf numFmtId="0" fontId="7" fillId="0" borderId="0"/>
    <xf numFmtId="0" fontId="7" fillId="0" borderId="0"/>
    <xf numFmtId="0" fontId="45" fillId="0" borderId="0"/>
    <xf numFmtId="0" fontId="45" fillId="0" borderId="0"/>
    <xf numFmtId="0" fontId="45"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45" fillId="0" borderId="0"/>
    <xf numFmtId="0" fontId="51" fillId="0" borderId="0"/>
    <xf numFmtId="0" fontId="42" fillId="0" borderId="0"/>
    <xf numFmtId="9" fontId="7" fillId="0" borderId="0" applyFont="0" applyFill="0" applyBorder="0" applyAlignment="0" applyProtection="0"/>
    <xf numFmtId="9" fontId="7" fillId="0" borderId="0" applyFont="0" applyFill="0" applyBorder="0" applyAlignment="0" applyProtection="0"/>
    <xf numFmtId="0" fontId="31" fillId="0" borderId="0" applyNumberFormat="0" applyFill="0" applyBorder="0" applyAlignment="0" applyProtection="0"/>
    <xf numFmtId="0" fontId="52" fillId="0" borderId="0"/>
    <xf numFmtId="9" fontId="7" fillId="0" borderId="0" applyFont="0" applyFill="0" applyBorder="0" applyAlignment="0" applyProtection="0"/>
    <xf numFmtId="0" fontId="7" fillId="0" borderId="0"/>
    <xf numFmtId="0" fontId="7" fillId="0" borderId="0"/>
    <xf numFmtId="169" fontId="2" fillId="0" borderId="0" applyFont="0" applyFill="0" applyBorder="0" applyAlignment="0" applyProtection="0"/>
    <xf numFmtId="169" fontId="2" fillId="0" borderId="0" applyFont="0" applyFill="0" applyBorder="0" applyAlignment="0" applyProtection="0"/>
    <xf numFmtId="0" fontId="54" fillId="0" borderId="0" applyNumberFormat="0" applyFill="0" applyBorder="0" applyAlignment="0" applyProtection="0"/>
    <xf numFmtId="0" fontId="55" fillId="0" borderId="66" applyNumberFormat="0" applyFill="0" applyAlignment="0" applyProtection="0"/>
    <xf numFmtId="0" fontId="56" fillId="0" borderId="67" applyNumberFormat="0" applyFill="0" applyAlignment="0" applyProtection="0"/>
    <xf numFmtId="0" fontId="57" fillId="43" borderId="0" applyNumberFormat="0" applyBorder="0" applyAlignment="0" applyProtection="0"/>
    <xf numFmtId="0" fontId="58" fillId="44" borderId="0" applyNumberFormat="0" applyBorder="0" applyAlignment="0" applyProtection="0"/>
    <xf numFmtId="0" fontId="59" fillId="45" borderId="69" applyNumberFormat="0" applyAlignment="0" applyProtection="0"/>
    <xf numFmtId="0" fontId="60" fillId="45" borderId="68" applyNumberFormat="0" applyAlignment="0" applyProtection="0"/>
    <xf numFmtId="0" fontId="61" fillId="0" borderId="0" applyNumberFormat="0" applyFill="0" applyBorder="0" applyAlignment="0" applyProtection="0"/>
    <xf numFmtId="0" fontId="3" fillId="0" borderId="70" applyNumberFormat="0" applyFill="0" applyAlignment="0" applyProtection="0"/>
    <xf numFmtId="0" fontId="37" fillId="46" borderId="0" applyNumberFormat="0" applyBorder="0" applyAlignment="0" applyProtection="0"/>
    <xf numFmtId="0" fontId="2" fillId="47" borderId="0" applyNumberFormat="0" applyBorder="0" applyAlignment="0" applyProtection="0"/>
    <xf numFmtId="0" fontId="2" fillId="48" borderId="0" applyNumberFormat="0" applyBorder="0" applyAlignment="0" applyProtection="0"/>
    <xf numFmtId="0" fontId="37" fillId="49" borderId="0" applyNumberFormat="0" applyBorder="0" applyAlignment="0" applyProtection="0"/>
    <xf numFmtId="0" fontId="2" fillId="50" borderId="0" applyNumberFormat="0" applyBorder="0" applyAlignment="0" applyProtection="0"/>
    <xf numFmtId="0" fontId="2" fillId="51" borderId="0" applyNumberFormat="0" applyBorder="0" applyAlignment="0" applyProtection="0"/>
    <xf numFmtId="0" fontId="37" fillId="52" borderId="0" applyNumberFormat="0" applyBorder="0" applyAlignment="0" applyProtection="0"/>
    <xf numFmtId="0" fontId="37" fillId="53" borderId="0" applyNumberFormat="0" applyBorder="0" applyAlignment="0" applyProtection="0"/>
    <xf numFmtId="0" fontId="2" fillId="54" borderId="0" applyNumberFormat="0" applyBorder="0" applyAlignment="0" applyProtection="0"/>
    <xf numFmtId="0" fontId="2" fillId="55" borderId="0" applyNumberFormat="0" applyBorder="0" applyAlignment="0" applyProtection="0"/>
    <xf numFmtId="0" fontId="37" fillId="56" borderId="0" applyNumberFormat="0" applyBorder="0" applyAlignment="0" applyProtection="0"/>
    <xf numFmtId="0" fontId="37" fillId="57" borderId="0" applyNumberFormat="0" applyBorder="0" applyAlignment="0" applyProtection="0"/>
    <xf numFmtId="0" fontId="2" fillId="58" borderId="0" applyNumberFormat="0" applyBorder="0" applyAlignment="0" applyProtection="0"/>
    <xf numFmtId="0" fontId="2" fillId="59" borderId="0" applyNumberFormat="0" applyBorder="0" applyAlignment="0" applyProtection="0"/>
    <xf numFmtId="0" fontId="37" fillId="60" borderId="0" applyNumberFormat="0" applyBorder="0" applyAlignment="0" applyProtection="0"/>
    <xf numFmtId="0" fontId="37" fillId="61" borderId="0" applyNumberFormat="0" applyBorder="0" applyAlignment="0" applyProtection="0"/>
    <xf numFmtId="0" fontId="2" fillId="62" borderId="0" applyNumberFormat="0" applyBorder="0" applyAlignment="0" applyProtection="0"/>
    <xf numFmtId="0" fontId="2" fillId="63" borderId="0" applyNumberFormat="0" applyBorder="0" applyAlignment="0" applyProtection="0"/>
    <xf numFmtId="0" fontId="37" fillId="64" borderId="0" applyNumberFormat="0" applyBorder="0" applyAlignment="0" applyProtection="0"/>
    <xf numFmtId="0" fontId="37" fillId="65" borderId="0" applyNumberFormat="0" applyBorder="0" applyAlignment="0" applyProtection="0"/>
    <xf numFmtId="0" fontId="2" fillId="66" borderId="0" applyNumberFormat="0" applyBorder="0" applyAlignment="0" applyProtection="0"/>
    <xf numFmtId="0" fontId="2" fillId="67" borderId="0" applyNumberFormat="0" applyBorder="0" applyAlignment="0" applyProtection="0"/>
    <xf numFmtId="0" fontId="37" fillId="68" borderId="0" applyNumberFormat="0" applyBorder="0" applyAlignment="0" applyProtection="0"/>
    <xf numFmtId="0" fontId="62" fillId="0" borderId="0" applyNumberFormat="0" applyFill="0" applyBorder="0" applyAlignment="0" applyProtection="0">
      <alignment vertical="top"/>
      <protection locked="0"/>
    </xf>
    <xf numFmtId="0" fontId="8" fillId="0" borderId="0"/>
    <xf numFmtId="0" fontId="36" fillId="0" borderId="0" applyNumberFormat="0" applyFill="0" applyBorder="0" applyAlignment="0" applyProtection="0"/>
    <xf numFmtId="192" fontId="7" fillId="0" borderId="0" applyFont="0" applyFill="0" applyBorder="0" applyAlignment="0" applyProtection="0"/>
    <xf numFmtId="0" fontId="23" fillId="0" borderId="0" applyNumberFormat="0" applyFill="0" applyBorder="0" applyAlignment="0" applyProtection="0">
      <alignment vertical="top"/>
      <protection locked="0"/>
    </xf>
    <xf numFmtId="168" fontId="2" fillId="0" borderId="0" applyFont="0" applyFill="0" applyBorder="0" applyAlignment="0" applyProtection="0"/>
    <xf numFmtId="173" fontId="7" fillId="0" borderId="0" applyFont="0" applyFill="0" applyBorder="0" applyAlignment="0" applyProtection="0"/>
    <xf numFmtId="167" fontId="2" fillId="0" borderId="0" applyFont="0" applyFill="0" applyBorder="0" applyAlignment="0" applyProtection="0"/>
    <xf numFmtId="166" fontId="2" fillId="0" borderId="0" applyFont="0" applyFill="0" applyBorder="0" applyAlignment="0" applyProtection="0"/>
    <xf numFmtId="42" fontId="2" fillId="0" borderId="0" applyFont="0" applyFill="0" applyBorder="0" applyAlignment="0" applyProtection="0"/>
    <xf numFmtId="49" fontId="89" fillId="0" borderId="0" applyFill="0" applyBorder="0" applyProtection="0">
      <alignment horizontal="left" vertical="center"/>
    </xf>
  </cellStyleXfs>
  <cellXfs count="288">
    <xf numFmtId="0" fontId="0" fillId="0" borderId="0" xfId="0"/>
    <xf numFmtId="0" fontId="68" fillId="0" borderId="77" xfId="0" applyFont="1" applyBorder="1" applyAlignment="1">
      <alignment horizontal="left" vertical="center" wrapText="1"/>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5" fillId="0" borderId="0" xfId="0" applyFont="1"/>
    <xf numFmtId="0" fontId="5" fillId="0" borderId="17" xfId="0" applyFont="1" applyBorder="1"/>
    <xf numFmtId="0" fontId="5" fillId="0" borderId="16" xfId="0" applyFont="1" applyBorder="1"/>
    <xf numFmtId="0" fontId="5" fillId="0" borderId="18" xfId="0" applyFont="1" applyBorder="1" applyAlignment="1">
      <alignment horizontal="center"/>
    </xf>
    <xf numFmtId="171" fontId="5" fillId="0" borderId="16" xfId="0" applyNumberFormat="1" applyFont="1" applyBorder="1"/>
    <xf numFmtId="165" fontId="5" fillId="0" borderId="17" xfId="3" applyFont="1" applyFill="1" applyBorder="1"/>
    <xf numFmtId="0" fontId="5" fillId="0" borderId="18" xfId="0" applyFont="1" applyBorder="1"/>
    <xf numFmtId="0" fontId="5" fillId="0" borderId="19" xfId="0" applyFont="1" applyBorder="1"/>
    <xf numFmtId="0" fontId="5" fillId="0" borderId="21" xfId="0" applyFont="1" applyBorder="1"/>
    <xf numFmtId="0" fontId="5" fillId="0" borderId="23" xfId="0" applyFont="1" applyBorder="1"/>
    <xf numFmtId="0" fontId="5" fillId="0" borderId="24" xfId="0" applyFont="1" applyBorder="1"/>
    <xf numFmtId="0" fontId="5" fillId="0" borderId="25" xfId="0" applyFont="1" applyBorder="1" applyAlignment="1">
      <alignment horizontal="center"/>
    </xf>
    <xf numFmtId="171" fontId="5" fillId="0" borderId="26" xfId="0" applyNumberFormat="1" applyFont="1" applyBorder="1"/>
    <xf numFmtId="0" fontId="5" fillId="0" borderId="27" xfId="0" applyFont="1" applyBorder="1"/>
    <xf numFmtId="165" fontId="5" fillId="0" borderId="27" xfId="3" applyFont="1" applyBorder="1"/>
    <xf numFmtId="0" fontId="5" fillId="0" borderId="28" xfId="0" applyFont="1" applyBorder="1"/>
    <xf numFmtId="0" fontId="5" fillId="0" borderId="20" xfId="0" applyFont="1" applyBorder="1"/>
    <xf numFmtId="0" fontId="5" fillId="0" borderId="29" xfId="0" applyFont="1" applyBorder="1"/>
    <xf numFmtId="0" fontId="5" fillId="0" borderId="22" xfId="0" applyFont="1" applyBorder="1"/>
    <xf numFmtId="0" fontId="5" fillId="0" borderId="30" xfId="0" applyFont="1" applyBorder="1"/>
    <xf numFmtId="0" fontId="5" fillId="0" borderId="29" xfId="0" applyFont="1" applyBorder="1" applyAlignment="1">
      <alignment horizontal="center"/>
    </xf>
    <xf numFmtId="0" fontId="5" fillId="0" borderId="26" xfId="0" applyFont="1" applyBorder="1"/>
    <xf numFmtId="0" fontId="5" fillId="0" borderId="28" xfId="0" applyFont="1" applyBorder="1" applyAlignment="1">
      <alignment horizontal="center"/>
    </xf>
    <xf numFmtId="165" fontId="5" fillId="0" borderId="27" xfId="3" applyFont="1" applyFill="1" applyBorder="1"/>
    <xf numFmtId="0" fontId="34" fillId="0" borderId="0" xfId="0" applyFont="1"/>
    <xf numFmtId="0" fontId="35" fillId="0" borderId="0" xfId="0" applyFont="1"/>
    <xf numFmtId="0" fontId="5" fillId="0" borderId="31" xfId="0" applyFont="1" applyBorder="1"/>
    <xf numFmtId="0" fontId="5" fillId="0" borderId="46" xfId="0" applyFont="1" applyBorder="1"/>
    <xf numFmtId="0" fontId="5" fillId="0" borderId="47" xfId="0" applyFont="1" applyBorder="1"/>
    <xf numFmtId="0" fontId="5" fillId="0" borderId="48" xfId="0" applyFont="1" applyBorder="1"/>
    <xf numFmtId="0" fontId="0" fillId="30" borderId="1" xfId="0" applyFill="1" applyBorder="1"/>
    <xf numFmtId="0" fontId="0" fillId="30" borderId="1" xfId="0" applyFill="1" applyBorder="1" applyAlignment="1">
      <alignment horizontal="center"/>
    </xf>
    <xf numFmtId="0" fontId="4" fillId="30" borderId="0" xfId="0" applyFont="1" applyFill="1"/>
    <xf numFmtId="0" fontId="3" fillId="30" borderId="0" xfId="0" applyFont="1" applyFill="1"/>
    <xf numFmtId="182" fontId="43" fillId="0" borderId="5" xfId="0" applyNumberFormat="1" applyFont="1" applyBorder="1" applyAlignment="1">
      <alignment vertical="center"/>
    </xf>
    <xf numFmtId="10" fontId="0" fillId="30" borderId="0" xfId="0" applyNumberFormat="1" applyFill="1"/>
    <xf numFmtId="182" fontId="43" fillId="0" borderId="4" xfId="0" applyNumberFormat="1" applyFont="1" applyBorder="1" applyAlignment="1">
      <alignment vertical="center"/>
    </xf>
    <xf numFmtId="9" fontId="4" fillId="30" borderId="0" xfId="1373" applyFont="1" applyFill="1"/>
    <xf numFmtId="0" fontId="0" fillId="30" borderId="0" xfId="0" applyFill="1"/>
    <xf numFmtId="0" fontId="43" fillId="0" borderId="53" xfId="0" applyFont="1" applyBorder="1" applyAlignment="1">
      <alignment horizontal="center" vertical="center"/>
    </xf>
    <xf numFmtId="0" fontId="43" fillId="0" borderId="62" xfId="0" applyFont="1" applyBorder="1" applyAlignment="1">
      <alignment vertical="center" wrapText="1"/>
    </xf>
    <xf numFmtId="0" fontId="43" fillId="0" borderId="62" xfId="0" applyFont="1" applyBorder="1" applyAlignment="1">
      <alignment horizontal="center" vertical="center" wrapText="1"/>
    </xf>
    <xf numFmtId="0" fontId="40" fillId="30" borderId="0" xfId="0" applyFont="1" applyFill="1"/>
    <xf numFmtId="182" fontId="43" fillId="0" borderId="53" xfId="0" applyNumberFormat="1" applyFont="1" applyBorder="1" applyAlignment="1">
      <alignment vertical="center"/>
    </xf>
    <xf numFmtId="182" fontId="43" fillId="0" borderId="62" xfId="0" applyNumberFormat="1" applyFont="1" applyBorder="1" applyAlignment="1">
      <alignment vertical="center"/>
    </xf>
    <xf numFmtId="182" fontId="43" fillId="0" borderId="62" xfId="0" applyNumberFormat="1" applyFont="1" applyBorder="1" applyAlignment="1">
      <alignment horizontal="center" vertical="center" wrapText="1"/>
    </xf>
    <xf numFmtId="182" fontId="43" fillId="30" borderId="62" xfId="0" applyNumberFormat="1" applyFont="1" applyFill="1" applyBorder="1" applyAlignment="1">
      <alignment horizontal="center" vertical="center" wrapText="1"/>
    </xf>
    <xf numFmtId="2" fontId="43" fillId="30" borderId="62" xfId="0" applyNumberFormat="1" applyFont="1" applyFill="1" applyBorder="1" applyAlignment="1">
      <alignment vertical="center"/>
    </xf>
    <xf numFmtId="39" fontId="43" fillId="30" borderId="62" xfId="0" applyNumberFormat="1" applyFont="1" applyFill="1" applyBorder="1" applyAlignment="1">
      <alignment vertical="center"/>
    </xf>
    <xf numFmtId="39" fontId="43" fillId="30" borderId="62" xfId="0" applyNumberFormat="1" applyFont="1" applyFill="1" applyBorder="1" applyAlignment="1">
      <alignment horizontal="center" vertical="center"/>
    </xf>
    <xf numFmtId="0" fontId="43" fillId="30" borderId="52" xfId="0" applyFont="1" applyFill="1" applyBorder="1" applyAlignment="1">
      <alignment horizontal="center" vertical="center"/>
    </xf>
    <xf numFmtId="165" fontId="43" fillId="30" borderId="50" xfId="3" applyFont="1" applyFill="1" applyBorder="1" applyAlignment="1">
      <alignment vertical="center"/>
    </xf>
    <xf numFmtId="39" fontId="43" fillId="30" borderId="50" xfId="0" applyNumberFormat="1" applyFont="1" applyFill="1" applyBorder="1" applyAlignment="1">
      <alignment vertical="center"/>
    </xf>
    <xf numFmtId="39" fontId="43" fillId="30" borderId="50" xfId="0" applyNumberFormat="1" applyFont="1" applyFill="1" applyBorder="1" applyAlignment="1">
      <alignment horizontal="center" vertical="center"/>
    </xf>
    <xf numFmtId="0" fontId="43" fillId="30" borderId="51" xfId="0" applyFont="1" applyFill="1" applyBorder="1" applyAlignment="1">
      <alignment horizontal="center" vertical="center"/>
    </xf>
    <xf numFmtId="0" fontId="0" fillId="30" borderId="1" xfId="0" applyFill="1" applyBorder="1" applyAlignment="1">
      <alignment horizontal="center" wrapText="1"/>
    </xf>
    <xf numFmtId="182" fontId="0" fillId="30" borderId="1" xfId="0" applyNumberFormat="1" applyFill="1" applyBorder="1" applyAlignment="1">
      <alignment horizontal="center" vertical="center"/>
    </xf>
    <xf numFmtId="0" fontId="0" fillId="30" borderId="1" xfId="0" applyFill="1" applyBorder="1" applyAlignment="1">
      <alignment horizontal="center" vertical="center"/>
    </xf>
    <xf numFmtId="167" fontId="0" fillId="30" borderId="1" xfId="1372" applyFont="1" applyFill="1" applyBorder="1" applyAlignment="1">
      <alignment horizontal="center" vertical="center"/>
    </xf>
    <xf numFmtId="180" fontId="43" fillId="0" borderId="53" xfId="3" applyNumberFormat="1" applyFont="1" applyFill="1" applyBorder="1" applyAlignment="1">
      <alignment vertical="center"/>
    </xf>
    <xf numFmtId="182" fontId="43" fillId="0" borderId="57" xfId="0" applyNumberFormat="1" applyFont="1" applyBorder="1" applyAlignment="1">
      <alignment vertical="center"/>
    </xf>
    <xf numFmtId="182" fontId="65" fillId="69" borderId="50" xfId="0" applyNumberFormat="1" applyFont="1" applyFill="1" applyBorder="1" applyAlignment="1">
      <alignment horizontal="center" vertical="center" wrapText="1"/>
    </xf>
    <xf numFmtId="0" fontId="44" fillId="70" borderId="58" xfId="0" applyFont="1" applyFill="1" applyBorder="1" applyAlignment="1">
      <alignment horizontal="center" vertical="center" wrapText="1"/>
    </xf>
    <xf numFmtId="0" fontId="41" fillId="70" borderId="58" xfId="0" applyFont="1" applyFill="1" applyBorder="1" applyAlignment="1">
      <alignment horizontal="center" vertical="center" wrapText="1"/>
    </xf>
    <xf numFmtId="0" fontId="66" fillId="0" borderId="0" xfId="0" applyFont="1" applyAlignment="1">
      <alignment vertical="center" wrapText="1"/>
    </xf>
    <xf numFmtId="0" fontId="68" fillId="0" borderId="0" xfId="0" applyFont="1" applyAlignment="1">
      <alignment vertical="center" wrapText="1"/>
    </xf>
    <xf numFmtId="0" fontId="0" fillId="30" borderId="1" xfId="0" applyFill="1" applyBorder="1" applyAlignment="1">
      <alignment horizontal="center" vertical="center" wrapText="1"/>
    </xf>
    <xf numFmtId="0" fontId="42" fillId="0" borderId="0" xfId="0" applyFont="1"/>
    <xf numFmtId="42" fontId="0" fillId="30" borderId="0" xfId="1537" applyFont="1" applyFill="1"/>
    <xf numFmtId="42" fontId="0" fillId="30" borderId="0" xfId="0" applyNumberFormat="1" applyFill="1"/>
    <xf numFmtId="0" fontId="39" fillId="0" borderId="49" xfId="0" applyFont="1" applyBorder="1" applyAlignment="1">
      <alignment horizontal="center" vertical="center" wrapText="1"/>
    </xf>
    <xf numFmtId="0" fontId="39" fillId="0" borderId="1" xfId="0" applyFont="1" applyBorder="1" applyAlignment="1">
      <alignment horizontal="center" vertical="center" wrapText="1"/>
    </xf>
    <xf numFmtId="0" fontId="39" fillId="0" borderId="1" xfId="0" applyFont="1" applyBorder="1" applyAlignment="1">
      <alignment horizontal="justify" vertical="center" wrapText="1"/>
    </xf>
    <xf numFmtId="0" fontId="43" fillId="0" borderId="52" xfId="0" applyFont="1" applyBorder="1" applyAlignment="1">
      <alignment horizontal="center" vertical="center" wrapText="1"/>
    </xf>
    <xf numFmtId="0" fontId="44" fillId="70" borderId="64" xfId="0" applyFont="1" applyFill="1" applyBorder="1" applyAlignment="1">
      <alignment horizontal="center" vertical="center" wrapText="1"/>
    </xf>
    <xf numFmtId="0" fontId="44" fillId="70" borderId="82" xfId="0" applyFont="1" applyFill="1" applyBorder="1" applyAlignment="1">
      <alignment horizontal="center" vertical="center" wrapText="1"/>
    </xf>
    <xf numFmtId="193" fontId="43" fillId="0" borderId="1" xfId="3" applyNumberFormat="1" applyFont="1" applyFill="1" applyBorder="1" applyAlignment="1">
      <alignment vertical="center"/>
    </xf>
    <xf numFmtId="0" fontId="73" fillId="30" borderId="0" xfId="0" applyFont="1" applyFill="1"/>
    <xf numFmtId="0" fontId="74" fillId="30" borderId="0" xfId="0" applyFont="1" applyFill="1"/>
    <xf numFmtId="0" fontId="41" fillId="30" borderId="0" xfId="0" applyFont="1" applyFill="1"/>
    <xf numFmtId="10" fontId="73" fillId="30" borderId="0" xfId="0" applyNumberFormat="1" applyFont="1" applyFill="1"/>
    <xf numFmtId="0" fontId="41" fillId="30" borderId="0" xfId="0" applyFont="1" applyFill="1" applyAlignment="1">
      <alignment vertical="top" wrapText="1"/>
    </xf>
    <xf numFmtId="0" fontId="64" fillId="0" borderId="4" xfId="0" applyFont="1" applyBorder="1" applyAlignment="1">
      <alignment horizontal="center" vertical="center"/>
    </xf>
    <xf numFmtId="182" fontId="64" fillId="0" borderId="5" xfId="0" applyNumberFormat="1" applyFont="1" applyBorder="1" applyAlignment="1">
      <alignment horizontal="center" vertical="center" wrapText="1"/>
    </xf>
    <xf numFmtId="182" fontId="64" fillId="30" borderId="5" xfId="0" applyNumberFormat="1" applyFont="1" applyFill="1" applyBorder="1" applyAlignment="1">
      <alignment horizontal="center" vertical="center" wrapText="1"/>
    </xf>
    <xf numFmtId="165" fontId="64" fillId="30" borderId="5" xfId="3" applyFont="1" applyFill="1" applyBorder="1" applyAlignment="1">
      <alignment vertical="center"/>
    </xf>
    <xf numFmtId="39" fontId="64" fillId="30" borderId="5" xfId="0" applyNumberFormat="1" applyFont="1" applyFill="1" applyBorder="1" applyAlignment="1">
      <alignment vertical="center"/>
    </xf>
    <xf numFmtId="39" fontId="64" fillId="30" borderId="5" xfId="0" applyNumberFormat="1" applyFont="1" applyFill="1" applyBorder="1" applyAlignment="1">
      <alignment horizontal="center" vertical="center"/>
    </xf>
    <xf numFmtId="0" fontId="64" fillId="30" borderId="85" xfId="0" applyFont="1" applyFill="1" applyBorder="1" applyAlignment="1">
      <alignment horizontal="center" vertical="center"/>
    </xf>
    <xf numFmtId="2" fontId="0" fillId="30" borderId="0" xfId="0" applyNumberFormat="1" applyFill="1"/>
    <xf numFmtId="0" fontId="75" fillId="30" borderId="0" xfId="0" applyFont="1" applyFill="1"/>
    <xf numFmtId="0" fontId="76" fillId="30" borderId="0" xfId="0" applyFont="1" applyFill="1"/>
    <xf numFmtId="2" fontId="75" fillId="30" borderId="0" xfId="0" applyNumberFormat="1" applyFont="1" applyFill="1"/>
    <xf numFmtId="10" fontId="75" fillId="30" borderId="0" xfId="0" applyNumberFormat="1" applyFont="1" applyFill="1"/>
    <xf numFmtId="2" fontId="75" fillId="30" borderId="0" xfId="1373" applyNumberFormat="1" applyFont="1" applyFill="1"/>
    <xf numFmtId="194" fontId="4" fillId="30" borderId="0" xfId="1372" applyNumberFormat="1" applyFont="1" applyFill="1"/>
    <xf numFmtId="195" fontId="0" fillId="30" borderId="0" xfId="1373" applyNumberFormat="1" applyFont="1" applyFill="1"/>
    <xf numFmtId="193" fontId="64" fillId="0" borderId="83" xfId="3" applyNumberFormat="1" applyFont="1" applyFill="1" applyBorder="1" applyAlignment="1">
      <alignment vertical="center"/>
    </xf>
    <xf numFmtId="0" fontId="77" fillId="0" borderId="84" xfId="0" applyFont="1" applyBorder="1" applyAlignment="1">
      <alignment horizontal="center" vertical="center"/>
    </xf>
    <xf numFmtId="0" fontId="44" fillId="70" borderId="86" xfId="0" applyFont="1" applyFill="1" applyBorder="1" applyAlignment="1">
      <alignment horizontal="center" vertical="center" wrapText="1"/>
    </xf>
    <xf numFmtId="0" fontId="38" fillId="70" borderId="58" xfId="0" applyFont="1" applyFill="1" applyBorder="1" applyAlignment="1">
      <alignment horizontal="center" vertical="center" wrapText="1"/>
    </xf>
    <xf numFmtId="0" fontId="41" fillId="30" borderId="0" xfId="0" applyFont="1" applyFill="1" applyAlignment="1">
      <alignment horizontal="left" wrapText="1"/>
    </xf>
    <xf numFmtId="193" fontId="0" fillId="30" borderId="0" xfId="0" applyNumberFormat="1" applyFill="1"/>
    <xf numFmtId="196" fontId="77" fillId="0" borderId="83" xfId="3" applyNumberFormat="1" applyFont="1" applyBorder="1" applyAlignment="1">
      <alignment horizontal="center" vertical="center" wrapText="1"/>
    </xf>
    <xf numFmtId="196" fontId="64" fillId="0" borderId="83" xfId="3" applyNumberFormat="1" applyFont="1" applyFill="1" applyBorder="1" applyAlignment="1">
      <alignment vertical="center"/>
    </xf>
    <xf numFmtId="0" fontId="0" fillId="30" borderId="53" xfId="0" applyFill="1" applyBorder="1" applyAlignment="1">
      <alignment horizontal="center" vertical="center" wrapText="1"/>
    </xf>
    <xf numFmtId="0" fontId="0" fillId="30" borderId="88" xfId="0" applyFill="1" applyBorder="1" applyAlignment="1">
      <alignment horizontal="center" vertical="center" wrapText="1"/>
    </xf>
    <xf numFmtId="0" fontId="78" fillId="71" borderId="0" xfId="0" applyFont="1" applyFill="1" applyAlignment="1">
      <alignment horizontal="center" vertical="center"/>
    </xf>
    <xf numFmtId="0" fontId="78" fillId="71" borderId="0" xfId="0" applyFont="1" applyFill="1" applyAlignment="1">
      <alignment horizontal="center" vertical="center" wrapText="1"/>
    </xf>
    <xf numFmtId="0" fontId="80" fillId="0" borderId="0" xfId="0" applyFont="1" applyAlignment="1">
      <alignment horizontal="center" vertical="center"/>
    </xf>
    <xf numFmtId="0" fontId="79" fillId="0" borderId="0" xfId="0" applyFont="1" applyAlignment="1">
      <alignment horizontal="center" vertical="center"/>
    </xf>
    <xf numFmtId="0" fontId="0" fillId="0" borderId="0" xfId="0" applyAlignment="1">
      <alignment horizontal="center" vertical="center" wrapText="1"/>
    </xf>
    <xf numFmtId="0" fontId="81" fillId="0" borderId="0" xfId="0" applyFont="1" applyAlignment="1">
      <alignment horizontal="left" vertical="center" wrapText="1"/>
    </xf>
    <xf numFmtId="1" fontId="0" fillId="30" borderId="0" xfId="0" applyNumberFormat="1" applyFill="1"/>
    <xf numFmtId="3" fontId="0" fillId="30" borderId="0" xfId="0" applyNumberFormat="1" applyFill="1"/>
    <xf numFmtId="0" fontId="82" fillId="72" borderId="1" xfId="0" applyFont="1" applyFill="1" applyBorder="1" applyAlignment="1">
      <alignment horizontal="left" vertical="center" wrapText="1"/>
    </xf>
    <xf numFmtId="0" fontId="82" fillId="30" borderId="1" xfId="0" applyFont="1" applyFill="1" applyBorder="1" applyAlignment="1">
      <alignment horizontal="left" vertical="center" wrapText="1"/>
    </xf>
    <xf numFmtId="0" fontId="42" fillId="73" borderId="5" xfId="0" applyFont="1" applyFill="1" applyBorder="1" applyAlignment="1">
      <alignment horizontal="center" vertical="center" wrapText="1"/>
    </xf>
    <xf numFmtId="0" fontId="42" fillId="73" borderId="1" xfId="0"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62" xfId="0" applyFont="1" applyBorder="1" applyAlignment="1">
      <alignment horizontal="center" vertical="center" wrapText="1"/>
    </xf>
    <xf numFmtId="182" fontId="64" fillId="0" borderId="1" xfId="0" applyNumberFormat="1" applyFont="1" applyBorder="1" applyAlignment="1">
      <alignment horizontal="center" vertical="center" wrapText="1"/>
    </xf>
    <xf numFmtId="182" fontId="0" fillId="30" borderId="0" xfId="0" applyNumberFormat="1" applyFill="1"/>
    <xf numFmtId="0" fontId="0" fillId="30" borderId="60" xfId="0" applyFill="1" applyBorder="1" applyAlignment="1">
      <alignment horizontal="center" vertical="center" wrapText="1"/>
    </xf>
    <xf numFmtId="0" fontId="82" fillId="74" borderId="1" xfId="0" applyFont="1" applyFill="1" applyBorder="1" applyAlignment="1">
      <alignment horizontal="left" vertical="center" wrapText="1"/>
    </xf>
    <xf numFmtId="0" fontId="42" fillId="75" borderId="1" xfId="0" applyFont="1" applyFill="1" applyBorder="1" applyAlignment="1">
      <alignment horizontal="center" vertical="center" wrapText="1"/>
    </xf>
    <xf numFmtId="0" fontId="42" fillId="75" borderId="62" xfId="0" applyFont="1" applyFill="1" applyBorder="1" applyAlignment="1">
      <alignment horizontal="center" vertical="center" wrapText="1"/>
    </xf>
    <xf numFmtId="0" fontId="82" fillId="75" borderId="1" xfId="0" applyFont="1" applyFill="1" applyBorder="1" applyAlignment="1">
      <alignment horizontal="left" vertical="center" wrapText="1"/>
    </xf>
    <xf numFmtId="196" fontId="77" fillId="76" borderId="83" xfId="3" applyNumberFormat="1" applyFont="1" applyFill="1" applyBorder="1" applyAlignment="1">
      <alignment horizontal="center" vertical="center" wrapText="1"/>
    </xf>
    <xf numFmtId="0" fontId="44" fillId="70" borderId="1" xfId="0" applyFont="1" applyFill="1" applyBorder="1" applyAlignment="1">
      <alignment horizontal="center" vertical="center" wrapText="1"/>
    </xf>
    <xf numFmtId="0" fontId="41" fillId="70" borderId="1" xfId="0" applyFont="1" applyFill="1" applyBorder="1" applyAlignment="1">
      <alignment horizontal="center" vertical="center" wrapText="1"/>
    </xf>
    <xf numFmtId="0" fontId="85" fillId="30" borderId="0" xfId="0" applyFont="1" applyFill="1"/>
    <xf numFmtId="0" fontId="44" fillId="30" borderId="50" xfId="0" applyFont="1" applyFill="1" applyBorder="1" applyAlignment="1">
      <alignment horizontal="center" vertical="center" wrapText="1"/>
    </xf>
    <xf numFmtId="0" fontId="3" fillId="30" borderId="1" xfId="0" applyFont="1" applyFill="1" applyBorder="1"/>
    <xf numFmtId="165" fontId="0" fillId="30" borderId="0" xfId="3" applyFont="1" applyFill="1"/>
    <xf numFmtId="0" fontId="44" fillId="30" borderId="93" xfId="0" applyFont="1" applyFill="1" applyBorder="1" applyAlignment="1">
      <alignment horizontal="center" vertical="center" wrapText="1"/>
    </xf>
    <xf numFmtId="0" fontId="41" fillId="30" borderId="1" xfId="0" applyFont="1" applyFill="1" applyBorder="1" applyAlignment="1">
      <alignment horizontal="center" vertical="center" wrapText="1"/>
    </xf>
    <xf numFmtId="0" fontId="41" fillId="30" borderId="90" xfId="0" applyFont="1" applyFill="1" applyBorder="1" applyAlignment="1">
      <alignment horizontal="center" vertical="center" wrapText="1"/>
    </xf>
    <xf numFmtId="194" fontId="0" fillId="30" borderId="0" xfId="1372" applyNumberFormat="1" applyFont="1" applyFill="1"/>
    <xf numFmtId="0" fontId="41" fillId="70" borderId="90" xfId="0" applyFont="1" applyFill="1" applyBorder="1" applyAlignment="1">
      <alignment horizontal="left" vertical="center" wrapText="1"/>
    </xf>
    <xf numFmtId="0" fontId="90" fillId="70" borderId="1" xfId="0" applyFont="1" applyFill="1" applyBorder="1" applyAlignment="1">
      <alignment horizontal="center" vertical="center" wrapText="1"/>
    </xf>
    <xf numFmtId="0" fontId="1" fillId="30" borderId="1" xfId="0" applyFont="1" applyFill="1" applyBorder="1"/>
    <xf numFmtId="0" fontId="41" fillId="30" borderId="0" xfId="0" applyFont="1" applyFill="1" applyAlignment="1">
      <alignment vertical="center" wrapText="1"/>
    </xf>
    <xf numFmtId="182" fontId="41" fillId="70" borderId="1" xfId="0" applyNumberFormat="1" applyFont="1" applyFill="1" applyBorder="1" applyAlignment="1">
      <alignment horizontal="center" vertical="center" wrapText="1"/>
    </xf>
    <xf numFmtId="182" fontId="41" fillId="30" borderId="1" xfId="0" applyNumberFormat="1" applyFont="1" applyFill="1" applyBorder="1" applyAlignment="1">
      <alignment horizontal="center" vertical="center" wrapText="1"/>
    </xf>
    <xf numFmtId="0" fontId="1" fillId="30" borderId="0" xfId="0" applyFont="1" applyFill="1"/>
    <xf numFmtId="0" fontId="0" fillId="30" borderId="4" xfId="0" applyFill="1" applyBorder="1"/>
    <xf numFmtId="0" fontId="41" fillId="70" borderId="1" xfId="0" applyFont="1" applyFill="1" applyBorder="1" applyAlignment="1">
      <alignment vertical="center" wrapText="1"/>
    </xf>
    <xf numFmtId="0" fontId="0" fillId="30" borderId="49" xfId="0" applyFill="1" applyBorder="1"/>
    <xf numFmtId="0" fontId="44" fillId="78" borderId="1" xfId="0" applyFont="1" applyFill="1" applyBorder="1" applyAlignment="1">
      <alignment horizontal="center" vertical="center" wrapText="1"/>
    </xf>
    <xf numFmtId="0" fontId="0" fillId="30" borderId="56" xfId="0" applyFill="1" applyBorder="1"/>
    <xf numFmtId="0" fontId="90" fillId="30" borderId="50" xfId="0" applyFont="1" applyFill="1" applyBorder="1" applyAlignment="1">
      <alignment horizontal="center" vertical="center" wrapText="1"/>
    </xf>
    <xf numFmtId="0" fontId="90" fillId="0" borderId="1" xfId="0" applyFont="1" applyBorder="1" applyAlignment="1">
      <alignment wrapText="1"/>
    </xf>
    <xf numFmtId="194" fontId="90" fillId="30" borderId="1" xfId="1372" applyNumberFormat="1" applyFont="1" applyFill="1" applyBorder="1" applyAlignment="1">
      <alignment horizontal="center" vertical="center" wrapText="1"/>
    </xf>
    <xf numFmtId="0" fontId="44" fillId="30" borderId="1" xfId="0" applyFont="1" applyFill="1" applyBorder="1" applyAlignment="1">
      <alignment horizontal="center" vertical="center" wrapText="1"/>
    </xf>
    <xf numFmtId="0" fontId="85" fillId="0" borderId="1" xfId="0" applyFont="1" applyBorder="1" applyAlignment="1">
      <alignment vertical="center" wrapText="1"/>
    </xf>
    <xf numFmtId="0" fontId="85" fillId="0" borderId="1" xfId="0" applyFont="1" applyBorder="1" applyAlignment="1">
      <alignment horizontal="center" vertical="center" wrapText="1"/>
    </xf>
    <xf numFmtId="194" fontId="90" fillId="0" borderId="1" xfId="1372" applyNumberFormat="1" applyFont="1" applyFill="1" applyBorder="1" applyAlignment="1">
      <alignment horizontal="center" vertical="center" wrapText="1"/>
    </xf>
    <xf numFmtId="182" fontId="1" fillId="0" borderId="1" xfId="0" applyNumberFormat="1" applyFont="1" applyBorder="1" applyAlignment="1">
      <alignment horizontal="center" vertical="center" wrapText="1"/>
    </xf>
    <xf numFmtId="196" fontId="1" fillId="0" borderId="1" xfId="3" applyNumberFormat="1" applyFont="1" applyFill="1" applyBorder="1" applyAlignment="1">
      <alignment vertical="center"/>
    </xf>
    <xf numFmtId="0" fontId="85" fillId="0" borderId="1" xfId="0" applyFont="1" applyBorder="1" applyAlignment="1">
      <alignment vertical="center"/>
    </xf>
    <xf numFmtId="0" fontId="90" fillId="0" borderId="1" xfId="0" applyFont="1" applyBorder="1" applyAlignment="1">
      <alignment vertical="center" wrapText="1"/>
    </xf>
    <xf numFmtId="0" fontId="1" fillId="0" borderId="93" xfId="0" applyFont="1" applyBorder="1" applyAlignment="1">
      <alignment horizontal="center" vertical="center" wrapText="1"/>
    </xf>
    <xf numFmtId="0" fontId="85" fillId="0" borderId="93" xfId="0" applyFont="1" applyBorder="1" applyAlignment="1">
      <alignment vertical="center" wrapText="1"/>
    </xf>
    <xf numFmtId="0" fontId="1" fillId="0" borderId="1" xfId="0" applyFont="1" applyBorder="1" applyAlignment="1">
      <alignment horizontal="center" vertical="center" wrapText="1"/>
    </xf>
    <xf numFmtId="182" fontId="1" fillId="0" borderId="50" xfId="0" applyNumberFormat="1" applyFont="1" applyBorder="1" applyAlignment="1">
      <alignment horizontal="center" vertical="center" wrapText="1"/>
    </xf>
    <xf numFmtId="193" fontId="1" fillId="0" borderId="1" xfId="3" applyNumberFormat="1" applyFont="1" applyFill="1" applyBorder="1" applyAlignment="1">
      <alignment vertical="center"/>
    </xf>
    <xf numFmtId="193" fontId="1" fillId="0" borderId="62" xfId="3" applyNumberFormat="1" applyFont="1" applyFill="1" applyBorder="1" applyAlignment="1">
      <alignment vertical="center"/>
    </xf>
    <xf numFmtId="182" fontId="41" fillId="69" borderId="62" xfId="0" applyNumberFormat="1" applyFont="1" applyFill="1" applyBorder="1" applyAlignment="1">
      <alignment horizontal="center" vertical="center" wrapText="1"/>
    </xf>
    <xf numFmtId="0" fontId="93" fillId="0" borderId="0" xfId="0" applyFont="1"/>
    <xf numFmtId="0" fontId="0" fillId="30" borderId="1" xfId="0" applyFill="1" applyBorder="1" applyAlignment="1">
      <alignment horizontal="left"/>
    </xf>
    <xf numFmtId="2" fontId="0" fillId="30" borderId="1" xfId="0" applyNumberFormat="1" applyFill="1" applyBorder="1" applyAlignment="1">
      <alignment horizontal="center"/>
    </xf>
    <xf numFmtId="168" fontId="0" fillId="30" borderId="0" xfId="0" applyNumberFormat="1" applyFill="1"/>
    <xf numFmtId="0" fontId="94" fillId="30" borderId="1" xfId="0" applyFont="1" applyFill="1" applyBorder="1" applyAlignment="1">
      <alignment horizontal="center" vertical="center" wrapText="1"/>
    </xf>
    <xf numFmtId="182" fontId="85" fillId="0" borderId="1" xfId="0" applyNumberFormat="1" applyFont="1" applyBorder="1" applyAlignment="1">
      <alignment horizontal="center" vertical="center" wrapText="1"/>
    </xf>
    <xf numFmtId="182" fontId="85" fillId="30" borderId="1" xfId="0" applyNumberFormat="1" applyFont="1" applyFill="1" applyBorder="1" applyAlignment="1">
      <alignment horizontal="center" vertical="center" wrapText="1"/>
    </xf>
    <xf numFmtId="197" fontId="85" fillId="0" borderId="1" xfId="0" applyNumberFormat="1" applyFont="1" applyBorder="1" applyAlignment="1">
      <alignment vertical="center"/>
    </xf>
    <xf numFmtId="197" fontId="85" fillId="79" borderId="1" xfId="0" applyNumberFormat="1" applyFont="1" applyFill="1" applyBorder="1" applyAlignment="1">
      <alignment vertical="center"/>
    </xf>
    <xf numFmtId="0" fontId="0" fillId="0" borderId="56" xfId="0" applyBorder="1"/>
    <xf numFmtId="0" fontId="90" fillId="0" borderId="50" xfId="0" applyFont="1" applyBorder="1" applyAlignment="1">
      <alignment horizontal="center" vertical="center" wrapText="1"/>
    </xf>
    <xf numFmtId="0" fontId="44" fillId="0" borderId="1" xfId="0" applyFont="1" applyBorder="1" applyAlignment="1">
      <alignment horizontal="center" vertical="center" wrapText="1"/>
    </xf>
    <xf numFmtId="0" fontId="94" fillId="0" borderId="1" xfId="0" applyFont="1" applyBorder="1" applyAlignment="1">
      <alignment horizontal="center" vertical="center" wrapText="1"/>
    </xf>
    <xf numFmtId="0" fontId="4" fillId="0" borderId="0" xfId="0" applyFont="1"/>
    <xf numFmtId="182" fontId="0" fillId="0" borderId="0" xfId="0" applyNumberFormat="1"/>
    <xf numFmtId="0" fontId="0" fillId="0" borderId="94" xfId="0" applyBorder="1"/>
    <xf numFmtId="196" fontId="1" fillId="0" borderId="50" xfId="3" applyNumberFormat="1" applyFont="1" applyFill="1" applyBorder="1" applyAlignment="1">
      <alignment vertical="center"/>
    </xf>
    <xf numFmtId="0" fontId="85" fillId="0" borderId="50" xfId="0" applyFont="1" applyBorder="1" applyAlignment="1">
      <alignment horizontal="center" vertical="center" wrapText="1"/>
    </xf>
    <xf numFmtId="0" fontId="41" fillId="0" borderId="1" xfId="0" applyFont="1" applyBorder="1" applyAlignment="1">
      <alignment horizontal="center" vertical="center" wrapText="1"/>
    </xf>
    <xf numFmtId="0" fontId="1" fillId="0" borderId="1" xfId="0" applyFont="1" applyBorder="1" applyAlignment="1">
      <alignment horizontal="center" vertical="center"/>
    </xf>
    <xf numFmtId="0" fontId="41" fillId="0" borderId="50" xfId="0" applyFont="1" applyBorder="1" applyAlignment="1">
      <alignment horizontal="center" vertical="center" wrapText="1"/>
    </xf>
    <xf numFmtId="0" fontId="0" fillId="0" borderId="88" xfId="0" applyBorder="1"/>
    <xf numFmtId="0" fontId="90" fillId="0" borderId="97" xfId="0" applyFont="1" applyBorder="1" applyAlignment="1">
      <alignment vertical="center" wrapText="1"/>
    </xf>
    <xf numFmtId="0" fontId="90" fillId="0" borderId="83" xfId="0" applyFont="1" applyBorder="1" applyAlignment="1">
      <alignment vertical="center" wrapText="1"/>
    </xf>
    <xf numFmtId="165" fontId="85" fillId="30" borderId="1" xfId="3" applyFont="1" applyFill="1" applyBorder="1" applyAlignment="1">
      <alignment vertical="center"/>
    </xf>
    <xf numFmtId="39" fontId="85" fillId="30" borderId="1" xfId="0" applyNumberFormat="1" applyFont="1" applyFill="1" applyBorder="1" applyAlignment="1">
      <alignment vertical="center"/>
    </xf>
    <xf numFmtId="39" fontId="85" fillId="30" borderId="1" xfId="0" applyNumberFormat="1" applyFont="1" applyFill="1" applyBorder="1" applyAlignment="1">
      <alignment horizontal="center" vertical="center"/>
    </xf>
    <xf numFmtId="0" fontId="85" fillId="30" borderId="90" xfId="0" applyFont="1" applyFill="1" applyBorder="1" applyAlignment="1">
      <alignment horizontal="center" vertical="center"/>
    </xf>
    <xf numFmtId="165" fontId="85" fillId="0" borderId="1" xfId="3" applyFont="1" applyFill="1" applyBorder="1" applyAlignment="1">
      <alignment vertical="center"/>
    </xf>
    <xf numFmtId="39" fontId="85" fillId="0" borderId="1" xfId="0" applyNumberFormat="1" applyFont="1" applyBorder="1" applyAlignment="1">
      <alignment vertical="center"/>
    </xf>
    <xf numFmtId="39" fontId="85" fillId="0" borderId="1" xfId="0" applyNumberFormat="1" applyFont="1" applyBorder="1" applyAlignment="1">
      <alignment horizontal="center" vertical="center"/>
    </xf>
    <xf numFmtId="0" fontId="85" fillId="0" borderId="90" xfId="0" applyFont="1" applyBorder="1" applyAlignment="1">
      <alignment horizontal="center" vertical="center"/>
    </xf>
    <xf numFmtId="165" fontId="85" fillId="0" borderId="50" xfId="3" applyFont="1" applyFill="1" applyBorder="1" applyAlignment="1">
      <alignment vertical="center"/>
    </xf>
    <xf numFmtId="39" fontId="85" fillId="0" borderId="50" xfId="0" applyNumberFormat="1" applyFont="1" applyBorder="1" applyAlignment="1">
      <alignment vertical="center"/>
    </xf>
    <xf numFmtId="39" fontId="85" fillId="0" borderId="50" xfId="0" applyNumberFormat="1" applyFont="1" applyBorder="1" applyAlignment="1">
      <alignment horizontal="center" vertical="center"/>
    </xf>
    <xf numFmtId="0" fontId="85" fillId="0" borderId="51" xfId="0" applyFont="1" applyBorder="1" applyAlignment="1">
      <alignment horizontal="center" vertical="center"/>
    </xf>
    <xf numFmtId="165" fontId="85" fillId="0" borderId="62" xfId="3" applyFont="1" applyFill="1" applyBorder="1" applyAlignment="1">
      <alignment vertical="center"/>
    </xf>
    <xf numFmtId="39" fontId="85" fillId="0" borderId="62" xfId="0" applyNumberFormat="1" applyFont="1" applyBorder="1" applyAlignment="1">
      <alignment vertical="center"/>
    </xf>
    <xf numFmtId="39" fontId="85" fillId="0" borderId="62" xfId="0" applyNumberFormat="1" applyFont="1" applyBorder="1" applyAlignment="1">
      <alignment horizontal="center" vertical="center"/>
    </xf>
    <xf numFmtId="0" fontId="85" fillId="0" borderId="52" xfId="0" applyFont="1" applyBorder="1" applyAlignment="1">
      <alignment horizontal="center" vertical="center"/>
    </xf>
    <xf numFmtId="182" fontId="94" fillId="0" borderId="62" xfId="0" applyNumberFormat="1" applyFont="1" applyBorder="1" applyAlignment="1">
      <alignment horizontal="center" vertical="center" wrapText="1"/>
    </xf>
    <xf numFmtId="0" fontId="85" fillId="0" borderId="83" xfId="0" applyFont="1" applyBorder="1" applyAlignment="1">
      <alignment vertical="center" wrapText="1"/>
    </xf>
    <xf numFmtId="194" fontId="90" fillId="0" borderId="83" xfId="1372" applyNumberFormat="1" applyFont="1" applyFill="1" applyBorder="1" applyAlignment="1">
      <alignment horizontal="center" vertical="center" wrapText="1"/>
    </xf>
    <xf numFmtId="0" fontId="41" fillId="69" borderId="62" xfId="0" applyFont="1" applyFill="1" applyBorder="1" applyAlignment="1">
      <alignment horizontal="center" vertical="center"/>
    </xf>
    <xf numFmtId="0" fontId="94" fillId="0" borderId="62" xfId="0" applyFont="1" applyBorder="1" applyAlignment="1">
      <alignment horizontal="center" vertical="center"/>
    </xf>
    <xf numFmtId="0" fontId="83" fillId="30" borderId="0" xfId="0" applyFont="1" applyFill="1" applyAlignment="1">
      <alignment horizontal="left" vertical="top" wrapText="1"/>
    </xf>
    <xf numFmtId="0" fontId="91" fillId="29" borderId="5" xfId="0" applyFont="1" applyFill="1" applyBorder="1" applyAlignment="1">
      <alignment horizontal="center" vertical="center" wrapText="1"/>
    </xf>
    <xf numFmtId="0" fontId="91" fillId="29" borderId="1" xfId="0" applyFont="1" applyFill="1" applyBorder="1" applyAlignment="1">
      <alignment horizontal="center" vertical="center" wrapText="1"/>
    </xf>
    <xf numFmtId="0" fontId="92" fillId="77" borderId="92" xfId="0" applyFont="1" applyFill="1" applyBorder="1" applyAlignment="1">
      <alignment horizontal="center" vertical="center" wrapText="1"/>
    </xf>
    <xf numFmtId="0" fontId="92" fillId="77" borderId="12" xfId="0" applyFont="1" applyFill="1" applyBorder="1" applyAlignment="1">
      <alignment horizontal="center" vertical="center" wrapText="1"/>
    </xf>
    <xf numFmtId="0" fontId="92" fillId="77" borderId="71" xfId="0" applyFont="1" applyFill="1" applyBorder="1" applyAlignment="1">
      <alignment horizontal="center" vertical="center" wrapText="1"/>
    </xf>
    <xf numFmtId="0" fontId="92" fillId="77" borderId="91" xfId="0" applyFont="1" applyFill="1" applyBorder="1" applyAlignment="1">
      <alignment horizontal="center" vertical="center" wrapText="1"/>
    </xf>
    <xf numFmtId="0" fontId="92" fillId="77" borderId="0" xfId="0" applyFont="1" applyFill="1" applyAlignment="1">
      <alignment horizontal="center" vertical="center" wrapText="1"/>
    </xf>
    <xf numFmtId="0" fontId="92" fillId="77" borderId="72" xfId="0" applyFont="1" applyFill="1" applyBorder="1" applyAlignment="1">
      <alignment horizontal="center" vertical="center" wrapText="1"/>
    </xf>
    <xf numFmtId="0" fontId="41" fillId="70" borderId="95" xfId="0" applyFont="1" applyFill="1" applyBorder="1" applyAlignment="1">
      <alignment horizontal="center" vertical="center" wrapText="1"/>
    </xf>
    <xf numFmtId="0" fontId="41" fillId="70" borderId="98" xfId="0" applyFont="1" applyFill="1" applyBorder="1" applyAlignment="1">
      <alignment horizontal="center" vertical="center" wrapText="1"/>
    </xf>
    <xf numFmtId="0" fontId="41" fillId="70" borderId="96" xfId="0" applyFont="1" applyFill="1" applyBorder="1" applyAlignment="1">
      <alignment horizontal="center" vertical="center" wrapText="1"/>
    </xf>
    <xf numFmtId="0" fontId="41" fillId="70" borderId="99" xfId="0" applyFont="1" applyFill="1" applyBorder="1" applyAlignment="1">
      <alignment horizontal="center" vertical="center" wrapText="1"/>
    </xf>
    <xf numFmtId="0" fontId="41" fillId="70" borderId="100" xfId="0" applyFont="1" applyFill="1" applyBorder="1" applyAlignment="1">
      <alignment horizontal="center" vertical="center" wrapText="1"/>
    </xf>
    <xf numFmtId="0" fontId="41" fillId="70" borderId="101" xfId="0" applyFont="1" applyFill="1" applyBorder="1" applyAlignment="1">
      <alignment horizontal="center" vertical="center" wrapText="1"/>
    </xf>
    <xf numFmtId="0" fontId="81" fillId="0" borderId="0" xfId="0" applyFont="1" applyAlignment="1">
      <alignment horizontal="left" vertical="center" wrapText="1"/>
    </xf>
    <xf numFmtId="0" fontId="81" fillId="0" borderId="0" xfId="0" applyFont="1" applyAlignment="1">
      <alignment horizontal="left" vertical="center"/>
    </xf>
    <xf numFmtId="9" fontId="81" fillId="0" borderId="0" xfId="0" applyNumberFormat="1" applyFont="1" applyAlignment="1">
      <alignment horizontal="center" vertical="center"/>
    </xf>
    <xf numFmtId="3" fontId="81" fillId="0" borderId="0" xfId="0" applyNumberFormat="1" applyFont="1" applyAlignment="1">
      <alignment horizontal="left" vertical="center"/>
    </xf>
    <xf numFmtId="10" fontId="81" fillId="0" borderId="0" xfId="0" applyNumberFormat="1" applyFont="1" applyAlignment="1">
      <alignment horizontal="center" vertical="center"/>
    </xf>
    <xf numFmtId="0" fontId="44" fillId="70" borderId="2" xfId="0" applyFont="1" applyFill="1" applyBorder="1" applyAlignment="1">
      <alignment horizontal="center" vertical="center" wrapText="1"/>
    </xf>
    <xf numFmtId="0" fontId="44" fillId="70" borderId="3" xfId="0" applyFont="1" applyFill="1" applyBorder="1" applyAlignment="1">
      <alignment horizontal="center" vertical="center" wrapText="1"/>
    </xf>
    <xf numFmtId="0" fontId="44" fillId="70" borderId="59" xfId="0" applyFont="1" applyFill="1" applyBorder="1" applyAlignment="1">
      <alignment horizontal="center" vertical="center" wrapText="1"/>
    </xf>
    <xf numFmtId="0" fontId="65" fillId="69" borderId="56" xfId="0" applyFont="1" applyFill="1" applyBorder="1" applyAlignment="1">
      <alignment horizontal="center" vertical="center"/>
    </xf>
    <xf numFmtId="0" fontId="65" fillId="69" borderId="54" xfId="0" applyFont="1" applyFill="1" applyBorder="1" applyAlignment="1">
      <alignment horizontal="center" vertical="center"/>
    </xf>
    <xf numFmtId="0" fontId="41" fillId="30" borderId="12" xfId="0" applyFont="1" applyFill="1" applyBorder="1" applyAlignment="1">
      <alignment horizontal="left" vertical="top" wrapText="1"/>
    </xf>
    <xf numFmtId="0" fontId="41" fillId="30" borderId="0" xfId="0" applyFont="1" applyFill="1" applyAlignment="1">
      <alignment horizontal="left" wrapText="1"/>
    </xf>
    <xf numFmtId="0" fontId="63" fillId="29" borderId="55" xfId="0" applyFont="1" applyFill="1" applyBorder="1" applyAlignment="1">
      <alignment horizontal="center" vertical="center" wrapText="1"/>
    </xf>
    <xf numFmtId="0" fontId="63" fillId="29" borderId="12" xfId="0" applyFont="1" applyFill="1" applyBorder="1" applyAlignment="1">
      <alignment horizontal="center" vertical="center" wrapText="1"/>
    </xf>
    <xf numFmtId="0" fontId="63" fillId="29" borderId="71" xfId="0" applyFont="1" applyFill="1" applyBorder="1" applyAlignment="1">
      <alignment horizontal="center" vertical="center" wrapText="1"/>
    </xf>
    <xf numFmtId="0" fontId="63" fillId="29" borderId="73" xfId="0" applyFont="1" applyFill="1" applyBorder="1" applyAlignment="1">
      <alignment horizontal="center" vertical="center" wrapText="1"/>
    </xf>
    <xf numFmtId="0" fontId="63" fillId="29" borderId="0" xfId="0" applyFont="1" applyFill="1" applyAlignment="1">
      <alignment horizontal="center" vertical="center" wrapText="1"/>
    </xf>
    <xf numFmtId="0" fontId="63" fillId="29" borderId="72" xfId="0" applyFont="1" applyFill="1" applyBorder="1" applyAlignment="1">
      <alignment horizontal="center" vertical="center" wrapText="1"/>
    </xf>
    <xf numFmtId="0" fontId="70" fillId="70" borderId="55" xfId="0" applyFont="1" applyFill="1" applyBorder="1" applyAlignment="1">
      <alignment horizontal="center" vertical="center" wrapText="1"/>
    </xf>
    <xf numFmtId="0" fontId="70" fillId="70" borderId="12" xfId="0" applyFont="1" applyFill="1" applyBorder="1" applyAlignment="1">
      <alignment horizontal="center" vertical="center" wrapText="1"/>
    </xf>
    <xf numFmtId="0" fontId="70" fillId="70" borderId="60" xfId="0" applyFont="1" applyFill="1" applyBorder="1" applyAlignment="1">
      <alignment horizontal="center" vertical="center" wrapText="1"/>
    </xf>
    <xf numFmtId="0" fontId="70" fillId="70" borderId="30" xfId="0" applyFont="1" applyFill="1" applyBorder="1" applyAlignment="1">
      <alignment horizontal="center" vertical="center" wrapText="1"/>
    </xf>
    <xf numFmtId="15" fontId="72" fillId="70" borderId="87" xfId="0" applyNumberFormat="1" applyFont="1" applyFill="1" applyBorder="1" applyAlignment="1">
      <alignment horizontal="center" vertical="center" wrapText="1"/>
    </xf>
    <xf numFmtId="15" fontId="72" fillId="70" borderId="89" xfId="0" applyNumberFormat="1" applyFont="1" applyFill="1" applyBorder="1" applyAlignment="1">
      <alignment horizontal="center" vertical="center" wrapText="1"/>
    </xf>
    <xf numFmtId="0" fontId="53" fillId="2" borderId="55" xfId="0" applyFont="1" applyFill="1" applyBorder="1" applyAlignment="1">
      <alignment horizontal="center" vertical="center" wrapText="1"/>
    </xf>
    <xf numFmtId="0" fontId="53" fillId="2" borderId="12" xfId="0" applyFont="1" applyFill="1" applyBorder="1" applyAlignment="1">
      <alignment horizontal="center" vertical="center" wrapText="1"/>
    </xf>
    <xf numFmtId="0" fontId="53" fillId="2" borderId="71" xfId="0" applyFont="1" applyFill="1" applyBorder="1" applyAlignment="1">
      <alignment horizontal="center" vertical="center" wrapText="1"/>
    </xf>
    <xf numFmtId="0" fontId="53" fillId="2" borderId="73" xfId="0" applyFont="1" applyFill="1" applyBorder="1" applyAlignment="1">
      <alignment horizontal="center" vertical="center" wrapText="1"/>
    </xf>
    <xf numFmtId="0" fontId="53" fillId="2" borderId="0" xfId="0" applyFont="1" applyFill="1" applyAlignment="1">
      <alignment horizontal="center" vertical="center" wrapText="1"/>
    </xf>
    <xf numFmtId="0" fontId="53" fillId="2" borderId="72" xfId="0" applyFont="1" applyFill="1" applyBorder="1" applyAlignment="1">
      <alignment horizontal="center" vertical="center" wrapText="1"/>
    </xf>
    <xf numFmtId="0" fontId="53" fillId="2" borderId="60" xfId="0" applyFont="1" applyFill="1" applyBorder="1" applyAlignment="1">
      <alignment horizontal="center" vertical="center" wrapText="1"/>
    </xf>
    <xf numFmtId="0" fontId="53" fillId="2" borderId="30" xfId="0" applyFont="1" applyFill="1" applyBorder="1" applyAlignment="1">
      <alignment horizontal="center" vertical="center" wrapText="1"/>
    </xf>
    <xf numFmtId="0" fontId="53" fillId="2" borderId="61" xfId="0" applyFont="1" applyFill="1" applyBorder="1" applyAlignment="1">
      <alignment horizontal="center" vertical="center" wrapText="1"/>
    </xf>
    <xf numFmtId="0" fontId="67" fillId="0" borderId="74" xfId="0" applyFont="1" applyBorder="1" applyAlignment="1">
      <alignment horizontal="center" vertical="center" wrapText="1"/>
    </xf>
    <xf numFmtId="0" fontId="67" fillId="0" borderId="75" xfId="0" applyFont="1" applyBorder="1" applyAlignment="1">
      <alignment horizontal="center" vertical="center" wrapText="1"/>
    </xf>
    <xf numFmtId="0" fontId="67" fillId="0" borderId="78" xfId="0" applyFont="1" applyBorder="1" applyAlignment="1">
      <alignment horizontal="center" vertical="center" wrapText="1"/>
    </xf>
    <xf numFmtId="0" fontId="67" fillId="0" borderId="0" xfId="0" applyFont="1" applyAlignment="1">
      <alignment horizontal="center" vertical="center" wrapText="1"/>
    </xf>
    <xf numFmtId="0" fontId="67" fillId="0" borderId="79" xfId="0" applyFont="1" applyBorder="1" applyAlignment="1">
      <alignment horizontal="center" vertical="center" wrapText="1"/>
    </xf>
    <xf numFmtId="0" fontId="67" fillId="0" borderId="80" xfId="0" applyFont="1" applyBorder="1" applyAlignment="1">
      <alignment horizontal="center" vertical="center" wrapText="1"/>
    </xf>
    <xf numFmtId="0" fontId="69" fillId="0" borderId="76" xfId="0" applyFont="1" applyBorder="1" applyAlignment="1">
      <alignment horizontal="center" vertical="center" wrapText="1"/>
    </xf>
    <xf numFmtId="0" fontId="69" fillId="0" borderId="77" xfId="0" applyFont="1" applyBorder="1" applyAlignment="1">
      <alignment horizontal="center" vertical="center" wrapText="1"/>
    </xf>
    <xf numFmtId="0" fontId="69" fillId="0" borderId="81" xfId="0" applyFont="1" applyBorder="1" applyAlignment="1">
      <alignment horizontal="center" vertical="center" wrapText="1"/>
    </xf>
    <xf numFmtId="0" fontId="68" fillId="0" borderId="76" xfId="0" applyFont="1" applyBorder="1" applyAlignment="1">
      <alignment horizontal="left" vertical="center" wrapText="1"/>
    </xf>
    <xf numFmtId="0" fontId="68" fillId="0" borderId="77" xfId="0" applyFont="1" applyBorder="1" applyAlignment="1">
      <alignment horizontal="left" vertical="center" wrapText="1"/>
    </xf>
    <xf numFmtId="0" fontId="68" fillId="0" borderId="81" xfId="0" applyFont="1" applyBorder="1" applyAlignment="1">
      <alignment horizontal="left" vertical="center" wrapText="1"/>
    </xf>
    <xf numFmtId="15" fontId="72" fillId="70" borderId="63" xfId="0" applyNumberFormat="1"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cellXfs>
  <cellStyles count="1539">
    <cellStyle name="2" xfId="1379" xr:uid="{00000000-0005-0000-0000-000000000000}"/>
    <cellStyle name="20% - Accent1" xfId="1506" xr:uid="{00000000-0005-0000-0000-000001000000}"/>
    <cellStyle name="20% - Accent1 2" xfId="1380" xr:uid="{00000000-0005-0000-0000-000002000000}"/>
    <cellStyle name="20% - Accent1_Estaciones TM-21-SEP-2011" xfId="1381" xr:uid="{00000000-0005-0000-0000-000003000000}"/>
    <cellStyle name="20% - Accent2" xfId="1509" xr:uid="{00000000-0005-0000-0000-000004000000}"/>
    <cellStyle name="20% - Accent2 2" xfId="1382" xr:uid="{00000000-0005-0000-0000-000005000000}"/>
    <cellStyle name="20% - Accent2_Estaciones TM-21-SEP-2011" xfId="1383" xr:uid="{00000000-0005-0000-0000-000006000000}"/>
    <cellStyle name="20% - Accent3" xfId="1513" xr:uid="{00000000-0005-0000-0000-000007000000}"/>
    <cellStyle name="20% - Accent3 2" xfId="1384" xr:uid="{00000000-0005-0000-0000-000008000000}"/>
    <cellStyle name="20% - Accent3_Estaciones TM-21-SEP-2011" xfId="1385" xr:uid="{00000000-0005-0000-0000-000009000000}"/>
    <cellStyle name="20% - Accent4" xfId="1517" xr:uid="{00000000-0005-0000-0000-00000A000000}"/>
    <cellStyle name="20% - Accent4 2" xfId="1386" xr:uid="{00000000-0005-0000-0000-00000B000000}"/>
    <cellStyle name="20% - Accent4_Estaciones TM-21-SEP-2011" xfId="1387" xr:uid="{00000000-0005-0000-0000-00000C000000}"/>
    <cellStyle name="20% - Accent5" xfId="1521" xr:uid="{00000000-0005-0000-0000-00000D000000}"/>
    <cellStyle name="20% - Accent5 2" xfId="1388" xr:uid="{00000000-0005-0000-0000-00000E000000}"/>
    <cellStyle name="20% - Accent5_Estaciones TM-21-SEP-2011" xfId="1389" xr:uid="{00000000-0005-0000-0000-00000F000000}"/>
    <cellStyle name="20% - Accent6" xfId="1525" xr:uid="{00000000-0005-0000-0000-000010000000}"/>
    <cellStyle name="20% - Accent6 2" xfId="1390" xr:uid="{00000000-0005-0000-0000-000011000000}"/>
    <cellStyle name="20% - Accent6_Estaciones TM-21-SEP-2011" xfId="1391" xr:uid="{00000000-0005-0000-0000-000012000000}"/>
    <cellStyle name="20% - Énfasis1 10" xfId="5" xr:uid="{00000000-0005-0000-0000-000014000000}"/>
    <cellStyle name="20% - Énfasis1 11" xfId="6" xr:uid="{00000000-0005-0000-0000-000015000000}"/>
    <cellStyle name="20% - Énfasis1 12" xfId="7" xr:uid="{00000000-0005-0000-0000-000016000000}"/>
    <cellStyle name="20% - Énfasis1 13" xfId="8" xr:uid="{00000000-0005-0000-0000-000017000000}"/>
    <cellStyle name="20% - Énfasis1 14" xfId="9" xr:uid="{00000000-0005-0000-0000-000018000000}"/>
    <cellStyle name="20% - Énfasis1 15" xfId="10" xr:uid="{00000000-0005-0000-0000-000019000000}"/>
    <cellStyle name="20% - Énfasis1 16" xfId="11" xr:uid="{00000000-0005-0000-0000-00001A000000}"/>
    <cellStyle name="20% - Énfasis1 17" xfId="12" xr:uid="{00000000-0005-0000-0000-00001B000000}"/>
    <cellStyle name="20% - Énfasis1 18" xfId="13" xr:uid="{00000000-0005-0000-0000-00001C000000}"/>
    <cellStyle name="20% - Énfasis1 19" xfId="14" xr:uid="{00000000-0005-0000-0000-00001D000000}"/>
    <cellStyle name="20% - Énfasis1 2" xfId="15" xr:uid="{00000000-0005-0000-0000-00001E000000}"/>
    <cellStyle name="20% - Énfasis1 20" xfId="16" xr:uid="{00000000-0005-0000-0000-00001F000000}"/>
    <cellStyle name="20% - Énfasis1 21" xfId="17" xr:uid="{00000000-0005-0000-0000-000020000000}"/>
    <cellStyle name="20% - Énfasis1 22" xfId="18" xr:uid="{00000000-0005-0000-0000-000021000000}"/>
    <cellStyle name="20% - Énfasis1 23" xfId="19" xr:uid="{00000000-0005-0000-0000-000022000000}"/>
    <cellStyle name="20% - Énfasis1 24" xfId="20" xr:uid="{00000000-0005-0000-0000-000023000000}"/>
    <cellStyle name="20% - Énfasis1 25" xfId="21" xr:uid="{00000000-0005-0000-0000-000024000000}"/>
    <cellStyle name="20% - Énfasis1 26" xfId="22" xr:uid="{00000000-0005-0000-0000-000025000000}"/>
    <cellStyle name="20% - Énfasis1 27" xfId="23" xr:uid="{00000000-0005-0000-0000-000026000000}"/>
    <cellStyle name="20% - Énfasis1 28" xfId="24" xr:uid="{00000000-0005-0000-0000-000027000000}"/>
    <cellStyle name="20% - Énfasis1 29" xfId="25" xr:uid="{00000000-0005-0000-0000-000028000000}"/>
    <cellStyle name="20% - Énfasis1 3" xfId="26" xr:uid="{00000000-0005-0000-0000-000029000000}"/>
    <cellStyle name="20% - Énfasis1 30" xfId="27" xr:uid="{00000000-0005-0000-0000-00002A000000}"/>
    <cellStyle name="20% - Énfasis1 31" xfId="28" xr:uid="{00000000-0005-0000-0000-00002B000000}"/>
    <cellStyle name="20% - Énfasis1 32" xfId="29" xr:uid="{00000000-0005-0000-0000-00002C000000}"/>
    <cellStyle name="20% - Énfasis1 4" xfId="30" xr:uid="{00000000-0005-0000-0000-00002D000000}"/>
    <cellStyle name="20% - Énfasis1 5" xfId="31" xr:uid="{00000000-0005-0000-0000-00002E000000}"/>
    <cellStyle name="20% - Énfasis1 6" xfId="32" xr:uid="{00000000-0005-0000-0000-00002F000000}"/>
    <cellStyle name="20% - Énfasis1 7" xfId="33" xr:uid="{00000000-0005-0000-0000-000030000000}"/>
    <cellStyle name="20% - Énfasis1 8" xfId="34" xr:uid="{00000000-0005-0000-0000-000031000000}"/>
    <cellStyle name="20% - Énfasis1 9" xfId="35" xr:uid="{00000000-0005-0000-0000-000032000000}"/>
    <cellStyle name="20% - Énfasis2 10" xfId="36" xr:uid="{00000000-0005-0000-0000-000034000000}"/>
    <cellStyle name="20% - Énfasis2 11" xfId="37" xr:uid="{00000000-0005-0000-0000-000035000000}"/>
    <cellStyle name="20% - Énfasis2 12" xfId="38" xr:uid="{00000000-0005-0000-0000-000036000000}"/>
    <cellStyle name="20% - Énfasis2 13" xfId="39" xr:uid="{00000000-0005-0000-0000-000037000000}"/>
    <cellStyle name="20% - Énfasis2 14" xfId="40" xr:uid="{00000000-0005-0000-0000-000038000000}"/>
    <cellStyle name="20% - Énfasis2 15" xfId="41" xr:uid="{00000000-0005-0000-0000-000039000000}"/>
    <cellStyle name="20% - Énfasis2 16" xfId="42" xr:uid="{00000000-0005-0000-0000-00003A000000}"/>
    <cellStyle name="20% - Énfasis2 17" xfId="43" xr:uid="{00000000-0005-0000-0000-00003B000000}"/>
    <cellStyle name="20% - Énfasis2 18" xfId="44" xr:uid="{00000000-0005-0000-0000-00003C000000}"/>
    <cellStyle name="20% - Énfasis2 19" xfId="45" xr:uid="{00000000-0005-0000-0000-00003D000000}"/>
    <cellStyle name="20% - Énfasis2 2" xfId="46" xr:uid="{00000000-0005-0000-0000-00003E000000}"/>
    <cellStyle name="20% - Énfasis2 20" xfId="47" xr:uid="{00000000-0005-0000-0000-00003F000000}"/>
    <cellStyle name="20% - Énfasis2 21" xfId="48" xr:uid="{00000000-0005-0000-0000-000040000000}"/>
    <cellStyle name="20% - Énfasis2 22" xfId="49" xr:uid="{00000000-0005-0000-0000-000041000000}"/>
    <cellStyle name="20% - Énfasis2 23" xfId="50" xr:uid="{00000000-0005-0000-0000-000042000000}"/>
    <cellStyle name="20% - Énfasis2 24" xfId="51" xr:uid="{00000000-0005-0000-0000-000043000000}"/>
    <cellStyle name="20% - Énfasis2 25" xfId="52" xr:uid="{00000000-0005-0000-0000-000044000000}"/>
    <cellStyle name="20% - Énfasis2 26" xfId="53" xr:uid="{00000000-0005-0000-0000-000045000000}"/>
    <cellStyle name="20% - Énfasis2 27" xfId="54" xr:uid="{00000000-0005-0000-0000-000046000000}"/>
    <cellStyle name="20% - Énfasis2 28" xfId="55" xr:uid="{00000000-0005-0000-0000-000047000000}"/>
    <cellStyle name="20% - Énfasis2 29" xfId="56" xr:uid="{00000000-0005-0000-0000-000048000000}"/>
    <cellStyle name="20% - Énfasis2 3" xfId="57" xr:uid="{00000000-0005-0000-0000-000049000000}"/>
    <cellStyle name="20% - Énfasis2 30" xfId="58" xr:uid="{00000000-0005-0000-0000-00004A000000}"/>
    <cellStyle name="20% - Énfasis2 31" xfId="59" xr:uid="{00000000-0005-0000-0000-00004B000000}"/>
    <cellStyle name="20% - Énfasis2 32" xfId="60" xr:uid="{00000000-0005-0000-0000-00004C000000}"/>
    <cellStyle name="20% - Énfasis2 4" xfId="61" xr:uid="{00000000-0005-0000-0000-00004D000000}"/>
    <cellStyle name="20% - Énfasis2 5" xfId="62" xr:uid="{00000000-0005-0000-0000-00004E000000}"/>
    <cellStyle name="20% - Énfasis2 6" xfId="63" xr:uid="{00000000-0005-0000-0000-00004F000000}"/>
    <cellStyle name="20% - Énfasis2 7" xfId="64" xr:uid="{00000000-0005-0000-0000-000050000000}"/>
    <cellStyle name="20% - Énfasis2 8" xfId="65" xr:uid="{00000000-0005-0000-0000-000051000000}"/>
    <cellStyle name="20% - Énfasis2 9" xfId="66" xr:uid="{00000000-0005-0000-0000-000052000000}"/>
    <cellStyle name="20% - Énfasis3 10" xfId="67" xr:uid="{00000000-0005-0000-0000-000054000000}"/>
    <cellStyle name="20% - Énfasis3 11" xfId="68" xr:uid="{00000000-0005-0000-0000-000055000000}"/>
    <cellStyle name="20% - Énfasis3 12" xfId="69" xr:uid="{00000000-0005-0000-0000-000056000000}"/>
    <cellStyle name="20% - Énfasis3 13" xfId="70" xr:uid="{00000000-0005-0000-0000-000057000000}"/>
    <cellStyle name="20% - Énfasis3 14" xfId="71" xr:uid="{00000000-0005-0000-0000-000058000000}"/>
    <cellStyle name="20% - Énfasis3 15" xfId="72" xr:uid="{00000000-0005-0000-0000-000059000000}"/>
    <cellStyle name="20% - Énfasis3 16" xfId="73" xr:uid="{00000000-0005-0000-0000-00005A000000}"/>
    <cellStyle name="20% - Énfasis3 17" xfId="74" xr:uid="{00000000-0005-0000-0000-00005B000000}"/>
    <cellStyle name="20% - Énfasis3 18" xfId="75" xr:uid="{00000000-0005-0000-0000-00005C000000}"/>
    <cellStyle name="20% - Énfasis3 19" xfId="76" xr:uid="{00000000-0005-0000-0000-00005D000000}"/>
    <cellStyle name="20% - Énfasis3 2" xfId="77" xr:uid="{00000000-0005-0000-0000-00005E000000}"/>
    <cellStyle name="20% - Énfasis3 20" xfId="78" xr:uid="{00000000-0005-0000-0000-00005F000000}"/>
    <cellStyle name="20% - Énfasis3 21" xfId="79" xr:uid="{00000000-0005-0000-0000-000060000000}"/>
    <cellStyle name="20% - Énfasis3 22" xfId="80" xr:uid="{00000000-0005-0000-0000-000061000000}"/>
    <cellStyle name="20% - Énfasis3 23" xfId="81" xr:uid="{00000000-0005-0000-0000-000062000000}"/>
    <cellStyle name="20% - Énfasis3 24" xfId="82" xr:uid="{00000000-0005-0000-0000-000063000000}"/>
    <cellStyle name="20% - Énfasis3 25" xfId="83" xr:uid="{00000000-0005-0000-0000-000064000000}"/>
    <cellStyle name="20% - Énfasis3 26" xfId="84" xr:uid="{00000000-0005-0000-0000-000065000000}"/>
    <cellStyle name="20% - Énfasis3 27" xfId="85" xr:uid="{00000000-0005-0000-0000-000066000000}"/>
    <cellStyle name="20% - Énfasis3 28" xfId="86" xr:uid="{00000000-0005-0000-0000-000067000000}"/>
    <cellStyle name="20% - Énfasis3 29" xfId="87" xr:uid="{00000000-0005-0000-0000-000068000000}"/>
    <cellStyle name="20% - Énfasis3 3" xfId="88" xr:uid="{00000000-0005-0000-0000-000069000000}"/>
    <cellStyle name="20% - Énfasis3 30" xfId="89" xr:uid="{00000000-0005-0000-0000-00006A000000}"/>
    <cellStyle name="20% - Énfasis3 31" xfId="90" xr:uid="{00000000-0005-0000-0000-00006B000000}"/>
    <cellStyle name="20% - Énfasis3 32" xfId="91" xr:uid="{00000000-0005-0000-0000-00006C000000}"/>
    <cellStyle name="20% - Énfasis3 4" xfId="92" xr:uid="{00000000-0005-0000-0000-00006D000000}"/>
    <cellStyle name="20% - Énfasis3 5" xfId="93" xr:uid="{00000000-0005-0000-0000-00006E000000}"/>
    <cellStyle name="20% - Énfasis3 6" xfId="94" xr:uid="{00000000-0005-0000-0000-00006F000000}"/>
    <cellStyle name="20% - Énfasis3 7" xfId="95" xr:uid="{00000000-0005-0000-0000-000070000000}"/>
    <cellStyle name="20% - Énfasis3 8" xfId="96" xr:uid="{00000000-0005-0000-0000-000071000000}"/>
    <cellStyle name="20% - Énfasis3 9" xfId="97" xr:uid="{00000000-0005-0000-0000-000072000000}"/>
    <cellStyle name="20% - Énfasis4 10" xfId="98" xr:uid="{00000000-0005-0000-0000-000074000000}"/>
    <cellStyle name="20% - Énfasis4 11" xfId="99" xr:uid="{00000000-0005-0000-0000-000075000000}"/>
    <cellStyle name="20% - Énfasis4 12" xfId="100" xr:uid="{00000000-0005-0000-0000-000076000000}"/>
    <cellStyle name="20% - Énfasis4 13" xfId="101" xr:uid="{00000000-0005-0000-0000-000077000000}"/>
    <cellStyle name="20% - Énfasis4 14" xfId="102" xr:uid="{00000000-0005-0000-0000-000078000000}"/>
    <cellStyle name="20% - Énfasis4 15" xfId="103" xr:uid="{00000000-0005-0000-0000-000079000000}"/>
    <cellStyle name="20% - Énfasis4 16" xfId="104" xr:uid="{00000000-0005-0000-0000-00007A000000}"/>
    <cellStyle name="20% - Énfasis4 17" xfId="105" xr:uid="{00000000-0005-0000-0000-00007B000000}"/>
    <cellStyle name="20% - Énfasis4 18" xfId="106" xr:uid="{00000000-0005-0000-0000-00007C000000}"/>
    <cellStyle name="20% - Énfasis4 19" xfId="107" xr:uid="{00000000-0005-0000-0000-00007D000000}"/>
    <cellStyle name="20% - Énfasis4 2" xfId="108" xr:uid="{00000000-0005-0000-0000-00007E000000}"/>
    <cellStyle name="20% - Énfasis4 20" xfId="109" xr:uid="{00000000-0005-0000-0000-00007F000000}"/>
    <cellStyle name="20% - Énfasis4 21" xfId="110" xr:uid="{00000000-0005-0000-0000-000080000000}"/>
    <cellStyle name="20% - Énfasis4 22" xfId="111" xr:uid="{00000000-0005-0000-0000-000081000000}"/>
    <cellStyle name="20% - Énfasis4 23" xfId="112" xr:uid="{00000000-0005-0000-0000-000082000000}"/>
    <cellStyle name="20% - Énfasis4 24" xfId="113" xr:uid="{00000000-0005-0000-0000-000083000000}"/>
    <cellStyle name="20% - Énfasis4 25" xfId="114" xr:uid="{00000000-0005-0000-0000-000084000000}"/>
    <cellStyle name="20% - Énfasis4 26" xfId="115" xr:uid="{00000000-0005-0000-0000-000085000000}"/>
    <cellStyle name="20% - Énfasis4 27" xfId="116" xr:uid="{00000000-0005-0000-0000-000086000000}"/>
    <cellStyle name="20% - Énfasis4 28" xfId="117" xr:uid="{00000000-0005-0000-0000-000087000000}"/>
    <cellStyle name="20% - Énfasis4 29" xfId="118" xr:uid="{00000000-0005-0000-0000-000088000000}"/>
    <cellStyle name="20% - Énfasis4 3" xfId="119" xr:uid="{00000000-0005-0000-0000-000089000000}"/>
    <cellStyle name="20% - Énfasis4 30" xfId="120" xr:uid="{00000000-0005-0000-0000-00008A000000}"/>
    <cellStyle name="20% - Énfasis4 31" xfId="121" xr:uid="{00000000-0005-0000-0000-00008B000000}"/>
    <cellStyle name="20% - Énfasis4 32" xfId="122" xr:uid="{00000000-0005-0000-0000-00008C000000}"/>
    <cellStyle name="20% - Énfasis4 4" xfId="123" xr:uid="{00000000-0005-0000-0000-00008D000000}"/>
    <cellStyle name="20% - Énfasis4 5" xfId="124" xr:uid="{00000000-0005-0000-0000-00008E000000}"/>
    <cellStyle name="20% - Énfasis4 6" xfId="125" xr:uid="{00000000-0005-0000-0000-00008F000000}"/>
    <cellStyle name="20% - Énfasis4 7" xfId="126" xr:uid="{00000000-0005-0000-0000-000090000000}"/>
    <cellStyle name="20% - Énfasis4 8" xfId="127" xr:uid="{00000000-0005-0000-0000-000091000000}"/>
    <cellStyle name="20% - Énfasis4 9" xfId="128" xr:uid="{00000000-0005-0000-0000-000092000000}"/>
    <cellStyle name="20% - Énfasis5 10" xfId="129" xr:uid="{00000000-0005-0000-0000-000094000000}"/>
    <cellStyle name="20% - Énfasis5 11" xfId="130" xr:uid="{00000000-0005-0000-0000-000095000000}"/>
    <cellStyle name="20% - Énfasis5 12" xfId="131" xr:uid="{00000000-0005-0000-0000-000096000000}"/>
    <cellStyle name="20% - Énfasis5 13" xfId="132" xr:uid="{00000000-0005-0000-0000-000097000000}"/>
    <cellStyle name="20% - Énfasis5 14" xfId="133" xr:uid="{00000000-0005-0000-0000-000098000000}"/>
    <cellStyle name="20% - Énfasis5 15" xfId="134" xr:uid="{00000000-0005-0000-0000-000099000000}"/>
    <cellStyle name="20% - Énfasis5 16" xfId="135" xr:uid="{00000000-0005-0000-0000-00009A000000}"/>
    <cellStyle name="20% - Énfasis5 17" xfId="136" xr:uid="{00000000-0005-0000-0000-00009B000000}"/>
    <cellStyle name="20% - Énfasis5 18" xfId="137" xr:uid="{00000000-0005-0000-0000-00009C000000}"/>
    <cellStyle name="20% - Énfasis5 19" xfId="138" xr:uid="{00000000-0005-0000-0000-00009D000000}"/>
    <cellStyle name="20% - Énfasis5 2" xfId="139" xr:uid="{00000000-0005-0000-0000-00009E000000}"/>
    <cellStyle name="20% - Énfasis5 20" xfId="140" xr:uid="{00000000-0005-0000-0000-00009F000000}"/>
    <cellStyle name="20% - Énfasis5 21" xfId="141" xr:uid="{00000000-0005-0000-0000-0000A0000000}"/>
    <cellStyle name="20% - Énfasis5 22" xfId="142" xr:uid="{00000000-0005-0000-0000-0000A1000000}"/>
    <cellStyle name="20% - Énfasis5 23" xfId="143" xr:uid="{00000000-0005-0000-0000-0000A2000000}"/>
    <cellStyle name="20% - Énfasis5 24" xfId="144" xr:uid="{00000000-0005-0000-0000-0000A3000000}"/>
    <cellStyle name="20% - Énfasis5 25" xfId="145" xr:uid="{00000000-0005-0000-0000-0000A4000000}"/>
    <cellStyle name="20% - Énfasis5 26" xfId="146" xr:uid="{00000000-0005-0000-0000-0000A5000000}"/>
    <cellStyle name="20% - Énfasis5 27" xfId="147" xr:uid="{00000000-0005-0000-0000-0000A6000000}"/>
    <cellStyle name="20% - Énfasis5 28" xfId="148" xr:uid="{00000000-0005-0000-0000-0000A7000000}"/>
    <cellStyle name="20% - Énfasis5 29" xfId="149" xr:uid="{00000000-0005-0000-0000-0000A8000000}"/>
    <cellStyle name="20% - Énfasis5 3" xfId="150" xr:uid="{00000000-0005-0000-0000-0000A9000000}"/>
    <cellStyle name="20% - Énfasis5 30" xfId="151" xr:uid="{00000000-0005-0000-0000-0000AA000000}"/>
    <cellStyle name="20% - Énfasis5 31" xfId="152" xr:uid="{00000000-0005-0000-0000-0000AB000000}"/>
    <cellStyle name="20% - Énfasis5 32" xfId="153" xr:uid="{00000000-0005-0000-0000-0000AC000000}"/>
    <cellStyle name="20% - Énfasis5 4" xfId="154" xr:uid="{00000000-0005-0000-0000-0000AD000000}"/>
    <cellStyle name="20% - Énfasis5 5" xfId="155" xr:uid="{00000000-0005-0000-0000-0000AE000000}"/>
    <cellStyle name="20% - Énfasis5 6" xfId="156" xr:uid="{00000000-0005-0000-0000-0000AF000000}"/>
    <cellStyle name="20% - Énfasis5 7" xfId="157" xr:uid="{00000000-0005-0000-0000-0000B0000000}"/>
    <cellStyle name="20% - Énfasis5 8" xfId="158" xr:uid="{00000000-0005-0000-0000-0000B1000000}"/>
    <cellStyle name="20% - Énfasis5 9" xfId="159" xr:uid="{00000000-0005-0000-0000-0000B2000000}"/>
    <cellStyle name="20% - Énfasis6 10" xfId="160" xr:uid="{00000000-0005-0000-0000-0000B4000000}"/>
    <cellStyle name="20% - Énfasis6 11" xfId="161" xr:uid="{00000000-0005-0000-0000-0000B5000000}"/>
    <cellStyle name="20% - Énfasis6 12" xfId="162" xr:uid="{00000000-0005-0000-0000-0000B6000000}"/>
    <cellStyle name="20% - Énfasis6 13" xfId="163" xr:uid="{00000000-0005-0000-0000-0000B7000000}"/>
    <cellStyle name="20% - Énfasis6 14" xfId="164" xr:uid="{00000000-0005-0000-0000-0000B8000000}"/>
    <cellStyle name="20% - Énfasis6 15" xfId="165" xr:uid="{00000000-0005-0000-0000-0000B9000000}"/>
    <cellStyle name="20% - Énfasis6 16" xfId="166" xr:uid="{00000000-0005-0000-0000-0000BA000000}"/>
    <cellStyle name="20% - Énfasis6 17" xfId="167" xr:uid="{00000000-0005-0000-0000-0000BB000000}"/>
    <cellStyle name="20% - Énfasis6 18" xfId="168" xr:uid="{00000000-0005-0000-0000-0000BC000000}"/>
    <cellStyle name="20% - Énfasis6 19" xfId="169" xr:uid="{00000000-0005-0000-0000-0000BD000000}"/>
    <cellStyle name="20% - Énfasis6 2" xfId="170" xr:uid="{00000000-0005-0000-0000-0000BE000000}"/>
    <cellStyle name="20% - Énfasis6 20" xfId="171" xr:uid="{00000000-0005-0000-0000-0000BF000000}"/>
    <cellStyle name="20% - Énfasis6 21" xfId="172" xr:uid="{00000000-0005-0000-0000-0000C0000000}"/>
    <cellStyle name="20% - Énfasis6 22" xfId="173" xr:uid="{00000000-0005-0000-0000-0000C1000000}"/>
    <cellStyle name="20% - Énfasis6 23" xfId="174" xr:uid="{00000000-0005-0000-0000-0000C2000000}"/>
    <cellStyle name="20% - Énfasis6 24" xfId="175" xr:uid="{00000000-0005-0000-0000-0000C3000000}"/>
    <cellStyle name="20% - Énfasis6 25" xfId="176" xr:uid="{00000000-0005-0000-0000-0000C4000000}"/>
    <cellStyle name="20% - Énfasis6 26" xfId="177" xr:uid="{00000000-0005-0000-0000-0000C5000000}"/>
    <cellStyle name="20% - Énfasis6 27" xfId="178" xr:uid="{00000000-0005-0000-0000-0000C6000000}"/>
    <cellStyle name="20% - Énfasis6 28" xfId="179" xr:uid="{00000000-0005-0000-0000-0000C7000000}"/>
    <cellStyle name="20% - Énfasis6 29" xfId="180" xr:uid="{00000000-0005-0000-0000-0000C8000000}"/>
    <cellStyle name="20% - Énfasis6 3" xfId="181" xr:uid="{00000000-0005-0000-0000-0000C9000000}"/>
    <cellStyle name="20% - Énfasis6 30" xfId="182" xr:uid="{00000000-0005-0000-0000-0000CA000000}"/>
    <cellStyle name="20% - Énfasis6 31" xfId="183" xr:uid="{00000000-0005-0000-0000-0000CB000000}"/>
    <cellStyle name="20% - Énfasis6 32" xfId="184" xr:uid="{00000000-0005-0000-0000-0000CC000000}"/>
    <cellStyle name="20% - Énfasis6 4" xfId="185" xr:uid="{00000000-0005-0000-0000-0000CD000000}"/>
    <cellStyle name="20% - Énfasis6 5" xfId="186" xr:uid="{00000000-0005-0000-0000-0000CE000000}"/>
    <cellStyle name="20% - Énfasis6 6" xfId="187" xr:uid="{00000000-0005-0000-0000-0000CF000000}"/>
    <cellStyle name="20% - Énfasis6 7" xfId="188" xr:uid="{00000000-0005-0000-0000-0000D0000000}"/>
    <cellStyle name="20% - Énfasis6 8" xfId="189" xr:uid="{00000000-0005-0000-0000-0000D1000000}"/>
    <cellStyle name="20% - Énfasis6 9" xfId="190" xr:uid="{00000000-0005-0000-0000-0000D2000000}"/>
    <cellStyle name="40% - Accent1" xfId="1507" xr:uid="{00000000-0005-0000-0000-0000D3000000}"/>
    <cellStyle name="40% - Accent1 2" xfId="1392" xr:uid="{00000000-0005-0000-0000-0000D4000000}"/>
    <cellStyle name="40% - Accent1_Estaciones TM-21-SEP-2011" xfId="1393" xr:uid="{00000000-0005-0000-0000-0000D5000000}"/>
    <cellStyle name="40% - Accent2" xfId="1510" xr:uid="{00000000-0005-0000-0000-0000D6000000}"/>
    <cellStyle name="40% - Accent2 2" xfId="1394" xr:uid="{00000000-0005-0000-0000-0000D7000000}"/>
    <cellStyle name="40% - Accent2_Estaciones TM-21-SEP-2011" xfId="1395" xr:uid="{00000000-0005-0000-0000-0000D8000000}"/>
    <cellStyle name="40% - Accent3" xfId="1514" xr:uid="{00000000-0005-0000-0000-0000D9000000}"/>
    <cellStyle name="40% - Accent3 2" xfId="1396" xr:uid="{00000000-0005-0000-0000-0000DA000000}"/>
    <cellStyle name="40% - Accent3_Estaciones TM-21-SEP-2011" xfId="1397" xr:uid="{00000000-0005-0000-0000-0000DB000000}"/>
    <cellStyle name="40% - Accent4" xfId="1518" xr:uid="{00000000-0005-0000-0000-0000DC000000}"/>
    <cellStyle name="40% - Accent4 2" xfId="1398" xr:uid="{00000000-0005-0000-0000-0000DD000000}"/>
    <cellStyle name="40% - Accent4_Estaciones TM-21-SEP-2011" xfId="1399" xr:uid="{00000000-0005-0000-0000-0000DE000000}"/>
    <cellStyle name="40% - Accent5" xfId="1522" xr:uid="{00000000-0005-0000-0000-0000DF000000}"/>
    <cellStyle name="40% - Accent5 2" xfId="1400" xr:uid="{00000000-0005-0000-0000-0000E0000000}"/>
    <cellStyle name="40% - Accent5_Estaciones TM-21-SEP-2011" xfId="1401" xr:uid="{00000000-0005-0000-0000-0000E1000000}"/>
    <cellStyle name="40% - Accent6" xfId="1526" xr:uid="{00000000-0005-0000-0000-0000E2000000}"/>
    <cellStyle name="40% - Accent6 2" xfId="1402" xr:uid="{00000000-0005-0000-0000-0000E3000000}"/>
    <cellStyle name="40% - Accent6_Estaciones TM-21-SEP-2011" xfId="1403" xr:uid="{00000000-0005-0000-0000-0000E4000000}"/>
    <cellStyle name="40% - Énfasis1 10" xfId="191" xr:uid="{00000000-0005-0000-0000-0000E6000000}"/>
    <cellStyle name="40% - Énfasis1 11" xfId="192" xr:uid="{00000000-0005-0000-0000-0000E7000000}"/>
    <cellStyle name="40% - Énfasis1 12" xfId="193" xr:uid="{00000000-0005-0000-0000-0000E8000000}"/>
    <cellStyle name="40% - Énfasis1 13" xfId="194" xr:uid="{00000000-0005-0000-0000-0000E9000000}"/>
    <cellStyle name="40% - Énfasis1 14" xfId="195" xr:uid="{00000000-0005-0000-0000-0000EA000000}"/>
    <cellStyle name="40% - Énfasis1 15" xfId="196" xr:uid="{00000000-0005-0000-0000-0000EB000000}"/>
    <cellStyle name="40% - Énfasis1 16" xfId="197" xr:uid="{00000000-0005-0000-0000-0000EC000000}"/>
    <cellStyle name="40% - Énfasis1 17" xfId="198" xr:uid="{00000000-0005-0000-0000-0000ED000000}"/>
    <cellStyle name="40% - Énfasis1 18" xfId="199" xr:uid="{00000000-0005-0000-0000-0000EE000000}"/>
    <cellStyle name="40% - Énfasis1 19" xfId="200" xr:uid="{00000000-0005-0000-0000-0000EF000000}"/>
    <cellStyle name="40% - Énfasis1 2" xfId="201" xr:uid="{00000000-0005-0000-0000-0000F0000000}"/>
    <cellStyle name="40% - Énfasis1 20" xfId="202" xr:uid="{00000000-0005-0000-0000-0000F1000000}"/>
    <cellStyle name="40% - Énfasis1 21" xfId="203" xr:uid="{00000000-0005-0000-0000-0000F2000000}"/>
    <cellStyle name="40% - Énfasis1 22" xfId="204" xr:uid="{00000000-0005-0000-0000-0000F3000000}"/>
    <cellStyle name="40% - Énfasis1 23" xfId="205" xr:uid="{00000000-0005-0000-0000-0000F4000000}"/>
    <cellStyle name="40% - Énfasis1 24" xfId="206" xr:uid="{00000000-0005-0000-0000-0000F5000000}"/>
    <cellStyle name="40% - Énfasis1 25" xfId="207" xr:uid="{00000000-0005-0000-0000-0000F6000000}"/>
    <cellStyle name="40% - Énfasis1 26" xfId="208" xr:uid="{00000000-0005-0000-0000-0000F7000000}"/>
    <cellStyle name="40% - Énfasis1 27" xfId="209" xr:uid="{00000000-0005-0000-0000-0000F8000000}"/>
    <cellStyle name="40% - Énfasis1 28" xfId="210" xr:uid="{00000000-0005-0000-0000-0000F9000000}"/>
    <cellStyle name="40% - Énfasis1 29" xfId="211" xr:uid="{00000000-0005-0000-0000-0000FA000000}"/>
    <cellStyle name="40% - Énfasis1 3" xfId="212" xr:uid="{00000000-0005-0000-0000-0000FB000000}"/>
    <cellStyle name="40% - Énfasis1 30" xfId="213" xr:uid="{00000000-0005-0000-0000-0000FC000000}"/>
    <cellStyle name="40% - Énfasis1 31" xfId="214" xr:uid="{00000000-0005-0000-0000-0000FD000000}"/>
    <cellStyle name="40% - Énfasis1 32" xfId="215" xr:uid="{00000000-0005-0000-0000-0000FE000000}"/>
    <cellStyle name="40% - Énfasis1 4" xfId="216" xr:uid="{00000000-0005-0000-0000-0000FF000000}"/>
    <cellStyle name="40% - Énfasis1 5" xfId="217" xr:uid="{00000000-0005-0000-0000-000000010000}"/>
    <cellStyle name="40% - Énfasis1 6" xfId="218" xr:uid="{00000000-0005-0000-0000-000001010000}"/>
    <cellStyle name="40% - Énfasis1 7" xfId="219" xr:uid="{00000000-0005-0000-0000-000002010000}"/>
    <cellStyle name="40% - Énfasis1 8" xfId="220" xr:uid="{00000000-0005-0000-0000-000003010000}"/>
    <cellStyle name="40% - Énfasis1 9" xfId="221" xr:uid="{00000000-0005-0000-0000-000004010000}"/>
    <cellStyle name="40% - Énfasis2 10" xfId="222" xr:uid="{00000000-0005-0000-0000-000006010000}"/>
    <cellStyle name="40% - Énfasis2 11" xfId="223" xr:uid="{00000000-0005-0000-0000-000007010000}"/>
    <cellStyle name="40% - Énfasis2 12" xfId="224" xr:uid="{00000000-0005-0000-0000-000008010000}"/>
    <cellStyle name="40% - Énfasis2 13" xfId="225" xr:uid="{00000000-0005-0000-0000-000009010000}"/>
    <cellStyle name="40% - Énfasis2 14" xfId="226" xr:uid="{00000000-0005-0000-0000-00000A010000}"/>
    <cellStyle name="40% - Énfasis2 15" xfId="227" xr:uid="{00000000-0005-0000-0000-00000B010000}"/>
    <cellStyle name="40% - Énfasis2 16" xfId="228" xr:uid="{00000000-0005-0000-0000-00000C010000}"/>
    <cellStyle name="40% - Énfasis2 17" xfId="229" xr:uid="{00000000-0005-0000-0000-00000D010000}"/>
    <cellStyle name="40% - Énfasis2 18" xfId="230" xr:uid="{00000000-0005-0000-0000-00000E010000}"/>
    <cellStyle name="40% - Énfasis2 19" xfId="231" xr:uid="{00000000-0005-0000-0000-00000F010000}"/>
    <cellStyle name="40% - Énfasis2 2" xfId="232" xr:uid="{00000000-0005-0000-0000-000010010000}"/>
    <cellStyle name="40% - Énfasis2 20" xfId="233" xr:uid="{00000000-0005-0000-0000-000011010000}"/>
    <cellStyle name="40% - Énfasis2 21" xfId="234" xr:uid="{00000000-0005-0000-0000-000012010000}"/>
    <cellStyle name="40% - Énfasis2 22" xfId="235" xr:uid="{00000000-0005-0000-0000-000013010000}"/>
    <cellStyle name="40% - Énfasis2 23" xfId="236" xr:uid="{00000000-0005-0000-0000-000014010000}"/>
    <cellStyle name="40% - Énfasis2 24" xfId="237" xr:uid="{00000000-0005-0000-0000-000015010000}"/>
    <cellStyle name="40% - Énfasis2 25" xfId="238" xr:uid="{00000000-0005-0000-0000-000016010000}"/>
    <cellStyle name="40% - Énfasis2 26" xfId="239" xr:uid="{00000000-0005-0000-0000-000017010000}"/>
    <cellStyle name="40% - Énfasis2 27" xfId="240" xr:uid="{00000000-0005-0000-0000-000018010000}"/>
    <cellStyle name="40% - Énfasis2 28" xfId="241" xr:uid="{00000000-0005-0000-0000-000019010000}"/>
    <cellStyle name="40% - Énfasis2 29" xfId="242" xr:uid="{00000000-0005-0000-0000-00001A010000}"/>
    <cellStyle name="40% - Énfasis2 3" xfId="243" xr:uid="{00000000-0005-0000-0000-00001B010000}"/>
    <cellStyle name="40% - Énfasis2 30" xfId="244" xr:uid="{00000000-0005-0000-0000-00001C010000}"/>
    <cellStyle name="40% - Énfasis2 31" xfId="245" xr:uid="{00000000-0005-0000-0000-00001D010000}"/>
    <cellStyle name="40% - Énfasis2 32" xfId="246" xr:uid="{00000000-0005-0000-0000-00001E010000}"/>
    <cellStyle name="40% - Énfasis2 4" xfId="247" xr:uid="{00000000-0005-0000-0000-00001F010000}"/>
    <cellStyle name="40% - Énfasis2 5" xfId="248" xr:uid="{00000000-0005-0000-0000-000020010000}"/>
    <cellStyle name="40% - Énfasis2 6" xfId="249" xr:uid="{00000000-0005-0000-0000-000021010000}"/>
    <cellStyle name="40% - Énfasis2 7" xfId="250" xr:uid="{00000000-0005-0000-0000-000022010000}"/>
    <cellStyle name="40% - Énfasis2 8" xfId="251" xr:uid="{00000000-0005-0000-0000-000023010000}"/>
    <cellStyle name="40% - Énfasis2 9" xfId="252" xr:uid="{00000000-0005-0000-0000-000024010000}"/>
    <cellStyle name="40% - Énfasis3 10" xfId="253" xr:uid="{00000000-0005-0000-0000-000026010000}"/>
    <cellStyle name="40% - Énfasis3 11" xfId="254" xr:uid="{00000000-0005-0000-0000-000027010000}"/>
    <cellStyle name="40% - Énfasis3 12" xfId="255" xr:uid="{00000000-0005-0000-0000-000028010000}"/>
    <cellStyle name="40% - Énfasis3 13" xfId="256" xr:uid="{00000000-0005-0000-0000-000029010000}"/>
    <cellStyle name="40% - Énfasis3 14" xfId="257" xr:uid="{00000000-0005-0000-0000-00002A010000}"/>
    <cellStyle name="40% - Énfasis3 15" xfId="258" xr:uid="{00000000-0005-0000-0000-00002B010000}"/>
    <cellStyle name="40% - Énfasis3 16" xfId="259" xr:uid="{00000000-0005-0000-0000-00002C010000}"/>
    <cellStyle name="40% - Énfasis3 17" xfId="260" xr:uid="{00000000-0005-0000-0000-00002D010000}"/>
    <cellStyle name="40% - Énfasis3 18" xfId="261" xr:uid="{00000000-0005-0000-0000-00002E010000}"/>
    <cellStyle name="40% - Énfasis3 19" xfId="262" xr:uid="{00000000-0005-0000-0000-00002F010000}"/>
    <cellStyle name="40% - Énfasis3 2" xfId="263" xr:uid="{00000000-0005-0000-0000-000030010000}"/>
    <cellStyle name="40% - Énfasis3 20" xfId="264" xr:uid="{00000000-0005-0000-0000-000031010000}"/>
    <cellStyle name="40% - Énfasis3 21" xfId="265" xr:uid="{00000000-0005-0000-0000-000032010000}"/>
    <cellStyle name="40% - Énfasis3 22" xfId="266" xr:uid="{00000000-0005-0000-0000-000033010000}"/>
    <cellStyle name="40% - Énfasis3 23" xfId="267" xr:uid="{00000000-0005-0000-0000-000034010000}"/>
    <cellStyle name="40% - Énfasis3 24" xfId="268" xr:uid="{00000000-0005-0000-0000-000035010000}"/>
    <cellStyle name="40% - Énfasis3 25" xfId="269" xr:uid="{00000000-0005-0000-0000-000036010000}"/>
    <cellStyle name="40% - Énfasis3 26" xfId="270" xr:uid="{00000000-0005-0000-0000-000037010000}"/>
    <cellStyle name="40% - Énfasis3 27" xfId="271" xr:uid="{00000000-0005-0000-0000-000038010000}"/>
    <cellStyle name="40% - Énfasis3 28" xfId="272" xr:uid="{00000000-0005-0000-0000-000039010000}"/>
    <cellStyle name="40% - Énfasis3 29" xfId="273" xr:uid="{00000000-0005-0000-0000-00003A010000}"/>
    <cellStyle name="40% - Énfasis3 3" xfId="274" xr:uid="{00000000-0005-0000-0000-00003B010000}"/>
    <cellStyle name="40% - Énfasis3 30" xfId="275" xr:uid="{00000000-0005-0000-0000-00003C010000}"/>
    <cellStyle name="40% - Énfasis3 31" xfId="276" xr:uid="{00000000-0005-0000-0000-00003D010000}"/>
    <cellStyle name="40% - Énfasis3 32" xfId="277" xr:uid="{00000000-0005-0000-0000-00003E010000}"/>
    <cellStyle name="40% - Énfasis3 4" xfId="278" xr:uid="{00000000-0005-0000-0000-00003F010000}"/>
    <cellStyle name="40% - Énfasis3 5" xfId="279" xr:uid="{00000000-0005-0000-0000-000040010000}"/>
    <cellStyle name="40% - Énfasis3 6" xfId="280" xr:uid="{00000000-0005-0000-0000-000041010000}"/>
    <cellStyle name="40% - Énfasis3 7" xfId="281" xr:uid="{00000000-0005-0000-0000-000042010000}"/>
    <cellStyle name="40% - Énfasis3 8" xfId="282" xr:uid="{00000000-0005-0000-0000-000043010000}"/>
    <cellStyle name="40% - Énfasis3 9" xfId="283" xr:uid="{00000000-0005-0000-0000-000044010000}"/>
    <cellStyle name="40% - Énfasis4 10" xfId="284" xr:uid="{00000000-0005-0000-0000-000046010000}"/>
    <cellStyle name="40% - Énfasis4 11" xfId="285" xr:uid="{00000000-0005-0000-0000-000047010000}"/>
    <cellStyle name="40% - Énfasis4 12" xfId="286" xr:uid="{00000000-0005-0000-0000-000048010000}"/>
    <cellStyle name="40% - Énfasis4 13" xfId="287" xr:uid="{00000000-0005-0000-0000-000049010000}"/>
    <cellStyle name="40% - Énfasis4 14" xfId="288" xr:uid="{00000000-0005-0000-0000-00004A010000}"/>
    <cellStyle name="40% - Énfasis4 15" xfId="289" xr:uid="{00000000-0005-0000-0000-00004B010000}"/>
    <cellStyle name="40% - Énfasis4 16" xfId="290" xr:uid="{00000000-0005-0000-0000-00004C010000}"/>
    <cellStyle name="40% - Énfasis4 17" xfId="291" xr:uid="{00000000-0005-0000-0000-00004D010000}"/>
    <cellStyle name="40% - Énfasis4 18" xfId="292" xr:uid="{00000000-0005-0000-0000-00004E010000}"/>
    <cellStyle name="40% - Énfasis4 19" xfId="293" xr:uid="{00000000-0005-0000-0000-00004F010000}"/>
    <cellStyle name="40% - Énfasis4 2" xfId="294" xr:uid="{00000000-0005-0000-0000-000050010000}"/>
    <cellStyle name="40% - Énfasis4 20" xfId="295" xr:uid="{00000000-0005-0000-0000-000051010000}"/>
    <cellStyle name="40% - Énfasis4 21" xfId="296" xr:uid="{00000000-0005-0000-0000-000052010000}"/>
    <cellStyle name="40% - Énfasis4 22" xfId="297" xr:uid="{00000000-0005-0000-0000-000053010000}"/>
    <cellStyle name="40% - Énfasis4 23" xfId="298" xr:uid="{00000000-0005-0000-0000-000054010000}"/>
    <cellStyle name="40% - Énfasis4 24" xfId="299" xr:uid="{00000000-0005-0000-0000-000055010000}"/>
    <cellStyle name="40% - Énfasis4 25" xfId="300" xr:uid="{00000000-0005-0000-0000-000056010000}"/>
    <cellStyle name="40% - Énfasis4 26" xfId="301" xr:uid="{00000000-0005-0000-0000-000057010000}"/>
    <cellStyle name="40% - Énfasis4 27" xfId="302" xr:uid="{00000000-0005-0000-0000-000058010000}"/>
    <cellStyle name="40% - Énfasis4 28" xfId="303" xr:uid="{00000000-0005-0000-0000-000059010000}"/>
    <cellStyle name="40% - Énfasis4 29" xfId="304" xr:uid="{00000000-0005-0000-0000-00005A010000}"/>
    <cellStyle name="40% - Énfasis4 3" xfId="305" xr:uid="{00000000-0005-0000-0000-00005B010000}"/>
    <cellStyle name="40% - Énfasis4 30" xfId="306" xr:uid="{00000000-0005-0000-0000-00005C010000}"/>
    <cellStyle name="40% - Énfasis4 31" xfId="307" xr:uid="{00000000-0005-0000-0000-00005D010000}"/>
    <cellStyle name="40% - Énfasis4 32" xfId="308" xr:uid="{00000000-0005-0000-0000-00005E010000}"/>
    <cellStyle name="40% - Énfasis4 4" xfId="309" xr:uid="{00000000-0005-0000-0000-00005F010000}"/>
    <cellStyle name="40% - Énfasis4 5" xfId="310" xr:uid="{00000000-0005-0000-0000-000060010000}"/>
    <cellStyle name="40% - Énfasis4 6" xfId="311" xr:uid="{00000000-0005-0000-0000-000061010000}"/>
    <cellStyle name="40% - Énfasis4 7" xfId="312" xr:uid="{00000000-0005-0000-0000-000062010000}"/>
    <cellStyle name="40% - Énfasis4 8" xfId="313" xr:uid="{00000000-0005-0000-0000-000063010000}"/>
    <cellStyle name="40% - Énfasis4 9" xfId="314" xr:uid="{00000000-0005-0000-0000-000064010000}"/>
    <cellStyle name="40% - Énfasis5 10" xfId="315" xr:uid="{00000000-0005-0000-0000-000066010000}"/>
    <cellStyle name="40% - Énfasis5 11" xfId="316" xr:uid="{00000000-0005-0000-0000-000067010000}"/>
    <cellStyle name="40% - Énfasis5 12" xfId="317" xr:uid="{00000000-0005-0000-0000-000068010000}"/>
    <cellStyle name="40% - Énfasis5 13" xfId="318" xr:uid="{00000000-0005-0000-0000-000069010000}"/>
    <cellStyle name="40% - Énfasis5 14" xfId="319" xr:uid="{00000000-0005-0000-0000-00006A010000}"/>
    <cellStyle name="40% - Énfasis5 15" xfId="320" xr:uid="{00000000-0005-0000-0000-00006B010000}"/>
    <cellStyle name="40% - Énfasis5 16" xfId="321" xr:uid="{00000000-0005-0000-0000-00006C010000}"/>
    <cellStyle name="40% - Énfasis5 17" xfId="322" xr:uid="{00000000-0005-0000-0000-00006D010000}"/>
    <cellStyle name="40% - Énfasis5 18" xfId="323" xr:uid="{00000000-0005-0000-0000-00006E010000}"/>
    <cellStyle name="40% - Énfasis5 19" xfId="324" xr:uid="{00000000-0005-0000-0000-00006F010000}"/>
    <cellStyle name="40% - Énfasis5 2" xfId="325" xr:uid="{00000000-0005-0000-0000-000070010000}"/>
    <cellStyle name="40% - Énfasis5 20" xfId="326" xr:uid="{00000000-0005-0000-0000-000071010000}"/>
    <cellStyle name="40% - Énfasis5 21" xfId="327" xr:uid="{00000000-0005-0000-0000-000072010000}"/>
    <cellStyle name="40% - Énfasis5 22" xfId="328" xr:uid="{00000000-0005-0000-0000-000073010000}"/>
    <cellStyle name="40% - Énfasis5 23" xfId="329" xr:uid="{00000000-0005-0000-0000-000074010000}"/>
    <cellStyle name="40% - Énfasis5 24" xfId="330" xr:uid="{00000000-0005-0000-0000-000075010000}"/>
    <cellStyle name="40% - Énfasis5 25" xfId="331" xr:uid="{00000000-0005-0000-0000-000076010000}"/>
    <cellStyle name="40% - Énfasis5 26" xfId="332" xr:uid="{00000000-0005-0000-0000-000077010000}"/>
    <cellStyle name="40% - Énfasis5 27" xfId="333" xr:uid="{00000000-0005-0000-0000-000078010000}"/>
    <cellStyle name="40% - Énfasis5 28" xfId="334" xr:uid="{00000000-0005-0000-0000-000079010000}"/>
    <cellStyle name="40% - Énfasis5 29" xfId="335" xr:uid="{00000000-0005-0000-0000-00007A010000}"/>
    <cellStyle name="40% - Énfasis5 3" xfId="336" xr:uid="{00000000-0005-0000-0000-00007B010000}"/>
    <cellStyle name="40% - Énfasis5 30" xfId="337" xr:uid="{00000000-0005-0000-0000-00007C010000}"/>
    <cellStyle name="40% - Énfasis5 31" xfId="338" xr:uid="{00000000-0005-0000-0000-00007D010000}"/>
    <cellStyle name="40% - Énfasis5 32" xfId="339" xr:uid="{00000000-0005-0000-0000-00007E010000}"/>
    <cellStyle name="40% - Énfasis5 4" xfId="340" xr:uid="{00000000-0005-0000-0000-00007F010000}"/>
    <cellStyle name="40% - Énfasis5 5" xfId="341" xr:uid="{00000000-0005-0000-0000-000080010000}"/>
    <cellStyle name="40% - Énfasis5 6" xfId="342" xr:uid="{00000000-0005-0000-0000-000081010000}"/>
    <cellStyle name="40% - Énfasis5 7" xfId="343" xr:uid="{00000000-0005-0000-0000-000082010000}"/>
    <cellStyle name="40% - Énfasis5 8" xfId="344" xr:uid="{00000000-0005-0000-0000-000083010000}"/>
    <cellStyle name="40% - Énfasis5 9" xfId="345" xr:uid="{00000000-0005-0000-0000-000084010000}"/>
    <cellStyle name="40% - Énfasis6 10" xfId="346" xr:uid="{00000000-0005-0000-0000-000086010000}"/>
    <cellStyle name="40% - Énfasis6 11" xfId="347" xr:uid="{00000000-0005-0000-0000-000087010000}"/>
    <cellStyle name="40% - Énfasis6 12" xfId="348" xr:uid="{00000000-0005-0000-0000-000088010000}"/>
    <cellStyle name="40% - Énfasis6 13" xfId="349" xr:uid="{00000000-0005-0000-0000-000089010000}"/>
    <cellStyle name="40% - Énfasis6 14" xfId="350" xr:uid="{00000000-0005-0000-0000-00008A010000}"/>
    <cellStyle name="40% - Énfasis6 15" xfId="351" xr:uid="{00000000-0005-0000-0000-00008B010000}"/>
    <cellStyle name="40% - Énfasis6 16" xfId="352" xr:uid="{00000000-0005-0000-0000-00008C010000}"/>
    <cellStyle name="40% - Énfasis6 17" xfId="353" xr:uid="{00000000-0005-0000-0000-00008D010000}"/>
    <cellStyle name="40% - Énfasis6 18" xfId="354" xr:uid="{00000000-0005-0000-0000-00008E010000}"/>
    <cellStyle name="40% - Énfasis6 19" xfId="355" xr:uid="{00000000-0005-0000-0000-00008F010000}"/>
    <cellStyle name="40% - Énfasis6 2" xfId="356" xr:uid="{00000000-0005-0000-0000-000090010000}"/>
    <cellStyle name="40% - Énfasis6 20" xfId="357" xr:uid="{00000000-0005-0000-0000-000091010000}"/>
    <cellStyle name="40% - Énfasis6 21" xfId="358" xr:uid="{00000000-0005-0000-0000-000092010000}"/>
    <cellStyle name="40% - Énfasis6 22" xfId="359" xr:uid="{00000000-0005-0000-0000-000093010000}"/>
    <cellStyle name="40% - Énfasis6 23" xfId="360" xr:uid="{00000000-0005-0000-0000-000094010000}"/>
    <cellStyle name="40% - Énfasis6 24" xfId="361" xr:uid="{00000000-0005-0000-0000-000095010000}"/>
    <cellStyle name="40% - Énfasis6 25" xfId="362" xr:uid="{00000000-0005-0000-0000-000096010000}"/>
    <cellStyle name="40% - Énfasis6 26" xfId="363" xr:uid="{00000000-0005-0000-0000-000097010000}"/>
    <cellStyle name="40% - Énfasis6 27" xfId="364" xr:uid="{00000000-0005-0000-0000-000098010000}"/>
    <cellStyle name="40% - Énfasis6 28" xfId="365" xr:uid="{00000000-0005-0000-0000-000099010000}"/>
    <cellStyle name="40% - Énfasis6 29" xfId="366" xr:uid="{00000000-0005-0000-0000-00009A010000}"/>
    <cellStyle name="40% - Énfasis6 3" xfId="367" xr:uid="{00000000-0005-0000-0000-00009B010000}"/>
    <cellStyle name="40% - Énfasis6 30" xfId="368" xr:uid="{00000000-0005-0000-0000-00009C010000}"/>
    <cellStyle name="40% - Énfasis6 31" xfId="369" xr:uid="{00000000-0005-0000-0000-00009D010000}"/>
    <cellStyle name="40% - Énfasis6 32" xfId="370" xr:uid="{00000000-0005-0000-0000-00009E010000}"/>
    <cellStyle name="40% - Énfasis6 4" xfId="371" xr:uid="{00000000-0005-0000-0000-00009F010000}"/>
    <cellStyle name="40% - Énfasis6 5" xfId="372" xr:uid="{00000000-0005-0000-0000-0000A0010000}"/>
    <cellStyle name="40% - Énfasis6 6" xfId="373" xr:uid="{00000000-0005-0000-0000-0000A1010000}"/>
    <cellStyle name="40% - Énfasis6 7" xfId="374" xr:uid="{00000000-0005-0000-0000-0000A2010000}"/>
    <cellStyle name="40% - Énfasis6 8" xfId="375" xr:uid="{00000000-0005-0000-0000-0000A3010000}"/>
    <cellStyle name="40% - Énfasis6 9" xfId="376" xr:uid="{00000000-0005-0000-0000-0000A4010000}"/>
    <cellStyle name="60% - Accent1" xfId="1508" xr:uid="{00000000-0005-0000-0000-0000A5010000}"/>
    <cellStyle name="60% - Accent2" xfId="1511" xr:uid="{00000000-0005-0000-0000-0000A6010000}"/>
    <cellStyle name="60% - Accent3" xfId="1515" xr:uid="{00000000-0005-0000-0000-0000A7010000}"/>
    <cellStyle name="60% - Accent4" xfId="1519" xr:uid="{00000000-0005-0000-0000-0000A8010000}"/>
    <cellStyle name="60% - Accent5" xfId="1523" xr:uid="{00000000-0005-0000-0000-0000A9010000}"/>
    <cellStyle name="60% - Accent6" xfId="1527" xr:uid="{00000000-0005-0000-0000-0000AA010000}"/>
    <cellStyle name="60% - Énfasis1 10" xfId="377" xr:uid="{00000000-0005-0000-0000-0000AC010000}"/>
    <cellStyle name="60% - Énfasis1 11" xfId="378" xr:uid="{00000000-0005-0000-0000-0000AD010000}"/>
    <cellStyle name="60% - Énfasis1 12" xfId="379" xr:uid="{00000000-0005-0000-0000-0000AE010000}"/>
    <cellStyle name="60% - Énfasis1 13" xfId="380" xr:uid="{00000000-0005-0000-0000-0000AF010000}"/>
    <cellStyle name="60% - Énfasis1 14" xfId="381" xr:uid="{00000000-0005-0000-0000-0000B0010000}"/>
    <cellStyle name="60% - Énfasis1 15" xfId="382" xr:uid="{00000000-0005-0000-0000-0000B1010000}"/>
    <cellStyle name="60% - Énfasis1 16" xfId="383" xr:uid="{00000000-0005-0000-0000-0000B2010000}"/>
    <cellStyle name="60% - Énfasis1 17" xfId="384" xr:uid="{00000000-0005-0000-0000-0000B3010000}"/>
    <cellStyle name="60% - Énfasis1 18" xfId="385" xr:uid="{00000000-0005-0000-0000-0000B4010000}"/>
    <cellStyle name="60% - Énfasis1 19" xfId="386" xr:uid="{00000000-0005-0000-0000-0000B5010000}"/>
    <cellStyle name="60% - Énfasis1 2" xfId="387" xr:uid="{00000000-0005-0000-0000-0000B6010000}"/>
    <cellStyle name="60% - Énfasis1 20" xfId="388" xr:uid="{00000000-0005-0000-0000-0000B7010000}"/>
    <cellStyle name="60% - Énfasis1 21" xfId="389" xr:uid="{00000000-0005-0000-0000-0000B8010000}"/>
    <cellStyle name="60% - Énfasis1 22" xfId="390" xr:uid="{00000000-0005-0000-0000-0000B9010000}"/>
    <cellStyle name="60% - Énfasis1 23" xfId="391" xr:uid="{00000000-0005-0000-0000-0000BA010000}"/>
    <cellStyle name="60% - Énfasis1 24" xfId="392" xr:uid="{00000000-0005-0000-0000-0000BB010000}"/>
    <cellStyle name="60% - Énfasis1 25" xfId="393" xr:uid="{00000000-0005-0000-0000-0000BC010000}"/>
    <cellStyle name="60% - Énfasis1 26" xfId="394" xr:uid="{00000000-0005-0000-0000-0000BD010000}"/>
    <cellStyle name="60% - Énfasis1 27" xfId="395" xr:uid="{00000000-0005-0000-0000-0000BE010000}"/>
    <cellStyle name="60% - Énfasis1 28" xfId="396" xr:uid="{00000000-0005-0000-0000-0000BF010000}"/>
    <cellStyle name="60% - Énfasis1 29" xfId="397" xr:uid="{00000000-0005-0000-0000-0000C0010000}"/>
    <cellStyle name="60% - Énfasis1 3" xfId="398" xr:uid="{00000000-0005-0000-0000-0000C1010000}"/>
    <cellStyle name="60% - Énfasis1 30" xfId="399" xr:uid="{00000000-0005-0000-0000-0000C2010000}"/>
    <cellStyle name="60% - Énfasis1 31" xfId="400" xr:uid="{00000000-0005-0000-0000-0000C3010000}"/>
    <cellStyle name="60% - Énfasis1 32" xfId="401" xr:uid="{00000000-0005-0000-0000-0000C4010000}"/>
    <cellStyle name="60% - Énfasis1 4" xfId="402" xr:uid="{00000000-0005-0000-0000-0000C5010000}"/>
    <cellStyle name="60% - Énfasis1 5" xfId="403" xr:uid="{00000000-0005-0000-0000-0000C6010000}"/>
    <cellStyle name="60% - Énfasis1 6" xfId="404" xr:uid="{00000000-0005-0000-0000-0000C7010000}"/>
    <cellStyle name="60% - Énfasis1 7" xfId="405" xr:uid="{00000000-0005-0000-0000-0000C8010000}"/>
    <cellStyle name="60% - Énfasis1 8" xfId="406" xr:uid="{00000000-0005-0000-0000-0000C9010000}"/>
    <cellStyle name="60% - Énfasis1 9" xfId="407" xr:uid="{00000000-0005-0000-0000-0000CA010000}"/>
    <cellStyle name="60% - Énfasis2 10" xfId="408" xr:uid="{00000000-0005-0000-0000-0000CC010000}"/>
    <cellStyle name="60% - Énfasis2 11" xfId="409" xr:uid="{00000000-0005-0000-0000-0000CD010000}"/>
    <cellStyle name="60% - Énfasis2 12" xfId="410" xr:uid="{00000000-0005-0000-0000-0000CE010000}"/>
    <cellStyle name="60% - Énfasis2 13" xfId="411" xr:uid="{00000000-0005-0000-0000-0000CF010000}"/>
    <cellStyle name="60% - Énfasis2 14" xfId="412" xr:uid="{00000000-0005-0000-0000-0000D0010000}"/>
    <cellStyle name="60% - Énfasis2 15" xfId="413" xr:uid="{00000000-0005-0000-0000-0000D1010000}"/>
    <cellStyle name="60% - Énfasis2 16" xfId="414" xr:uid="{00000000-0005-0000-0000-0000D2010000}"/>
    <cellStyle name="60% - Énfasis2 17" xfId="415" xr:uid="{00000000-0005-0000-0000-0000D3010000}"/>
    <cellStyle name="60% - Énfasis2 18" xfId="416" xr:uid="{00000000-0005-0000-0000-0000D4010000}"/>
    <cellStyle name="60% - Énfasis2 19" xfId="417" xr:uid="{00000000-0005-0000-0000-0000D5010000}"/>
    <cellStyle name="60% - Énfasis2 2" xfId="418" xr:uid="{00000000-0005-0000-0000-0000D6010000}"/>
    <cellStyle name="60% - Énfasis2 20" xfId="419" xr:uid="{00000000-0005-0000-0000-0000D7010000}"/>
    <cellStyle name="60% - Énfasis2 21" xfId="420" xr:uid="{00000000-0005-0000-0000-0000D8010000}"/>
    <cellStyle name="60% - Énfasis2 22" xfId="421" xr:uid="{00000000-0005-0000-0000-0000D9010000}"/>
    <cellStyle name="60% - Énfasis2 23" xfId="422" xr:uid="{00000000-0005-0000-0000-0000DA010000}"/>
    <cellStyle name="60% - Énfasis2 24" xfId="423" xr:uid="{00000000-0005-0000-0000-0000DB010000}"/>
    <cellStyle name="60% - Énfasis2 25" xfId="424" xr:uid="{00000000-0005-0000-0000-0000DC010000}"/>
    <cellStyle name="60% - Énfasis2 26" xfId="425" xr:uid="{00000000-0005-0000-0000-0000DD010000}"/>
    <cellStyle name="60% - Énfasis2 27" xfId="426" xr:uid="{00000000-0005-0000-0000-0000DE010000}"/>
    <cellStyle name="60% - Énfasis2 28" xfId="427" xr:uid="{00000000-0005-0000-0000-0000DF010000}"/>
    <cellStyle name="60% - Énfasis2 29" xfId="428" xr:uid="{00000000-0005-0000-0000-0000E0010000}"/>
    <cellStyle name="60% - Énfasis2 3" xfId="429" xr:uid="{00000000-0005-0000-0000-0000E1010000}"/>
    <cellStyle name="60% - Énfasis2 30" xfId="430" xr:uid="{00000000-0005-0000-0000-0000E2010000}"/>
    <cellStyle name="60% - Énfasis2 31" xfId="431" xr:uid="{00000000-0005-0000-0000-0000E3010000}"/>
    <cellStyle name="60% - Énfasis2 32" xfId="432" xr:uid="{00000000-0005-0000-0000-0000E4010000}"/>
    <cellStyle name="60% - Énfasis2 4" xfId="433" xr:uid="{00000000-0005-0000-0000-0000E5010000}"/>
    <cellStyle name="60% - Énfasis2 5" xfId="434" xr:uid="{00000000-0005-0000-0000-0000E6010000}"/>
    <cellStyle name="60% - Énfasis2 6" xfId="435" xr:uid="{00000000-0005-0000-0000-0000E7010000}"/>
    <cellStyle name="60% - Énfasis2 7" xfId="436" xr:uid="{00000000-0005-0000-0000-0000E8010000}"/>
    <cellStyle name="60% - Énfasis2 8" xfId="437" xr:uid="{00000000-0005-0000-0000-0000E9010000}"/>
    <cellStyle name="60% - Énfasis2 9" xfId="438" xr:uid="{00000000-0005-0000-0000-0000EA010000}"/>
    <cellStyle name="60% - Énfasis3 10" xfId="439" xr:uid="{00000000-0005-0000-0000-0000EC010000}"/>
    <cellStyle name="60% - Énfasis3 11" xfId="440" xr:uid="{00000000-0005-0000-0000-0000ED010000}"/>
    <cellStyle name="60% - Énfasis3 12" xfId="441" xr:uid="{00000000-0005-0000-0000-0000EE010000}"/>
    <cellStyle name="60% - Énfasis3 13" xfId="442" xr:uid="{00000000-0005-0000-0000-0000EF010000}"/>
    <cellStyle name="60% - Énfasis3 14" xfId="443" xr:uid="{00000000-0005-0000-0000-0000F0010000}"/>
    <cellStyle name="60% - Énfasis3 15" xfId="444" xr:uid="{00000000-0005-0000-0000-0000F1010000}"/>
    <cellStyle name="60% - Énfasis3 16" xfId="445" xr:uid="{00000000-0005-0000-0000-0000F2010000}"/>
    <cellStyle name="60% - Énfasis3 17" xfId="446" xr:uid="{00000000-0005-0000-0000-0000F3010000}"/>
    <cellStyle name="60% - Énfasis3 18" xfId="447" xr:uid="{00000000-0005-0000-0000-0000F4010000}"/>
    <cellStyle name="60% - Énfasis3 19" xfId="448" xr:uid="{00000000-0005-0000-0000-0000F5010000}"/>
    <cellStyle name="60% - Énfasis3 2" xfId="449" xr:uid="{00000000-0005-0000-0000-0000F6010000}"/>
    <cellStyle name="60% - Énfasis3 20" xfId="450" xr:uid="{00000000-0005-0000-0000-0000F7010000}"/>
    <cellStyle name="60% - Énfasis3 21" xfId="451" xr:uid="{00000000-0005-0000-0000-0000F8010000}"/>
    <cellStyle name="60% - Énfasis3 22" xfId="452" xr:uid="{00000000-0005-0000-0000-0000F9010000}"/>
    <cellStyle name="60% - Énfasis3 23" xfId="453" xr:uid="{00000000-0005-0000-0000-0000FA010000}"/>
    <cellStyle name="60% - Énfasis3 24" xfId="454" xr:uid="{00000000-0005-0000-0000-0000FB010000}"/>
    <cellStyle name="60% - Énfasis3 25" xfId="455" xr:uid="{00000000-0005-0000-0000-0000FC010000}"/>
    <cellStyle name="60% - Énfasis3 26" xfId="456" xr:uid="{00000000-0005-0000-0000-0000FD010000}"/>
    <cellStyle name="60% - Énfasis3 27" xfId="457" xr:uid="{00000000-0005-0000-0000-0000FE010000}"/>
    <cellStyle name="60% - Énfasis3 28" xfId="458" xr:uid="{00000000-0005-0000-0000-0000FF010000}"/>
    <cellStyle name="60% - Énfasis3 29" xfId="459" xr:uid="{00000000-0005-0000-0000-000000020000}"/>
    <cellStyle name="60% - Énfasis3 3" xfId="460" xr:uid="{00000000-0005-0000-0000-000001020000}"/>
    <cellStyle name="60% - Énfasis3 30" xfId="461" xr:uid="{00000000-0005-0000-0000-000002020000}"/>
    <cellStyle name="60% - Énfasis3 31" xfId="462" xr:uid="{00000000-0005-0000-0000-000003020000}"/>
    <cellStyle name="60% - Énfasis3 32" xfId="463" xr:uid="{00000000-0005-0000-0000-000004020000}"/>
    <cellStyle name="60% - Énfasis3 4" xfId="464" xr:uid="{00000000-0005-0000-0000-000005020000}"/>
    <cellStyle name="60% - Énfasis3 5" xfId="465" xr:uid="{00000000-0005-0000-0000-000006020000}"/>
    <cellStyle name="60% - Énfasis3 6" xfId="466" xr:uid="{00000000-0005-0000-0000-000007020000}"/>
    <cellStyle name="60% - Énfasis3 7" xfId="467" xr:uid="{00000000-0005-0000-0000-000008020000}"/>
    <cellStyle name="60% - Énfasis3 8" xfId="468" xr:uid="{00000000-0005-0000-0000-000009020000}"/>
    <cellStyle name="60% - Énfasis3 9" xfId="469" xr:uid="{00000000-0005-0000-0000-00000A020000}"/>
    <cellStyle name="60% - Énfasis4 10" xfId="470" xr:uid="{00000000-0005-0000-0000-00000C020000}"/>
    <cellStyle name="60% - Énfasis4 11" xfId="471" xr:uid="{00000000-0005-0000-0000-00000D020000}"/>
    <cellStyle name="60% - Énfasis4 12" xfId="472" xr:uid="{00000000-0005-0000-0000-00000E020000}"/>
    <cellStyle name="60% - Énfasis4 13" xfId="473" xr:uid="{00000000-0005-0000-0000-00000F020000}"/>
    <cellStyle name="60% - Énfasis4 14" xfId="474" xr:uid="{00000000-0005-0000-0000-000010020000}"/>
    <cellStyle name="60% - Énfasis4 15" xfId="475" xr:uid="{00000000-0005-0000-0000-000011020000}"/>
    <cellStyle name="60% - Énfasis4 16" xfId="476" xr:uid="{00000000-0005-0000-0000-000012020000}"/>
    <cellStyle name="60% - Énfasis4 17" xfId="477" xr:uid="{00000000-0005-0000-0000-000013020000}"/>
    <cellStyle name="60% - Énfasis4 18" xfId="478" xr:uid="{00000000-0005-0000-0000-000014020000}"/>
    <cellStyle name="60% - Énfasis4 19" xfId="479" xr:uid="{00000000-0005-0000-0000-000015020000}"/>
    <cellStyle name="60% - Énfasis4 2" xfId="480" xr:uid="{00000000-0005-0000-0000-000016020000}"/>
    <cellStyle name="60% - Énfasis4 20" xfId="481" xr:uid="{00000000-0005-0000-0000-000017020000}"/>
    <cellStyle name="60% - Énfasis4 21" xfId="482" xr:uid="{00000000-0005-0000-0000-000018020000}"/>
    <cellStyle name="60% - Énfasis4 22" xfId="483" xr:uid="{00000000-0005-0000-0000-000019020000}"/>
    <cellStyle name="60% - Énfasis4 23" xfId="484" xr:uid="{00000000-0005-0000-0000-00001A020000}"/>
    <cellStyle name="60% - Énfasis4 24" xfId="485" xr:uid="{00000000-0005-0000-0000-00001B020000}"/>
    <cellStyle name="60% - Énfasis4 25" xfId="486" xr:uid="{00000000-0005-0000-0000-00001C020000}"/>
    <cellStyle name="60% - Énfasis4 26" xfId="487" xr:uid="{00000000-0005-0000-0000-00001D020000}"/>
    <cellStyle name="60% - Énfasis4 27" xfId="488" xr:uid="{00000000-0005-0000-0000-00001E020000}"/>
    <cellStyle name="60% - Énfasis4 28" xfId="489" xr:uid="{00000000-0005-0000-0000-00001F020000}"/>
    <cellStyle name="60% - Énfasis4 29" xfId="490" xr:uid="{00000000-0005-0000-0000-000020020000}"/>
    <cellStyle name="60% - Énfasis4 3" xfId="491" xr:uid="{00000000-0005-0000-0000-000021020000}"/>
    <cellStyle name="60% - Énfasis4 30" xfId="492" xr:uid="{00000000-0005-0000-0000-000022020000}"/>
    <cellStyle name="60% - Énfasis4 31" xfId="493" xr:uid="{00000000-0005-0000-0000-000023020000}"/>
    <cellStyle name="60% - Énfasis4 32" xfId="494" xr:uid="{00000000-0005-0000-0000-000024020000}"/>
    <cellStyle name="60% - Énfasis4 4" xfId="495" xr:uid="{00000000-0005-0000-0000-000025020000}"/>
    <cellStyle name="60% - Énfasis4 5" xfId="496" xr:uid="{00000000-0005-0000-0000-000026020000}"/>
    <cellStyle name="60% - Énfasis4 6" xfId="497" xr:uid="{00000000-0005-0000-0000-000027020000}"/>
    <cellStyle name="60% - Énfasis4 7" xfId="498" xr:uid="{00000000-0005-0000-0000-000028020000}"/>
    <cellStyle name="60% - Énfasis4 8" xfId="499" xr:uid="{00000000-0005-0000-0000-000029020000}"/>
    <cellStyle name="60% - Énfasis4 9" xfId="500" xr:uid="{00000000-0005-0000-0000-00002A020000}"/>
    <cellStyle name="60% - Énfasis5 10" xfId="501" xr:uid="{00000000-0005-0000-0000-00002C020000}"/>
    <cellStyle name="60% - Énfasis5 11" xfId="502" xr:uid="{00000000-0005-0000-0000-00002D020000}"/>
    <cellStyle name="60% - Énfasis5 12" xfId="503" xr:uid="{00000000-0005-0000-0000-00002E020000}"/>
    <cellStyle name="60% - Énfasis5 13" xfId="504" xr:uid="{00000000-0005-0000-0000-00002F020000}"/>
    <cellStyle name="60% - Énfasis5 14" xfId="505" xr:uid="{00000000-0005-0000-0000-000030020000}"/>
    <cellStyle name="60% - Énfasis5 15" xfId="506" xr:uid="{00000000-0005-0000-0000-000031020000}"/>
    <cellStyle name="60% - Énfasis5 16" xfId="507" xr:uid="{00000000-0005-0000-0000-000032020000}"/>
    <cellStyle name="60% - Énfasis5 17" xfId="508" xr:uid="{00000000-0005-0000-0000-000033020000}"/>
    <cellStyle name="60% - Énfasis5 18" xfId="509" xr:uid="{00000000-0005-0000-0000-000034020000}"/>
    <cellStyle name="60% - Énfasis5 19" xfId="510" xr:uid="{00000000-0005-0000-0000-000035020000}"/>
    <cellStyle name="60% - Énfasis5 2" xfId="511" xr:uid="{00000000-0005-0000-0000-000036020000}"/>
    <cellStyle name="60% - Énfasis5 20" xfId="512" xr:uid="{00000000-0005-0000-0000-000037020000}"/>
    <cellStyle name="60% - Énfasis5 21" xfId="513" xr:uid="{00000000-0005-0000-0000-000038020000}"/>
    <cellStyle name="60% - Énfasis5 22" xfId="514" xr:uid="{00000000-0005-0000-0000-000039020000}"/>
    <cellStyle name="60% - Énfasis5 23" xfId="515" xr:uid="{00000000-0005-0000-0000-00003A020000}"/>
    <cellStyle name="60% - Énfasis5 24" xfId="516" xr:uid="{00000000-0005-0000-0000-00003B020000}"/>
    <cellStyle name="60% - Énfasis5 25" xfId="517" xr:uid="{00000000-0005-0000-0000-00003C020000}"/>
    <cellStyle name="60% - Énfasis5 26" xfId="518" xr:uid="{00000000-0005-0000-0000-00003D020000}"/>
    <cellStyle name="60% - Énfasis5 27" xfId="519" xr:uid="{00000000-0005-0000-0000-00003E020000}"/>
    <cellStyle name="60% - Énfasis5 28" xfId="520" xr:uid="{00000000-0005-0000-0000-00003F020000}"/>
    <cellStyle name="60% - Énfasis5 29" xfId="521" xr:uid="{00000000-0005-0000-0000-000040020000}"/>
    <cellStyle name="60% - Énfasis5 3" xfId="522" xr:uid="{00000000-0005-0000-0000-000041020000}"/>
    <cellStyle name="60% - Énfasis5 30" xfId="523" xr:uid="{00000000-0005-0000-0000-000042020000}"/>
    <cellStyle name="60% - Énfasis5 31" xfId="524" xr:uid="{00000000-0005-0000-0000-000043020000}"/>
    <cellStyle name="60% - Énfasis5 32" xfId="525" xr:uid="{00000000-0005-0000-0000-000044020000}"/>
    <cellStyle name="60% - Énfasis5 4" xfId="526" xr:uid="{00000000-0005-0000-0000-000045020000}"/>
    <cellStyle name="60% - Énfasis5 5" xfId="527" xr:uid="{00000000-0005-0000-0000-000046020000}"/>
    <cellStyle name="60% - Énfasis5 6" xfId="528" xr:uid="{00000000-0005-0000-0000-000047020000}"/>
    <cellStyle name="60% - Énfasis5 7" xfId="529" xr:uid="{00000000-0005-0000-0000-000048020000}"/>
    <cellStyle name="60% - Énfasis5 8" xfId="530" xr:uid="{00000000-0005-0000-0000-000049020000}"/>
    <cellStyle name="60% - Énfasis5 9" xfId="531" xr:uid="{00000000-0005-0000-0000-00004A020000}"/>
    <cellStyle name="60% - Énfasis6 10" xfId="532" xr:uid="{00000000-0005-0000-0000-00004C020000}"/>
    <cellStyle name="60% - Énfasis6 11" xfId="533" xr:uid="{00000000-0005-0000-0000-00004D020000}"/>
    <cellStyle name="60% - Énfasis6 12" xfId="534" xr:uid="{00000000-0005-0000-0000-00004E020000}"/>
    <cellStyle name="60% - Énfasis6 13" xfId="535" xr:uid="{00000000-0005-0000-0000-00004F020000}"/>
    <cellStyle name="60% - Énfasis6 14" xfId="536" xr:uid="{00000000-0005-0000-0000-000050020000}"/>
    <cellStyle name="60% - Énfasis6 15" xfId="537" xr:uid="{00000000-0005-0000-0000-000051020000}"/>
    <cellStyle name="60% - Énfasis6 16" xfId="538" xr:uid="{00000000-0005-0000-0000-000052020000}"/>
    <cellStyle name="60% - Énfasis6 17" xfId="539" xr:uid="{00000000-0005-0000-0000-000053020000}"/>
    <cellStyle name="60% - Énfasis6 18" xfId="540" xr:uid="{00000000-0005-0000-0000-000054020000}"/>
    <cellStyle name="60% - Énfasis6 19" xfId="541" xr:uid="{00000000-0005-0000-0000-000055020000}"/>
    <cellStyle name="60% - Énfasis6 2" xfId="542" xr:uid="{00000000-0005-0000-0000-000056020000}"/>
    <cellStyle name="60% - Énfasis6 20" xfId="543" xr:uid="{00000000-0005-0000-0000-000057020000}"/>
    <cellStyle name="60% - Énfasis6 21" xfId="544" xr:uid="{00000000-0005-0000-0000-000058020000}"/>
    <cellStyle name="60% - Énfasis6 22" xfId="545" xr:uid="{00000000-0005-0000-0000-000059020000}"/>
    <cellStyle name="60% - Énfasis6 23" xfId="546" xr:uid="{00000000-0005-0000-0000-00005A020000}"/>
    <cellStyle name="60% - Énfasis6 24" xfId="547" xr:uid="{00000000-0005-0000-0000-00005B020000}"/>
    <cellStyle name="60% - Énfasis6 25" xfId="548" xr:uid="{00000000-0005-0000-0000-00005C020000}"/>
    <cellStyle name="60% - Énfasis6 26" xfId="549" xr:uid="{00000000-0005-0000-0000-00005D020000}"/>
    <cellStyle name="60% - Énfasis6 27" xfId="550" xr:uid="{00000000-0005-0000-0000-00005E020000}"/>
    <cellStyle name="60% - Énfasis6 28" xfId="551" xr:uid="{00000000-0005-0000-0000-00005F020000}"/>
    <cellStyle name="60% - Énfasis6 29" xfId="552" xr:uid="{00000000-0005-0000-0000-000060020000}"/>
    <cellStyle name="60% - Énfasis6 3" xfId="553" xr:uid="{00000000-0005-0000-0000-000061020000}"/>
    <cellStyle name="60% - Énfasis6 30" xfId="554" xr:uid="{00000000-0005-0000-0000-000062020000}"/>
    <cellStyle name="60% - Énfasis6 31" xfId="555" xr:uid="{00000000-0005-0000-0000-000063020000}"/>
    <cellStyle name="60% - Énfasis6 32" xfId="556" xr:uid="{00000000-0005-0000-0000-000064020000}"/>
    <cellStyle name="60% - Énfasis6 4" xfId="557" xr:uid="{00000000-0005-0000-0000-000065020000}"/>
    <cellStyle name="60% - Énfasis6 5" xfId="558" xr:uid="{00000000-0005-0000-0000-000066020000}"/>
    <cellStyle name="60% - Énfasis6 6" xfId="559" xr:uid="{00000000-0005-0000-0000-000067020000}"/>
    <cellStyle name="60% - Énfasis6 7" xfId="560" xr:uid="{00000000-0005-0000-0000-000068020000}"/>
    <cellStyle name="60% - Énfasis6 8" xfId="561" xr:uid="{00000000-0005-0000-0000-000069020000}"/>
    <cellStyle name="60% - Énfasis6 9" xfId="562" xr:uid="{00000000-0005-0000-0000-00006A020000}"/>
    <cellStyle name="Accent1" xfId="1505" xr:uid="{00000000-0005-0000-0000-00006B020000}"/>
    <cellStyle name="Accent2" xfId="1375" xr:uid="{00000000-0005-0000-0000-00006C020000}"/>
    <cellStyle name="Accent3" xfId="1512" xr:uid="{00000000-0005-0000-0000-00006D020000}"/>
    <cellStyle name="Accent4" xfId="1516" xr:uid="{00000000-0005-0000-0000-00006E020000}"/>
    <cellStyle name="Accent5" xfId="1520" xr:uid="{00000000-0005-0000-0000-00006F020000}"/>
    <cellStyle name="Accent6" xfId="1524" xr:uid="{00000000-0005-0000-0000-000070020000}"/>
    <cellStyle name="ACTAS" xfId="1404" xr:uid="{00000000-0005-0000-0000-000071020000}"/>
    <cellStyle name="Bad" xfId="1499" xr:uid="{00000000-0005-0000-0000-000072020000}"/>
    <cellStyle name="BodyStyle" xfId="1538" xr:uid="{39836FCC-77B3-482D-8D41-790578E1EA4C}"/>
    <cellStyle name="BORDES TITU. INT." xfId="1406" xr:uid="{00000000-0005-0000-0000-000073020000}"/>
    <cellStyle name="Buena 10" xfId="563" xr:uid="{00000000-0005-0000-0000-000075020000}"/>
    <cellStyle name="Buena 11" xfId="564" xr:uid="{00000000-0005-0000-0000-000076020000}"/>
    <cellStyle name="Buena 12" xfId="565" xr:uid="{00000000-0005-0000-0000-000077020000}"/>
    <cellStyle name="Buena 13" xfId="566" xr:uid="{00000000-0005-0000-0000-000078020000}"/>
    <cellStyle name="Buena 14" xfId="567" xr:uid="{00000000-0005-0000-0000-000079020000}"/>
    <cellStyle name="Buena 15" xfId="568" xr:uid="{00000000-0005-0000-0000-00007A020000}"/>
    <cellStyle name="Buena 16" xfId="569" xr:uid="{00000000-0005-0000-0000-00007B020000}"/>
    <cellStyle name="Buena 17" xfId="570" xr:uid="{00000000-0005-0000-0000-00007C020000}"/>
    <cellStyle name="Buena 18" xfId="571" xr:uid="{00000000-0005-0000-0000-00007D020000}"/>
    <cellStyle name="Buena 19" xfId="572" xr:uid="{00000000-0005-0000-0000-00007E020000}"/>
    <cellStyle name="Buena 2" xfId="573" xr:uid="{00000000-0005-0000-0000-00007F020000}"/>
    <cellStyle name="Buena 20" xfId="574" xr:uid="{00000000-0005-0000-0000-000080020000}"/>
    <cellStyle name="Buena 21" xfId="575" xr:uid="{00000000-0005-0000-0000-000081020000}"/>
    <cellStyle name="Buena 22" xfId="576" xr:uid="{00000000-0005-0000-0000-000082020000}"/>
    <cellStyle name="Buena 23" xfId="577" xr:uid="{00000000-0005-0000-0000-000083020000}"/>
    <cellStyle name="Buena 24" xfId="578" xr:uid="{00000000-0005-0000-0000-000084020000}"/>
    <cellStyle name="Buena 25" xfId="579" xr:uid="{00000000-0005-0000-0000-000085020000}"/>
    <cellStyle name="Buena 26" xfId="580" xr:uid="{00000000-0005-0000-0000-000086020000}"/>
    <cellStyle name="Buena 27" xfId="581" xr:uid="{00000000-0005-0000-0000-000087020000}"/>
    <cellStyle name="Buena 28" xfId="582" xr:uid="{00000000-0005-0000-0000-000088020000}"/>
    <cellStyle name="Buena 29" xfId="583" xr:uid="{00000000-0005-0000-0000-000089020000}"/>
    <cellStyle name="Buena 3" xfId="584" xr:uid="{00000000-0005-0000-0000-00008A020000}"/>
    <cellStyle name="Buena 30" xfId="585" xr:uid="{00000000-0005-0000-0000-00008B020000}"/>
    <cellStyle name="Buena 31" xfId="586" xr:uid="{00000000-0005-0000-0000-00008C020000}"/>
    <cellStyle name="Buena 32" xfId="587" xr:uid="{00000000-0005-0000-0000-00008D020000}"/>
    <cellStyle name="Buena 4" xfId="588" xr:uid="{00000000-0005-0000-0000-00008E020000}"/>
    <cellStyle name="Buena 5" xfId="589" xr:uid="{00000000-0005-0000-0000-00008F020000}"/>
    <cellStyle name="Buena 6" xfId="590" xr:uid="{00000000-0005-0000-0000-000090020000}"/>
    <cellStyle name="Buena 7" xfId="591" xr:uid="{00000000-0005-0000-0000-000091020000}"/>
    <cellStyle name="Buena 8" xfId="592" xr:uid="{00000000-0005-0000-0000-000092020000}"/>
    <cellStyle name="Buena 9" xfId="593" xr:uid="{00000000-0005-0000-0000-000093020000}"/>
    <cellStyle name="Bueno" xfId="937" builtinId="26" customBuiltin="1"/>
    <cellStyle name="Calculation" xfId="1502" xr:uid="{00000000-0005-0000-0000-000094020000}"/>
    <cellStyle name="Cálculo 10" xfId="594" xr:uid="{00000000-0005-0000-0000-000096020000}"/>
    <cellStyle name="Cálculo 11" xfId="595" xr:uid="{00000000-0005-0000-0000-000097020000}"/>
    <cellStyle name="Cálculo 12" xfId="596" xr:uid="{00000000-0005-0000-0000-000098020000}"/>
    <cellStyle name="Cálculo 13" xfId="597" xr:uid="{00000000-0005-0000-0000-000099020000}"/>
    <cellStyle name="Cálculo 14" xfId="598" xr:uid="{00000000-0005-0000-0000-00009A020000}"/>
    <cellStyle name="Cálculo 15" xfId="599" xr:uid="{00000000-0005-0000-0000-00009B020000}"/>
    <cellStyle name="Cálculo 16" xfId="600" xr:uid="{00000000-0005-0000-0000-00009C020000}"/>
    <cellStyle name="Cálculo 17" xfId="601" xr:uid="{00000000-0005-0000-0000-00009D020000}"/>
    <cellStyle name="Cálculo 18" xfId="602" xr:uid="{00000000-0005-0000-0000-00009E020000}"/>
    <cellStyle name="Cálculo 19" xfId="603" xr:uid="{00000000-0005-0000-0000-00009F020000}"/>
    <cellStyle name="Cálculo 2" xfId="604" xr:uid="{00000000-0005-0000-0000-0000A0020000}"/>
    <cellStyle name="Cálculo 20" xfId="605" xr:uid="{00000000-0005-0000-0000-0000A1020000}"/>
    <cellStyle name="Cálculo 21" xfId="606" xr:uid="{00000000-0005-0000-0000-0000A2020000}"/>
    <cellStyle name="Cálculo 22" xfId="607" xr:uid="{00000000-0005-0000-0000-0000A3020000}"/>
    <cellStyle name="Cálculo 23" xfId="608" xr:uid="{00000000-0005-0000-0000-0000A4020000}"/>
    <cellStyle name="Cálculo 24" xfId="609" xr:uid="{00000000-0005-0000-0000-0000A5020000}"/>
    <cellStyle name="Cálculo 25" xfId="610" xr:uid="{00000000-0005-0000-0000-0000A6020000}"/>
    <cellStyle name="Cálculo 26" xfId="611" xr:uid="{00000000-0005-0000-0000-0000A7020000}"/>
    <cellStyle name="Cálculo 27" xfId="612" xr:uid="{00000000-0005-0000-0000-0000A8020000}"/>
    <cellStyle name="Cálculo 28" xfId="613" xr:uid="{00000000-0005-0000-0000-0000A9020000}"/>
    <cellStyle name="Cálculo 29" xfId="614" xr:uid="{00000000-0005-0000-0000-0000AA020000}"/>
    <cellStyle name="Cálculo 3" xfId="615" xr:uid="{00000000-0005-0000-0000-0000AB020000}"/>
    <cellStyle name="Cálculo 30" xfId="616" xr:uid="{00000000-0005-0000-0000-0000AC020000}"/>
    <cellStyle name="Cálculo 31" xfId="617" xr:uid="{00000000-0005-0000-0000-0000AD020000}"/>
    <cellStyle name="Cálculo 32" xfId="618" xr:uid="{00000000-0005-0000-0000-0000AE020000}"/>
    <cellStyle name="Cálculo 4" xfId="619" xr:uid="{00000000-0005-0000-0000-0000AF020000}"/>
    <cellStyle name="Cálculo 5" xfId="620" xr:uid="{00000000-0005-0000-0000-0000B0020000}"/>
    <cellStyle name="Cálculo 6" xfId="621" xr:uid="{00000000-0005-0000-0000-0000B1020000}"/>
    <cellStyle name="Cálculo 7" xfId="622" xr:uid="{00000000-0005-0000-0000-0000B2020000}"/>
    <cellStyle name="Cálculo 8" xfId="623" xr:uid="{00000000-0005-0000-0000-0000B3020000}"/>
    <cellStyle name="Cálculo 9" xfId="624" xr:uid="{00000000-0005-0000-0000-0000B4020000}"/>
    <cellStyle name="Celda de comprobación" xfId="687" builtinId="23" customBuiltin="1"/>
    <cellStyle name="Celda de comprobación 10" xfId="625" xr:uid="{00000000-0005-0000-0000-0000B6020000}"/>
    <cellStyle name="Celda de comprobación 11" xfId="626" xr:uid="{00000000-0005-0000-0000-0000B7020000}"/>
    <cellStyle name="Celda de comprobación 12" xfId="627" xr:uid="{00000000-0005-0000-0000-0000B8020000}"/>
    <cellStyle name="Celda de comprobación 13" xfId="628" xr:uid="{00000000-0005-0000-0000-0000B9020000}"/>
    <cellStyle name="Celda de comprobación 14" xfId="629" xr:uid="{00000000-0005-0000-0000-0000BA020000}"/>
    <cellStyle name="Celda de comprobación 15" xfId="630" xr:uid="{00000000-0005-0000-0000-0000BB020000}"/>
    <cellStyle name="Celda de comprobación 16" xfId="631" xr:uid="{00000000-0005-0000-0000-0000BC020000}"/>
    <cellStyle name="Celda de comprobación 17" xfId="632" xr:uid="{00000000-0005-0000-0000-0000BD020000}"/>
    <cellStyle name="Celda de comprobación 18" xfId="633" xr:uid="{00000000-0005-0000-0000-0000BE020000}"/>
    <cellStyle name="Celda de comprobación 19" xfId="634" xr:uid="{00000000-0005-0000-0000-0000BF020000}"/>
    <cellStyle name="Celda de comprobación 2" xfId="635" xr:uid="{00000000-0005-0000-0000-0000C0020000}"/>
    <cellStyle name="Celda de comprobación 20" xfId="636" xr:uid="{00000000-0005-0000-0000-0000C1020000}"/>
    <cellStyle name="Celda de comprobación 21" xfId="637" xr:uid="{00000000-0005-0000-0000-0000C2020000}"/>
    <cellStyle name="Celda de comprobación 22" xfId="638" xr:uid="{00000000-0005-0000-0000-0000C3020000}"/>
    <cellStyle name="Celda de comprobación 23" xfId="639" xr:uid="{00000000-0005-0000-0000-0000C4020000}"/>
    <cellStyle name="Celda de comprobación 24" xfId="640" xr:uid="{00000000-0005-0000-0000-0000C5020000}"/>
    <cellStyle name="Celda de comprobación 25" xfId="641" xr:uid="{00000000-0005-0000-0000-0000C6020000}"/>
    <cellStyle name="Celda de comprobación 26" xfId="642" xr:uid="{00000000-0005-0000-0000-0000C7020000}"/>
    <cellStyle name="Celda de comprobación 27" xfId="643" xr:uid="{00000000-0005-0000-0000-0000C8020000}"/>
    <cellStyle name="Celda de comprobación 28" xfId="644" xr:uid="{00000000-0005-0000-0000-0000C9020000}"/>
    <cellStyle name="Celda de comprobación 29" xfId="645" xr:uid="{00000000-0005-0000-0000-0000CA020000}"/>
    <cellStyle name="Celda de comprobación 3" xfId="646" xr:uid="{00000000-0005-0000-0000-0000CB020000}"/>
    <cellStyle name="Celda de comprobación 30" xfId="647" xr:uid="{00000000-0005-0000-0000-0000CC020000}"/>
    <cellStyle name="Celda de comprobación 31" xfId="648" xr:uid="{00000000-0005-0000-0000-0000CD020000}"/>
    <cellStyle name="Celda de comprobación 32" xfId="649" xr:uid="{00000000-0005-0000-0000-0000CE020000}"/>
    <cellStyle name="Celda de comprobación 4" xfId="650" xr:uid="{00000000-0005-0000-0000-0000CF020000}"/>
    <cellStyle name="Celda de comprobación 5" xfId="651" xr:uid="{00000000-0005-0000-0000-0000D0020000}"/>
    <cellStyle name="Celda de comprobación 6" xfId="652" xr:uid="{00000000-0005-0000-0000-0000D1020000}"/>
    <cellStyle name="Celda de comprobación 7" xfId="653" xr:uid="{00000000-0005-0000-0000-0000D2020000}"/>
    <cellStyle name="Celda de comprobación 8" xfId="654" xr:uid="{00000000-0005-0000-0000-0000D3020000}"/>
    <cellStyle name="Celda de comprobación 9" xfId="655" xr:uid="{00000000-0005-0000-0000-0000D4020000}"/>
    <cellStyle name="Celda vinculada" xfId="973" builtinId="24" customBuiltin="1"/>
    <cellStyle name="Celda vinculada 10" xfId="656" xr:uid="{00000000-0005-0000-0000-0000D6020000}"/>
    <cellStyle name="Celda vinculada 11" xfId="657" xr:uid="{00000000-0005-0000-0000-0000D7020000}"/>
    <cellStyle name="Celda vinculada 12" xfId="658" xr:uid="{00000000-0005-0000-0000-0000D8020000}"/>
    <cellStyle name="Celda vinculada 13" xfId="659" xr:uid="{00000000-0005-0000-0000-0000D9020000}"/>
    <cellStyle name="Celda vinculada 14" xfId="660" xr:uid="{00000000-0005-0000-0000-0000DA020000}"/>
    <cellStyle name="Celda vinculada 15" xfId="661" xr:uid="{00000000-0005-0000-0000-0000DB020000}"/>
    <cellStyle name="Celda vinculada 16" xfId="662" xr:uid="{00000000-0005-0000-0000-0000DC020000}"/>
    <cellStyle name="Celda vinculada 17" xfId="663" xr:uid="{00000000-0005-0000-0000-0000DD020000}"/>
    <cellStyle name="Celda vinculada 18" xfId="664" xr:uid="{00000000-0005-0000-0000-0000DE020000}"/>
    <cellStyle name="Celda vinculada 19" xfId="665" xr:uid="{00000000-0005-0000-0000-0000DF020000}"/>
    <cellStyle name="Celda vinculada 2" xfId="666" xr:uid="{00000000-0005-0000-0000-0000E0020000}"/>
    <cellStyle name="Celda vinculada 20" xfId="667" xr:uid="{00000000-0005-0000-0000-0000E1020000}"/>
    <cellStyle name="Celda vinculada 21" xfId="668" xr:uid="{00000000-0005-0000-0000-0000E2020000}"/>
    <cellStyle name="Celda vinculada 22" xfId="669" xr:uid="{00000000-0005-0000-0000-0000E3020000}"/>
    <cellStyle name="Celda vinculada 23" xfId="670" xr:uid="{00000000-0005-0000-0000-0000E4020000}"/>
    <cellStyle name="Celda vinculada 24" xfId="671" xr:uid="{00000000-0005-0000-0000-0000E5020000}"/>
    <cellStyle name="Celda vinculada 25" xfId="672" xr:uid="{00000000-0005-0000-0000-0000E6020000}"/>
    <cellStyle name="Celda vinculada 26" xfId="673" xr:uid="{00000000-0005-0000-0000-0000E7020000}"/>
    <cellStyle name="Celda vinculada 27" xfId="674" xr:uid="{00000000-0005-0000-0000-0000E8020000}"/>
    <cellStyle name="Celda vinculada 28" xfId="675" xr:uid="{00000000-0005-0000-0000-0000E9020000}"/>
    <cellStyle name="Celda vinculada 29" xfId="676" xr:uid="{00000000-0005-0000-0000-0000EA020000}"/>
    <cellStyle name="Celda vinculada 3" xfId="677" xr:uid="{00000000-0005-0000-0000-0000EB020000}"/>
    <cellStyle name="Celda vinculada 30" xfId="678" xr:uid="{00000000-0005-0000-0000-0000EC020000}"/>
    <cellStyle name="Celda vinculada 31" xfId="679" xr:uid="{00000000-0005-0000-0000-0000ED020000}"/>
    <cellStyle name="Celda vinculada 32" xfId="680" xr:uid="{00000000-0005-0000-0000-0000EE020000}"/>
    <cellStyle name="Celda vinculada 4" xfId="681" xr:uid="{00000000-0005-0000-0000-0000EF020000}"/>
    <cellStyle name="Celda vinculada 5" xfId="682" xr:uid="{00000000-0005-0000-0000-0000F0020000}"/>
    <cellStyle name="Celda vinculada 6" xfId="683" xr:uid="{00000000-0005-0000-0000-0000F1020000}"/>
    <cellStyle name="Celda vinculada 7" xfId="684" xr:uid="{00000000-0005-0000-0000-0000F2020000}"/>
    <cellStyle name="Celda vinculada 8" xfId="685" xr:uid="{00000000-0005-0000-0000-0000F3020000}"/>
    <cellStyle name="Celda vinculada 9" xfId="686" xr:uid="{00000000-0005-0000-0000-0000F4020000}"/>
    <cellStyle name="Comma0" xfId="1407" xr:uid="{00000000-0005-0000-0000-0000F6020000}"/>
    <cellStyle name="Comma0 2" xfId="1408" xr:uid="{00000000-0005-0000-0000-0000F7020000}"/>
    <cellStyle name="Currency0" xfId="1409" xr:uid="{00000000-0005-0000-0000-0000F8020000}"/>
    <cellStyle name="Currency0 2" xfId="1410" xr:uid="{00000000-0005-0000-0000-0000F9020000}"/>
    <cellStyle name="Date" xfId="1411" xr:uid="{00000000-0005-0000-0000-0000FA020000}"/>
    <cellStyle name="Date 2" xfId="1412" xr:uid="{00000000-0005-0000-0000-0000FB020000}"/>
    <cellStyle name="Encabezado 1" xfId="938" builtinId="16" customBuiltin="1"/>
    <cellStyle name="Encabezado 4" xfId="939" builtinId="19" customBuiltin="1"/>
    <cellStyle name="Encabezado 4 10" xfId="688" xr:uid="{00000000-0005-0000-0000-0000FE020000}"/>
    <cellStyle name="Encabezado 4 11" xfId="689" xr:uid="{00000000-0005-0000-0000-0000FF020000}"/>
    <cellStyle name="Encabezado 4 12" xfId="690" xr:uid="{00000000-0005-0000-0000-000000030000}"/>
    <cellStyle name="Encabezado 4 13" xfId="691" xr:uid="{00000000-0005-0000-0000-000001030000}"/>
    <cellStyle name="Encabezado 4 14" xfId="692" xr:uid="{00000000-0005-0000-0000-000002030000}"/>
    <cellStyle name="Encabezado 4 15" xfId="693" xr:uid="{00000000-0005-0000-0000-000003030000}"/>
    <cellStyle name="Encabezado 4 16" xfId="694" xr:uid="{00000000-0005-0000-0000-000004030000}"/>
    <cellStyle name="Encabezado 4 17" xfId="695" xr:uid="{00000000-0005-0000-0000-000005030000}"/>
    <cellStyle name="Encabezado 4 18" xfId="696" xr:uid="{00000000-0005-0000-0000-000006030000}"/>
    <cellStyle name="Encabezado 4 19" xfId="697" xr:uid="{00000000-0005-0000-0000-000007030000}"/>
    <cellStyle name="Encabezado 4 2" xfId="698" xr:uid="{00000000-0005-0000-0000-000008030000}"/>
    <cellStyle name="Encabezado 4 20" xfId="699" xr:uid="{00000000-0005-0000-0000-000009030000}"/>
    <cellStyle name="Encabezado 4 21" xfId="700" xr:uid="{00000000-0005-0000-0000-00000A030000}"/>
    <cellStyle name="Encabezado 4 22" xfId="701" xr:uid="{00000000-0005-0000-0000-00000B030000}"/>
    <cellStyle name="Encabezado 4 23" xfId="702" xr:uid="{00000000-0005-0000-0000-00000C030000}"/>
    <cellStyle name="Encabezado 4 24" xfId="703" xr:uid="{00000000-0005-0000-0000-00000D030000}"/>
    <cellStyle name="Encabezado 4 25" xfId="704" xr:uid="{00000000-0005-0000-0000-00000E030000}"/>
    <cellStyle name="Encabezado 4 26" xfId="705" xr:uid="{00000000-0005-0000-0000-00000F030000}"/>
    <cellStyle name="Encabezado 4 27" xfId="706" xr:uid="{00000000-0005-0000-0000-000010030000}"/>
    <cellStyle name="Encabezado 4 28" xfId="707" xr:uid="{00000000-0005-0000-0000-000011030000}"/>
    <cellStyle name="Encabezado 4 29" xfId="708" xr:uid="{00000000-0005-0000-0000-000012030000}"/>
    <cellStyle name="Encabezado 4 3" xfId="709" xr:uid="{00000000-0005-0000-0000-000013030000}"/>
    <cellStyle name="Encabezado 4 30" xfId="710" xr:uid="{00000000-0005-0000-0000-000014030000}"/>
    <cellStyle name="Encabezado 4 31" xfId="711" xr:uid="{00000000-0005-0000-0000-000015030000}"/>
    <cellStyle name="Encabezado 4 32" xfId="712" xr:uid="{00000000-0005-0000-0000-000016030000}"/>
    <cellStyle name="Encabezado 4 4" xfId="713" xr:uid="{00000000-0005-0000-0000-000017030000}"/>
    <cellStyle name="Encabezado 4 5" xfId="714" xr:uid="{00000000-0005-0000-0000-000018030000}"/>
    <cellStyle name="Encabezado 4 6" xfId="715" xr:uid="{00000000-0005-0000-0000-000019030000}"/>
    <cellStyle name="Encabezado 4 7" xfId="716" xr:uid="{00000000-0005-0000-0000-00001A030000}"/>
    <cellStyle name="Encabezado 4 8" xfId="717" xr:uid="{00000000-0005-0000-0000-00001B030000}"/>
    <cellStyle name="Encabezado 4 9" xfId="718" xr:uid="{00000000-0005-0000-0000-00001C030000}"/>
    <cellStyle name="Énfasis 1" xfId="1413" xr:uid="{00000000-0005-0000-0000-00001D030000}"/>
    <cellStyle name="Énfasis 2" xfId="1414" xr:uid="{00000000-0005-0000-0000-00001E030000}"/>
    <cellStyle name="Énfasis 3" xfId="1415" xr:uid="{00000000-0005-0000-0000-00001F030000}"/>
    <cellStyle name="Énfasis1 - 20%" xfId="1416" xr:uid="{00000000-0005-0000-0000-000021030000}"/>
    <cellStyle name="Énfasis1 - 40%" xfId="1417" xr:uid="{00000000-0005-0000-0000-000022030000}"/>
    <cellStyle name="Énfasis1 - 60%" xfId="1418" xr:uid="{00000000-0005-0000-0000-000023030000}"/>
    <cellStyle name="Énfasis1 10" xfId="719" xr:uid="{00000000-0005-0000-0000-000024030000}"/>
    <cellStyle name="Énfasis1 11" xfId="720" xr:uid="{00000000-0005-0000-0000-000025030000}"/>
    <cellStyle name="Énfasis1 12" xfId="721" xr:uid="{00000000-0005-0000-0000-000026030000}"/>
    <cellStyle name="Énfasis1 13" xfId="722" xr:uid="{00000000-0005-0000-0000-000027030000}"/>
    <cellStyle name="Énfasis1 14" xfId="723" xr:uid="{00000000-0005-0000-0000-000028030000}"/>
    <cellStyle name="Énfasis1 15" xfId="724" xr:uid="{00000000-0005-0000-0000-000029030000}"/>
    <cellStyle name="Énfasis1 16" xfId="725" xr:uid="{00000000-0005-0000-0000-00002A030000}"/>
    <cellStyle name="Énfasis1 17" xfId="726" xr:uid="{00000000-0005-0000-0000-00002B030000}"/>
    <cellStyle name="Énfasis1 18" xfId="727" xr:uid="{00000000-0005-0000-0000-00002C030000}"/>
    <cellStyle name="Énfasis1 19" xfId="728" xr:uid="{00000000-0005-0000-0000-00002D030000}"/>
    <cellStyle name="Énfasis1 2" xfId="729" xr:uid="{00000000-0005-0000-0000-00002E030000}"/>
    <cellStyle name="Énfasis1 20" xfId="730" xr:uid="{00000000-0005-0000-0000-00002F030000}"/>
    <cellStyle name="Énfasis1 21" xfId="731" xr:uid="{00000000-0005-0000-0000-000030030000}"/>
    <cellStyle name="Énfasis1 22" xfId="732" xr:uid="{00000000-0005-0000-0000-000031030000}"/>
    <cellStyle name="Énfasis1 23" xfId="733" xr:uid="{00000000-0005-0000-0000-000032030000}"/>
    <cellStyle name="Énfasis1 24" xfId="734" xr:uid="{00000000-0005-0000-0000-000033030000}"/>
    <cellStyle name="Énfasis1 25" xfId="735" xr:uid="{00000000-0005-0000-0000-000034030000}"/>
    <cellStyle name="Énfasis1 26" xfId="736" xr:uid="{00000000-0005-0000-0000-000035030000}"/>
    <cellStyle name="Énfasis1 27" xfId="737" xr:uid="{00000000-0005-0000-0000-000036030000}"/>
    <cellStyle name="Énfasis1 28" xfId="738" xr:uid="{00000000-0005-0000-0000-000037030000}"/>
    <cellStyle name="Énfasis1 29" xfId="739" xr:uid="{00000000-0005-0000-0000-000038030000}"/>
    <cellStyle name="Énfasis1 3" xfId="740" xr:uid="{00000000-0005-0000-0000-000039030000}"/>
    <cellStyle name="Énfasis1 30" xfId="741" xr:uid="{00000000-0005-0000-0000-00003A030000}"/>
    <cellStyle name="Énfasis1 31" xfId="742" xr:uid="{00000000-0005-0000-0000-00003B030000}"/>
    <cellStyle name="Énfasis1 32" xfId="743" xr:uid="{00000000-0005-0000-0000-00003C030000}"/>
    <cellStyle name="Énfasis1 4" xfId="744" xr:uid="{00000000-0005-0000-0000-00003D030000}"/>
    <cellStyle name="Énfasis1 5" xfId="745" xr:uid="{00000000-0005-0000-0000-00003E030000}"/>
    <cellStyle name="Énfasis1 6" xfId="746" xr:uid="{00000000-0005-0000-0000-00003F030000}"/>
    <cellStyle name="Énfasis1 7" xfId="747" xr:uid="{00000000-0005-0000-0000-000040030000}"/>
    <cellStyle name="Énfasis1 8" xfId="748" xr:uid="{00000000-0005-0000-0000-000041030000}"/>
    <cellStyle name="Énfasis1 9" xfId="749" xr:uid="{00000000-0005-0000-0000-000042030000}"/>
    <cellStyle name="Énfasis2 - 20%" xfId="1419" xr:uid="{00000000-0005-0000-0000-000044030000}"/>
    <cellStyle name="Énfasis2 - 40%" xfId="1420" xr:uid="{00000000-0005-0000-0000-000045030000}"/>
    <cellStyle name="Énfasis2 - 60%" xfId="1421" xr:uid="{00000000-0005-0000-0000-000046030000}"/>
    <cellStyle name="Énfasis2 10" xfId="750" xr:uid="{00000000-0005-0000-0000-000047030000}"/>
    <cellStyle name="Énfasis2 11" xfId="751" xr:uid="{00000000-0005-0000-0000-000048030000}"/>
    <cellStyle name="Énfasis2 12" xfId="752" xr:uid="{00000000-0005-0000-0000-000049030000}"/>
    <cellStyle name="Énfasis2 13" xfId="753" xr:uid="{00000000-0005-0000-0000-00004A030000}"/>
    <cellStyle name="Énfasis2 14" xfId="754" xr:uid="{00000000-0005-0000-0000-00004B030000}"/>
    <cellStyle name="Énfasis2 15" xfId="755" xr:uid="{00000000-0005-0000-0000-00004C030000}"/>
    <cellStyle name="Énfasis2 16" xfId="756" xr:uid="{00000000-0005-0000-0000-00004D030000}"/>
    <cellStyle name="Énfasis2 17" xfId="757" xr:uid="{00000000-0005-0000-0000-00004E030000}"/>
    <cellStyle name="Énfasis2 18" xfId="758" xr:uid="{00000000-0005-0000-0000-00004F030000}"/>
    <cellStyle name="Énfasis2 19" xfId="759" xr:uid="{00000000-0005-0000-0000-000050030000}"/>
    <cellStyle name="Énfasis2 2" xfId="760" xr:uid="{00000000-0005-0000-0000-000051030000}"/>
    <cellStyle name="Énfasis2 20" xfId="761" xr:uid="{00000000-0005-0000-0000-000052030000}"/>
    <cellStyle name="Énfasis2 21" xfId="762" xr:uid="{00000000-0005-0000-0000-000053030000}"/>
    <cellStyle name="Énfasis2 22" xfId="763" xr:uid="{00000000-0005-0000-0000-000054030000}"/>
    <cellStyle name="Énfasis2 23" xfId="764" xr:uid="{00000000-0005-0000-0000-000055030000}"/>
    <cellStyle name="Énfasis2 24" xfId="765" xr:uid="{00000000-0005-0000-0000-000056030000}"/>
    <cellStyle name="Énfasis2 25" xfId="766" xr:uid="{00000000-0005-0000-0000-000057030000}"/>
    <cellStyle name="Énfasis2 26" xfId="767" xr:uid="{00000000-0005-0000-0000-000058030000}"/>
    <cellStyle name="Énfasis2 27" xfId="768" xr:uid="{00000000-0005-0000-0000-000059030000}"/>
    <cellStyle name="Énfasis2 28" xfId="769" xr:uid="{00000000-0005-0000-0000-00005A030000}"/>
    <cellStyle name="Énfasis2 29" xfId="770" xr:uid="{00000000-0005-0000-0000-00005B030000}"/>
    <cellStyle name="Énfasis2 3" xfId="771" xr:uid="{00000000-0005-0000-0000-00005C030000}"/>
    <cellStyle name="Énfasis2 30" xfId="772" xr:uid="{00000000-0005-0000-0000-00005D030000}"/>
    <cellStyle name="Énfasis2 31" xfId="773" xr:uid="{00000000-0005-0000-0000-00005E030000}"/>
    <cellStyle name="Énfasis2 32" xfId="774" xr:uid="{00000000-0005-0000-0000-00005F030000}"/>
    <cellStyle name="Énfasis2 4" xfId="775" xr:uid="{00000000-0005-0000-0000-000060030000}"/>
    <cellStyle name="Énfasis2 5" xfId="776" xr:uid="{00000000-0005-0000-0000-000061030000}"/>
    <cellStyle name="Énfasis2 6" xfId="777" xr:uid="{00000000-0005-0000-0000-000062030000}"/>
    <cellStyle name="Énfasis2 7" xfId="778" xr:uid="{00000000-0005-0000-0000-000063030000}"/>
    <cellStyle name="Énfasis2 8" xfId="779" xr:uid="{00000000-0005-0000-0000-000064030000}"/>
    <cellStyle name="Énfasis2 9" xfId="780" xr:uid="{00000000-0005-0000-0000-000065030000}"/>
    <cellStyle name="Énfasis3 - 20%" xfId="1422" xr:uid="{00000000-0005-0000-0000-000067030000}"/>
    <cellStyle name="Énfasis3 - 40%" xfId="1423" xr:uid="{00000000-0005-0000-0000-000068030000}"/>
    <cellStyle name="Énfasis3 - 60%" xfId="1424" xr:uid="{00000000-0005-0000-0000-000069030000}"/>
    <cellStyle name="Énfasis3 10" xfId="781" xr:uid="{00000000-0005-0000-0000-00006A030000}"/>
    <cellStyle name="Énfasis3 11" xfId="782" xr:uid="{00000000-0005-0000-0000-00006B030000}"/>
    <cellStyle name="Énfasis3 12" xfId="783" xr:uid="{00000000-0005-0000-0000-00006C030000}"/>
    <cellStyle name="Énfasis3 13" xfId="784" xr:uid="{00000000-0005-0000-0000-00006D030000}"/>
    <cellStyle name="Énfasis3 14" xfId="785" xr:uid="{00000000-0005-0000-0000-00006E030000}"/>
    <cellStyle name="Énfasis3 15" xfId="786" xr:uid="{00000000-0005-0000-0000-00006F030000}"/>
    <cellStyle name="Énfasis3 16" xfId="787" xr:uid="{00000000-0005-0000-0000-000070030000}"/>
    <cellStyle name="Énfasis3 17" xfId="788" xr:uid="{00000000-0005-0000-0000-000071030000}"/>
    <cellStyle name="Énfasis3 18" xfId="789" xr:uid="{00000000-0005-0000-0000-000072030000}"/>
    <cellStyle name="Énfasis3 19" xfId="790" xr:uid="{00000000-0005-0000-0000-000073030000}"/>
    <cellStyle name="Énfasis3 2" xfId="791" xr:uid="{00000000-0005-0000-0000-000074030000}"/>
    <cellStyle name="Énfasis3 20" xfId="792" xr:uid="{00000000-0005-0000-0000-000075030000}"/>
    <cellStyle name="Énfasis3 21" xfId="793" xr:uid="{00000000-0005-0000-0000-000076030000}"/>
    <cellStyle name="Énfasis3 22" xfId="794" xr:uid="{00000000-0005-0000-0000-000077030000}"/>
    <cellStyle name="Énfasis3 23" xfId="795" xr:uid="{00000000-0005-0000-0000-000078030000}"/>
    <cellStyle name="Énfasis3 24" xfId="796" xr:uid="{00000000-0005-0000-0000-000079030000}"/>
    <cellStyle name="Énfasis3 25" xfId="797" xr:uid="{00000000-0005-0000-0000-00007A030000}"/>
    <cellStyle name="Énfasis3 26" xfId="798" xr:uid="{00000000-0005-0000-0000-00007B030000}"/>
    <cellStyle name="Énfasis3 27" xfId="799" xr:uid="{00000000-0005-0000-0000-00007C030000}"/>
    <cellStyle name="Énfasis3 28" xfId="800" xr:uid="{00000000-0005-0000-0000-00007D030000}"/>
    <cellStyle name="Énfasis3 29" xfId="801" xr:uid="{00000000-0005-0000-0000-00007E030000}"/>
    <cellStyle name="Énfasis3 3" xfId="802" xr:uid="{00000000-0005-0000-0000-00007F030000}"/>
    <cellStyle name="Énfasis3 30" xfId="803" xr:uid="{00000000-0005-0000-0000-000080030000}"/>
    <cellStyle name="Énfasis3 31" xfId="804" xr:uid="{00000000-0005-0000-0000-000081030000}"/>
    <cellStyle name="Énfasis3 32" xfId="805" xr:uid="{00000000-0005-0000-0000-000082030000}"/>
    <cellStyle name="Énfasis3 4" xfId="806" xr:uid="{00000000-0005-0000-0000-000083030000}"/>
    <cellStyle name="Énfasis3 5" xfId="807" xr:uid="{00000000-0005-0000-0000-000084030000}"/>
    <cellStyle name="Énfasis3 6" xfId="808" xr:uid="{00000000-0005-0000-0000-000085030000}"/>
    <cellStyle name="Énfasis3 7" xfId="809" xr:uid="{00000000-0005-0000-0000-000086030000}"/>
    <cellStyle name="Énfasis3 8" xfId="810" xr:uid="{00000000-0005-0000-0000-000087030000}"/>
    <cellStyle name="Énfasis3 9" xfId="811" xr:uid="{00000000-0005-0000-0000-000088030000}"/>
    <cellStyle name="Énfasis4 - 20%" xfId="1425" xr:uid="{00000000-0005-0000-0000-00008A030000}"/>
    <cellStyle name="Énfasis4 - 40%" xfId="1426" xr:uid="{00000000-0005-0000-0000-00008B030000}"/>
    <cellStyle name="Énfasis4 - 60%" xfId="1427" xr:uid="{00000000-0005-0000-0000-00008C030000}"/>
    <cellStyle name="Énfasis4 10" xfId="812" xr:uid="{00000000-0005-0000-0000-00008D030000}"/>
    <cellStyle name="Énfasis4 11" xfId="813" xr:uid="{00000000-0005-0000-0000-00008E030000}"/>
    <cellStyle name="Énfasis4 12" xfId="814" xr:uid="{00000000-0005-0000-0000-00008F030000}"/>
    <cellStyle name="Énfasis4 13" xfId="815" xr:uid="{00000000-0005-0000-0000-000090030000}"/>
    <cellStyle name="Énfasis4 14" xfId="816" xr:uid="{00000000-0005-0000-0000-000091030000}"/>
    <cellStyle name="Énfasis4 15" xfId="817" xr:uid="{00000000-0005-0000-0000-000092030000}"/>
    <cellStyle name="Énfasis4 16" xfId="818" xr:uid="{00000000-0005-0000-0000-000093030000}"/>
    <cellStyle name="Énfasis4 17" xfId="819" xr:uid="{00000000-0005-0000-0000-000094030000}"/>
    <cellStyle name="Énfasis4 18" xfId="820" xr:uid="{00000000-0005-0000-0000-000095030000}"/>
    <cellStyle name="Énfasis4 19" xfId="821" xr:uid="{00000000-0005-0000-0000-000096030000}"/>
    <cellStyle name="Énfasis4 2" xfId="822" xr:uid="{00000000-0005-0000-0000-000097030000}"/>
    <cellStyle name="Énfasis4 20" xfId="823" xr:uid="{00000000-0005-0000-0000-000098030000}"/>
    <cellStyle name="Énfasis4 21" xfId="824" xr:uid="{00000000-0005-0000-0000-000099030000}"/>
    <cellStyle name="Énfasis4 22" xfId="825" xr:uid="{00000000-0005-0000-0000-00009A030000}"/>
    <cellStyle name="Énfasis4 23" xfId="826" xr:uid="{00000000-0005-0000-0000-00009B030000}"/>
    <cellStyle name="Énfasis4 24" xfId="827" xr:uid="{00000000-0005-0000-0000-00009C030000}"/>
    <cellStyle name="Énfasis4 25" xfId="828" xr:uid="{00000000-0005-0000-0000-00009D030000}"/>
    <cellStyle name="Énfasis4 26" xfId="829" xr:uid="{00000000-0005-0000-0000-00009E030000}"/>
    <cellStyle name="Énfasis4 27" xfId="830" xr:uid="{00000000-0005-0000-0000-00009F030000}"/>
    <cellStyle name="Énfasis4 28" xfId="831" xr:uid="{00000000-0005-0000-0000-0000A0030000}"/>
    <cellStyle name="Énfasis4 29" xfId="832" xr:uid="{00000000-0005-0000-0000-0000A1030000}"/>
    <cellStyle name="Énfasis4 3" xfId="833" xr:uid="{00000000-0005-0000-0000-0000A2030000}"/>
    <cellStyle name="Énfasis4 30" xfId="834" xr:uid="{00000000-0005-0000-0000-0000A3030000}"/>
    <cellStyle name="Énfasis4 31" xfId="835" xr:uid="{00000000-0005-0000-0000-0000A4030000}"/>
    <cellStyle name="Énfasis4 32" xfId="836" xr:uid="{00000000-0005-0000-0000-0000A5030000}"/>
    <cellStyle name="Énfasis4 4" xfId="837" xr:uid="{00000000-0005-0000-0000-0000A6030000}"/>
    <cellStyle name="Énfasis4 5" xfId="838" xr:uid="{00000000-0005-0000-0000-0000A7030000}"/>
    <cellStyle name="Énfasis4 6" xfId="839" xr:uid="{00000000-0005-0000-0000-0000A8030000}"/>
    <cellStyle name="Énfasis4 7" xfId="840" xr:uid="{00000000-0005-0000-0000-0000A9030000}"/>
    <cellStyle name="Énfasis4 8" xfId="841" xr:uid="{00000000-0005-0000-0000-0000AA030000}"/>
    <cellStyle name="Énfasis4 9" xfId="842" xr:uid="{00000000-0005-0000-0000-0000AB030000}"/>
    <cellStyle name="Énfasis5 - 20%" xfId="1428" xr:uid="{00000000-0005-0000-0000-0000AD030000}"/>
    <cellStyle name="Énfasis5 - 40%" xfId="1429" xr:uid="{00000000-0005-0000-0000-0000AE030000}"/>
    <cellStyle name="Énfasis5 - 60%" xfId="1430" xr:uid="{00000000-0005-0000-0000-0000AF030000}"/>
    <cellStyle name="Énfasis5 10" xfId="843" xr:uid="{00000000-0005-0000-0000-0000B0030000}"/>
    <cellStyle name="Énfasis5 11" xfId="844" xr:uid="{00000000-0005-0000-0000-0000B1030000}"/>
    <cellStyle name="Énfasis5 12" xfId="845" xr:uid="{00000000-0005-0000-0000-0000B2030000}"/>
    <cellStyle name="Énfasis5 13" xfId="846" xr:uid="{00000000-0005-0000-0000-0000B3030000}"/>
    <cellStyle name="Énfasis5 14" xfId="847" xr:uid="{00000000-0005-0000-0000-0000B4030000}"/>
    <cellStyle name="Énfasis5 15" xfId="848" xr:uid="{00000000-0005-0000-0000-0000B5030000}"/>
    <cellStyle name="Énfasis5 16" xfId="849" xr:uid="{00000000-0005-0000-0000-0000B6030000}"/>
    <cellStyle name="Énfasis5 17" xfId="850" xr:uid="{00000000-0005-0000-0000-0000B7030000}"/>
    <cellStyle name="Énfasis5 18" xfId="851" xr:uid="{00000000-0005-0000-0000-0000B8030000}"/>
    <cellStyle name="Énfasis5 19" xfId="852" xr:uid="{00000000-0005-0000-0000-0000B9030000}"/>
    <cellStyle name="Énfasis5 2" xfId="853" xr:uid="{00000000-0005-0000-0000-0000BA030000}"/>
    <cellStyle name="Énfasis5 20" xfId="854" xr:uid="{00000000-0005-0000-0000-0000BB030000}"/>
    <cellStyle name="Énfasis5 21" xfId="855" xr:uid="{00000000-0005-0000-0000-0000BC030000}"/>
    <cellStyle name="Énfasis5 22" xfId="856" xr:uid="{00000000-0005-0000-0000-0000BD030000}"/>
    <cellStyle name="Énfasis5 23" xfId="857" xr:uid="{00000000-0005-0000-0000-0000BE030000}"/>
    <cellStyle name="Énfasis5 24" xfId="858" xr:uid="{00000000-0005-0000-0000-0000BF030000}"/>
    <cellStyle name="Énfasis5 25" xfId="859" xr:uid="{00000000-0005-0000-0000-0000C0030000}"/>
    <cellStyle name="Énfasis5 26" xfId="860" xr:uid="{00000000-0005-0000-0000-0000C1030000}"/>
    <cellStyle name="Énfasis5 27" xfId="861" xr:uid="{00000000-0005-0000-0000-0000C2030000}"/>
    <cellStyle name="Énfasis5 28" xfId="862" xr:uid="{00000000-0005-0000-0000-0000C3030000}"/>
    <cellStyle name="Énfasis5 29" xfId="863" xr:uid="{00000000-0005-0000-0000-0000C4030000}"/>
    <cellStyle name="Énfasis5 3" xfId="864" xr:uid="{00000000-0005-0000-0000-0000C5030000}"/>
    <cellStyle name="Énfasis5 30" xfId="865" xr:uid="{00000000-0005-0000-0000-0000C6030000}"/>
    <cellStyle name="Énfasis5 31" xfId="866" xr:uid="{00000000-0005-0000-0000-0000C7030000}"/>
    <cellStyle name="Énfasis5 32" xfId="867" xr:uid="{00000000-0005-0000-0000-0000C8030000}"/>
    <cellStyle name="Énfasis5 4" xfId="868" xr:uid="{00000000-0005-0000-0000-0000C9030000}"/>
    <cellStyle name="Énfasis5 5" xfId="869" xr:uid="{00000000-0005-0000-0000-0000CA030000}"/>
    <cellStyle name="Énfasis5 6" xfId="870" xr:uid="{00000000-0005-0000-0000-0000CB030000}"/>
    <cellStyle name="Énfasis5 7" xfId="871" xr:uid="{00000000-0005-0000-0000-0000CC030000}"/>
    <cellStyle name="Énfasis5 8" xfId="872" xr:uid="{00000000-0005-0000-0000-0000CD030000}"/>
    <cellStyle name="Énfasis5 9" xfId="873" xr:uid="{00000000-0005-0000-0000-0000CE030000}"/>
    <cellStyle name="Énfasis6 - 20%" xfId="1431" xr:uid="{00000000-0005-0000-0000-0000D0030000}"/>
    <cellStyle name="Énfasis6 - 40%" xfId="1432" xr:uid="{00000000-0005-0000-0000-0000D1030000}"/>
    <cellStyle name="Énfasis6 - 60%" xfId="1433" xr:uid="{00000000-0005-0000-0000-0000D2030000}"/>
    <cellStyle name="Énfasis6 10" xfId="874" xr:uid="{00000000-0005-0000-0000-0000D3030000}"/>
    <cellStyle name="Énfasis6 11" xfId="875" xr:uid="{00000000-0005-0000-0000-0000D4030000}"/>
    <cellStyle name="Énfasis6 12" xfId="876" xr:uid="{00000000-0005-0000-0000-0000D5030000}"/>
    <cellStyle name="Énfasis6 13" xfId="877" xr:uid="{00000000-0005-0000-0000-0000D6030000}"/>
    <cellStyle name="Énfasis6 14" xfId="878" xr:uid="{00000000-0005-0000-0000-0000D7030000}"/>
    <cellStyle name="Énfasis6 15" xfId="879" xr:uid="{00000000-0005-0000-0000-0000D8030000}"/>
    <cellStyle name="Énfasis6 16" xfId="880" xr:uid="{00000000-0005-0000-0000-0000D9030000}"/>
    <cellStyle name="Énfasis6 17" xfId="881" xr:uid="{00000000-0005-0000-0000-0000DA030000}"/>
    <cellStyle name="Énfasis6 18" xfId="882" xr:uid="{00000000-0005-0000-0000-0000DB030000}"/>
    <cellStyle name="Énfasis6 19" xfId="883" xr:uid="{00000000-0005-0000-0000-0000DC030000}"/>
    <cellStyle name="Énfasis6 2" xfId="884" xr:uid="{00000000-0005-0000-0000-0000DD030000}"/>
    <cellStyle name="Énfasis6 20" xfId="885" xr:uid="{00000000-0005-0000-0000-0000DE030000}"/>
    <cellStyle name="Énfasis6 21" xfId="886" xr:uid="{00000000-0005-0000-0000-0000DF030000}"/>
    <cellStyle name="Énfasis6 22" xfId="887" xr:uid="{00000000-0005-0000-0000-0000E0030000}"/>
    <cellStyle name="Énfasis6 23" xfId="888" xr:uid="{00000000-0005-0000-0000-0000E1030000}"/>
    <cellStyle name="Énfasis6 24" xfId="889" xr:uid="{00000000-0005-0000-0000-0000E2030000}"/>
    <cellStyle name="Énfasis6 25" xfId="890" xr:uid="{00000000-0005-0000-0000-0000E3030000}"/>
    <cellStyle name="Énfasis6 26" xfId="891" xr:uid="{00000000-0005-0000-0000-0000E4030000}"/>
    <cellStyle name="Énfasis6 27" xfId="892" xr:uid="{00000000-0005-0000-0000-0000E5030000}"/>
    <cellStyle name="Énfasis6 28" xfId="893" xr:uid="{00000000-0005-0000-0000-0000E6030000}"/>
    <cellStyle name="Énfasis6 29" xfId="894" xr:uid="{00000000-0005-0000-0000-0000E7030000}"/>
    <cellStyle name="Énfasis6 3" xfId="895" xr:uid="{00000000-0005-0000-0000-0000E8030000}"/>
    <cellStyle name="Énfasis6 30" xfId="896" xr:uid="{00000000-0005-0000-0000-0000E9030000}"/>
    <cellStyle name="Énfasis6 31" xfId="897" xr:uid="{00000000-0005-0000-0000-0000EA030000}"/>
    <cellStyle name="Énfasis6 32" xfId="898" xr:uid="{00000000-0005-0000-0000-0000EB030000}"/>
    <cellStyle name="Énfasis6 4" xfId="899" xr:uid="{00000000-0005-0000-0000-0000EC030000}"/>
    <cellStyle name="Énfasis6 5" xfId="900" xr:uid="{00000000-0005-0000-0000-0000ED030000}"/>
    <cellStyle name="Énfasis6 6" xfId="901" xr:uid="{00000000-0005-0000-0000-0000EE030000}"/>
    <cellStyle name="Énfasis6 7" xfId="902" xr:uid="{00000000-0005-0000-0000-0000EF030000}"/>
    <cellStyle name="Énfasis6 8" xfId="903" xr:uid="{00000000-0005-0000-0000-0000F0030000}"/>
    <cellStyle name="Énfasis6 9" xfId="904" xr:uid="{00000000-0005-0000-0000-0000F1030000}"/>
    <cellStyle name="Entrada" xfId="972" builtinId="20" customBuiltin="1"/>
    <cellStyle name="Entrada 10" xfId="905" xr:uid="{00000000-0005-0000-0000-0000F3030000}"/>
    <cellStyle name="Entrada 11" xfId="906" xr:uid="{00000000-0005-0000-0000-0000F4030000}"/>
    <cellStyle name="Entrada 12" xfId="907" xr:uid="{00000000-0005-0000-0000-0000F5030000}"/>
    <cellStyle name="Entrada 13" xfId="908" xr:uid="{00000000-0005-0000-0000-0000F6030000}"/>
    <cellStyle name="Entrada 14" xfId="909" xr:uid="{00000000-0005-0000-0000-0000F7030000}"/>
    <cellStyle name="Entrada 15" xfId="910" xr:uid="{00000000-0005-0000-0000-0000F8030000}"/>
    <cellStyle name="Entrada 16" xfId="911" xr:uid="{00000000-0005-0000-0000-0000F9030000}"/>
    <cellStyle name="Entrada 17" xfId="912" xr:uid="{00000000-0005-0000-0000-0000FA030000}"/>
    <cellStyle name="Entrada 18" xfId="913" xr:uid="{00000000-0005-0000-0000-0000FB030000}"/>
    <cellStyle name="Entrada 19" xfId="914" xr:uid="{00000000-0005-0000-0000-0000FC030000}"/>
    <cellStyle name="Entrada 2" xfId="915" xr:uid="{00000000-0005-0000-0000-0000FD030000}"/>
    <cellStyle name="Entrada 20" xfId="916" xr:uid="{00000000-0005-0000-0000-0000FE030000}"/>
    <cellStyle name="Entrada 21" xfId="917" xr:uid="{00000000-0005-0000-0000-0000FF030000}"/>
    <cellStyle name="Entrada 22" xfId="918" xr:uid="{00000000-0005-0000-0000-000000040000}"/>
    <cellStyle name="Entrada 23" xfId="919" xr:uid="{00000000-0005-0000-0000-000001040000}"/>
    <cellStyle name="Entrada 24" xfId="920" xr:uid="{00000000-0005-0000-0000-000002040000}"/>
    <cellStyle name="Entrada 25" xfId="921" xr:uid="{00000000-0005-0000-0000-000003040000}"/>
    <cellStyle name="Entrada 26" xfId="922" xr:uid="{00000000-0005-0000-0000-000004040000}"/>
    <cellStyle name="Entrada 27" xfId="923" xr:uid="{00000000-0005-0000-0000-000005040000}"/>
    <cellStyle name="Entrada 28" xfId="924" xr:uid="{00000000-0005-0000-0000-000006040000}"/>
    <cellStyle name="Entrada 29" xfId="925" xr:uid="{00000000-0005-0000-0000-000007040000}"/>
    <cellStyle name="Entrada 3" xfId="926" xr:uid="{00000000-0005-0000-0000-000008040000}"/>
    <cellStyle name="Entrada 30" xfId="927" xr:uid="{00000000-0005-0000-0000-000009040000}"/>
    <cellStyle name="Entrada 31" xfId="928" xr:uid="{00000000-0005-0000-0000-00000A040000}"/>
    <cellStyle name="Entrada 32" xfId="929" xr:uid="{00000000-0005-0000-0000-00000B040000}"/>
    <cellStyle name="Entrada 4" xfId="930" xr:uid="{00000000-0005-0000-0000-00000C040000}"/>
    <cellStyle name="Entrada 5" xfId="931" xr:uid="{00000000-0005-0000-0000-00000D040000}"/>
    <cellStyle name="Entrada 6" xfId="932" xr:uid="{00000000-0005-0000-0000-00000E040000}"/>
    <cellStyle name="Entrada 7" xfId="933" xr:uid="{00000000-0005-0000-0000-00000F040000}"/>
    <cellStyle name="Entrada 8" xfId="934" xr:uid="{00000000-0005-0000-0000-000010040000}"/>
    <cellStyle name="Entrada 9" xfId="935" xr:uid="{00000000-0005-0000-0000-000011040000}"/>
    <cellStyle name="Estilo 1" xfId="1434" xr:uid="{00000000-0005-0000-0000-000012040000}"/>
    <cellStyle name="Euro" xfId="936" xr:uid="{00000000-0005-0000-0000-000013040000}"/>
    <cellStyle name="Euro 2" xfId="1436" xr:uid="{00000000-0005-0000-0000-000014040000}"/>
    <cellStyle name="Euro 2 2" xfId="1534" xr:uid="{00000000-0005-0000-0000-000015040000}"/>
    <cellStyle name="Euro 3" xfId="1437" xr:uid="{00000000-0005-0000-0000-000016040000}"/>
    <cellStyle name="Euro 4" xfId="1438" xr:uid="{00000000-0005-0000-0000-000017040000}"/>
    <cellStyle name="Euro 5" xfId="1435" xr:uid="{00000000-0005-0000-0000-000018040000}"/>
    <cellStyle name="Euro 6" xfId="1531" xr:uid="{00000000-0005-0000-0000-000019040000}"/>
    <cellStyle name="Euro_Acabados" xfId="1439" xr:uid="{00000000-0005-0000-0000-00001A040000}"/>
    <cellStyle name="Excel Built-in Normal 1" xfId="1529" xr:uid="{00000000-0005-0000-0000-00001B040000}"/>
    <cellStyle name="Explanatory Text" xfId="1503" xr:uid="{00000000-0005-0000-0000-00001C040000}"/>
    <cellStyle name="Fixed" xfId="1440" xr:uid="{00000000-0005-0000-0000-00001D040000}"/>
    <cellStyle name="Fixed 2" xfId="1441" xr:uid="{00000000-0005-0000-0000-00001E040000}"/>
    <cellStyle name="Heading 2" xfId="1497" xr:uid="{00000000-0005-0000-0000-000021040000}"/>
    <cellStyle name="Heading 3" xfId="1498" xr:uid="{00000000-0005-0000-0000-000022040000}"/>
    <cellStyle name="Hipervínculo 2" xfId="940" xr:uid="{00000000-0005-0000-0000-000024040000}"/>
    <cellStyle name="Hipervínculo 2 2" xfId="1532" xr:uid="{00000000-0005-0000-0000-000025040000}"/>
    <cellStyle name="Hipervínculo 2 3" xfId="1530" xr:uid="{00000000-0005-0000-0000-000026040000}"/>
    <cellStyle name="Hipervínculo 3" xfId="1528" xr:uid="{00000000-0005-0000-0000-000027040000}"/>
    <cellStyle name="Incorrecto 10" xfId="941" xr:uid="{00000000-0005-0000-0000-000029040000}"/>
    <cellStyle name="Incorrecto 11" xfId="942" xr:uid="{00000000-0005-0000-0000-00002A040000}"/>
    <cellStyle name="Incorrecto 12" xfId="943" xr:uid="{00000000-0005-0000-0000-00002B040000}"/>
    <cellStyle name="Incorrecto 13" xfId="944" xr:uid="{00000000-0005-0000-0000-00002C040000}"/>
    <cellStyle name="Incorrecto 14" xfId="945" xr:uid="{00000000-0005-0000-0000-00002D040000}"/>
    <cellStyle name="Incorrecto 15" xfId="946" xr:uid="{00000000-0005-0000-0000-00002E040000}"/>
    <cellStyle name="Incorrecto 16" xfId="947" xr:uid="{00000000-0005-0000-0000-00002F040000}"/>
    <cellStyle name="Incorrecto 17" xfId="948" xr:uid="{00000000-0005-0000-0000-000030040000}"/>
    <cellStyle name="Incorrecto 18" xfId="949" xr:uid="{00000000-0005-0000-0000-000031040000}"/>
    <cellStyle name="Incorrecto 19" xfId="950" xr:uid="{00000000-0005-0000-0000-000032040000}"/>
    <cellStyle name="Incorrecto 2" xfId="951" xr:uid="{00000000-0005-0000-0000-000033040000}"/>
    <cellStyle name="Incorrecto 20" xfId="952" xr:uid="{00000000-0005-0000-0000-000034040000}"/>
    <cellStyle name="Incorrecto 21" xfId="953" xr:uid="{00000000-0005-0000-0000-000035040000}"/>
    <cellStyle name="Incorrecto 22" xfId="954" xr:uid="{00000000-0005-0000-0000-000036040000}"/>
    <cellStyle name="Incorrecto 23" xfId="955" xr:uid="{00000000-0005-0000-0000-000037040000}"/>
    <cellStyle name="Incorrecto 24" xfId="956" xr:uid="{00000000-0005-0000-0000-000038040000}"/>
    <cellStyle name="Incorrecto 25" xfId="957" xr:uid="{00000000-0005-0000-0000-000039040000}"/>
    <cellStyle name="Incorrecto 26" xfId="958" xr:uid="{00000000-0005-0000-0000-00003A040000}"/>
    <cellStyle name="Incorrecto 27" xfId="959" xr:uid="{00000000-0005-0000-0000-00003B040000}"/>
    <cellStyle name="Incorrecto 28" xfId="960" xr:uid="{00000000-0005-0000-0000-00003C040000}"/>
    <cellStyle name="Incorrecto 29" xfId="961" xr:uid="{00000000-0005-0000-0000-00003D040000}"/>
    <cellStyle name="Incorrecto 3" xfId="962" xr:uid="{00000000-0005-0000-0000-00003E040000}"/>
    <cellStyle name="Incorrecto 30" xfId="963" xr:uid="{00000000-0005-0000-0000-00003F040000}"/>
    <cellStyle name="Incorrecto 31" xfId="964" xr:uid="{00000000-0005-0000-0000-000040040000}"/>
    <cellStyle name="Incorrecto 32" xfId="965" xr:uid="{00000000-0005-0000-0000-000041040000}"/>
    <cellStyle name="Incorrecto 4" xfId="966" xr:uid="{00000000-0005-0000-0000-000042040000}"/>
    <cellStyle name="Incorrecto 5" xfId="967" xr:uid="{00000000-0005-0000-0000-000043040000}"/>
    <cellStyle name="Incorrecto 6" xfId="968" xr:uid="{00000000-0005-0000-0000-000044040000}"/>
    <cellStyle name="Incorrecto 7" xfId="969" xr:uid="{00000000-0005-0000-0000-000045040000}"/>
    <cellStyle name="Incorrecto 8" xfId="970" xr:uid="{00000000-0005-0000-0000-000046040000}"/>
    <cellStyle name="Incorrecto 9" xfId="971" xr:uid="{00000000-0005-0000-0000-000047040000}"/>
    <cellStyle name="Millares" xfId="1372" builtinId="3"/>
    <cellStyle name="Millares [0] 2" xfId="1442" xr:uid="{00000000-0005-0000-0000-00004B040000}"/>
    <cellStyle name="Millares 2" xfId="1" xr:uid="{00000000-0005-0000-0000-00004C040000}"/>
    <cellStyle name="Millares 2 2" xfId="974" xr:uid="{00000000-0005-0000-0000-00004D040000}"/>
    <cellStyle name="Millares 2 2 2" xfId="1444" xr:uid="{00000000-0005-0000-0000-00004E040000}"/>
    <cellStyle name="Millares 2 3" xfId="975" xr:uid="{00000000-0005-0000-0000-00004F040000}"/>
    <cellStyle name="Millares 2 4" xfId="976" xr:uid="{00000000-0005-0000-0000-000050040000}"/>
    <cellStyle name="Millares 2 5" xfId="1374" xr:uid="{00000000-0005-0000-0000-000051040000}"/>
    <cellStyle name="Millares 2 5 2" xfId="1535" xr:uid="{00000000-0005-0000-0000-000052040000}"/>
    <cellStyle name="Millares 2 6" xfId="1443" xr:uid="{00000000-0005-0000-0000-000053040000}"/>
    <cellStyle name="Millares 2 7" xfId="1533" xr:uid="{00000000-0005-0000-0000-000054040000}"/>
    <cellStyle name="Millares 2_4,8" xfId="977" xr:uid="{00000000-0005-0000-0000-000055040000}"/>
    <cellStyle name="Millares 3" xfId="978" xr:uid="{00000000-0005-0000-0000-000056040000}"/>
    <cellStyle name="Millares 3 2" xfId="979" xr:uid="{00000000-0005-0000-0000-000057040000}"/>
    <cellStyle name="Millares 3 3" xfId="1445" xr:uid="{00000000-0005-0000-0000-000058040000}"/>
    <cellStyle name="Millares 3_4,8" xfId="980" xr:uid="{00000000-0005-0000-0000-000059040000}"/>
    <cellStyle name="Millares 4" xfId="981" xr:uid="{00000000-0005-0000-0000-00005A040000}"/>
    <cellStyle name="Millares 4 2" xfId="982" xr:uid="{00000000-0005-0000-0000-00005B040000}"/>
    <cellStyle name="Millares 4 3" xfId="1446" xr:uid="{00000000-0005-0000-0000-00005C040000}"/>
    <cellStyle name="Millares 4_4,8" xfId="983" xr:uid="{00000000-0005-0000-0000-00005D040000}"/>
    <cellStyle name="Millares 5" xfId="984" xr:uid="{00000000-0005-0000-0000-00005E040000}"/>
    <cellStyle name="Millares 5 2" xfId="1447" xr:uid="{00000000-0005-0000-0000-00005F040000}"/>
    <cellStyle name="Millares 6" xfId="985" xr:uid="{00000000-0005-0000-0000-000060040000}"/>
    <cellStyle name="Millares 7" xfId="1448" xr:uid="{00000000-0005-0000-0000-000061040000}"/>
    <cellStyle name="Millares 8" xfId="1377" xr:uid="{00000000-0005-0000-0000-000062040000}"/>
    <cellStyle name="Millares 9" xfId="1449" xr:uid="{00000000-0005-0000-0000-000063040000}"/>
    <cellStyle name="Moneda" xfId="3" builtinId="4"/>
    <cellStyle name="Moneda [0]" xfId="1537" builtinId="7"/>
    <cellStyle name="Moneda [0] 2" xfId="1450" xr:uid="{00000000-0005-0000-0000-000066040000}"/>
    <cellStyle name="Moneda 2" xfId="986" xr:uid="{00000000-0005-0000-0000-000067040000}"/>
    <cellStyle name="Moneda 2 2" xfId="987" xr:uid="{00000000-0005-0000-0000-000068040000}"/>
    <cellStyle name="Moneda 2 3" xfId="1451" xr:uid="{00000000-0005-0000-0000-000069040000}"/>
    <cellStyle name="Moneda 2_4,8" xfId="988" xr:uid="{00000000-0005-0000-0000-00006A040000}"/>
    <cellStyle name="Moneda 3" xfId="989" xr:uid="{00000000-0005-0000-0000-00006B040000}"/>
    <cellStyle name="Moneda 3 2" xfId="990" xr:uid="{00000000-0005-0000-0000-00006C040000}"/>
    <cellStyle name="Moneda 3 2 2" xfId="1454" xr:uid="{00000000-0005-0000-0000-00006D040000}"/>
    <cellStyle name="Moneda 3 2 3" xfId="1453" xr:uid="{00000000-0005-0000-0000-00006E040000}"/>
    <cellStyle name="Moneda 3 3" xfId="1455" xr:uid="{00000000-0005-0000-0000-00006F040000}"/>
    <cellStyle name="Moneda 3 3 2" xfId="1456" xr:uid="{00000000-0005-0000-0000-000070040000}"/>
    <cellStyle name="Moneda 3 4" xfId="1457" xr:uid="{00000000-0005-0000-0000-000071040000}"/>
    <cellStyle name="Moneda 3 5" xfId="1452" xr:uid="{00000000-0005-0000-0000-000072040000}"/>
    <cellStyle name="Moneda 3_4,8" xfId="991" xr:uid="{00000000-0005-0000-0000-000073040000}"/>
    <cellStyle name="Moneda 4" xfId="992" xr:uid="{00000000-0005-0000-0000-000074040000}"/>
    <cellStyle name="Moneda 4 2" xfId="1458" xr:uid="{00000000-0005-0000-0000-000075040000}"/>
    <cellStyle name="Moneda 5" xfId="993" xr:uid="{00000000-0005-0000-0000-000076040000}"/>
    <cellStyle name="Moneda 5 2" xfId="1459" xr:uid="{00000000-0005-0000-0000-000077040000}"/>
    <cellStyle name="Moneda 6" xfId="1460" xr:uid="{00000000-0005-0000-0000-000078040000}"/>
    <cellStyle name="Moneda 7" xfId="1494" xr:uid="{00000000-0005-0000-0000-000079040000}"/>
    <cellStyle name="Moneda 8" xfId="1495" xr:uid="{00000000-0005-0000-0000-00007A040000}"/>
    <cellStyle name="Moneda 9" xfId="1536" xr:uid="{00000000-0005-0000-0000-00007B040000}"/>
    <cellStyle name="Monetario0" xfId="994" xr:uid="{00000000-0005-0000-0000-00007C040000}"/>
    <cellStyle name="Neutral" xfId="1500" builtinId="28" customBuiltin="1"/>
    <cellStyle name="Neutral 10" xfId="995" xr:uid="{00000000-0005-0000-0000-00007E040000}"/>
    <cellStyle name="Neutral 11" xfId="996" xr:uid="{00000000-0005-0000-0000-00007F040000}"/>
    <cellStyle name="Neutral 12" xfId="997" xr:uid="{00000000-0005-0000-0000-000080040000}"/>
    <cellStyle name="Neutral 13" xfId="998" xr:uid="{00000000-0005-0000-0000-000081040000}"/>
    <cellStyle name="Neutral 14" xfId="999" xr:uid="{00000000-0005-0000-0000-000082040000}"/>
    <cellStyle name="Neutral 15" xfId="1000" xr:uid="{00000000-0005-0000-0000-000083040000}"/>
    <cellStyle name="Neutral 16" xfId="1001" xr:uid="{00000000-0005-0000-0000-000084040000}"/>
    <cellStyle name="Neutral 17" xfId="1002" xr:uid="{00000000-0005-0000-0000-000085040000}"/>
    <cellStyle name="Neutral 18" xfId="1003" xr:uid="{00000000-0005-0000-0000-000086040000}"/>
    <cellStyle name="Neutral 19" xfId="1004" xr:uid="{00000000-0005-0000-0000-000087040000}"/>
    <cellStyle name="Neutral 2" xfId="1005" xr:uid="{00000000-0005-0000-0000-000088040000}"/>
    <cellStyle name="Neutral 20" xfId="1006" xr:uid="{00000000-0005-0000-0000-000089040000}"/>
    <cellStyle name="Neutral 21" xfId="1007" xr:uid="{00000000-0005-0000-0000-00008A040000}"/>
    <cellStyle name="Neutral 22" xfId="1008" xr:uid="{00000000-0005-0000-0000-00008B040000}"/>
    <cellStyle name="Neutral 23" xfId="1009" xr:uid="{00000000-0005-0000-0000-00008C040000}"/>
    <cellStyle name="Neutral 24" xfId="1010" xr:uid="{00000000-0005-0000-0000-00008D040000}"/>
    <cellStyle name="Neutral 25" xfId="1011" xr:uid="{00000000-0005-0000-0000-00008E040000}"/>
    <cellStyle name="Neutral 26" xfId="1012" xr:uid="{00000000-0005-0000-0000-00008F040000}"/>
    <cellStyle name="Neutral 27" xfId="1013" xr:uid="{00000000-0005-0000-0000-000090040000}"/>
    <cellStyle name="Neutral 28" xfId="1014" xr:uid="{00000000-0005-0000-0000-000091040000}"/>
    <cellStyle name="Neutral 29" xfId="1015" xr:uid="{00000000-0005-0000-0000-000092040000}"/>
    <cellStyle name="Neutral 3" xfId="1016" xr:uid="{00000000-0005-0000-0000-000093040000}"/>
    <cellStyle name="Neutral 30" xfId="1017" xr:uid="{00000000-0005-0000-0000-000094040000}"/>
    <cellStyle name="Neutral 31" xfId="1018" xr:uid="{00000000-0005-0000-0000-000095040000}"/>
    <cellStyle name="Neutral 32" xfId="1019" xr:uid="{00000000-0005-0000-0000-000096040000}"/>
    <cellStyle name="Neutral 4" xfId="1020" xr:uid="{00000000-0005-0000-0000-000097040000}"/>
    <cellStyle name="Neutral 5" xfId="1021" xr:uid="{00000000-0005-0000-0000-000098040000}"/>
    <cellStyle name="Neutral 6" xfId="1022" xr:uid="{00000000-0005-0000-0000-000099040000}"/>
    <cellStyle name="Neutral 7" xfId="1023" xr:uid="{00000000-0005-0000-0000-00009A040000}"/>
    <cellStyle name="Neutral 8" xfId="1024" xr:uid="{00000000-0005-0000-0000-00009B040000}"/>
    <cellStyle name="Neutral 9" xfId="1025" xr:uid="{00000000-0005-0000-0000-00009C040000}"/>
    <cellStyle name="Normal" xfId="0" builtinId="0"/>
    <cellStyle name="Normal 10" xfId="1026" xr:uid="{00000000-0005-0000-0000-00009E040000}"/>
    <cellStyle name="Normal 12" xfId="1027" xr:uid="{00000000-0005-0000-0000-00009F040000}"/>
    <cellStyle name="Normal 12 2" xfId="1376" xr:uid="{00000000-0005-0000-0000-0000A0040000}"/>
    <cellStyle name="Normal 2" xfId="4" xr:uid="{00000000-0005-0000-0000-0000A1040000}"/>
    <cellStyle name="Normal 2 10" xfId="1028" xr:uid="{00000000-0005-0000-0000-0000A2040000}"/>
    <cellStyle name="Normal 2 10 2" xfId="1029" xr:uid="{00000000-0005-0000-0000-0000A3040000}"/>
    <cellStyle name="Normal 2 10 3" xfId="1030" xr:uid="{00000000-0005-0000-0000-0000A4040000}"/>
    <cellStyle name="Normal 2 10 4" xfId="1031" xr:uid="{00000000-0005-0000-0000-0000A5040000}"/>
    <cellStyle name="Normal 2 10 5" xfId="1032" xr:uid="{00000000-0005-0000-0000-0000A6040000}"/>
    <cellStyle name="Normal 2 10 6" xfId="1033" xr:uid="{00000000-0005-0000-0000-0000A7040000}"/>
    <cellStyle name="Normal 2 10 7" xfId="1034" xr:uid="{00000000-0005-0000-0000-0000A8040000}"/>
    <cellStyle name="Normal 2 10 8" xfId="1035" xr:uid="{00000000-0005-0000-0000-0000A9040000}"/>
    <cellStyle name="Normal 2 107" xfId="1036" xr:uid="{00000000-0005-0000-0000-0000AA040000}"/>
    <cellStyle name="Normal 2 11" xfId="1037" xr:uid="{00000000-0005-0000-0000-0000AB040000}"/>
    <cellStyle name="Normal 2 12" xfId="1038" xr:uid="{00000000-0005-0000-0000-0000AC040000}"/>
    <cellStyle name="Normal 2 13" xfId="1039" xr:uid="{00000000-0005-0000-0000-0000AD040000}"/>
    <cellStyle name="Normal 2 14" xfId="1040" xr:uid="{00000000-0005-0000-0000-0000AE040000}"/>
    <cellStyle name="Normal 2 15" xfId="1041" xr:uid="{00000000-0005-0000-0000-0000AF040000}"/>
    <cellStyle name="Normal 2 16" xfId="1042" xr:uid="{00000000-0005-0000-0000-0000B0040000}"/>
    <cellStyle name="Normal 2 17" xfId="1043" xr:uid="{00000000-0005-0000-0000-0000B1040000}"/>
    <cellStyle name="Normal 2 18" xfId="1044" xr:uid="{00000000-0005-0000-0000-0000B2040000}"/>
    <cellStyle name="Normal 2 19" xfId="1045" xr:uid="{00000000-0005-0000-0000-0000B3040000}"/>
    <cellStyle name="Normal 2 2" xfId="1046" xr:uid="{00000000-0005-0000-0000-0000B4040000}"/>
    <cellStyle name="Normal 2 2 2" xfId="1047" xr:uid="{00000000-0005-0000-0000-0000B5040000}"/>
    <cellStyle name="Normal 2 2 2 2" xfId="1461" xr:uid="{00000000-0005-0000-0000-0000B6040000}"/>
    <cellStyle name="Normal 2 2 3" xfId="1462" xr:uid="{00000000-0005-0000-0000-0000B7040000}"/>
    <cellStyle name="Normal 2 2 4" xfId="1463" xr:uid="{00000000-0005-0000-0000-0000B8040000}"/>
    <cellStyle name="Normal 2 2_Copia de PRESUPUESTO POR CAPITULOS MARZO-25-11-ULTIMO" xfId="1464" xr:uid="{00000000-0005-0000-0000-0000B9040000}"/>
    <cellStyle name="Normal 2 20" xfId="1048" xr:uid="{00000000-0005-0000-0000-0000BA040000}"/>
    <cellStyle name="Normal 2 21" xfId="1049" xr:uid="{00000000-0005-0000-0000-0000BB040000}"/>
    <cellStyle name="Normal 2 22" xfId="1050" xr:uid="{00000000-0005-0000-0000-0000BC040000}"/>
    <cellStyle name="Normal 2 23" xfId="1051" xr:uid="{00000000-0005-0000-0000-0000BD040000}"/>
    <cellStyle name="Normal 2 24" xfId="1052" xr:uid="{00000000-0005-0000-0000-0000BE040000}"/>
    <cellStyle name="Normal 2 25" xfId="1053" xr:uid="{00000000-0005-0000-0000-0000BF040000}"/>
    <cellStyle name="Normal 2 26" xfId="1054" xr:uid="{00000000-0005-0000-0000-0000C0040000}"/>
    <cellStyle name="Normal 2 27" xfId="1055" xr:uid="{00000000-0005-0000-0000-0000C1040000}"/>
    <cellStyle name="Normal 2 28" xfId="1056" xr:uid="{00000000-0005-0000-0000-0000C2040000}"/>
    <cellStyle name="Normal 2 29" xfId="1057" xr:uid="{00000000-0005-0000-0000-0000C3040000}"/>
    <cellStyle name="Normal 2 3" xfId="1058" xr:uid="{00000000-0005-0000-0000-0000C4040000}"/>
    <cellStyle name="Normal 2 3 2" xfId="1465" xr:uid="{00000000-0005-0000-0000-0000C5040000}"/>
    <cellStyle name="Normal 2 30" xfId="1059" xr:uid="{00000000-0005-0000-0000-0000C6040000}"/>
    <cellStyle name="Normal 2 31" xfId="1060" xr:uid="{00000000-0005-0000-0000-0000C7040000}"/>
    <cellStyle name="Normal 2 32" xfId="1061" xr:uid="{00000000-0005-0000-0000-0000C8040000}"/>
    <cellStyle name="Normal 2 33" xfId="1062" xr:uid="{00000000-0005-0000-0000-0000C9040000}"/>
    <cellStyle name="Normal 2 34" xfId="1063" xr:uid="{00000000-0005-0000-0000-0000CA040000}"/>
    <cellStyle name="Normal 2 35" xfId="1064" xr:uid="{00000000-0005-0000-0000-0000CB040000}"/>
    <cellStyle name="Normal 2 36" xfId="1065" xr:uid="{00000000-0005-0000-0000-0000CC040000}"/>
    <cellStyle name="Normal 2 37" xfId="1066" xr:uid="{00000000-0005-0000-0000-0000CD040000}"/>
    <cellStyle name="Normal 2 38" xfId="1067" xr:uid="{00000000-0005-0000-0000-0000CE040000}"/>
    <cellStyle name="Normal 2 39" xfId="1068" xr:uid="{00000000-0005-0000-0000-0000CF040000}"/>
    <cellStyle name="Normal 2 4" xfId="1069" xr:uid="{00000000-0005-0000-0000-0000D0040000}"/>
    <cellStyle name="Normal 2 4 2" xfId="1466" xr:uid="{00000000-0005-0000-0000-0000D1040000}"/>
    <cellStyle name="Normal 2 40" xfId="1070" xr:uid="{00000000-0005-0000-0000-0000D2040000}"/>
    <cellStyle name="Normal 2 5" xfId="1071" xr:uid="{00000000-0005-0000-0000-0000D3040000}"/>
    <cellStyle name="Normal 2 5 2" xfId="1467" xr:uid="{00000000-0005-0000-0000-0000D4040000}"/>
    <cellStyle name="Normal 2 6" xfId="1072" xr:uid="{00000000-0005-0000-0000-0000D5040000}"/>
    <cellStyle name="Normal 2 7" xfId="1073" xr:uid="{00000000-0005-0000-0000-0000D6040000}"/>
    <cellStyle name="Normal 2 8" xfId="1074" xr:uid="{00000000-0005-0000-0000-0000D7040000}"/>
    <cellStyle name="Normal 2 9" xfId="1075" xr:uid="{00000000-0005-0000-0000-0000D8040000}"/>
    <cellStyle name="Normal 2_Copia de Cuadro APU General Seguridad Electronica Festo 01-12-2008" xfId="1468" xr:uid="{00000000-0005-0000-0000-0000D9040000}"/>
    <cellStyle name="Normal 3" xfId="2" xr:uid="{00000000-0005-0000-0000-0000DA040000}"/>
    <cellStyle name="Normal 3 2" xfId="1076" xr:uid="{00000000-0005-0000-0000-0000DB040000}"/>
    <cellStyle name="Normal 3 2 2" xfId="1470" xr:uid="{00000000-0005-0000-0000-0000DC040000}"/>
    <cellStyle name="Normal 3 3" xfId="1471" xr:uid="{00000000-0005-0000-0000-0000DD040000}"/>
    <cellStyle name="Normal 3 4" xfId="1472" xr:uid="{00000000-0005-0000-0000-0000DE040000}"/>
    <cellStyle name="Normal 3 5" xfId="1469" xr:uid="{00000000-0005-0000-0000-0000DF040000}"/>
    <cellStyle name="Normal 3_Copia de Cuadro APU General Seguridad Electronica Festo 01-12-2008" xfId="1473" xr:uid="{00000000-0005-0000-0000-0000E0040000}"/>
    <cellStyle name="Normal 30" xfId="1077" xr:uid="{00000000-0005-0000-0000-0000E1040000}"/>
    <cellStyle name="Normal 31" xfId="1078" xr:uid="{00000000-0005-0000-0000-0000E2040000}"/>
    <cellStyle name="Normal 32" xfId="1079" xr:uid="{00000000-0005-0000-0000-0000E3040000}"/>
    <cellStyle name="Normal 4" xfId="1080" xr:uid="{00000000-0005-0000-0000-0000E4040000}"/>
    <cellStyle name="Normal 4 2" xfId="1081" xr:uid="{00000000-0005-0000-0000-0000E5040000}"/>
    <cellStyle name="Normal 4 2 2" xfId="1476" xr:uid="{00000000-0005-0000-0000-0000E6040000}"/>
    <cellStyle name="Normal 4 2 3" xfId="1475" xr:uid="{00000000-0005-0000-0000-0000E7040000}"/>
    <cellStyle name="Normal 4 2_ESTADISTICA" xfId="1477" xr:uid="{00000000-0005-0000-0000-0000E8040000}"/>
    <cellStyle name="Normal 4 3" xfId="1478" xr:uid="{00000000-0005-0000-0000-0000E9040000}"/>
    <cellStyle name="Normal 4 3 2" xfId="1479" xr:uid="{00000000-0005-0000-0000-0000EA040000}"/>
    <cellStyle name="Normal 4 3_ESTADISTICA" xfId="1480" xr:uid="{00000000-0005-0000-0000-0000EB040000}"/>
    <cellStyle name="Normal 4 4" xfId="1481" xr:uid="{00000000-0005-0000-0000-0000EC040000}"/>
    <cellStyle name="Normal 4 5" xfId="1474" xr:uid="{00000000-0005-0000-0000-0000ED040000}"/>
    <cellStyle name="Normal 4 6" xfId="1493" xr:uid="{00000000-0005-0000-0000-0000EE040000}"/>
    <cellStyle name="Normal 4 7" xfId="1405" xr:uid="{00000000-0005-0000-0000-0000EF040000}"/>
    <cellStyle name="Normal 4_CICLOPUENTE AV-ESMERALDA-OCT-4-2011" xfId="1482" xr:uid="{00000000-0005-0000-0000-0000F0040000}"/>
    <cellStyle name="Normal 5" xfId="1082" xr:uid="{00000000-0005-0000-0000-0000F1040000}"/>
    <cellStyle name="Normal 5 2" xfId="1083" xr:uid="{00000000-0005-0000-0000-0000F2040000}"/>
    <cellStyle name="Normal 5 2 2" xfId="1484" xr:uid="{00000000-0005-0000-0000-0000F3040000}"/>
    <cellStyle name="Normal 5 3" xfId="1483" xr:uid="{00000000-0005-0000-0000-0000F4040000}"/>
    <cellStyle name="Normal 6" xfId="1084" xr:uid="{00000000-0005-0000-0000-0000F5040000}"/>
    <cellStyle name="Normal 6 2" xfId="1485" xr:uid="{00000000-0005-0000-0000-0000F6040000}"/>
    <cellStyle name="Normal 7" xfId="1486" xr:uid="{00000000-0005-0000-0000-0000F7040000}"/>
    <cellStyle name="Normal 8" xfId="1085" xr:uid="{00000000-0005-0000-0000-0000F8040000}"/>
    <cellStyle name="Normal 8 2" xfId="1492" xr:uid="{00000000-0005-0000-0000-0000F9040000}"/>
    <cellStyle name="Notas" xfId="1117" builtinId="10" customBuiltin="1"/>
    <cellStyle name="Notas 10" xfId="1086" xr:uid="{00000000-0005-0000-0000-0000FB040000}"/>
    <cellStyle name="Notas 11" xfId="1087" xr:uid="{00000000-0005-0000-0000-0000FC040000}"/>
    <cellStyle name="Notas 12" xfId="1088" xr:uid="{00000000-0005-0000-0000-0000FD040000}"/>
    <cellStyle name="Notas 13" xfId="1089" xr:uid="{00000000-0005-0000-0000-0000FE040000}"/>
    <cellStyle name="Notas 14" xfId="1090" xr:uid="{00000000-0005-0000-0000-0000FF040000}"/>
    <cellStyle name="Notas 15" xfId="1091" xr:uid="{00000000-0005-0000-0000-000000050000}"/>
    <cellStyle name="Notas 16" xfId="1092" xr:uid="{00000000-0005-0000-0000-000001050000}"/>
    <cellStyle name="Notas 17" xfId="1093" xr:uid="{00000000-0005-0000-0000-000002050000}"/>
    <cellStyle name="Notas 18" xfId="1094" xr:uid="{00000000-0005-0000-0000-000003050000}"/>
    <cellStyle name="Notas 19" xfId="1095" xr:uid="{00000000-0005-0000-0000-000004050000}"/>
    <cellStyle name="Notas 2" xfId="1096" xr:uid="{00000000-0005-0000-0000-000005050000}"/>
    <cellStyle name="Notas 20" xfId="1097" xr:uid="{00000000-0005-0000-0000-000006050000}"/>
    <cellStyle name="Notas 21" xfId="1098" xr:uid="{00000000-0005-0000-0000-000007050000}"/>
    <cellStyle name="Notas 22" xfId="1099" xr:uid="{00000000-0005-0000-0000-000008050000}"/>
    <cellStyle name="Notas 23" xfId="1100" xr:uid="{00000000-0005-0000-0000-000009050000}"/>
    <cellStyle name="Notas 24" xfId="1101" xr:uid="{00000000-0005-0000-0000-00000A050000}"/>
    <cellStyle name="Notas 25" xfId="1102" xr:uid="{00000000-0005-0000-0000-00000B050000}"/>
    <cellStyle name="Notas 26" xfId="1103" xr:uid="{00000000-0005-0000-0000-00000C050000}"/>
    <cellStyle name="Notas 27" xfId="1104" xr:uid="{00000000-0005-0000-0000-00000D050000}"/>
    <cellStyle name="Notas 28" xfId="1105" xr:uid="{00000000-0005-0000-0000-00000E050000}"/>
    <cellStyle name="Notas 29" xfId="1106" xr:uid="{00000000-0005-0000-0000-00000F050000}"/>
    <cellStyle name="Notas 3" xfId="1107" xr:uid="{00000000-0005-0000-0000-000010050000}"/>
    <cellStyle name="Notas 30" xfId="1108" xr:uid="{00000000-0005-0000-0000-000011050000}"/>
    <cellStyle name="Notas 31" xfId="1109" xr:uid="{00000000-0005-0000-0000-000012050000}"/>
    <cellStyle name="Notas 32" xfId="1110" xr:uid="{00000000-0005-0000-0000-000013050000}"/>
    <cellStyle name="Notas 4" xfId="1111" xr:uid="{00000000-0005-0000-0000-000014050000}"/>
    <cellStyle name="Notas 5" xfId="1112" xr:uid="{00000000-0005-0000-0000-000015050000}"/>
    <cellStyle name="Notas 6" xfId="1113" xr:uid="{00000000-0005-0000-0000-000016050000}"/>
    <cellStyle name="Notas 7" xfId="1114" xr:uid="{00000000-0005-0000-0000-000017050000}"/>
    <cellStyle name="Notas 8" xfId="1115" xr:uid="{00000000-0005-0000-0000-000018050000}"/>
    <cellStyle name="Notas 9" xfId="1116" xr:uid="{00000000-0005-0000-0000-000019050000}"/>
    <cellStyle name="Output" xfId="1501" xr:uid="{00000000-0005-0000-0000-00001B050000}"/>
    <cellStyle name="Porcentaje" xfId="1373" builtinId="5"/>
    <cellStyle name="Porcentaje 2" xfId="1118" xr:uid="{00000000-0005-0000-0000-00001D050000}"/>
    <cellStyle name="Porcentaje 3" xfId="1491" xr:uid="{00000000-0005-0000-0000-00001E050000}"/>
    <cellStyle name="Porcentual 2" xfId="1119" xr:uid="{00000000-0005-0000-0000-00001F050000}"/>
    <cellStyle name="Porcentual 2 2" xfId="1487" xr:uid="{00000000-0005-0000-0000-000020050000}"/>
    <cellStyle name="Porcentual 2 3" xfId="1488" xr:uid="{00000000-0005-0000-0000-000021050000}"/>
    <cellStyle name="Porcentual 3" xfId="1120" xr:uid="{00000000-0005-0000-0000-000022050000}"/>
    <cellStyle name="Porcentual 3 2" xfId="1378" xr:uid="{00000000-0005-0000-0000-000023050000}"/>
    <cellStyle name="Porcentual 4" xfId="1121" xr:uid="{00000000-0005-0000-0000-000024050000}"/>
    <cellStyle name="Porcentual 5" xfId="1122" xr:uid="{00000000-0005-0000-0000-000025050000}"/>
    <cellStyle name="Salida 10" xfId="1123" xr:uid="{00000000-0005-0000-0000-000027050000}"/>
    <cellStyle name="Salida 11" xfId="1124" xr:uid="{00000000-0005-0000-0000-000028050000}"/>
    <cellStyle name="Salida 12" xfId="1125" xr:uid="{00000000-0005-0000-0000-000029050000}"/>
    <cellStyle name="Salida 13" xfId="1126" xr:uid="{00000000-0005-0000-0000-00002A050000}"/>
    <cellStyle name="Salida 14" xfId="1127" xr:uid="{00000000-0005-0000-0000-00002B050000}"/>
    <cellStyle name="Salida 15" xfId="1128" xr:uid="{00000000-0005-0000-0000-00002C050000}"/>
    <cellStyle name="Salida 16" xfId="1129" xr:uid="{00000000-0005-0000-0000-00002D050000}"/>
    <cellStyle name="Salida 17" xfId="1130" xr:uid="{00000000-0005-0000-0000-00002E050000}"/>
    <cellStyle name="Salida 18" xfId="1131" xr:uid="{00000000-0005-0000-0000-00002F050000}"/>
    <cellStyle name="Salida 19" xfId="1132" xr:uid="{00000000-0005-0000-0000-000030050000}"/>
    <cellStyle name="Salida 2" xfId="1133" xr:uid="{00000000-0005-0000-0000-000031050000}"/>
    <cellStyle name="Salida 20" xfId="1134" xr:uid="{00000000-0005-0000-0000-000032050000}"/>
    <cellStyle name="Salida 21" xfId="1135" xr:uid="{00000000-0005-0000-0000-000033050000}"/>
    <cellStyle name="Salida 22" xfId="1136" xr:uid="{00000000-0005-0000-0000-000034050000}"/>
    <cellStyle name="Salida 23" xfId="1137" xr:uid="{00000000-0005-0000-0000-000035050000}"/>
    <cellStyle name="Salida 24" xfId="1138" xr:uid="{00000000-0005-0000-0000-000036050000}"/>
    <cellStyle name="Salida 25" xfId="1139" xr:uid="{00000000-0005-0000-0000-000037050000}"/>
    <cellStyle name="Salida 26" xfId="1140" xr:uid="{00000000-0005-0000-0000-000038050000}"/>
    <cellStyle name="Salida 27" xfId="1141" xr:uid="{00000000-0005-0000-0000-000039050000}"/>
    <cellStyle name="Salida 28" xfId="1142" xr:uid="{00000000-0005-0000-0000-00003A050000}"/>
    <cellStyle name="Salida 29" xfId="1143" xr:uid="{00000000-0005-0000-0000-00003B050000}"/>
    <cellStyle name="Salida 3" xfId="1144" xr:uid="{00000000-0005-0000-0000-00003C050000}"/>
    <cellStyle name="Salida 30" xfId="1145" xr:uid="{00000000-0005-0000-0000-00003D050000}"/>
    <cellStyle name="Salida 31" xfId="1146" xr:uid="{00000000-0005-0000-0000-00003E050000}"/>
    <cellStyle name="Salida 32" xfId="1147" xr:uid="{00000000-0005-0000-0000-00003F050000}"/>
    <cellStyle name="Salida 4" xfId="1148" xr:uid="{00000000-0005-0000-0000-000040050000}"/>
    <cellStyle name="Salida 5" xfId="1149" xr:uid="{00000000-0005-0000-0000-000041050000}"/>
    <cellStyle name="Salida 6" xfId="1150" xr:uid="{00000000-0005-0000-0000-000042050000}"/>
    <cellStyle name="Salida 7" xfId="1151" xr:uid="{00000000-0005-0000-0000-000043050000}"/>
    <cellStyle name="Salida 8" xfId="1152" xr:uid="{00000000-0005-0000-0000-000044050000}"/>
    <cellStyle name="Salida 9" xfId="1153" xr:uid="{00000000-0005-0000-0000-000045050000}"/>
    <cellStyle name="Texto de advertencia" xfId="1371" builtinId="11" customBuiltin="1"/>
    <cellStyle name="Texto de advertencia 10" xfId="1154" xr:uid="{00000000-0005-0000-0000-000047050000}"/>
    <cellStyle name="Texto de advertencia 11" xfId="1155" xr:uid="{00000000-0005-0000-0000-000048050000}"/>
    <cellStyle name="Texto de advertencia 12" xfId="1156" xr:uid="{00000000-0005-0000-0000-000049050000}"/>
    <cellStyle name="Texto de advertencia 13" xfId="1157" xr:uid="{00000000-0005-0000-0000-00004A050000}"/>
    <cellStyle name="Texto de advertencia 14" xfId="1158" xr:uid="{00000000-0005-0000-0000-00004B050000}"/>
    <cellStyle name="Texto de advertencia 15" xfId="1159" xr:uid="{00000000-0005-0000-0000-00004C050000}"/>
    <cellStyle name="Texto de advertencia 16" xfId="1160" xr:uid="{00000000-0005-0000-0000-00004D050000}"/>
    <cellStyle name="Texto de advertencia 17" xfId="1161" xr:uid="{00000000-0005-0000-0000-00004E050000}"/>
    <cellStyle name="Texto de advertencia 18" xfId="1162" xr:uid="{00000000-0005-0000-0000-00004F050000}"/>
    <cellStyle name="Texto de advertencia 19" xfId="1163" xr:uid="{00000000-0005-0000-0000-000050050000}"/>
    <cellStyle name="Texto de advertencia 2" xfId="1164" xr:uid="{00000000-0005-0000-0000-000051050000}"/>
    <cellStyle name="Texto de advertencia 20" xfId="1165" xr:uid="{00000000-0005-0000-0000-000052050000}"/>
    <cellStyle name="Texto de advertencia 21" xfId="1166" xr:uid="{00000000-0005-0000-0000-000053050000}"/>
    <cellStyle name="Texto de advertencia 22" xfId="1167" xr:uid="{00000000-0005-0000-0000-000054050000}"/>
    <cellStyle name="Texto de advertencia 23" xfId="1168" xr:uid="{00000000-0005-0000-0000-000055050000}"/>
    <cellStyle name="Texto de advertencia 24" xfId="1169" xr:uid="{00000000-0005-0000-0000-000056050000}"/>
    <cellStyle name="Texto de advertencia 25" xfId="1170" xr:uid="{00000000-0005-0000-0000-000057050000}"/>
    <cellStyle name="Texto de advertencia 26" xfId="1171" xr:uid="{00000000-0005-0000-0000-000058050000}"/>
    <cellStyle name="Texto de advertencia 27" xfId="1172" xr:uid="{00000000-0005-0000-0000-000059050000}"/>
    <cellStyle name="Texto de advertencia 28" xfId="1173" xr:uid="{00000000-0005-0000-0000-00005A050000}"/>
    <cellStyle name="Texto de advertencia 29" xfId="1174" xr:uid="{00000000-0005-0000-0000-00005B050000}"/>
    <cellStyle name="Texto de advertencia 3" xfId="1175" xr:uid="{00000000-0005-0000-0000-00005C050000}"/>
    <cellStyle name="Texto de advertencia 30" xfId="1176" xr:uid="{00000000-0005-0000-0000-00005D050000}"/>
    <cellStyle name="Texto de advertencia 31" xfId="1177" xr:uid="{00000000-0005-0000-0000-00005E050000}"/>
    <cellStyle name="Texto de advertencia 32" xfId="1178" xr:uid="{00000000-0005-0000-0000-00005F050000}"/>
    <cellStyle name="Texto de advertencia 4" xfId="1179" xr:uid="{00000000-0005-0000-0000-000060050000}"/>
    <cellStyle name="Texto de advertencia 5" xfId="1180" xr:uid="{00000000-0005-0000-0000-000061050000}"/>
    <cellStyle name="Texto de advertencia 6" xfId="1181" xr:uid="{00000000-0005-0000-0000-000062050000}"/>
    <cellStyle name="Texto de advertencia 7" xfId="1182" xr:uid="{00000000-0005-0000-0000-000063050000}"/>
    <cellStyle name="Texto de advertencia 8" xfId="1183" xr:uid="{00000000-0005-0000-0000-000064050000}"/>
    <cellStyle name="Texto de advertencia 9" xfId="1184" xr:uid="{00000000-0005-0000-0000-000065050000}"/>
    <cellStyle name="Texto explicativo 10" xfId="1185" xr:uid="{00000000-0005-0000-0000-000067050000}"/>
    <cellStyle name="Texto explicativo 11" xfId="1186" xr:uid="{00000000-0005-0000-0000-000068050000}"/>
    <cellStyle name="Texto explicativo 12" xfId="1187" xr:uid="{00000000-0005-0000-0000-000069050000}"/>
    <cellStyle name="Texto explicativo 13" xfId="1188" xr:uid="{00000000-0005-0000-0000-00006A050000}"/>
    <cellStyle name="Texto explicativo 14" xfId="1189" xr:uid="{00000000-0005-0000-0000-00006B050000}"/>
    <cellStyle name="Texto explicativo 15" xfId="1190" xr:uid="{00000000-0005-0000-0000-00006C050000}"/>
    <cellStyle name="Texto explicativo 16" xfId="1191" xr:uid="{00000000-0005-0000-0000-00006D050000}"/>
    <cellStyle name="Texto explicativo 17" xfId="1192" xr:uid="{00000000-0005-0000-0000-00006E050000}"/>
    <cellStyle name="Texto explicativo 18" xfId="1193" xr:uid="{00000000-0005-0000-0000-00006F050000}"/>
    <cellStyle name="Texto explicativo 19" xfId="1194" xr:uid="{00000000-0005-0000-0000-000070050000}"/>
    <cellStyle name="Texto explicativo 2" xfId="1195" xr:uid="{00000000-0005-0000-0000-000071050000}"/>
    <cellStyle name="Texto explicativo 20" xfId="1196" xr:uid="{00000000-0005-0000-0000-000072050000}"/>
    <cellStyle name="Texto explicativo 21" xfId="1197" xr:uid="{00000000-0005-0000-0000-000073050000}"/>
    <cellStyle name="Texto explicativo 22" xfId="1198" xr:uid="{00000000-0005-0000-0000-000074050000}"/>
    <cellStyle name="Texto explicativo 23" xfId="1199" xr:uid="{00000000-0005-0000-0000-000075050000}"/>
    <cellStyle name="Texto explicativo 24" xfId="1200" xr:uid="{00000000-0005-0000-0000-000076050000}"/>
    <cellStyle name="Texto explicativo 25" xfId="1201" xr:uid="{00000000-0005-0000-0000-000077050000}"/>
    <cellStyle name="Texto explicativo 26" xfId="1202" xr:uid="{00000000-0005-0000-0000-000078050000}"/>
    <cellStyle name="Texto explicativo 27" xfId="1203" xr:uid="{00000000-0005-0000-0000-000079050000}"/>
    <cellStyle name="Texto explicativo 28" xfId="1204" xr:uid="{00000000-0005-0000-0000-00007A050000}"/>
    <cellStyle name="Texto explicativo 29" xfId="1205" xr:uid="{00000000-0005-0000-0000-00007B050000}"/>
    <cellStyle name="Texto explicativo 3" xfId="1206" xr:uid="{00000000-0005-0000-0000-00007C050000}"/>
    <cellStyle name="Texto explicativo 30" xfId="1207" xr:uid="{00000000-0005-0000-0000-00007D050000}"/>
    <cellStyle name="Texto explicativo 31" xfId="1208" xr:uid="{00000000-0005-0000-0000-00007E050000}"/>
    <cellStyle name="Texto explicativo 32" xfId="1209" xr:uid="{00000000-0005-0000-0000-00007F050000}"/>
    <cellStyle name="Texto explicativo 4" xfId="1210" xr:uid="{00000000-0005-0000-0000-000080050000}"/>
    <cellStyle name="Texto explicativo 5" xfId="1211" xr:uid="{00000000-0005-0000-0000-000081050000}"/>
    <cellStyle name="Texto explicativo 6" xfId="1212" xr:uid="{00000000-0005-0000-0000-000082050000}"/>
    <cellStyle name="Texto explicativo 7" xfId="1213" xr:uid="{00000000-0005-0000-0000-000083050000}"/>
    <cellStyle name="Texto explicativo 8" xfId="1214" xr:uid="{00000000-0005-0000-0000-000084050000}"/>
    <cellStyle name="Texto explicativo 9" xfId="1215" xr:uid="{00000000-0005-0000-0000-000085050000}"/>
    <cellStyle name="Title" xfId="1496" xr:uid="{00000000-0005-0000-0000-000086050000}"/>
    <cellStyle name="Título 1 10" xfId="1216" xr:uid="{00000000-0005-0000-0000-000088050000}"/>
    <cellStyle name="Título 1 11" xfId="1217" xr:uid="{00000000-0005-0000-0000-000089050000}"/>
    <cellStyle name="Título 1 12" xfId="1218" xr:uid="{00000000-0005-0000-0000-00008A050000}"/>
    <cellStyle name="Título 1 13" xfId="1219" xr:uid="{00000000-0005-0000-0000-00008B050000}"/>
    <cellStyle name="Título 1 14" xfId="1220" xr:uid="{00000000-0005-0000-0000-00008C050000}"/>
    <cellStyle name="Título 1 15" xfId="1221" xr:uid="{00000000-0005-0000-0000-00008D050000}"/>
    <cellStyle name="Título 1 16" xfId="1222" xr:uid="{00000000-0005-0000-0000-00008E050000}"/>
    <cellStyle name="Título 1 17" xfId="1223" xr:uid="{00000000-0005-0000-0000-00008F050000}"/>
    <cellStyle name="Título 1 18" xfId="1224" xr:uid="{00000000-0005-0000-0000-000090050000}"/>
    <cellStyle name="Título 1 19" xfId="1225" xr:uid="{00000000-0005-0000-0000-000091050000}"/>
    <cellStyle name="Título 1 2" xfId="1226" xr:uid="{00000000-0005-0000-0000-000092050000}"/>
    <cellStyle name="Título 1 20" xfId="1227" xr:uid="{00000000-0005-0000-0000-000093050000}"/>
    <cellStyle name="Título 1 21" xfId="1228" xr:uid="{00000000-0005-0000-0000-000094050000}"/>
    <cellStyle name="Título 1 22" xfId="1229" xr:uid="{00000000-0005-0000-0000-000095050000}"/>
    <cellStyle name="Título 1 23" xfId="1230" xr:uid="{00000000-0005-0000-0000-000096050000}"/>
    <cellStyle name="Título 1 24" xfId="1231" xr:uid="{00000000-0005-0000-0000-000097050000}"/>
    <cellStyle name="Título 1 25" xfId="1232" xr:uid="{00000000-0005-0000-0000-000098050000}"/>
    <cellStyle name="Título 1 26" xfId="1233" xr:uid="{00000000-0005-0000-0000-000099050000}"/>
    <cellStyle name="Título 1 27" xfId="1234" xr:uid="{00000000-0005-0000-0000-00009A050000}"/>
    <cellStyle name="Título 1 28" xfId="1235" xr:uid="{00000000-0005-0000-0000-00009B050000}"/>
    <cellStyle name="Título 1 29" xfId="1236" xr:uid="{00000000-0005-0000-0000-00009C050000}"/>
    <cellStyle name="Título 1 3" xfId="1237" xr:uid="{00000000-0005-0000-0000-00009D050000}"/>
    <cellStyle name="Título 1 30" xfId="1238" xr:uid="{00000000-0005-0000-0000-00009E050000}"/>
    <cellStyle name="Título 1 31" xfId="1239" xr:uid="{00000000-0005-0000-0000-00009F050000}"/>
    <cellStyle name="Título 1 32" xfId="1240" xr:uid="{00000000-0005-0000-0000-0000A0050000}"/>
    <cellStyle name="Título 1 4" xfId="1241" xr:uid="{00000000-0005-0000-0000-0000A1050000}"/>
    <cellStyle name="Título 1 5" xfId="1242" xr:uid="{00000000-0005-0000-0000-0000A2050000}"/>
    <cellStyle name="Título 1 6" xfId="1243" xr:uid="{00000000-0005-0000-0000-0000A3050000}"/>
    <cellStyle name="Título 1 7" xfId="1244" xr:uid="{00000000-0005-0000-0000-0000A4050000}"/>
    <cellStyle name="Título 1 8" xfId="1245" xr:uid="{00000000-0005-0000-0000-0000A5050000}"/>
    <cellStyle name="Título 1 9" xfId="1246" xr:uid="{00000000-0005-0000-0000-0000A6050000}"/>
    <cellStyle name="Título 10" xfId="1247" xr:uid="{00000000-0005-0000-0000-0000A7050000}"/>
    <cellStyle name="Título 11" xfId="1248" xr:uid="{00000000-0005-0000-0000-0000A8050000}"/>
    <cellStyle name="Título 12" xfId="1249" xr:uid="{00000000-0005-0000-0000-0000A9050000}"/>
    <cellStyle name="Título 13" xfId="1250" xr:uid="{00000000-0005-0000-0000-0000AA050000}"/>
    <cellStyle name="Título 14" xfId="1251" xr:uid="{00000000-0005-0000-0000-0000AB050000}"/>
    <cellStyle name="Título 15" xfId="1252" xr:uid="{00000000-0005-0000-0000-0000AC050000}"/>
    <cellStyle name="Título 16" xfId="1253" xr:uid="{00000000-0005-0000-0000-0000AD050000}"/>
    <cellStyle name="Título 17" xfId="1254" xr:uid="{00000000-0005-0000-0000-0000AE050000}"/>
    <cellStyle name="Título 18" xfId="1255" xr:uid="{00000000-0005-0000-0000-0000AF050000}"/>
    <cellStyle name="Título 19" xfId="1256" xr:uid="{00000000-0005-0000-0000-0000B0050000}"/>
    <cellStyle name="Título 2 10" xfId="1257" xr:uid="{00000000-0005-0000-0000-0000B2050000}"/>
    <cellStyle name="Título 2 11" xfId="1258" xr:uid="{00000000-0005-0000-0000-0000B3050000}"/>
    <cellStyle name="Título 2 12" xfId="1259" xr:uid="{00000000-0005-0000-0000-0000B4050000}"/>
    <cellStyle name="Título 2 13" xfId="1260" xr:uid="{00000000-0005-0000-0000-0000B5050000}"/>
    <cellStyle name="Título 2 14" xfId="1261" xr:uid="{00000000-0005-0000-0000-0000B6050000}"/>
    <cellStyle name="Título 2 15" xfId="1262" xr:uid="{00000000-0005-0000-0000-0000B7050000}"/>
    <cellStyle name="Título 2 16" xfId="1263" xr:uid="{00000000-0005-0000-0000-0000B8050000}"/>
    <cellStyle name="Título 2 17" xfId="1264" xr:uid="{00000000-0005-0000-0000-0000B9050000}"/>
    <cellStyle name="Título 2 18" xfId="1265" xr:uid="{00000000-0005-0000-0000-0000BA050000}"/>
    <cellStyle name="Título 2 19" xfId="1266" xr:uid="{00000000-0005-0000-0000-0000BB050000}"/>
    <cellStyle name="Título 2 2" xfId="1267" xr:uid="{00000000-0005-0000-0000-0000BC050000}"/>
    <cellStyle name="Título 2 20" xfId="1268" xr:uid="{00000000-0005-0000-0000-0000BD050000}"/>
    <cellStyle name="Título 2 21" xfId="1269" xr:uid="{00000000-0005-0000-0000-0000BE050000}"/>
    <cellStyle name="Título 2 22" xfId="1270" xr:uid="{00000000-0005-0000-0000-0000BF050000}"/>
    <cellStyle name="Título 2 23" xfId="1271" xr:uid="{00000000-0005-0000-0000-0000C0050000}"/>
    <cellStyle name="Título 2 24" xfId="1272" xr:uid="{00000000-0005-0000-0000-0000C1050000}"/>
    <cellStyle name="Título 2 25" xfId="1273" xr:uid="{00000000-0005-0000-0000-0000C2050000}"/>
    <cellStyle name="Título 2 26" xfId="1274" xr:uid="{00000000-0005-0000-0000-0000C3050000}"/>
    <cellStyle name="Título 2 27" xfId="1275" xr:uid="{00000000-0005-0000-0000-0000C4050000}"/>
    <cellStyle name="Título 2 28" xfId="1276" xr:uid="{00000000-0005-0000-0000-0000C5050000}"/>
    <cellStyle name="Título 2 29" xfId="1277" xr:uid="{00000000-0005-0000-0000-0000C6050000}"/>
    <cellStyle name="Título 2 3" xfId="1278" xr:uid="{00000000-0005-0000-0000-0000C7050000}"/>
    <cellStyle name="Título 2 30" xfId="1279" xr:uid="{00000000-0005-0000-0000-0000C8050000}"/>
    <cellStyle name="Título 2 31" xfId="1280" xr:uid="{00000000-0005-0000-0000-0000C9050000}"/>
    <cellStyle name="Título 2 32" xfId="1281" xr:uid="{00000000-0005-0000-0000-0000CA050000}"/>
    <cellStyle name="Título 2 4" xfId="1282" xr:uid="{00000000-0005-0000-0000-0000CB050000}"/>
    <cellStyle name="Título 2 5" xfId="1283" xr:uid="{00000000-0005-0000-0000-0000CC050000}"/>
    <cellStyle name="Título 2 6" xfId="1284" xr:uid="{00000000-0005-0000-0000-0000CD050000}"/>
    <cellStyle name="Título 2 7" xfId="1285" xr:uid="{00000000-0005-0000-0000-0000CE050000}"/>
    <cellStyle name="Título 2 8" xfId="1286" xr:uid="{00000000-0005-0000-0000-0000CF050000}"/>
    <cellStyle name="Título 2 9" xfId="1287" xr:uid="{00000000-0005-0000-0000-0000D0050000}"/>
    <cellStyle name="Título 20" xfId="1288" xr:uid="{00000000-0005-0000-0000-0000D1050000}"/>
    <cellStyle name="Título 21" xfId="1289" xr:uid="{00000000-0005-0000-0000-0000D2050000}"/>
    <cellStyle name="Título 22" xfId="1290" xr:uid="{00000000-0005-0000-0000-0000D3050000}"/>
    <cellStyle name="Título 23" xfId="1291" xr:uid="{00000000-0005-0000-0000-0000D4050000}"/>
    <cellStyle name="Título 24" xfId="1292" xr:uid="{00000000-0005-0000-0000-0000D5050000}"/>
    <cellStyle name="Título 25" xfId="1293" xr:uid="{00000000-0005-0000-0000-0000D6050000}"/>
    <cellStyle name="Título 26" xfId="1294" xr:uid="{00000000-0005-0000-0000-0000D7050000}"/>
    <cellStyle name="Título 27" xfId="1295" xr:uid="{00000000-0005-0000-0000-0000D8050000}"/>
    <cellStyle name="Título 28" xfId="1296" xr:uid="{00000000-0005-0000-0000-0000D9050000}"/>
    <cellStyle name="Título 29" xfId="1297" xr:uid="{00000000-0005-0000-0000-0000DA050000}"/>
    <cellStyle name="Título 3 10" xfId="1298" xr:uid="{00000000-0005-0000-0000-0000DC050000}"/>
    <cellStyle name="Título 3 11" xfId="1299" xr:uid="{00000000-0005-0000-0000-0000DD050000}"/>
    <cellStyle name="Título 3 12" xfId="1300" xr:uid="{00000000-0005-0000-0000-0000DE050000}"/>
    <cellStyle name="Título 3 13" xfId="1301" xr:uid="{00000000-0005-0000-0000-0000DF050000}"/>
    <cellStyle name="Título 3 14" xfId="1302" xr:uid="{00000000-0005-0000-0000-0000E0050000}"/>
    <cellStyle name="Título 3 15" xfId="1303" xr:uid="{00000000-0005-0000-0000-0000E1050000}"/>
    <cellStyle name="Título 3 16" xfId="1304" xr:uid="{00000000-0005-0000-0000-0000E2050000}"/>
    <cellStyle name="Título 3 17" xfId="1305" xr:uid="{00000000-0005-0000-0000-0000E3050000}"/>
    <cellStyle name="Título 3 18" xfId="1306" xr:uid="{00000000-0005-0000-0000-0000E4050000}"/>
    <cellStyle name="Título 3 19" xfId="1307" xr:uid="{00000000-0005-0000-0000-0000E5050000}"/>
    <cellStyle name="Título 3 2" xfId="1308" xr:uid="{00000000-0005-0000-0000-0000E6050000}"/>
    <cellStyle name="Título 3 20" xfId="1309" xr:uid="{00000000-0005-0000-0000-0000E7050000}"/>
    <cellStyle name="Título 3 21" xfId="1310" xr:uid="{00000000-0005-0000-0000-0000E8050000}"/>
    <cellStyle name="Título 3 22" xfId="1311" xr:uid="{00000000-0005-0000-0000-0000E9050000}"/>
    <cellStyle name="Título 3 23" xfId="1312" xr:uid="{00000000-0005-0000-0000-0000EA050000}"/>
    <cellStyle name="Título 3 24" xfId="1313" xr:uid="{00000000-0005-0000-0000-0000EB050000}"/>
    <cellStyle name="Título 3 25" xfId="1314" xr:uid="{00000000-0005-0000-0000-0000EC050000}"/>
    <cellStyle name="Título 3 26" xfId="1315" xr:uid="{00000000-0005-0000-0000-0000ED050000}"/>
    <cellStyle name="Título 3 27" xfId="1316" xr:uid="{00000000-0005-0000-0000-0000EE050000}"/>
    <cellStyle name="Título 3 28" xfId="1317" xr:uid="{00000000-0005-0000-0000-0000EF050000}"/>
    <cellStyle name="Título 3 29" xfId="1318" xr:uid="{00000000-0005-0000-0000-0000F0050000}"/>
    <cellStyle name="Título 3 3" xfId="1319" xr:uid="{00000000-0005-0000-0000-0000F1050000}"/>
    <cellStyle name="Título 3 30" xfId="1320" xr:uid="{00000000-0005-0000-0000-0000F2050000}"/>
    <cellStyle name="Título 3 31" xfId="1321" xr:uid="{00000000-0005-0000-0000-0000F3050000}"/>
    <cellStyle name="Título 3 32" xfId="1322" xr:uid="{00000000-0005-0000-0000-0000F4050000}"/>
    <cellStyle name="Título 3 4" xfId="1323" xr:uid="{00000000-0005-0000-0000-0000F5050000}"/>
    <cellStyle name="Título 3 5" xfId="1324" xr:uid="{00000000-0005-0000-0000-0000F6050000}"/>
    <cellStyle name="Título 3 6" xfId="1325" xr:uid="{00000000-0005-0000-0000-0000F7050000}"/>
    <cellStyle name="Título 3 7" xfId="1326" xr:uid="{00000000-0005-0000-0000-0000F8050000}"/>
    <cellStyle name="Título 3 8" xfId="1327" xr:uid="{00000000-0005-0000-0000-0000F9050000}"/>
    <cellStyle name="Título 3 9" xfId="1328" xr:uid="{00000000-0005-0000-0000-0000FA050000}"/>
    <cellStyle name="Título 30" xfId="1329" xr:uid="{00000000-0005-0000-0000-0000FB050000}"/>
    <cellStyle name="Título 31" xfId="1330" xr:uid="{00000000-0005-0000-0000-0000FC050000}"/>
    <cellStyle name="Título 32" xfId="1331" xr:uid="{00000000-0005-0000-0000-0000FD050000}"/>
    <cellStyle name="Título 33" xfId="1332" xr:uid="{00000000-0005-0000-0000-0000FE050000}"/>
    <cellStyle name="Título 34" xfId="1333" xr:uid="{00000000-0005-0000-0000-0000FF050000}"/>
    <cellStyle name="Título 4" xfId="1334" xr:uid="{00000000-0005-0000-0000-000000060000}"/>
    <cellStyle name="Título 5" xfId="1335" xr:uid="{00000000-0005-0000-0000-000001060000}"/>
    <cellStyle name="Título 6" xfId="1336" xr:uid="{00000000-0005-0000-0000-000002060000}"/>
    <cellStyle name="Título 7" xfId="1337" xr:uid="{00000000-0005-0000-0000-000003060000}"/>
    <cellStyle name="Título 8" xfId="1338" xr:uid="{00000000-0005-0000-0000-000004060000}"/>
    <cellStyle name="Título 9" xfId="1339" xr:uid="{00000000-0005-0000-0000-000005060000}"/>
    <cellStyle name="Título de hoja" xfId="1489" xr:uid="{00000000-0005-0000-0000-000006060000}"/>
    <cellStyle name="Total" xfId="1504" builtinId="25" customBuiltin="1"/>
    <cellStyle name="Total 10" xfId="1340" xr:uid="{00000000-0005-0000-0000-000008060000}"/>
    <cellStyle name="Total 11" xfId="1341" xr:uid="{00000000-0005-0000-0000-000009060000}"/>
    <cellStyle name="Total 12" xfId="1342" xr:uid="{00000000-0005-0000-0000-00000A060000}"/>
    <cellStyle name="Total 13" xfId="1343" xr:uid="{00000000-0005-0000-0000-00000B060000}"/>
    <cellStyle name="Total 14" xfId="1344" xr:uid="{00000000-0005-0000-0000-00000C060000}"/>
    <cellStyle name="Total 15" xfId="1345" xr:uid="{00000000-0005-0000-0000-00000D060000}"/>
    <cellStyle name="Total 16" xfId="1346" xr:uid="{00000000-0005-0000-0000-00000E060000}"/>
    <cellStyle name="Total 17" xfId="1347" xr:uid="{00000000-0005-0000-0000-00000F060000}"/>
    <cellStyle name="Total 18" xfId="1348" xr:uid="{00000000-0005-0000-0000-000010060000}"/>
    <cellStyle name="Total 19" xfId="1349" xr:uid="{00000000-0005-0000-0000-000011060000}"/>
    <cellStyle name="Total 2" xfId="1350" xr:uid="{00000000-0005-0000-0000-000012060000}"/>
    <cellStyle name="Total 20" xfId="1351" xr:uid="{00000000-0005-0000-0000-000013060000}"/>
    <cellStyle name="Total 21" xfId="1352" xr:uid="{00000000-0005-0000-0000-000014060000}"/>
    <cellStyle name="Total 22" xfId="1353" xr:uid="{00000000-0005-0000-0000-000015060000}"/>
    <cellStyle name="Total 23" xfId="1354" xr:uid="{00000000-0005-0000-0000-000016060000}"/>
    <cellStyle name="Total 24" xfId="1355" xr:uid="{00000000-0005-0000-0000-000017060000}"/>
    <cellStyle name="Total 25" xfId="1356" xr:uid="{00000000-0005-0000-0000-000018060000}"/>
    <cellStyle name="Total 26" xfId="1357" xr:uid="{00000000-0005-0000-0000-000019060000}"/>
    <cellStyle name="Total 27" xfId="1358" xr:uid="{00000000-0005-0000-0000-00001A060000}"/>
    <cellStyle name="Total 28" xfId="1359" xr:uid="{00000000-0005-0000-0000-00001B060000}"/>
    <cellStyle name="Total 29" xfId="1360" xr:uid="{00000000-0005-0000-0000-00001C060000}"/>
    <cellStyle name="Total 3" xfId="1361" xr:uid="{00000000-0005-0000-0000-00001D060000}"/>
    <cellStyle name="Total 30" xfId="1362" xr:uid="{00000000-0005-0000-0000-00001E060000}"/>
    <cellStyle name="Total 31" xfId="1363" xr:uid="{00000000-0005-0000-0000-00001F060000}"/>
    <cellStyle name="Total 32" xfId="1364" xr:uid="{00000000-0005-0000-0000-000020060000}"/>
    <cellStyle name="Total 4" xfId="1365" xr:uid="{00000000-0005-0000-0000-000021060000}"/>
    <cellStyle name="Total 5" xfId="1366" xr:uid="{00000000-0005-0000-0000-000022060000}"/>
    <cellStyle name="Total 6" xfId="1367" xr:uid="{00000000-0005-0000-0000-000023060000}"/>
    <cellStyle name="Total 7" xfId="1368" xr:uid="{00000000-0005-0000-0000-000024060000}"/>
    <cellStyle name="Total 8" xfId="1369" xr:uid="{00000000-0005-0000-0000-000025060000}"/>
    <cellStyle name="Total 9" xfId="1370" xr:uid="{00000000-0005-0000-0000-000026060000}"/>
    <cellStyle name="常规_Sheet1" xfId="1490" xr:uid="{00000000-0005-0000-0000-00002806000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2</xdr:col>
      <xdr:colOff>508000</xdr:colOff>
      <xdr:row>1</xdr:row>
      <xdr:rowOff>47625</xdr:rowOff>
    </xdr:from>
    <xdr:ext cx="952499" cy="863413"/>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32000" y="238125"/>
          <a:ext cx="952499" cy="8634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21082-0B91-4F9D-BC0A-F88FE018BAAF}">
  <sheetPr>
    <tabColor theme="9" tint="-0.249977111117893"/>
  </sheetPr>
  <dimension ref="A1:Y100"/>
  <sheetViews>
    <sheetView showGridLines="0" tabSelected="1" view="pageLayout" topLeftCell="B1" zoomScale="60" zoomScaleNormal="80" zoomScaleSheetLayoutView="50" zoomScalePageLayoutView="60" workbookViewId="0">
      <selection activeCell="B2" sqref="B2:S47"/>
    </sheetView>
  </sheetViews>
  <sheetFormatPr baseColWidth="10" defaultColWidth="11.453125" defaultRowHeight="21"/>
  <cols>
    <col min="1" max="1" width="4.81640625" style="48" hidden="1" customWidth="1"/>
    <col min="2" max="2" width="14.453125" style="42" customWidth="1"/>
    <col min="3" max="3" width="70.36328125" style="155" customWidth="1"/>
    <col min="4" max="4" width="14.26953125" style="155" customWidth="1"/>
    <col min="5" max="5" width="15.7265625" style="141" customWidth="1"/>
    <col min="6" max="6" width="27.81640625" style="48" customWidth="1"/>
    <col min="7" max="7" width="28.7265625" style="48" customWidth="1"/>
    <col min="8" max="8" width="27.1796875" style="48" customWidth="1"/>
    <col min="9" max="9" width="24" style="48" customWidth="1"/>
    <col min="10" max="10" width="22.81640625" style="48" customWidth="1"/>
    <col min="11" max="12" width="22.81640625" style="48" hidden="1" customWidth="1"/>
    <col min="13" max="13" width="21" style="48" bestFit="1" customWidth="1"/>
    <col min="14" max="14" width="19.453125" style="132" customWidth="1"/>
    <col min="15" max="15" width="33.453125" style="48" customWidth="1"/>
    <col min="16" max="16" width="22" style="48" customWidth="1"/>
    <col min="17" max="17" width="22.1796875" style="48" customWidth="1"/>
    <col min="18" max="18" width="19.1796875" style="48" customWidth="1"/>
    <col min="19" max="19" width="20.7265625" style="48" customWidth="1"/>
    <col min="20" max="20" width="2.453125" style="42" customWidth="1"/>
    <col min="21" max="21" width="11.453125" style="48"/>
    <col min="22" max="22" width="18" style="48" bestFit="1" customWidth="1"/>
    <col min="23" max="24" width="11.453125" style="48"/>
    <col min="25" max="25" width="23.26953125" style="48" bestFit="1" customWidth="1"/>
    <col min="26" max="16384" width="11.453125" style="48"/>
  </cols>
  <sheetData>
    <row r="1" spans="1:22" ht="15.75" customHeight="1" thickBot="1"/>
    <row r="2" spans="1:22" ht="51" customHeight="1">
      <c r="A2" s="156"/>
      <c r="B2" s="225" t="s">
        <v>175</v>
      </c>
      <c r="C2" s="225"/>
      <c r="D2" s="225"/>
      <c r="E2" s="225"/>
      <c r="F2" s="233" t="s">
        <v>221</v>
      </c>
      <c r="G2" s="234"/>
      <c r="H2" s="234"/>
      <c r="I2" s="234"/>
      <c r="J2" s="235"/>
      <c r="K2" s="157"/>
      <c r="L2" s="157"/>
      <c r="M2" s="227" t="s">
        <v>220</v>
      </c>
      <c r="N2" s="228"/>
      <c r="O2" s="228"/>
      <c r="P2" s="228"/>
      <c r="Q2" s="228"/>
      <c r="R2" s="228"/>
      <c r="S2" s="229"/>
    </row>
    <row r="3" spans="1:22" ht="14" customHeight="1">
      <c r="A3" s="158"/>
      <c r="B3" s="226"/>
      <c r="C3" s="226"/>
      <c r="D3" s="226"/>
      <c r="E3" s="226"/>
      <c r="F3" s="236"/>
      <c r="G3" s="237"/>
      <c r="H3" s="237"/>
      <c r="I3" s="237"/>
      <c r="J3" s="238"/>
      <c r="K3" s="157"/>
      <c r="L3" s="157"/>
      <c r="M3" s="230"/>
      <c r="N3" s="231"/>
      <c r="O3" s="231"/>
      <c r="P3" s="231"/>
      <c r="Q3" s="231"/>
      <c r="R3" s="231"/>
      <c r="S3" s="232"/>
    </row>
    <row r="4" spans="1:22" ht="49" customHeight="1">
      <c r="A4" s="158"/>
      <c r="B4" s="226"/>
      <c r="C4" s="226"/>
      <c r="D4" s="226"/>
      <c r="E4" s="226"/>
      <c r="F4" s="140" t="s">
        <v>222</v>
      </c>
      <c r="G4" s="140" t="s">
        <v>223</v>
      </c>
      <c r="H4" s="140" t="s">
        <v>229</v>
      </c>
      <c r="I4" s="140" t="s">
        <v>230</v>
      </c>
      <c r="J4" s="140" t="s">
        <v>231</v>
      </c>
      <c r="K4" s="140" t="s">
        <v>176</v>
      </c>
      <c r="L4" s="140" t="s">
        <v>178</v>
      </c>
      <c r="M4" s="230"/>
      <c r="N4" s="231"/>
      <c r="O4" s="231"/>
      <c r="P4" s="231"/>
      <c r="Q4" s="231"/>
      <c r="R4" s="231"/>
      <c r="S4" s="232"/>
    </row>
    <row r="5" spans="1:22" ht="62" customHeight="1">
      <c r="A5" s="158"/>
      <c r="B5" s="150" t="s">
        <v>64</v>
      </c>
      <c r="C5" s="139" t="s">
        <v>170</v>
      </c>
      <c r="D5" s="139" t="s">
        <v>171</v>
      </c>
      <c r="E5" s="139" t="s">
        <v>79</v>
      </c>
      <c r="F5" s="159" t="s">
        <v>179</v>
      </c>
      <c r="G5" s="159" t="s">
        <v>179</v>
      </c>
      <c r="H5" s="159" t="s">
        <v>177</v>
      </c>
      <c r="I5" s="159" t="s">
        <v>177</v>
      </c>
      <c r="J5" s="159" t="s">
        <v>177</v>
      </c>
      <c r="K5" s="159" t="s">
        <v>177</v>
      </c>
      <c r="L5" s="159" t="s">
        <v>177</v>
      </c>
      <c r="M5" s="140" t="s">
        <v>66</v>
      </c>
      <c r="N5" s="153" t="s">
        <v>67</v>
      </c>
      <c r="O5" s="140" t="s">
        <v>167</v>
      </c>
      <c r="P5" s="140" t="s">
        <v>0</v>
      </c>
      <c r="Q5" s="140" t="s">
        <v>69</v>
      </c>
      <c r="R5" s="140" t="s">
        <v>1</v>
      </c>
      <c r="S5" s="149" t="s">
        <v>2</v>
      </c>
    </row>
    <row r="6" spans="1:22" ht="22.5" hidden="1" customHeight="1">
      <c r="A6" s="160"/>
      <c r="B6" s="161"/>
      <c r="C6" s="162"/>
      <c r="D6" s="145"/>
      <c r="E6" s="142"/>
      <c r="F6" s="163"/>
      <c r="G6" s="163"/>
      <c r="H6" s="164"/>
      <c r="I6" s="163"/>
      <c r="J6" s="163"/>
      <c r="K6" s="163"/>
      <c r="L6" s="163"/>
      <c r="M6" s="151"/>
      <c r="N6" s="154"/>
      <c r="O6" s="146"/>
      <c r="P6" s="146"/>
      <c r="Q6" s="146"/>
      <c r="R6" s="146"/>
      <c r="S6" s="147"/>
    </row>
    <row r="7" spans="1:22" ht="29" customHeight="1">
      <c r="A7" s="160"/>
      <c r="B7" s="161">
        <v>1</v>
      </c>
      <c r="C7" s="165" t="s">
        <v>181</v>
      </c>
      <c r="D7" s="166" t="s">
        <v>182</v>
      </c>
      <c r="E7" s="166">
        <v>40</v>
      </c>
      <c r="F7" s="186">
        <v>1785</v>
      </c>
      <c r="G7" s="186">
        <v>1319</v>
      </c>
      <c r="H7" s="167"/>
      <c r="I7" s="167"/>
      <c r="J7" s="186">
        <v>1071</v>
      </c>
      <c r="K7" s="167"/>
      <c r="L7" s="167"/>
      <c r="M7" s="183">
        <f>COUNT(F7:L7)</f>
        <v>3</v>
      </c>
      <c r="N7" s="184">
        <f>ROUND(AVERAGE(F7:L7),0)</f>
        <v>1392</v>
      </c>
      <c r="O7" s="185">
        <f>+N7*E7</f>
        <v>55680</v>
      </c>
      <c r="P7" s="203">
        <f>STDEVP(F7:J7)</f>
        <v>295.98348302265487</v>
      </c>
      <c r="Q7" s="204">
        <f>P7/N7*100</f>
        <v>21.263181251627504</v>
      </c>
      <c r="R7" s="205">
        <f>100-Q7</f>
        <v>78.736818748372499</v>
      </c>
      <c r="S7" s="206" t="str">
        <f t="shared" ref="S7:S68" si="0">IF(R7&gt;70,"ALTO","BAJO")</f>
        <v>ALTO</v>
      </c>
      <c r="V7" s="132"/>
    </row>
    <row r="8" spans="1:22" ht="48.5" customHeight="1">
      <c r="A8" s="160"/>
      <c r="B8" s="161">
        <v>2</v>
      </c>
      <c r="C8" s="165" t="s">
        <v>183</v>
      </c>
      <c r="D8" s="166" t="s">
        <v>182</v>
      </c>
      <c r="E8" s="166">
        <v>250</v>
      </c>
      <c r="F8" s="186">
        <v>5712</v>
      </c>
      <c r="G8" s="186">
        <v>6797</v>
      </c>
      <c r="H8" s="167"/>
      <c r="I8" s="167"/>
      <c r="J8" s="186">
        <v>3451</v>
      </c>
      <c r="K8" s="164"/>
      <c r="L8" s="164"/>
      <c r="M8" s="183">
        <f t="shared" ref="M8:M62" si="1">COUNT(F8:L8)</f>
        <v>3</v>
      </c>
      <c r="N8" s="184">
        <f t="shared" ref="N8:N62" si="2">ROUND(AVERAGE(F8:L8),0)</f>
        <v>5320</v>
      </c>
      <c r="O8" s="185">
        <f t="shared" ref="O8:O69" si="3">+N8*E8</f>
        <v>1330000</v>
      </c>
      <c r="P8" s="203">
        <f t="shared" ref="P8:P62" si="4">STDEVP(F8:J8)</f>
        <v>1393.8381063332522</v>
      </c>
      <c r="Q8" s="204">
        <f t="shared" ref="Q8:Q69" si="5">P8/N8*100</f>
        <v>26.199964404760379</v>
      </c>
      <c r="R8" s="205">
        <f t="shared" ref="R8:R69" si="6">100-Q8</f>
        <v>73.800035595239621</v>
      </c>
      <c r="S8" s="206" t="str">
        <f t="shared" si="0"/>
        <v>ALTO</v>
      </c>
    </row>
    <row r="9" spans="1:22" ht="22.5" customHeight="1">
      <c r="A9" s="160"/>
      <c r="B9" s="161">
        <f>+B8+1</f>
        <v>3</v>
      </c>
      <c r="C9" s="165" t="s">
        <v>184</v>
      </c>
      <c r="D9" s="166" t="s">
        <v>171</v>
      </c>
      <c r="E9" s="166">
        <v>100</v>
      </c>
      <c r="F9" s="186">
        <v>1071</v>
      </c>
      <c r="G9" s="186">
        <v>1303</v>
      </c>
      <c r="H9" s="167"/>
      <c r="I9" s="167"/>
      <c r="J9" s="186">
        <v>476</v>
      </c>
      <c r="K9" s="164"/>
      <c r="L9" s="164"/>
      <c r="M9" s="183">
        <f t="shared" si="1"/>
        <v>3</v>
      </c>
      <c r="N9" s="184">
        <f t="shared" si="2"/>
        <v>950</v>
      </c>
      <c r="O9" s="185">
        <f t="shared" si="3"/>
        <v>95000</v>
      </c>
      <c r="P9" s="203">
        <f t="shared" si="4"/>
        <v>348.29393716610497</v>
      </c>
      <c r="Q9" s="204">
        <f t="shared" si="5"/>
        <v>36.66251970169526</v>
      </c>
      <c r="R9" s="205">
        <f t="shared" si="6"/>
        <v>63.33748029830474</v>
      </c>
      <c r="S9" s="206" t="str">
        <f t="shared" si="0"/>
        <v>BAJO</v>
      </c>
    </row>
    <row r="10" spans="1:22" ht="23" customHeight="1">
      <c r="A10" s="160"/>
      <c r="B10" s="161">
        <f t="shared" ref="B10:B47" si="7">+B9+1</f>
        <v>4</v>
      </c>
      <c r="C10" s="165" t="s">
        <v>185</v>
      </c>
      <c r="D10" s="166" t="s">
        <v>186</v>
      </c>
      <c r="E10" s="166">
        <v>12</v>
      </c>
      <c r="F10" s="186">
        <v>2499</v>
      </c>
      <c r="G10" s="186">
        <v>2850</v>
      </c>
      <c r="H10" s="167"/>
      <c r="I10" s="167"/>
      <c r="J10" s="186">
        <v>1785</v>
      </c>
      <c r="K10" s="164"/>
      <c r="L10" s="164"/>
      <c r="M10" s="183">
        <f t="shared" si="1"/>
        <v>3</v>
      </c>
      <c r="N10" s="184">
        <f t="shared" si="2"/>
        <v>2378</v>
      </c>
      <c r="O10" s="185">
        <f t="shared" si="3"/>
        <v>28536</v>
      </c>
      <c r="P10" s="203">
        <f t="shared" si="4"/>
        <v>443.1230077529263</v>
      </c>
      <c r="Q10" s="204">
        <f t="shared" si="5"/>
        <v>18.634272823924572</v>
      </c>
      <c r="R10" s="205">
        <f t="shared" si="6"/>
        <v>81.365727176075424</v>
      </c>
      <c r="S10" s="206" t="str">
        <f t="shared" si="0"/>
        <v>ALTO</v>
      </c>
    </row>
    <row r="11" spans="1:22" ht="26" customHeight="1">
      <c r="A11" s="160"/>
      <c r="B11" s="161">
        <f t="shared" si="7"/>
        <v>5</v>
      </c>
      <c r="C11" s="165" t="s">
        <v>187</v>
      </c>
      <c r="D11" s="166" t="s">
        <v>186</v>
      </c>
      <c r="E11" s="166">
        <v>2000</v>
      </c>
      <c r="F11" s="186">
        <v>178.5</v>
      </c>
      <c r="G11" s="186">
        <v>240</v>
      </c>
      <c r="H11" s="167"/>
      <c r="I11" s="167"/>
      <c r="J11" s="186">
        <v>226</v>
      </c>
      <c r="K11" s="164"/>
      <c r="L11" s="164"/>
      <c r="M11" s="183">
        <f t="shared" si="1"/>
        <v>3</v>
      </c>
      <c r="N11" s="184">
        <f t="shared" si="2"/>
        <v>215</v>
      </c>
      <c r="O11" s="185">
        <f t="shared" si="3"/>
        <v>430000</v>
      </c>
      <c r="P11" s="203">
        <f t="shared" si="4"/>
        <v>26.319616680761559</v>
      </c>
      <c r="Q11" s="204">
        <f t="shared" si="5"/>
        <v>12.241682177098399</v>
      </c>
      <c r="R11" s="205">
        <f t="shared" si="6"/>
        <v>87.758317822901603</v>
      </c>
      <c r="S11" s="206" t="str">
        <f t="shared" si="0"/>
        <v>ALTO</v>
      </c>
    </row>
    <row r="12" spans="1:22" ht="22" customHeight="1">
      <c r="A12" s="160"/>
      <c r="B12" s="161">
        <f t="shared" si="7"/>
        <v>6</v>
      </c>
      <c r="C12" s="165" t="s">
        <v>188</v>
      </c>
      <c r="D12" s="166" t="s">
        <v>171</v>
      </c>
      <c r="E12" s="166">
        <v>50</v>
      </c>
      <c r="F12" s="186">
        <v>1785</v>
      </c>
      <c r="G12" s="186">
        <v>2931</v>
      </c>
      <c r="H12" s="167"/>
      <c r="I12" s="167"/>
      <c r="J12" s="186">
        <v>1071</v>
      </c>
      <c r="K12" s="164"/>
      <c r="L12" s="164"/>
      <c r="M12" s="183">
        <f t="shared" si="1"/>
        <v>3</v>
      </c>
      <c r="N12" s="184">
        <f t="shared" si="2"/>
        <v>1929</v>
      </c>
      <c r="O12" s="185">
        <f t="shared" si="3"/>
        <v>96450</v>
      </c>
      <c r="P12" s="203">
        <f t="shared" si="4"/>
        <v>766.13836870372177</v>
      </c>
      <c r="Q12" s="204">
        <f t="shared" si="5"/>
        <v>39.716867221551155</v>
      </c>
      <c r="R12" s="205">
        <f t="shared" si="6"/>
        <v>60.283132778448845</v>
      </c>
      <c r="S12" s="206" t="str">
        <f t="shared" si="0"/>
        <v>BAJO</v>
      </c>
    </row>
    <row r="13" spans="1:22" ht="23.5" customHeight="1">
      <c r="A13" s="160"/>
      <c r="B13" s="161">
        <f t="shared" si="7"/>
        <v>7</v>
      </c>
      <c r="C13" s="165" t="s">
        <v>189</v>
      </c>
      <c r="D13" s="166" t="s">
        <v>171</v>
      </c>
      <c r="E13" s="166">
        <v>24</v>
      </c>
      <c r="F13" s="186">
        <v>4998</v>
      </c>
      <c r="G13" s="186">
        <v>2443</v>
      </c>
      <c r="H13" s="167"/>
      <c r="I13" s="167"/>
      <c r="J13" s="186">
        <v>7497</v>
      </c>
      <c r="K13" s="168"/>
      <c r="L13" s="168"/>
      <c r="M13" s="183">
        <f t="shared" si="1"/>
        <v>3</v>
      </c>
      <c r="N13" s="184">
        <f t="shared" si="2"/>
        <v>4979</v>
      </c>
      <c r="O13" s="185">
        <f t="shared" si="3"/>
        <v>119496</v>
      </c>
      <c r="P13" s="203">
        <f t="shared" si="4"/>
        <v>2063.3290791555496</v>
      </c>
      <c r="Q13" s="204">
        <f t="shared" si="5"/>
        <v>41.440632238512748</v>
      </c>
      <c r="R13" s="205">
        <f t="shared" si="6"/>
        <v>58.559367761487252</v>
      </c>
      <c r="S13" s="206" t="str">
        <f t="shared" si="0"/>
        <v>BAJO</v>
      </c>
    </row>
    <row r="14" spans="1:22" customFormat="1" ht="37.5" customHeight="1">
      <c r="A14" s="188"/>
      <c r="B14" s="189">
        <f t="shared" si="7"/>
        <v>8</v>
      </c>
      <c r="C14" s="165" t="s">
        <v>224</v>
      </c>
      <c r="D14" s="166" t="s">
        <v>171</v>
      </c>
      <c r="E14" s="166">
        <v>100</v>
      </c>
      <c r="F14" s="186">
        <v>7080</v>
      </c>
      <c r="G14" s="186">
        <v>28499</v>
      </c>
      <c r="H14" s="167"/>
      <c r="I14" s="167"/>
      <c r="J14" s="186">
        <v>5831</v>
      </c>
      <c r="K14" s="190"/>
      <c r="L14" s="190"/>
      <c r="M14" s="191">
        <f t="shared" si="1"/>
        <v>3</v>
      </c>
      <c r="N14" s="184">
        <f t="shared" si="2"/>
        <v>13803</v>
      </c>
      <c r="O14" s="184">
        <f t="shared" si="3"/>
        <v>1380300</v>
      </c>
      <c r="P14" s="207">
        <f t="shared" si="4"/>
        <v>10403.908378852419</v>
      </c>
      <c r="Q14" s="208">
        <f t="shared" si="5"/>
        <v>75.374254718919204</v>
      </c>
      <c r="R14" s="209">
        <f t="shared" si="6"/>
        <v>24.625745281080796</v>
      </c>
      <c r="S14" s="210" t="str">
        <f t="shared" si="0"/>
        <v>BAJO</v>
      </c>
      <c r="T14" s="192"/>
    </row>
    <row r="15" spans="1:22" customFormat="1" ht="24" customHeight="1">
      <c r="A15" s="188"/>
      <c r="B15" s="189">
        <f t="shared" si="7"/>
        <v>9</v>
      </c>
      <c r="C15" s="165" t="s">
        <v>190</v>
      </c>
      <c r="D15" s="166" t="s">
        <v>171</v>
      </c>
      <c r="E15" s="166">
        <v>50</v>
      </c>
      <c r="F15" s="186">
        <v>17850</v>
      </c>
      <c r="G15" s="186">
        <v>10993</v>
      </c>
      <c r="H15" s="167"/>
      <c r="I15" s="167"/>
      <c r="J15" s="186">
        <v>34510</v>
      </c>
      <c r="K15" s="190"/>
      <c r="L15" s="190"/>
      <c r="M15" s="191">
        <f t="shared" si="1"/>
        <v>3</v>
      </c>
      <c r="N15" s="184">
        <f t="shared" si="2"/>
        <v>21118</v>
      </c>
      <c r="O15" s="184">
        <f t="shared" si="3"/>
        <v>1055900</v>
      </c>
      <c r="P15" s="207">
        <f t="shared" si="4"/>
        <v>9874.9027449500591</v>
      </c>
      <c r="Q15" s="208">
        <f t="shared" si="5"/>
        <v>46.760596386731976</v>
      </c>
      <c r="R15" s="209">
        <f t="shared" si="6"/>
        <v>53.239403613268024</v>
      </c>
      <c r="S15" s="210" t="str">
        <f t="shared" si="0"/>
        <v>BAJO</v>
      </c>
      <c r="T15" s="192"/>
    </row>
    <row r="16" spans="1:22" customFormat="1" ht="24" customHeight="1">
      <c r="A16" s="188"/>
      <c r="B16" s="189">
        <f t="shared" si="7"/>
        <v>10</v>
      </c>
      <c r="C16" s="165" t="s">
        <v>191</v>
      </c>
      <c r="D16" s="166" t="s">
        <v>171</v>
      </c>
      <c r="E16" s="166">
        <v>50</v>
      </c>
      <c r="F16" s="186">
        <v>4700.5</v>
      </c>
      <c r="G16" s="186">
        <v>3121</v>
      </c>
      <c r="H16" s="167"/>
      <c r="I16" s="167"/>
      <c r="J16" s="186">
        <v>2618</v>
      </c>
      <c r="K16" s="190"/>
      <c r="L16" s="190"/>
      <c r="M16" s="191">
        <f t="shared" si="1"/>
        <v>3</v>
      </c>
      <c r="N16" s="184">
        <f t="shared" si="2"/>
        <v>3480</v>
      </c>
      <c r="O16" s="184">
        <f t="shared" si="3"/>
        <v>174000</v>
      </c>
      <c r="P16" s="207">
        <f t="shared" si="4"/>
        <v>887.23262012970542</v>
      </c>
      <c r="Q16" s="208">
        <f t="shared" si="5"/>
        <v>25.495190233612224</v>
      </c>
      <c r="R16" s="209">
        <f t="shared" si="6"/>
        <v>74.50480976638778</v>
      </c>
      <c r="S16" s="210" t="str">
        <f t="shared" si="0"/>
        <v>ALTO</v>
      </c>
      <c r="T16" s="192"/>
    </row>
    <row r="17" spans="1:25" customFormat="1" ht="21" customHeight="1">
      <c r="A17" s="188"/>
      <c r="B17" s="189">
        <f t="shared" si="7"/>
        <v>11</v>
      </c>
      <c r="C17" s="165" t="s">
        <v>192</v>
      </c>
      <c r="D17" s="166" t="s">
        <v>171</v>
      </c>
      <c r="E17" s="166">
        <v>50</v>
      </c>
      <c r="F17" s="186">
        <v>7199.5</v>
      </c>
      <c r="G17" s="186">
        <v>14569</v>
      </c>
      <c r="H17" s="167"/>
      <c r="I17" s="167"/>
      <c r="J17" s="186">
        <v>8925</v>
      </c>
      <c r="K17" s="168"/>
      <c r="L17" s="168"/>
      <c r="M17" s="191">
        <f t="shared" si="1"/>
        <v>3</v>
      </c>
      <c r="N17" s="184">
        <f t="shared" si="2"/>
        <v>10231</v>
      </c>
      <c r="O17" s="184">
        <f t="shared" si="3"/>
        <v>511550</v>
      </c>
      <c r="P17" s="207">
        <f t="shared" si="4"/>
        <v>3147.1612693911247</v>
      </c>
      <c r="Q17" s="208">
        <f t="shared" si="5"/>
        <v>30.761032835413204</v>
      </c>
      <c r="R17" s="209">
        <f t="shared" si="6"/>
        <v>69.238967164586796</v>
      </c>
      <c r="S17" s="210" t="str">
        <f t="shared" si="0"/>
        <v>BAJO</v>
      </c>
      <c r="T17" s="192"/>
    </row>
    <row r="18" spans="1:25" customFormat="1" ht="45" customHeight="1">
      <c r="A18" s="188"/>
      <c r="B18" s="189">
        <f t="shared" si="7"/>
        <v>12</v>
      </c>
      <c r="C18" s="165" t="s">
        <v>227</v>
      </c>
      <c r="D18" s="166" t="s">
        <v>171</v>
      </c>
      <c r="E18" s="166">
        <v>6</v>
      </c>
      <c r="F18" s="186">
        <v>1725500</v>
      </c>
      <c r="G18" s="186">
        <v>1547089</v>
      </c>
      <c r="H18" s="167"/>
      <c r="I18" s="167"/>
      <c r="J18" s="186">
        <v>1166200</v>
      </c>
      <c r="K18" s="168"/>
      <c r="L18" s="168"/>
      <c r="M18" s="191">
        <f t="shared" si="1"/>
        <v>3</v>
      </c>
      <c r="N18" s="184">
        <f t="shared" si="2"/>
        <v>1479596</v>
      </c>
      <c r="O18" s="184">
        <f t="shared" si="3"/>
        <v>8877576</v>
      </c>
      <c r="P18" s="207">
        <f t="shared" si="4"/>
        <v>233267.46814237846</v>
      </c>
      <c r="Q18" s="208">
        <f t="shared" si="5"/>
        <v>15.765619002915557</v>
      </c>
      <c r="R18" s="209">
        <f t="shared" si="6"/>
        <v>84.234380997084443</v>
      </c>
      <c r="S18" s="210" t="str">
        <f t="shared" si="0"/>
        <v>ALTO</v>
      </c>
      <c r="T18" s="192"/>
    </row>
    <row r="19" spans="1:25" customFormat="1">
      <c r="A19" s="188"/>
      <c r="B19" s="189">
        <f t="shared" si="7"/>
        <v>13</v>
      </c>
      <c r="C19" s="165" t="s">
        <v>225</v>
      </c>
      <c r="D19" s="166" t="s">
        <v>171</v>
      </c>
      <c r="E19" s="166">
        <v>24</v>
      </c>
      <c r="F19" s="186">
        <v>8568</v>
      </c>
      <c r="G19" s="186">
        <v>64327</v>
      </c>
      <c r="H19" s="167"/>
      <c r="I19" s="167"/>
      <c r="J19" s="186">
        <v>40460</v>
      </c>
      <c r="K19" s="169"/>
      <c r="L19" s="169"/>
      <c r="M19" s="191">
        <f t="shared" si="1"/>
        <v>3</v>
      </c>
      <c r="N19" s="184">
        <f t="shared" si="2"/>
        <v>37785</v>
      </c>
      <c r="O19" s="184">
        <f t="shared" si="3"/>
        <v>906840</v>
      </c>
      <c r="P19" s="207">
        <f t="shared" si="4"/>
        <v>22841.967793223655</v>
      </c>
      <c r="Q19" s="208">
        <f t="shared" si="5"/>
        <v>60.452475302960586</v>
      </c>
      <c r="R19" s="209">
        <f t="shared" si="6"/>
        <v>39.547524697039414</v>
      </c>
      <c r="S19" s="210" t="str">
        <f t="shared" si="0"/>
        <v>BAJO</v>
      </c>
      <c r="T19" s="192"/>
      <c r="V19" s="193"/>
      <c r="Y19" s="193"/>
    </row>
    <row r="20" spans="1:25" customFormat="1" ht="27.5" customHeight="1">
      <c r="A20" s="194"/>
      <c r="B20" s="189">
        <f t="shared" si="7"/>
        <v>14</v>
      </c>
      <c r="C20" s="165" t="s">
        <v>193</v>
      </c>
      <c r="D20" s="166" t="s">
        <v>171</v>
      </c>
      <c r="E20" s="166">
        <v>6</v>
      </c>
      <c r="F20" s="186">
        <v>339983</v>
      </c>
      <c r="G20" s="186">
        <v>223107</v>
      </c>
      <c r="H20" s="167"/>
      <c r="I20" s="167"/>
      <c r="J20" s="186">
        <v>165410</v>
      </c>
      <c r="K20" s="195"/>
      <c r="L20" s="195"/>
      <c r="M20" s="191">
        <f t="shared" si="1"/>
        <v>3</v>
      </c>
      <c r="N20" s="184">
        <f t="shared" si="2"/>
        <v>242833</v>
      </c>
      <c r="O20" s="184">
        <f t="shared" si="3"/>
        <v>1456998</v>
      </c>
      <c r="P20" s="207">
        <f t="shared" si="4"/>
        <v>72621.297391942047</v>
      </c>
      <c r="Q20" s="208">
        <f t="shared" si="5"/>
        <v>29.90586015572103</v>
      </c>
      <c r="R20" s="209">
        <f t="shared" si="6"/>
        <v>70.09413984427897</v>
      </c>
      <c r="S20" s="210" t="str">
        <f t="shared" si="0"/>
        <v>ALTO</v>
      </c>
      <c r="T20" s="192"/>
      <c r="V20" s="193"/>
      <c r="Y20" s="193"/>
    </row>
    <row r="21" spans="1:25" customFormat="1" ht="36.5" customHeight="1">
      <c r="A21" s="194"/>
      <c r="B21" s="189">
        <f t="shared" si="7"/>
        <v>15</v>
      </c>
      <c r="C21" s="165" t="s">
        <v>194</v>
      </c>
      <c r="D21" s="166" t="s">
        <v>171</v>
      </c>
      <c r="E21" s="166">
        <v>24</v>
      </c>
      <c r="F21" s="186">
        <v>8687</v>
      </c>
      <c r="G21" s="186">
        <v>7506</v>
      </c>
      <c r="H21" s="167"/>
      <c r="I21" s="167"/>
      <c r="J21" s="186">
        <v>9758</v>
      </c>
      <c r="K21" s="195"/>
      <c r="L21" s="195"/>
      <c r="M21" s="191">
        <f t="shared" si="1"/>
        <v>3</v>
      </c>
      <c r="N21" s="184">
        <f t="shared" si="2"/>
        <v>8650</v>
      </c>
      <c r="O21" s="184">
        <f t="shared" si="3"/>
        <v>207600</v>
      </c>
      <c r="P21" s="207">
        <f t="shared" si="4"/>
        <v>919.74066393135456</v>
      </c>
      <c r="Q21" s="208">
        <f t="shared" si="5"/>
        <v>10.632840045449186</v>
      </c>
      <c r="R21" s="209">
        <f t="shared" si="6"/>
        <v>89.367159954550814</v>
      </c>
      <c r="S21" s="210" t="str">
        <f t="shared" si="0"/>
        <v>ALTO</v>
      </c>
      <c r="T21" s="192"/>
      <c r="V21" s="193"/>
      <c r="Y21" s="193"/>
    </row>
    <row r="22" spans="1:25" customFormat="1">
      <c r="A22" s="194"/>
      <c r="B22" s="189">
        <f t="shared" si="7"/>
        <v>16</v>
      </c>
      <c r="C22" s="165" t="s">
        <v>195</v>
      </c>
      <c r="D22" s="166" t="s">
        <v>171</v>
      </c>
      <c r="E22" s="166">
        <v>50</v>
      </c>
      <c r="F22" s="186">
        <v>3451</v>
      </c>
      <c r="G22" s="186">
        <v>1183</v>
      </c>
      <c r="H22" s="167"/>
      <c r="I22" s="167"/>
      <c r="J22" s="186">
        <v>1666</v>
      </c>
      <c r="K22" s="195"/>
      <c r="L22" s="195"/>
      <c r="M22" s="191">
        <f t="shared" si="1"/>
        <v>3</v>
      </c>
      <c r="N22" s="184">
        <f t="shared" si="2"/>
        <v>2100</v>
      </c>
      <c r="O22" s="184">
        <f t="shared" si="3"/>
        <v>105000</v>
      </c>
      <c r="P22" s="207">
        <f t="shared" si="4"/>
        <v>975.43938817335027</v>
      </c>
      <c r="Q22" s="208">
        <f t="shared" si="5"/>
        <v>46.449494674921446</v>
      </c>
      <c r="R22" s="209">
        <f t="shared" si="6"/>
        <v>53.550505325078554</v>
      </c>
      <c r="S22" s="210" t="str">
        <f t="shared" si="0"/>
        <v>BAJO</v>
      </c>
      <c r="T22" s="192"/>
      <c r="V22" s="193"/>
      <c r="Y22" s="193"/>
    </row>
    <row r="23" spans="1:25" customFormat="1">
      <c r="A23" s="194"/>
      <c r="B23" s="189">
        <f t="shared" si="7"/>
        <v>17</v>
      </c>
      <c r="C23" s="165" t="s">
        <v>196</v>
      </c>
      <c r="D23" s="166" t="s">
        <v>171</v>
      </c>
      <c r="E23" s="166">
        <v>800</v>
      </c>
      <c r="F23" s="186">
        <v>535.5</v>
      </c>
      <c r="G23" s="186">
        <v>669</v>
      </c>
      <c r="H23" s="167"/>
      <c r="I23" s="167"/>
      <c r="J23" s="186">
        <v>655</v>
      </c>
      <c r="K23" s="195"/>
      <c r="L23" s="195"/>
      <c r="M23" s="191">
        <f t="shared" si="1"/>
        <v>3</v>
      </c>
      <c r="N23" s="184">
        <f t="shared" si="2"/>
        <v>620</v>
      </c>
      <c r="O23" s="184">
        <f t="shared" si="3"/>
        <v>496000</v>
      </c>
      <c r="P23" s="207">
        <f t="shared" si="4"/>
        <v>59.905944798677723</v>
      </c>
      <c r="Q23" s="208">
        <f t="shared" si="5"/>
        <v>9.6622491610770531</v>
      </c>
      <c r="R23" s="209">
        <f t="shared" si="6"/>
        <v>90.337750838922943</v>
      </c>
      <c r="S23" s="210" t="str">
        <f t="shared" si="0"/>
        <v>ALTO</v>
      </c>
      <c r="T23" s="192"/>
      <c r="V23" s="193"/>
      <c r="Y23" s="193"/>
    </row>
    <row r="24" spans="1:25" customFormat="1" ht="41.5" customHeight="1">
      <c r="A24" s="194"/>
      <c r="B24" s="189">
        <f t="shared" si="7"/>
        <v>18</v>
      </c>
      <c r="C24" s="165" t="s">
        <v>197</v>
      </c>
      <c r="D24" s="166" t="s">
        <v>198</v>
      </c>
      <c r="E24" s="166">
        <v>30</v>
      </c>
      <c r="F24" s="186">
        <v>3689</v>
      </c>
      <c r="G24" s="186">
        <v>3126</v>
      </c>
      <c r="H24" s="167"/>
      <c r="I24" s="167"/>
      <c r="J24" s="186">
        <v>3451</v>
      </c>
      <c r="K24" s="195"/>
      <c r="L24" s="195"/>
      <c r="M24" s="191">
        <f t="shared" si="1"/>
        <v>3</v>
      </c>
      <c r="N24" s="184">
        <f t="shared" si="2"/>
        <v>3422</v>
      </c>
      <c r="O24" s="184">
        <f t="shared" si="3"/>
        <v>102660</v>
      </c>
      <c r="P24" s="207">
        <f t="shared" si="4"/>
        <v>230.75672615693495</v>
      </c>
      <c r="Q24" s="208">
        <f t="shared" si="5"/>
        <v>6.7433292272628567</v>
      </c>
      <c r="R24" s="209">
        <f t="shared" si="6"/>
        <v>93.256670772737138</v>
      </c>
      <c r="S24" s="210" t="str">
        <f t="shared" si="0"/>
        <v>ALTO</v>
      </c>
      <c r="T24" s="192"/>
      <c r="V24" s="193"/>
      <c r="Y24" s="193"/>
    </row>
    <row r="25" spans="1:25" customFormat="1">
      <c r="A25" s="194"/>
      <c r="B25" s="189">
        <f t="shared" si="7"/>
        <v>19</v>
      </c>
      <c r="C25" s="165" t="s">
        <v>199</v>
      </c>
      <c r="D25" s="166" t="s">
        <v>198</v>
      </c>
      <c r="E25" s="166">
        <v>12</v>
      </c>
      <c r="F25" s="186">
        <v>4629.1000000000004</v>
      </c>
      <c r="G25" s="186">
        <v>8957</v>
      </c>
      <c r="H25" s="167"/>
      <c r="I25" s="167"/>
      <c r="J25" s="186">
        <v>6902</v>
      </c>
      <c r="K25" s="195"/>
      <c r="L25" s="195"/>
      <c r="M25" s="191">
        <f t="shared" si="1"/>
        <v>3</v>
      </c>
      <c r="N25" s="184">
        <f t="shared" si="2"/>
        <v>6829</v>
      </c>
      <c r="O25" s="184">
        <f t="shared" si="3"/>
        <v>81948</v>
      </c>
      <c r="P25" s="207">
        <f t="shared" si="4"/>
        <v>1767.6040852584122</v>
      </c>
      <c r="Q25" s="208">
        <f t="shared" si="5"/>
        <v>25.883790968786236</v>
      </c>
      <c r="R25" s="209">
        <f t="shared" si="6"/>
        <v>74.116209031213771</v>
      </c>
      <c r="S25" s="210" t="str">
        <f t="shared" si="0"/>
        <v>ALTO</v>
      </c>
      <c r="T25" s="192"/>
      <c r="V25" s="193"/>
      <c r="Y25" s="193"/>
    </row>
    <row r="26" spans="1:25" customFormat="1">
      <c r="A26" s="194"/>
      <c r="B26" s="189">
        <f t="shared" si="7"/>
        <v>20</v>
      </c>
      <c r="C26" s="165" t="s">
        <v>200</v>
      </c>
      <c r="D26" s="166" t="s">
        <v>171</v>
      </c>
      <c r="E26" s="166">
        <v>40</v>
      </c>
      <c r="F26" s="186">
        <v>17850</v>
      </c>
      <c r="G26" s="186">
        <v>10803</v>
      </c>
      <c r="H26" s="167"/>
      <c r="I26" s="167"/>
      <c r="J26" s="186">
        <v>14875</v>
      </c>
      <c r="K26" s="195"/>
      <c r="L26" s="195"/>
      <c r="M26" s="191">
        <f t="shared" si="1"/>
        <v>3</v>
      </c>
      <c r="N26" s="184">
        <f t="shared" si="2"/>
        <v>14509</v>
      </c>
      <c r="O26" s="184">
        <f t="shared" si="3"/>
        <v>580360</v>
      </c>
      <c r="P26" s="207">
        <f t="shared" si="4"/>
        <v>2888.5216903384257</v>
      </c>
      <c r="Q26" s="208">
        <f t="shared" si="5"/>
        <v>19.908482254727588</v>
      </c>
      <c r="R26" s="209">
        <f t="shared" si="6"/>
        <v>80.091517745272412</v>
      </c>
      <c r="S26" s="210" t="str">
        <f t="shared" si="0"/>
        <v>ALTO</v>
      </c>
      <c r="T26" s="192"/>
      <c r="V26" s="193"/>
      <c r="Y26" s="193"/>
    </row>
    <row r="27" spans="1:25" customFormat="1">
      <c r="A27" s="194"/>
      <c r="B27" s="189">
        <f t="shared" si="7"/>
        <v>21</v>
      </c>
      <c r="C27" s="165" t="s">
        <v>201</v>
      </c>
      <c r="D27" s="166" t="s">
        <v>171</v>
      </c>
      <c r="E27" s="166">
        <v>3</v>
      </c>
      <c r="F27" s="186">
        <v>278460</v>
      </c>
      <c r="G27" s="186">
        <v>164412</v>
      </c>
      <c r="H27" s="167"/>
      <c r="I27" s="167"/>
      <c r="J27" s="186">
        <v>105910</v>
      </c>
      <c r="K27" s="195"/>
      <c r="L27" s="195"/>
      <c r="M27" s="191">
        <f t="shared" si="1"/>
        <v>3</v>
      </c>
      <c r="N27" s="184">
        <f t="shared" si="2"/>
        <v>182927</v>
      </c>
      <c r="O27" s="184">
        <f t="shared" si="3"/>
        <v>548781</v>
      </c>
      <c r="P27" s="207">
        <f t="shared" si="4"/>
        <v>71649.558274206327</v>
      </c>
      <c r="Q27" s="208">
        <f t="shared" si="5"/>
        <v>39.168388632736736</v>
      </c>
      <c r="R27" s="209">
        <f t="shared" si="6"/>
        <v>60.831611367263264</v>
      </c>
      <c r="S27" s="210" t="str">
        <f t="shared" si="0"/>
        <v>BAJO</v>
      </c>
      <c r="T27" s="192"/>
      <c r="V27" s="193"/>
      <c r="Y27" s="193"/>
    </row>
    <row r="28" spans="1:25" customFormat="1">
      <c r="A28" s="194"/>
      <c r="B28" s="189">
        <f t="shared" si="7"/>
        <v>22</v>
      </c>
      <c r="C28" s="170" t="s">
        <v>202</v>
      </c>
      <c r="D28" s="166" t="s">
        <v>171</v>
      </c>
      <c r="E28" s="166">
        <v>100</v>
      </c>
      <c r="F28" s="186">
        <v>540</v>
      </c>
      <c r="G28" s="186">
        <v>821</v>
      </c>
      <c r="H28" s="167"/>
      <c r="I28" s="167"/>
      <c r="J28" s="186">
        <v>500</v>
      </c>
      <c r="K28" s="195"/>
      <c r="L28" s="195"/>
      <c r="M28" s="191">
        <f t="shared" si="1"/>
        <v>3</v>
      </c>
      <c r="N28" s="184">
        <f t="shared" si="2"/>
        <v>620</v>
      </c>
      <c r="O28" s="184">
        <f t="shared" si="3"/>
        <v>62000</v>
      </c>
      <c r="P28" s="207">
        <f t="shared" si="4"/>
        <v>142.82934650211848</v>
      </c>
      <c r="Q28" s="208">
        <f t="shared" si="5"/>
        <v>23.03699137130943</v>
      </c>
      <c r="R28" s="209">
        <f t="shared" si="6"/>
        <v>76.963008628690574</v>
      </c>
      <c r="S28" s="210" t="str">
        <f t="shared" si="0"/>
        <v>ALTO</v>
      </c>
      <c r="T28" s="192"/>
      <c r="V28" s="193"/>
      <c r="Y28" s="193"/>
    </row>
    <row r="29" spans="1:25" customFormat="1" ht="37">
      <c r="A29" s="194"/>
      <c r="B29" s="189">
        <f t="shared" si="7"/>
        <v>23</v>
      </c>
      <c r="C29" s="165" t="s">
        <v>226</v>
      </c>
      <c r="D29" s="166" t="s">
        <v>138</v>
      </c>
      <c r="E29" s="166">
        <v>100</v>
      </c>
      <c r="F29" s="186">
        <v>1785</v>
      </c>
      <c r="G29" s="186">
        <v>7817</v>
      </c>
      <c r="H29" s="167"/>
      <c r="I29" s="167"/>
      <c r="J29" s="186">
        <v>1904</v>
      </c>
      <c r="K29" s="195"/>
      <c r="L29" s="195"/>
      <c r="M29" s="191">
        <f t="shared" si="1"/>
        <v>3</v>
      </c>
      <c r="N29" s="184">
        <f t="shared" si="2"/>
        <v>3835</v>
      </c>
      <c r="O29" s="184">
        <f t="shared" si="3"/>
        <v>383500</v>
      </c>
      <c r="P29" s="207">
        <f t="shared" si="4"/>
        <v>2815.8826127679558</v>
      </c>
      <c r="Q29" s="208">
        <f t="shared" si="5"/>
        <v>73.425882992645512</v>
      </c>
      <c r="R29" s="209">
        <f t="shared" si="6"/>
        <v>26.574117007354488</v>
      </c>
      <c r="S29" s="210" t="str">
        <f t="shared" si="0"/>
        <v>BAJO</v>
      </c>
      <c r="T29" s="192"/>
      <c r="V29" s="193"/>
      <c r="Y29" s="193"/>
    </row>
    <row r="30" spans="1:25" customFormat="1">
      <c r="A30" s="194"/>
      <c r="B30" s="189">
        <f t="shared" si="7"/>
        <v>24</v>
      </c>
      <c r="C30" s="165" t="s">
        <v>203</v>
      </c>
      <c r="D30" s="166" t="s">
        <v>171</v>
      </c>
      <c r="E30" s="166">
        <v>24</v>
      </c>
      <c r="F30" s="186">
        <v>1666</v>
      </c>
      <c r="G30" s="186">
        <v>1274</v>
      </c>
      <c r="H30" s="167"/>
      <c r="I30" s="167"/>
      <c r="J30" s="186">
        <v>1904</v>
      </c>
      <c r="K30" s="195"/>
      <c r="L30" s="195"/>
      <c r="M30" s="191">
        <f t="shared" si="1"/>
        <v>3</v>
      </c>
      <c r="N30" s="184">
        <f t="shared" si="2"/>
        <v>1615</v>
      </c>
      <c r="O30" s="184">
        <f t="shared" si="3"/>
        <v>38760</v>
      </c>
      <c r="P30" s="207">
        <f t="shared" si="4"/>
        <v>259.74517426808058</v>
      </c>
      <c r="Q30" s="208">
        <f t="shared" si="5"/>
        <v>16.083292524339356</v>
      </c>
      <c r="R30" s="209">
        <f t="shared" si="6"/>
        <v>83.916707475660644</v>
      </c>
      <c r="S30" s="210" t="str">
        <f t="shared" si="0"/>
        <v>ALTO</v>
      </c>
      <c r="T30" s="192"/>
      <c r="V30" s="193"/>
      <c r="Y30" s="193"/>
    </row>
    <row r="31" spans="1:25" customFormat="1">
      <c r="A31" s="194"/>
      <c r="B31" s="189">
        <f t="shared" si="7"/>
        <v>25</v>
      </c>
      <c r="C31" s="165" t="s">
        <v>204</v>
      </c>
      <c r="D31" s="166" t="s">
        <v>171</v>
      </c>
      <c r="E31" s="166">
        <v>24</v>
      </c>
      <c r="F31" s="186">
        <v>2142</v>
      </c>
      <c r="G31" s="186">
        <v>4071</v>
      </c>
      <c r="H31" s="167"/>
      <c r="I31" s="167"/>
      <c r="J31" s="186">
        <v>3332</v>
      </c>
      <c r="K31" s="195"/>
      <c r="L31" s="195"/>
      <c r="M31" s="191">
        <f t="shared" si="1"/>
        <v>3</v>
      </c>
      <c r="N31" s="184">
        <f t="shared" si="2"/>
        <v>3182</v>
      </c>
      <c r="O31" s="184">
        <f t="shared" si="3"/>
        <v>76368</v>
      </c>
      <c r="P31" s="207">
        <f t="shared" si="4"/>
        <v>794.65310391110631</v>
      </c>
      <c r="Q31" s="208">
        <f t="shared" si="5"/>
        <v>24.973384786646964</v>
      </c>
      <c r="R31" s="209">
        <f t="shared" si="6"/>
        <v>75.02661521335304</v>
      </c>
      <c r="S31" s="210" t="str">
        <f t="shared" si="0"/>
        <v>ALTO</v>
      </c>
      <c r="T31" s="192"/>
      <c r="V31" s="193"/>
      <c r="Y31" s="193"/>
    </row>
    <row r="32" spans="1:25" customFormat="1">
      <c r="A32" s="194"/>
      <c r="B32" s="189">
        <f t="shared" si="7"/>
        <v>26</v>
      </c>
      <c r="C32" s="165" t="s">
        <v>205</v>
      </c>
      <c r="D32" s="166" t="s">
        <v>171</v>
      </c>
      <c r="E32" s="166">
        <v>100</v>
      </c>
      <c r="F32" s="186">
        <v>2261</v>
      </c>
      <c r="G32" s="186">
        <v>1405</v>
      </c>
      <c r="H32" s="167"/>
      <c r="I32" s="167"/>
      <c r="J32" s="186">
        <v>2142</v>
      </c>
      <c r="K32" s="195"/>
      <c r="L32" s="195"/>
      <c r="M32" s="191">
        <f t="shared" si="1"/>
        <v>3</v>
      </c>
      <c r="N32" s="184">
        <f t="shared" si="2"/>
        <v>1936</v>
      </c>
      <c r="O32" s="184">
        <f t="shared" si="3"/>
        <v>193600</v>
      </c>
      <c r="P32" s="207">
        <f t="shared" si="4"/>
        <v>378.60357455611359</v>
      </c>
      <c r="Q32" s="208">
        <f t="shared" si="5"/>
        <v>19.555969760129834</v>
      </c>
      <c r="R32" s="209">
        <f t="shared" si="6"/>
        <v>80.444030239870159</v>
      </c>
      <c r="S32" s="210" t="str">
        <f t="shared" si="0"/>
        <v>ALTO</v>
      </c>
      <c r="T32" s="192"/>
      <c r="V32" s="193"/>
      <c r="Y32" s="193"/>
    </row>
    <row r="33" spans="1:25" customFormat="1">
      <c r="A33" s="194"/>
      <c r="B33" s="189">
        <f t="shared" si="7"/>
        <v>27</v>
      </c>
      <c r="C33" s="165" t="s">
        <v>206</v>
      </c>
      <c r="D33" s="166" t="s">
        <v>171</v>
      </c>
      <c r="E33" s="166">
        <v>100</v>
      </c>
      <c r="F33" s="186">
        <v>2261</v>
      </c>
      <c r="G33" s="186">
        <v>1430</v>
      </c>
      <c r="H33" s="167"/>
      <c r="I33" s="167"/>
      <c r="J33" s="186">
        <v>2142</v>
      </c>
      <c r="K33" s="195"/>
      <c r="L33" s="195"/>
      <c r="M33" s="191">
        <f t="shared" si="1"/>
        <v>3</v>
      </c>
      <c r="N33" s="184">
        <f t="shared" si="2"/>
        <v>1944</v>
      </c>
      <c r="O33" s="184">
        <f t="shared" si="3"/>
        <v>194400</v>
      </c>
      <c r="P33" s="207">
        <f t="shared" si="4"/>
        <v>366.91900408067659</v>
      </c>
      <c r="Q33" s="208">
        <f t="shared" si="5"/>
        <v>18.874434366289947</v>
      </c>
      <c r="R33" s="209">
        <f t="shared" si="6"/>
        <v>81.125565633710053</v>
      </c>
      <c r="S33" s="210" t="str">
        <f t="shared" si="0"/>
        <v>ALTO</v>
      </c>
      <c r="T33" s="192"/>
      <c r="V33" s="193"/>
      <c r="Y33" s="193"/>
    </row>
    <row r="34" spans="1:25" customFormat="1">
      <c r="A34" s="194"/>
      <c r="B34" s="189">
        <f t="shared" si="7"/>
        <v>28</v>
      </c>
      <c r="C34" s="165" t="s">
        <v>207</v>
      </c>
      <c r="D34" s="166" t="s">
        <v>171</v>
      </c>
      <c r="E34" s="166">
        <v>100</v>
      </c>
      <c r="F34" s="186">
        <v>2261</v>
      </c>
      <c r="G34" s="186">
        <v>1430</v>
      </c>
      <c r="H34" s="167"/>
      <c r="I34" s="167"/>
      <c r="J34" s="186">
        <v>2142</v>
      </c>
      <c r="K34" s="195"/>
      <c r="L34" s="195"/>
      <c r="M34" s="191">
        <f t="shared" si="1"/>
        <v>3</v>
      </c>
      <c r="N34" s="184">
        <f t="shared" si="2"/>
        <v>1944</v>
      </c>
      <c r="O34" s="184">
        <f t="shared" si="3"/>
        <v>194400</v>
      </c>
      <c r="P34" s="207">
        <f t="shared" si="4"/>
        <v>366.91900408067659</v>
      </c>
      <c r="Q34" s="208">
        <f t="shared" si="5"/>
        <v>18.874434366289947</v>
      </c>
      <c r="R34" s="209">
        <f t="shared" si="6"/>
        <v>81.125565633710053</v>
      </c>
      <c r="S34" s="210" t="str">
        <f t="shared" si="0"/>
        <v>ALTO</v>
      </c>
      <c r="T34" s="192"/>
      <c r="V34" s="193"/>
      <c r="Y34" s="193"/>
    </row>
    <row r="35" spans="1:25" customFormat="1" ht="42.5" customHeight="1">
      <c r="A35" s="194"/>
      <c r="B35" s="189">
        <f t="shared" si="7"/>
        <v>29</v>
      </c>
      <c r="C35" s="165" t="s">
        <v>208</v>
      </c>
      <c r="D35" s="166" t="s">
        <v>171</v>
      </c>
      <c r="E35" s="166">
        <v>24</v>
      </c>
      <c r="F35" s="186">
        <v>32725</v>
      </c>
      <c r="G35" s="186">
        <v>39239</v>
      </c>
      <c r="H35" s="167"/>
      <c r="I35" s="167"/>
      <c r="J35" s="186">
        <v>22610</v>
      </c>
      <c r="K35" s="195"/>
      <c r="L35" s="195"/>
      <c r="M35" s="191">
        <f t="shared" si="1"/>
        <v>3</v>
      </c>
      <c r="N35" s="184">
        <f t="shared" si="2"/>
        <v>31525</v>
      </c>
      <c r="O35" s="184">
        <f t="shared" si="3"/>
        <v>756600</v>
      </c>
      <c r="P35" s="207">
        <f t="shared" si="4"/>
        <v>6841.6133737266646</v>
      </c>
      <c r="Q35" s="208">
        <f t="shared" si="5"/>
        <v>21.70218358041765</v>
      </c>
      <c r="R35" s="209">
        <f t="shared" si="6"/>
        <v>78.297816419582347</v>
      </c>
      <c r="S35" s="210" t="str">
        <f t="shared" si="0"/>
        <v>ALTO</v>
      </c>
      <c r="T35" s="192"/>
      <c r="V35" s="193"/>
      <c r="Y35" s="193"/>
    </row>
    <row r="36" spans="1:25" customFormat="1" ht="44.5" customHeight="1">
      <c r="A36" s="194"/>
      <c r="B36" s="189">
        <f t="shared" si="7"/>
        <v>30</v>
      </c>
      <c r="C36" s="165" t="s">
        <v>209</v>
      </c>
      <c r="D36" s="166" t="s">
        <v>138</v>
      </c>
      <c r="E36" s="166">
        <v>50</v>
      </c>
      <c r="F36" s="186">
        <v>2975</v>
      </c>
      <c r="G36" s="186">
        <v>3077</v>
      </c>
      <c r="H36" s="167"/>
      <c r="I36" s="167"/>
      <c r="J36" s="186">
        <v>14280</v>
      </c>
      <c r="K36" s="195"/>
      <c r="L36" s="195"/>
      <c r="M36" s="191">
        <f t="shared" si="1"/>
        <v>3</v>
      </c>
      <c r="N36" s="184">
        <f t="shared" si="2"/>
        <v>6777</v>
      </c>
      <c r="O36" s="184">
        <f t="shared" si="3"/>
        <v>338850</v>
      </c>
      <c r="P36" s="207">
        <f t="shared" si="4"/>
        <v>5305.3498994463653</v>
      </c>
      <c r="Q36" s="208">
        <f t="shared" si="5"/>
        <v>78.284637737145715</v>
      </c>
      <c r="R36" s="209">
        <f t="shared" si="6"/>
        <v>21.715362262854285</v>
      </c>
      <c r="S36" s="210" t="str">
        <f t="shared" si="0"/>
        <v>BAJO</v>
      </c>
      <c r="T36" s="192"/>
      <c r="V36" s="193"/>
      <c r="Y36" s="193"/>
    </row>
    <row r="37" spans="1:25" customFormat="1">
      <c r="A37" s="194"/>
      <c r="B37" s="189">
        <f t="shared" si="7"/>
        <v>31</v>
      </c>
      <c r="C37" s="165" t="s">
        <v>210</v>
      </c>
      <c r="D37" s="166" t="s">
        <v>171</v>
      </c>
      <c r="E37" s="166">
        <v>60</v>
      </c>
      <c r="F37" s="186">
        <v>5759.6</v>
      </c>
      <c r="G37" s="186">
        <v>5338</v>
      </c>
      <c r="H37" s="167"/>
      <c r="I37" s="167"/>
      <c r="J37" s="186">
        <v>4284</v>
      </c>
      <c r="K37" s="195"/>
      <c r="L37" s="195"/>
      <c r="M37" s="191">
        <f t="shared" si="1"/>
        <v>3</v>
      </c>
      <c r="N37" s="184">
        <f t="shared" si="2"/>
        <v>5127</v>
      </c>
      <c r="O37" s="184">
        <f t="shared" si="3"/>
        <v>307620</v>
      </c>
      <c r="P37" s="207">
        <f t="shared" si="4"/>
        <v>620.57839687396893</v>
      </c>
      <c r="Q37" s="208">
        <f t="shared" si="5"/>
        <v>12.104123207996272</v>
      </c>
      <c r="R37" s="209">
        <f t="shared" si="6"/>
        <v>87.895876792003733</v>
      </c>
      <c r="S37" s="210" t="str">
        <f t="shared" si="0"/>
        <v>ALTO</v>
      </c>
      <c r="T37" s="192"/>
      <c r="V37" s="193"/>
      <c r="Y37" s="193"/>
    </row>
    <row r="38" spans="1:25" customFormat="1">
      <c r="A38" s="194"/>
      <c r="B38" s="189">
        <f t="shared" si="7"/>
        <v>32</v>
      </c>
      <c r="C38" s="165" t="s">
        <v>211</v>
      </c>
      <c r="D38" s="166" t="s">
        <v>171</v>
      </c>
      <c r="E38" s="166">
        <v>60</v>
      </c>
      <c r="F38" s="186">
        <v>5759.6</v>
      </c>
      <c r="G38" s="186">
        <v>5273</v>
      </c>
      <c r="H38" s="167"/>
      <c r="I38" s="167"/>
      <c r="J38" s="186">
        <v>4284</v>
      </c>
      <c r="K38" s="195"/>
      <c r="L38" s="195"/>
      <c r="M38" s="191">
        <f t="shared" si="1"/>
        <v>3</v>
      </c>
      <c r="N38" s="184">
        <f t="shared" si="2"/>
        <v>5106</v>
      </c>
      <c r="O38" s="184">
        <f t="shared" si="3"/>
        <v>306360</v>
      </c>
      <c r="P38" s="207">
        <f t="shared" si="4"/>
        <v>613.93954823654053</v>
      </c>
      <c r="Q38" s="208">
        <f t="shared" si="5"/>
        <v>12.023884610978076</v>
      </c>
      <c r="R38" s="209">
        <f t="shared" si="6"/>
        <v>87.976115389021928</v>
      </c>
      <c r="S38" s="210" t="str">
        <f t="shared" si="0"/>
        <v>ALTO</v>
      </c>
      <c r="T38" s="192"/>
      <c r="V38" s="193"/>
      <c r="Y38" s="193"/>
    </row>
    <row r="39" spans="1:25" customFormat="1" ht="58.5" customHeight="1">
      <c r="A39" s="194"/>
      <c r="B39" s="189">
        <f t="shared" si="7"/>
        <v>33</v>
      </c>
      <c r="C39" s="165" t="s">
        <v>212</v>
      </c>
      <c r="D39" s="166" t="s">
        <v>171</v>
      </c>
      <c r="E39" s="166">
        <v>100</v>
      </c>
      <c r="F39" s="186">
        <v>1951.6</v>
      </c>
      <c r="G39" s="186">
        <v>1365</v>
      </c>
      <c r="H39" s="167"/>
      <c r="I39" s="167"/>
      <c r="J39" s="186">
        <v>1309</v>
      </c>
      <c r="K39" s="195"/>
      <c r="L39" s="195"/>
      <c r="M39" s="191">
        <f t="shared" si="1"/>
        <v>3</v>
      </c>
      <c r="N39" s="184">
        <f t="shared" si="2"/>
        <v>1542</v>
      </c>
      <c r="O39" s="184">
        <f t="shared" si="3"/>
        <v>154200</v>
      </c>
      <c r="P39" s="207">
        <f t="shared" si="4"/>
        <v>290.62582281842833</v>
      </c>
      <c r="Q39" s="208">
        <f t="shared" si="5"/>
        <v>18.847329625060201</v>
      </c>
      <c r="R39" s="209">
        <f t="shared" si="6"/>
        <v>81.152670374939802</v>
      </c>
      <c r="S39" s="210" t="str">
        <f t="shared" si="0"/>
        <v>ALTO</v>
      </c>
      <c r="T39" s="192"/>
      <c r="V39" s="193"/>
      <c r="Y39" s="193"/>
    </row>
    <row r="40" spans="1:25" customFormat="1">
      <c r="A40" s="194"/>
      <c r="B40" s="189">
        <f t="shared" si="7"/>
        <v>34</v>
      </c>
      <c r="C40" s="165" t="s">
        <v>213</v>
      </c>
      <c r="D40" s="166" t="s">
        <v>171</v>
      </c>
      <c r="E40" s="166">
        <v>50</v>
      </c>
      <c r="F40" s="186">
        <v>22967</v>
      </c>
      <c r="G40" s="186">
        <v>19617</v>
      </c>
      <c r="H40" s="167"/>
      <c r="I40" s="167"/>
      <c r="J40" s="186">
        <v>16660</v>
      </c>
      <c r="K40" s="195"/>
      <c r="L40" s="195"/>
      <c r="M40" s="191">
        <f t="shared" si="1"/>
        <v>3</v>
      </c>
      <c r="N40" s="184">
        <f t="shared" si="2"/>
        <v>19748</v>
      </c>
      <c r="O40" s="184">
        <f t="shared" si="3"/>
        <v>987400</v>
      </c>
      <c r="P40" s="207">
        <f t="shared" si="4"/>
        <v>2576.4876608799559</v>
      </c>
      <c r="Q40" s="208">
        <f t="shared" si="5"/>
        <v>13.046828341502714</v>
      </c>
      <c r="R40" s="209">
        <f t="shared" si="6"/>
        <v>86.953171658497283</v>
      </c>
      <c r="S40" s="210" t="str">
        <f t="shared" si="0"/>
        <v>ALTO</v>
      </c>
      <c r="T40" s="192"/>
      <c r="V40" s="193"/>
      <c r="Y40" s="193"/>
    </row>
    <row r="41" spans="1:25" customFormat="1">
      <c r="A41" s="194"/>
      <c r="B41" s="189">
        <f t="shared" si="7"/>
        <v>35</v>
      </c>
      <c r="C41" s="165" t="s">
        <v>214</v>
      </c>
      <c r="D41" s="166" t="s">
        <v>171</v>
      </c>
      <c r="E41" s="166">
        <v>250</v>
      </c>
      <c r="F41" s="186">
        <v>28441</v>
      </c>
      <c r="G41" s="186">
        <v>31385</v>
      </c>
      <c r="H41" s="167"/>
      <c r="I41" s="167"/>
      <c r="J41" s="186">
        <v>22610</v>
      </c>
      <c r="K41" s="195"/>
      <c r="L41" s="195"/>
      <c r="M41" s="191">
        <f t="shared" si="1"/>
        <v>3</v>
      </c>
      <c r="N41" s="184">
        <f t="shared" si="2"/>
        <v>27479</v>
      </c>
      <c r="O41" s="184">
        <f t="shared" si="3"/>
        <v>6869750</v>
      </c>
      <c r="P41" s="207">
        <f t="shared" si="4"/>
        <v>3646.4339048201905</v>
      </c>
      <c r="Q41" s="208">
        <f t="shared" si="5"/>
        <v>13.269893026748392</v>
      </c>
      <c r="R41" s="209">
        <f t="shared" si="6"/>
        <v>86.730106973251608</v>
      </c>
      <c r="S41" s="210" t="str">
        <f t="shared" si="0"/>
        <v>ALTO</v>
      </c>
      <c r="T41" s="192"/>
      <c r="V41" s="193"/>
      <c r="Y41" s="193"/>
    </row>
    <row r="42" spans="1:25" customFormat="1">
      <c r="A42" s="194"/>
      <c r="B42" s="189">
        <f t="shared" si="7"/>
        <v>36</v>
      </c>
      <c r="C42" s="165" t="s">
        <v>215</v>
      </c>
      <c r="D42" s="166" t="s">
        <v>171</v>
      </c>
      <c r="E42" s="166">
        <v>10</v>
      </c>
      <c r="F42" s="186">
        <v>2499</v>
      </c>
      <c r="G42" s="186">
        <v>2934</v>
      </c>
      <c r="H42" s="167"/>
      <c r="I42" s="167"/>
      <c r="J42" s="186">
        <v>1785</v>
      </c>
      <c r="K42" s="195"/>
      <c r="L42" s="195"/>
      <c r="M42" s="191">
        <f t="shared" si="1"/>
        <v>3</v>
      </c>
      <c r="N42" s="184">
        <f t="shared" si="2"/>
        <v>2406</v>
      </c>
      <c r="O42" s="184">
        <f t="shared" si="3"/>
        <v>24060</v>
      </c>
      <c r="P42" s="207">
        <f t="shared" si="4"/>
        <v>473.66443818382652</v>
      </c>
      <c r="Q42" s="208">
        <f t="shared" si="5"/>
        <v>19.686801254523132</v>
      </c>
      <c r="R42" s="209">
        <f t="shared" si="6"/>
        <v>80.313198745476868</v>
      </c>
      <c r="S42" s="210" t="str">
        <f t="shared" si="0"/>
        <v>ALTO</v>
      </c>
      <c r="T42" s="192"/>
      <c r="V42" s="193"/>
      <c r="Y42" s="193"/>
    </row>
    <row r="43" spans="1:25" customFormat="1">
      <c r="A43" s="194"/>
      <c r="B43" s="189">
        <f t="shared" si="7"/>
        <v>37</v>
      </c>
      <c r="C43" s="165" t="s">
        <v>216</v>
      </c>
      <c r="D43" s="166" t="s">
        <v>171</v>
      </c>
      <c r="E43" s="166">
        <v>12</v>
      </c>
      <c r="F43" s="186">
        <v>8925</v>
      </c>
      <c r="G43" s="186">
        <v>9233</v>
      </c>
      <c r="H43" s="167"/>
      <c r="I43" s="167"/>
      <c r="J43" s="186">
        <v>6188</v>
      </c>
      <c r="K43" s="195"/>
      <c r="L43" s="195"/>
      <c r="M43" s="191">
        <f t="shared" si="1"/>
        <v>3</v>
      </c>
      <c r="N43" s="184">
        <f t="shared" si="2"/>
        <v>8115</v>
      </c>
      <c r="O43" s="184">
        <f t="shared" si="3"/>
        <v>97380</v>
      </c>
      <c r="P43" s="207">
        <f t="shared" si="4"/>
        <v>1368.6188496274467</v>
      </c>
      <c r="Q43" s="208">
        <f t="shared" si="5"/>
        <v>16.865296976308645</v>
      </c>
      <c r="R43" s="209">
        <f t="shared" si="6"/>
        <v>83.134703023691358</v>
      </c>
      <c r="S43" s="210" t="str">
        <f t="shared" si="0"/>
        <v>ALTO</v>
      </c>
      <c r="T43" s="192"/>
      <c r="V43" s="193"/>
      <c r="Y43" s="193"/>
    </row>
    <row r="44" spans="1:25" customFormat="1">
      <c r="A44" s="194"/>
      <c r="B44" s="189">
        <f t="shared" si="7"/>
        <v>38</v>
      </c>
      <c r="C44" s="165" t="s">
        <v>217</v>
      </c>
      <c r="D44" s="166" t="s">
        <v>171</v>
      </c>
      <c r="E44" s="166">
        <v>5</v>
      </c>
      <c r="F44" s="186">
        <v>173502</v>
      </c>
      <c r="G44" s="186">
        <v>213990</v>
      </c>
      <c r="H44" s="167"/>
      <c r="I44" s="167"/>
      <c r="J44" s="186">
        <v>208250</v>
      </c>
      <c r="K44" s="195"/>
      <c r="L44" s="195"/>
      <c r="M44" s="191">
        <f t="shared" si="1"/>
        <v>3</v>
      </c>
      <c r="N44" s="184">
        <f t="shared" si="2"/>
        <v>198581</v>
      </c>
      <c r="O44" s="184">
        <f t="shared" si="3"/>
        <v>992905</v>
      </c>
      <c r="P44" s="207">
        <f t="shared" si="4"/>
        <v>17887.454473891903</v>
      </c>
      <c r="Q44" s="208">
        <f t="shared" si="5"/>
        <v>9.0076364173268857</v>
      </c>
      <c r="R44" s="209">
        <f t="shared" si="6"/>
        <v>90.992363582673107</v>
      </c>
      <c r="S44" s="210" t="str">
        <f t="shared" si="0"/>
        <v>ALTO</v>
      </c>
      <c r="T44" s="192"/>
      <c r="V44" s="193"/>
      <c r="Y44" s="193"/>
    </row>
    <row r="45" spans="1:25" customFormat="1" ht="53.5" customHeight="1">
      <c r="A45" s="194"/>
      <c r="B45" s="189">
        <f t="shared" si="7"/>
        <v>39</v>
      </c>
      <c r="C45" s="165" t="s">
        <v>218</v>
      </c>
      <c r="D45" s="166" t="s">
        <v>171</v>
      </c>
      <c r="E45" s="166">
        <v>20</v>
      </c>
      <c r="F45" s="186">
        <v>952</v>
      </c>
      <c r="G45" s="186">
        <v>350</v>
      </c>
      <c r="H45" s="167"/>
      <c r="I45" s="167"/>
      <c r="J45" s="186">
        <v>476</v>
      </c>
      <c r="K45" s="195"/>
      <c r="L45" s="195"/>
      <c r="M45" s="191">
        <f t="shared" si="1"/>
        <v>3</v>
      </c>
      <c r="N45" s="184">
        <f t="shared" si="2"/>
        <v>593</v>
      </c>
      <c r="O45" s="184">
        <f t="shared" si="3"/>
        <v>11860</v>
      </c>
      <c r="P45" s="207">
        <f t="shared" si="4"/>
        <v>259.24162903018146</v>
      </c>
      <c r="Q45" s="208">
        <f t="shared" si="5"/>
        <v>43.716969482324025</v>
      </c>
      <c r="R45" s="209">
        <f t="shared" si="6"/>
        <v>56.283030517675975</v>
      </c>
      <c r="S45" s="210" t="str">
        <f t="shared" si="0"/>
        <v>BAJO</v>
      </c>
      <c r="T45" s="192"/>
      <c r="V45" s="193"/>
      <c r="Y45" s="193"/>
    </row>
    <row r="46" spans="1:25" customFormat="1" ht="40" customHeight="1">
      <c r="A46" s="194"/>
      <c r="B46" s="189">
        <f t="shared" si="7"/>
        <v>40</v>
      </c>
      <c r="C46" s="165" t="s">
        <v>219</v>
      </c>
      <c r="D46" s="166" t="s">
        <v>171</v>
      </c>
      <c r="E46" s="166">
        <v>15</v>
      </c>
      <c r="F46" s="186">
        <v>5117</v>
      </c>
      <c r="G46" s="186">
        <v>11074</v>
      </c>
      <c r="H46" s="167"/>
      <c r="I46" s="167"/>
      <c r="J46" s="186">
        <v>4760</v>
      </c>
      <c r="K46" s="195"/>
      <c r="L46" s="195"/>
      <c r="M46" s="191">
        <f t="shared" si="1"/>
        <v>3</v>
      </c>
      <c r="N46" s="184">
        <f t="shared" si="2"/>
        <v>6984</v>
      </c>
      <c r="O46" s="184">
        <f t="shared" si="3"/>
        <v>104760</v>
      </c>
      <c r="P46" s="207">
        <f t="shared" si="4"/>
        <v>2895.972183721537</v>
      </c>
      <c r="Q46" s="208">
        <f t="shared" si="5"/>
        <v>41.46581019074366</v>
      </c>
      <c r="R46" s="209">
        <f t="shared" si="6"/>
        <v>58.53418980925634</v>
      </c>
      <c r="S46" s="210" t="str">
        <f t="shared" si="0"/>
        <v>BAJO</v>
      </c>
      <c r="T46" s="192"/>
      <c r="V46" s="193"/>
      <c r="Y46" s="193"/>
    </row>
    <row r="47" spans="1:25" customFormat="1" ht="40.5" customHeight="1">
      <c r="A47" s="194"/>
      <c r="B47" s="189">
        <f t="shared" si="7"/>
        <v>41</v>
      </c>
      <c r="C47" s="165" t="s">
        <v>228</v>
      </c>
      <c r="D47" s="165" t="s">
        <v>171</v>
      </c>
      <c r="E47" s="166">
        <v>15</v>
      </c>
      <c r="F47" s="186">
        <v>4462500</v>
      </c>
      <c r="G47" s="186">
        <v>1847475</v>
      </c>
      <c r="H47" s="186">
        <v>1119790</v>
      </c>
      <c r="I47" s="186">
        <v>962900</v>
      </c>
      <c r="J47" s="186">
        <v>1188810</v>
      </c>
      <c r="K47" s="195"/>
      <c r="L47" s="195"/>
      <c r="M47" s="191">
        <f t="shared" si="1"/>
        <v>5</v>
      </c>
      <c r="N47" s="184">
        <f t="shared" si="2"/>
        <v>1916295</v>
      </c>
      <c r="O47" s="184">
        <f>+N47*E47</f>
        <v>28744425</v>
      </c>
      <c r="P47" s="207">
        <f t="shared" si="4"/>
        <v>1308473.3669968219</v>
      </c>
      <c r="Q47" s="208">
        <f t="shared" si="5"/>
        <v>68.281416326652305</v>
      </c>
      <c r="R47" s="209">
        <f t="shared" si="6"/>
        <v>31.718583673347695</v>
      </c>
      <c r="S47" s="210" t="str">
        <f t="shared" si="0"/>
        <v>BAJO</v>
      </c>
      <c r="T47" s="192"/>
      <c r="V47" s="193"/>
      <c r="Y47" s="193"/>
    </row>
    <row r="48" spans="1:25" customFormat="1" ht="37.5" hidden="1" customHeight="1">
      <c r="A48" s="194"/>
      <c r="B48" s="202"/>
      <c r="C48" s="220"/>
      <c r="D48" s="220"/>
      <c r="E48" s="220"/>
      <c r="F48" s="221"/>
      <c r="G48" s="167"/>
      <c r="H48" s="48"/>
      <c r="I48" s="48"/>
      <c r="J48" s="186"/>
      <c r="K48" s="195"/>
      <c r="L48" s="195"/>
      <c r="M48" s="191"/>
      <c r="N48" s="184" t="e">
        <f>ROUND(AVERAGE(F48:L48),0)</f>
        <v>#DIV/0!</v>
      </c>
      <c r="O48" s="184" t="e">
        <f>+N48*E47</f>
        <v>#DIV/0!</v>
      </c>
      <c r="P48" s="207" t="e">
        <f t="shared" si="4"/>
        <v>#DIV/0!</v>
      </c>
      <c r="Q48" s="208" t="e">
        <f t="shared" si="5"/>
        <v>#DIV/0!</v>
      </c>
      <c r="R48" s="209" t="e">
        <f t="shared" si="6"/>
        <v>#DIV/0!</v>
      </c>
      <c r="S48" s="210" t="e">
        <f t="shared" si="0"/>
        <v>#DIV/0!</v>
      </c>
      <c r="T48" s="192"/>
      <c r="V48" s="193"/>
      <c r="Y48" s="193"/>
    </row>
    <row r="49" spans="1:25" customFormat="1" ht="21" hidden="1" customHeight="1">
      <c r="A49" s="194"/>
      <c r="B49" s="171"/>
      <c r="C49" s="171"/>
      <c r="D49" s="172"/>
      <c r="E49" s="196"/>
      <c r="F49" s="167"/>
      <c r="G49" s="167"/>
      <c r="H49" s="167"/>
      <c r="I49" s="169"/>
      <c r="J49" s="195"/>
      <c r="K49" s="195"/>
      <c r="L49" s="195"/>
      <c r="M49" s="197">
        <f t="shared" si="1"/>
        <v>0</v>
      </c>
      <c r="N49" s="168" t="e">
        <f t="shared" si="2"/>
        <v>#DIV/0!</v>
      </c>
      <c r="O49" s="168" t="e">
        <f t="shared" si="3"/>
        <v>#DIV/0!</v>
      </c>
      <c r="P49" s="207" t="e">
        <f t="shared" si="4"/>
        <v>#DIV/0!</v>
      </c>
      <c r="Q49" s="208" t="e">
        <f t="shared" si="5"/>
        <v>#DIV/0!</v>
      </c>
      <c r="R49" s="209" t="e">
        <f t="shared" si="6"/>
        <v>#DIV/0!</v>
      </c>
      <c r="S49" s="210" t="e">
        <f t="shared" si="0"/>
        <v>#DIV/0!</v>
      </c>
      <c r="T49" s="192"/>
      <c r="V49" s="193"/>
      <c r="Y49" s="193"/>
    </row>
    <row r="50" spans="1:25" customFormat="1" ht="21" hidden="1" customHeight="1">
      <c r="A50" s="194"/>
      <c r="B50" s="171"/>
      <c r="C50" s="171"/>
      <c r="D50" s="172"/>
      <c r="E50" s="196"/>
      <c r="F50" s="167"/>
      <c r="G50" s="167"/>
      <c r="H50" s="167"/>
      <c r="I50" s="169"/>
      <c r="J50" s="195"/>
      <c r="K50" s="195"/>
      <c r="L50" s="195"/>
      <c r="M50" s="197">
        <f t="shared" si="1"/>
        <v>0</v>
      </c>
      <c r="N50" s="168" t="e">
        <f t="shared" si="2"/>
        <v>#DIV/0!</v>
      </c>
      <c r="O50" s="168" t="e">
        <f t="shared" si="3"/>
        <v>#DIV/0!</v>
      </c>
      <c r="P50" s="207" t="e">
        <f t="shared" si="4"/>
        <v>#DIV/0!</v>
      </c>
      <c r="Q50" s="208" t="e">
        <f t="shared" si="5"/>
        <v>#DIV/0!</v>
      </c>
      <c r="R50" s="209" t="e">
        <f t="shared" si="6"/>
        <v>#DIV/0!</v>
      </c>
      <c r="S50" s="210" t="e">
        <f t="shared" si="0"/>
        <v>#DIV/0!</v>
      </c>
      <c r="T50" s="192"/>
      <c r="V50" s="193"/>
      <c r="Y50" s="193"/>
    </row>
    <row r="51" spans="1:25" customFormat="1" ht="21" hidden="1" customHeight="1">
      <c r="A51" s="194"/>
      <c r="B51" s="171"/>
      <c r="C51" s="171"/>
      <c r="D51" s="172"/>
      <c r="E51" s="196"/>
      <c r="F51" s="167"/>
      <c r="G51" s="167"/>
      <c r="H51" s="167"/>
      <c r="I51" s="169"/>
      <c r="J51" s="195"/>
      <c r="K51" s="195"/>
      <c r="L51" s="195"/>
      <c r="M51" s="197">
        <f t="shared" si="1"/>
        <v>0</v>
      </c>
      <c r="N51" s="168" t="e">
        <f t="shared" si="2"/>
        <v>#DIV/0!</v>
      </c>
      <c r="O51" s="168" t="e">
        <f t="shared" si="3"/>
        <v>#DIV/0!</v>
      </c>
      <c r="P51" s="207" t="e">
        <f t="shared" si="4"/>
        <v>#DIV/0!</v>
      </c>
      <c r="Q51" s="208" t="e">
        <f t="shared" si="5"/>
        <v>#DIV/0!</v>
      </c>
      <c r="R51" s="209" t="e">
        <f t="shared" si="6"/>
        <v>#DIV/0!</v>
      </c>
      <c r="S51" s="210" t="e">
        <f t="shared" si="0"/>
        <v>#DIV/0!</v>
      </c>
      <c r="T51" s="192"/>
      <c r="V51" s="193"/>
      <c r="Y51" s="193"/>
    </row>
    <row r="52" spans="1:25" customFormat="1" ht="21" hidden="1" customHeight="1">
      <c r="A52" s="194"/>
      <c r="B52" s="171"/>
      <c r="C52" s="171"/>
      <c r="D52" s="172"/>
      <c r="E52" s="196"/>
      <c r="F52" s="167"/>
      <c r="G52" s="167"/>
      <c r="H52" s="167"/>
      <c r="I52" s="169"/>
      <c r="J52" s="195"/>
      <c r="K52" s="195"/>
      <c r="L52" s="195"/>
      <c r="M52" s="197">
        <f>COUNT(F52:L52)</f>
        <v>0</v>
      </c>
      <c r="N52" s="168" t="e">
        <f>ROUND(AVERAGE(F52:L52),0)</f>
        <v>#DIV/0!</v>
      </c>
      <c r="O52" s="168" t="e">
        <f t="shared" si="3"/>
        <v>#DIV/0!</v>
      </c>
      <c r="P52" s="207" t="e">
        <f>STDEVP(F52:J52)</f>
        <v>#DIV/0!</v>
      </c>
      <c r="Q52" s="208" t="e">
        <f t="shared" si="5"/>
        <v>#DIV/0!</v>
      </c>
      <c r="R52" s="209" t="e">
        <f t="shared" si="6"/>
        <v>#DIV/0!</v>
      </c>
      <c r="S52" s="210" t="e">
        <f t="shared" si="0"/>
        <v>#DIV/0!</v>
      </c>
      <c r="T52" s="192"/>
      <c r="V52" s="193"/>
      <c r="Y52" s="193"/>
    </row>
    <row r="53" spans="1:25" customFormat="1" ht="34.5" hidden="1" customHeight="1">
      <c r="A53" s="194"/>
      <c r="B53" s="171"/>
      <c r="C53" s="171"/>
      <c r="D53" s="172"/>
      <c r="E53" s="196"/>
      <c r="G53" s="167"/>
      <c r="H53" s="167"/>
      <c r="I53" s="169"/>
      <c r="J53" s="195"/>
      <c r="K53" s="195"/>
      <c r="L53" s="195"/>
      <c r="M53" s="197">
        <f t="shared" si="1"/>
        <v>0</v>
      </c>
      <c r="N53" s="168" t="e">
        <f t="shared" si="2"/>
        <v>#DIV/0!</v>
      </c>
      <c r="O53" s="168" t="e">
        <f t="shared" si="3"/>
        <v>#DIV/0!</v>
      </c>
      <c r="P53" s="207" t="e">
        <f t="shared" si="4"/>
        <v>#DIV/0!</v>
      </c>
      <c r="Q53" s="208" t="e">
        <f t="shared" si="5"/>
        <v>#DIV/0!</v>
      </c>
      <c r="R53" s="209" t="e">
        <f t="shared" si="6"/>
        <v>#DIV/0!</v>
      </c>
      <c r="S53" s="210" t="e">
        <f t="shared" si="0"/>
        <v>#DIV/0!</v>
      </c>
      <c r="T53" s="192"/>
      <c r="V53" s="193"/>
      <c r="Y53" s="193"/>
    </row>
    <row r="54" spans="1:25" customFormat="1" ht="32.5" hidden="1" customHeight="1">
      <c r="A54" s="194"/>
      <c r="B54" s="171"/>
      <c r="C54" s="171"/>
      <c r="D54" s="172"/>
      <c r="E54" s="196"/>
      <c r="F54" s="167"/>
      <c r="G54" s="167"/>
      <c r="H54" s="167"/>
      <c r="I54" s="169"/>
      <c r="J54" s="195"/>
      <c r="K54" s="195"/>
      <c r="L54" s="195"/>
      <c r="M54" s="197">
        <f t="shared" si="1"/>
        <v>0</v>
      </c>
      <c r="N54" s="168" t="e">
        <f t="shared" si="2"/>
        <v>#DIV/0!</v>
      </c>
      <c r="O54" s="168" t="e">
        <f t="shared" si="3"/>
        <v>#DIV/0!</v>
      </c>
      <c r="P54" s="207" t="e">
        <f t="shared" si="4"/>
        <v>#DIV/0!</v>
      </c>
      <c r="Q54" s="208" t="e">
        <f t="shared" si="5"/>
        <v>#DIV/0!</v>
      </c>
      <c r="R54" s="209" t="e">
        <f t="shared" si="6"/>
        <v>#DIV/0!</v>
      </c>
      <c r="S54" s="210" t="e">
        <f t="shared" si="0"/>
        <v>#DIV/0!</v>
      </c>
      <c r="T54" s="192"/>
      <c r="V54" s="193"/>
      <c r="Y54" s="193"/>
    </row>
    <row r="55" spans="1:25" customFormat="1" ht="33.5" hidden="1" customHeight="1">
      <c r="A55" s="194"/>
      <c r="B55" s="171"/>
      <c r="C55" s="171"/>
      <c r="D55" s="172"/>
      <c r="E55" s="196"/>
      <c r="F55" s="167"/>
      <c r="G55" s="167"/>
      <c r="H55" s="167"/>
      <c r="I55" s="169"/>
      <c r="J55" s="195"/>
      <c r="K55" s="195"/>
      <c r="L55" s="195"/>
      <c r="M55" s="197">
        <f t="shared" si="1"/>
        <v>0</v>
      </c>
      <c r="N55" s="168" t="e">
        <f t="shared" si="2"/>
        <v>#DIV/0!</v>
      </c>
      <c r="O55" s="168" t="e">
        <f t="shared" si="3"/>
        <v>#DIV/0!</v>
      </c>
      <c r="P55" s="207" t="e">
        <f t="shared" si="4"/>
        <v>#DIV/0!</v>
      </c>
      <c r="Q55" s="208" t="e">
        <f t="shared" si="5"/>
        <v>#DIV/0!</v>
      </c>
      <c r="R55" s="209" t="e">
        <f t="shared" si="6"/>
        <v>#DIV/0!</v>
      </c>
      <c r="S55" s="210" t="e">
        <f t="shared" si="0"/>
        <v>#DIV/0!</v>
      </c>
      <c r="T55" s="192"/>
      <c r="V55" s="193"/>
      <c r="Y55" s="193"/>
    </row>
    <row r="56" spans="1:25" customFormat="1" ht="39.5" hidden="1" customHeight="1">
      <c r="A56" s="194"/>
      <c r="B56" s="171"/>
      <c r="C56" s="171"/>
      <c r="D56" s="172"/>
      <c r="E56" s="196"/>
      <c r="F56" s="167"/>
      <c r="G56" s="167"/>
      <c r="H56" s="167"/>
      <c r="I56" s="169"/>
      <c r="J56" s="195"/>
      <c r="K56" s="195"/>
      <c r="L56" s="195"/>
      <c r="M56" s="197">
        <f t="shared" si="1"/>
        <v>0</v>
      </c>
      <c r="N56" s="168" t="e">
        <f t="shared" si="2"/>
        <v>#DIV/0!</v>
      </c>
      <c r="O56" s="168" t="e">
        <f t="shared" si="3"/>
        <v>#DIV/0!</v>
      </c>
      <c r="P56" s="207" t="e">
        <f t="shared" si="4"/>
        <v>#DIV/0!</v>
      </c>
      <c r="Q56" s="208" t="e">
        <f t="shared" si="5"/>
        <v>#DIV/0!</v>
      </c>
      <c r="R56" s="209" t="e">
        <f t="shared" si="6"/>
        <v>#DIV/0!</v>
      </c>
      <c r="S56" s="210" t="e">
        <f t="shared" si="0"/>
        <v>#DIV/0!</v>
      </c>
      <c r="T56" s="192"/>
      <c r="V56" s="193"/>
      <c r="Y56" s="193"/>
    </row>
    <row r="57" spans="1:25" customFormat="1" ht="47" hidden="1" customHeight="1">
      <c r="A57" s="194"/>
      <c r="B57" s="171"/>
      <c r="C57" s="171"/>
      <c r="D57" s="172"/>
      <c r="E57" s="196"/>
      <c r="F57" s="167"/>
      <c r="G57" s="167"/>
      <c r="H57" s="167"/>
      <c r="I57" s="169"/>
      <c r="J57" s="195"/>
      <c r="K57" s="195"/>
      <c r="L57" s="195"/>
      <c r="M57" s="197">
        <f t="shared" si="1"/>
        <v>0</v>
      </c>
      <c r="N57" s="168" t="e">
        <f t="shared" si="2"/>
        <v>#DIV/0!</v>
      </c>
      <c r="O57" s="168" t="e">
        <f t="shared" si="3"/>
        <v>#DIV/0!</v>
      </c>
      <c r="P57" s="207" t="e">
        <f t="shared" si="4"/>
        <v>#DIV/0!</v>
      </c>
      <c r="Q57" s="208" t="e">
        <f t="shared" si="5"/>
        <v>#DIV/0!</v>
      </c>
      <c r="R57" s="209" t="e">
        <f t="shared" si="6"/>
        <v>#DIV/0!</v>
      </c>
      <c r="S57" s="210" t="e">
        <f t="shared" si="0"/>
        <v>#DIV/0!</v>
      </c>
      <c r="T57" s="192"/>
      <c r="V57" s="193"/>
      <c r="Y57" s="193"/>
    </row>
    <row r="58" spans="1:25" customFormat="1" ht="39" hidden="1" customHeight="1">
      <c r="A58" s="194"/>
      <c r="B58" s="171"/>
      <c r="C58" s="171"/>
      <c r="D58" s="172"/>
      <c r="E58" s="196"/>
      <c r="F58" s="167"/>
      <c r="G58" s="167"/>
      <c r="H58" s="167"/>
      <c r="I58" s="169"/>
      <c r="J58" s="195"/>
      <c r="K58" s="195"/>
      <c r="L58" s="195"/>
      <c r="M58" s="197">
        <f t="shared" si="1"/>
        <v>0</v>
      </c>
      <c r="N58" s="168" t="e">
        <f t="shared" si="2"/>
        <v>#DIV/0!</v>
      </c>
      <c r="O58" s="168" t="e">
        <f t="shared" si="3"/>
        <v>#DIV/0!</v>
      </c>
      <c r="P58" s="207" t="e">
        <f t="shared" si="4"/>
        <v>#DIV/0!</v>
      </c>
      <c r="Q58" s="208" t="e">
        <f t="shared" si="5"/>
        <v>#DIV/0!</v>
      </c>
      <c r="R58" s="209" t="e">
        <f t="shared" si="6"/>
        <v>#DIV/0!</v>
      </c>
      <c r="S58" s="210" t="e">
        <f t="shared" si="0"/>
        <v>#DIV/0!</v>
      </c>
      <c r="T58" s="192"/>
      <c r="V58" s="193"/>
      <c r="Y58" s="193"/>
    </row>
    <row r="59" spans="1:25" customFormat="1" ht="30.5" hidden="1" customHeight="1">
      <c r="A59" s="194"/>
      <c r="B59" s="171"/>
      <c r="C59" s="171"/>
      <c r="D59" s="172"/>
      <c r="E59" s="196"/>
      <c r="F59" s="167"/>
      <c r="G59" s="167"/>
      <c r="H59" s="167"/>
      <c r="I59" s="169"/>
      <c r="J59" s="195"/>
      <c r="K59" s="195"/>
      <c r="L59" s="195"/>
      <c r="M59" s="197">
        <f t="shared" si="1"/>
        <v>0</v>
      </c>
      <c r="N59" s="168" t="e">
        <f t="shared" si="2"/>
        <v>#DIV/0!</v>
      </c>
      <c r="O59" s="168" t="e">
        <f t="shared" si="3"/>
        <v>#DIV/0!</v>
      </c>
      <c r="P59" s="207" t="e">
        <f t="shared" si="4"/>
        <v>#DIV/0!</v>
      </c>
      <c r="Q59" s="208" t="e">
        <f t="shared" si="5"/>
        <v>#DIV/0!</v>
      </c>
      <c r="R59" s="209" t="e">
        <f t="shared" si="6"/>
        <v>#DIV/0!</v>
      </c>
      <c r="S59" s="210" t="e">
        <f t="shared" si="0"/>
        <v>#DIV/0!</v>
      </c>
      <c r="T59" s="192"/>
      <c r="V59" s="193"/>
      <c r="Y59" s="193"/>
    </row>
    <row r="60" spans="1:25" customFormat="1" ht="36" hidden="1" customHeight="1">
      <c r="A60" s="194"/>
      <c r="B60" s="171"/>
      <c r="C60" s="171"/>
      <c r="D60" s="172"/>
      <c r="E60" s="196"/>
      <c r="F60" s="167"/>
      <c r="G60" s="167"/>
      <c r="H60" s="167"/>
      <c r="I60" s="169"/>
      <c r="J60" s="195"/>
      <c r="K60" s="195"/>
      <c r="L60" s="195"/>
      <c r="M60" s="197">
        <f t="shared" si="1"/>
        <v>0</v>
      </c>
      <c r="N60" s="168" t="e">
        <f t="shared" si="2"/>
        <v>#DIV/0!</v>
      </c>
      <c r="O60" s="168" t="e">
        <f t="shared" si="3"/>
        <v>#DIV/0!</v>
      </c>
      <c r="P60" s="207" t="e">
        <f t="shared" si="4"/>
        <v>#DIV/0!</v>
      </c>
      <c r="Q60" s="208" t="e">
        <f t="shared" si="5"/>
        <v>#DIV/0!</v>
      </c>
      <c r="R60" s="209" t="e">
        <f t="shared" si="6"/>
        <v>#DIV/0!</v>
      </c>
      <c r="S60" s="210" t="e">
        <f t="shared" si="0"/>
        <v>#DIV/0!</v>
      </c>
      <c r="T60" s="192"/>
      <c r="V60" s="193"/>
      <c r="Y60" s="193"/>
    </row>
    <row r="61" spans="1:25" customFormat="1" ht="32.5" hidden="1" customHeight="1">
      <c r="A61" s="194"/>
      <c r="B61" s="171"/>
      <c r="C61" s="171"/>
      <c r="D61" s="172"/>
      <c r="E61" s="196"/>
      <c r="F61" s="167"/>
      <c r="G61" s="167"/>
      <c r="H61" s="167"/>
      <c r="I61" s="169"/>
      <c r="J61" s="195"/>
      <c r="K61" s="195"/>
      <c r="L61" s="195"/>
      <c r="M61" s="197">
        <f t="shared" si="1"/>
        <v>0</v>
      </c>
      <c r="N61" s="168" t="e">
        <f t="shared" si="2"/>
        <v>#DIV/0!</v>
      </c>
      <c r="O61" s="168" t="e">
        <f t="shared" si="3"/>
        <v>#DIV/0!</v>
      </c>
      <c r="P61" s="207" t="e">
        <f t="shared" si="4"/>
        <v>#DIV/0!</v>
      </c>
      <c r="Q61" s="208" t="e">
        <f t="shared" si="5"/>
        <v>#DIV/0!</v>
      </c>
      <c r="R61" s="209" t="e">
        <f t="shared" si="6"/>
        <v>#DIV/0!</v>
      </c>
      <c r="S61" s="210" t="e">
        <f t="shared" si="0"/>
        <v>#DIV/0!</v>
      </c>
      <c r="T61" s="192"/>
      <c r="V61" s="193"/>
      <c r="Y61" s="193"/>
    </row>
    <row r="62" spans="1:25" customFormat="1" ht="80.5" hidden="1" customHeight="1">
      <c r="A62" s="194"/>
      <c r="B62" s="171"/>
      <c r="C62" s="173"/>
      <c r="D62" s="174"/>
      <c r="E62" s="196"/>
      <c r="F62" s="167"/>
      <c r="G62" s="167"/>
      <c r="H62" s="167"/>
      <c r="I62" s="169"/>
      <c r="J62" s="195"/>
      <c r="K62" s="195"/>
      <c r="L62" s="195"/>
      <c r="M62" s="197">
        <f t="shared" si="1"/>
        <v>0</v>
      </c>
      <c r="N62" s="168" t="e">
        <f t="shared" si="2"/>
        <v>#DIV/0!</v>
      </c>
      <c r="O62" s="168" t="e">
        <f>+N62*E62</f>
        <v>#DIV/0!</v>
      </c>
      <c r="P62" s="207" t="e">
        <f t="shared" si="4"/>
        <v>#DIV/0!</v>
      </c>
      <c r="Q62" s="208" t="e">
        <f t="shared" si="5"/>
        <v>#DIV/0!</v>
      </c>
      <c r="R62" s="209" t="e">
        <f t="shared" si="6"/>
        <v>#DIV/0!</v>
      </c>
      <c r="S62" s="210" t="e">
        <f t="shared" si="0"/>
        <v>#DIV/0!</v>
      </c>
      <c r="T62" s="192"/>
      <c r="V62" s="193"/>
      <c r="Y62" s="193"/>
    </row>
    <row r="63" spans="1:25" customFormat="1" ht="32.5" hidden="1" customHeight="1">
      <c r="A63" s="194"/>
      <c r="B63" s="201"/>
      <c r="C63" s="173"/>
      <c r="D63" s="174"/>
      <c r="E63" s="196"/>
      <c r="F63" s="167"/>
      <c r="G63" s="167"/>
      <c r="H63" s="167"/>
      <c r="I63" s="169"/>
      <c r="J63" s="195"/>
      <c r="K63" s="195"/>
      <c r="L63" s="195"/>
      <c r="M63" s="197">
        <f t="shared" ref="M63:M69" si="8">COUNT(F63:L63)</f>
        <v>0</v>
      </c>
      <c r="N63" s="168" t="e">
        <f t="shared" ref="N63:N69" si="9">ROUND(AVERAGE(F63:L63),0)</f>
        <v>#DIV/0!</v>
      </c>
      <c r="O63" s="168" t="e">
        <f t="shared" si="3"/>
        <v>#DIV/0!</v>
      </c>
      <c r="P63" s="207" t="e">
        <f t="shared" ref="P63:P69" si="10">STDEVP(F63:J63)</f>
        <v>#DIV/0!</v>
      </c>
      <c r="Q63" s="208" t="e">
        <f t="shared" si="5"/>
        <v>#DIV/0!</v>
      </c>
      <c r="R63" s="209" t="e">
        <f t="shared" si="6"/>
        <v>#DIV/0!</v>
      </c>
      <c r="S63" s="210" t="e">
        <f t="shared" si="0"/>
        <v>#DIV/0!</v>
      </c>
      <c r="T63" s="192"/>
      <c r="V63" s="193"/>
      <c r="Y63" s="193"/>
    </row>
    <row r="64" spans="1:25" customFormat="1" ht="32.5" hidden="1" customHeight="1">
      <c r="A64" s="194"/>
      <c r="B64" s="201"/>
      <c r="C64" s="173"/>
      <c r="D64" s="174"/>
      <c r="E64" s="196"/>
      <c r="F64" s="167"/>
      <c r="G64" s="167"/>
      <c r="H64" s="167"/>
      <c r="I64" s="169"/>
      <c r="J64" s="195"/>
      <c r="K64" s="195"/>
      <c r="L64" s="195"/>
      <c r="M64" s="197">
        <f t="shared" si="8"/>
        <v>0</v>
      </c>
      <c r="N64" s="168" t="e">
        <f t="shared" si="9"/>
        <v>#DIV/0!</v>
      </c>
      <c r="O64" s="168" t="e">
        <f t="shared" si="3"/>
        <v>#DIV/0!</v>
      </c>
      <c r="P64" s="207" t="e">
        <f t="shared" si="10"/>
        <v>#DIV/0!</v>
      </c>
      <c r="Q64" s="208" t="e">
        <f t="shared" si="5"/>
        <v>#DIV/0!</v>
      </c>
      <c r="R64" s="209" t="e">
        <f t="shared" si="6"/>
        <v>#DIV/0!</v>
      </c>
      <c r="S64" s="210" t="e">
        <f t="shared" si="0"/>
        <v>#DIV/0!</v>
      </c>
      <c r="T64" s="192"/>
      <c r="V64" s="193"/>
      <c r="Y64" s="193"/>
    </row>
    <row r="65" spans="1:25" customFormat="1" ht="32.5" hidden="1" customHeight="1">
      <c r="A65" s="194"/>
      <c r="B65" s="201"/>
      <c r="C65" s="173"/>
      <c r="D65" s="174"/>
      <c r="E65" s="196"/>
      <c r="F65" s="167"/>
      <c r="G65" s="167"/>
      <c r="H65" s="167"/>
      <c r="I65" s="169"/>
      <c r="J65" s="195"/>
      <c r="K65" s="195"/>
      <c r="L65" s="195"/>
      <c r="M65" s="197">
        <f t="shared" si="8"/>
        <v>0</v>
      </c>
      <c r="N65" s="168" t="e">
        <f t="shared" si="9"/>
        <v>#DIV/0!</v>
      </c>
      <c r="O65" s="168" t="e">
        <f t="shared" si="3"/>
        <v>#DIV/0!</v>
      </c>
      <c r="P65" s="207" t="e">
        <f t="shared" si="10"/>
        <v>#DIV/0!</v>
      </c>
      <c r="Q65" s="208" t="e">
        <f t="shared" si="5"/>
        <v>#DIV/0!</v>
      </c>
      <c r="R65" s="209" t="e">
        <f t="shared" si="6"/>
        <v>#DIV/0!</v>
      </c>
      <c r="S65" s="210" t="e">
        <f t="shared" si="0"/>
        <v>#DIV/0!</v>
      </c>
      <c r="T65" s="192"/>
      <c r="V65" s="193"/>
      <c r="Y65" s="193"/>
    </row>
    <row r="66" spans="1:25" customFormat="1" ht="32.5" hidden="1" customHeight="1">
      <c r="A66" s="194"/>
      <c r="B66" s="201"/>
      <c r="C66" s="173"/>
      <c r="D66" s="174"/>
      <c r="E66" s="196"/>
      <c r="F66" s="167"/>
      <c r="G66" s="167"/>
      <c r="H66" s="167"/>
      <c r="I66" s="169"/>
      <c r="J66" s="195"/>
      <c r="K66" s="195"/>
      <c r="L66" s="195"/>
      <c r="M66" s="197">
        <f t="shared" si="8"/>
        <v>0</v>
      </c>
      <c r="N66" s="168" t="e">
        <f t="shared" si="9"/>
        <v>#DIV/0!</v>
      </c>
      <c r="O66" s="168" t="e">
        <f t="shared" si="3"/>
        <v>#DIV/0!</v>
      </c>
      <c r="P66" s="207" t="e">
        <f t="shared" si="10"/>
        <v>#DIV/0!</v>
      </c>
      <c r="Q66" s="208" t="e">
        <f t="shared" si="5"/>
        <v>#DIV/0!</v>
      </c>
      <c r="R66" s="209" t="e">
        <f t="shared" si="6"/>
        <v>#DIV/0!</v>
      </c>
      <c r="S66" s="210" t="e">
        <f t="shared" si="0"/>
        <v>#DIV/0!</v>
      </c>
      <c r="T66" s="192"/>
      <c r="V66" s="193"/>
      <c r="Y66" s="193"/>
    </row>
    <row r="67" spans="1:25" customFormat="1" ht="32.5" hidden="1" customHeight="1">
      <c r="A67" s="194"/>
      <c r="B67" s="201"/>
      <c r="C67" s="173"/>
      <c r="D67" s="174"/>
      <c r="E67" s="196"/>
      <c r="F67" s="167"/>
      <c r="G67" s="167"/>
      <c r="H67" s="167"/>
      <c r="I67" s="169"/>
      <c r="J67" s="195"/>
      <c r="K67" s="195"/>
      <c r="L67" s="195"/>
      <c r="M67" s="197">
        <f t="shared" si="8"/>
        <v>0</v>
      </c>
      <c r="N67" s="168" t="e">
        <f t="shared" si="9"/>
        <v>#DIV/0!</v>
      </c>
      <c r="O67" s="168" t="e">
        <f t="shared" si="3"/>
        <v>#DIV/0!</v>
      </c>
      <c r="P67" s="207" t="e">
        <f t="shared" si="10"/>
        <v>#DIV/0!</v>
      </c>
      <c r="Q67" s="208" t="e">
        <f t="shared" si="5"/>
        <v>#DIV/0!</v>
      </c>
      <c r="R67" s="209" t="e">
        <f t="shared" si="6"/>
        <v>#DIV/0!</v>
      </c>
      <c r="S67" s="210" t="e">
        <f t="shared" si="0"/>
        <v>#DIV/0!</v>
      </c>
      <c r="T67" s="192"/>
      <c r="V67" s="193"/>
      <c r="Y67" s="193"/>
    </row>
    <row r="68" spans="1:25" customFormat="1" ht="32.5" hidden="1" customHeight="1">
      <c r="A68" s="194"/>
      <c r="B68" s="201"/>
      <c r="C68" s="173"/>
      <c r="D68" s="174"/>
      <c r="E68" s="196"/>
      <c r="F68" s="167"/>
      <c r="G68" s="167"/>
      <c r="H68" s="167"/>
      <c r="I68" s="169"/>
      <c r="J68" s="195"/>
      <c r="K68" s="195"/>
      <c r="L68" s="195"/>
      <c r="M68" s="197">
        <f t="shared" si="8"/>
        <v>0</v>
      </c>
      <c r="N68" s="168" t="e">
        <f t="shared" si="9"/>
        <v>#DIV/0!</v>
      </c>
      <c r="O68" s="168" t="e">
        <f t="shared" si="3"/>
        <v>#DIV/0!</v>
      </c>
      <c r="P68" s="207" t="e">
        <f t="shared" si="10"/>
        <v>#DIV/0!</v>
      </c>
      <c r="Q68" s="208" t="e">
        <f t="shared" si="5"/>
        <v>#DIV/0!</v>
      </c>
      <c r="R68" s="209" t="e">
        <f t="shared" si="6"/>
        <v>#DIV/0!</v>
      </c>
      <c r="S68" s="210" t="e">
        <f t="shared" si="0"/>
        <v>#DIV/0!</v>
      </c>
      <c r="T68" s="192"/>
      <c r="V68" s="193"/>
      <c r="Y68" s="193"/>
    </row>
    <row r="69" spans="1:25" customFormat="1" ht="32.5" hidden="1" customHeight="1">
      <c r="A69" s="194"/>
      <c r="B69" s="201"/>
      <c r="C69" s="173"/>
      <c r="D69" s="174"/>
      <c r="E69" s="196"/>
      <c r="F69" s="167"/>
      <c r="G69" s="167"/>
      <c r="H69" s="167"/>
      <c r="I69" s="169"/>
      <c r="J69" s="195"/>
      <c r="K69" s="195"/>
      <c r="L69" s="195"/>
      <c r="M69" s="197">
        <f t="shared" si="8"/>
        <v>0</v>
      </c>
      <c r="N69" s="168" t="e">
        <f t="shared" si="9"/>
        <v>#DIV/0!</v>
      </c>
      <c r="O69" s="168" t="e">
        <f t="shared" si="3"/>
        <v>#DIV/0!</v>
      </c>
      <c r="P69" s="207" t="e">
        <f t="shared" si="10"/>
        <v>#DIV/0!</v>
      </c>
      <c r="Q69" s="208" t="e">
        <f t="shared" si="5"/>
        <v>#DIV/0!</v>
      </c>
      <c r="R69" s="209" t="e">
        <f t="shared" si="6"/>
        <v>#DIV/0!</v>
      </c>
      <c r="S69" s="210" t="e">
        <f t="shared" ref="S69:S72" si="11">IF(R69&gt;70,"ALTO","BAJO")</f>
        <v>#DIV/0!</v>
      </c>
      <c r="T69" s="192"/>
      <c r="V69" s="193"/>
      <c r="Y69" s="193"/>
    </row>
    <row r="70" spans="1:25" customFormat="1" ht="32.5" hidden="1" customHeight="1">
      <c r="A70" s="194"/>
      <c r="B70" s="201"/>
      <c r="C70" s="173"/>
      <c r="D70" s="174"/>
      <c r="E70" s="196"/>
      <c r="F70" s="167"/>
      <c r="G70" s="167"/>
      <c r="H70" s="167"/>
      <c r="I70" s="169"/>
      <c r="J70" s="195"/>
      <c r="K70" s="195"/>
      <c r="L70" s="195"/>
      <c r="M70" s="197">
        <f t="shared" ref="M70:M72" si="12">COUNT(F70:L70)</f>
        <v>0</v>
      </c>
      <c r="N70" s="168" t="e">
        <f t="shared" ref="N70:N72" si="13">ROUND(AVERAGE(F70:L70),0)</f>
        <v>#DIV/0!</v>
      </c>
      <c r="O70" s="168" t="e">
        <f t="shared" ref="O70:O76" si="14">+N70*E70</f>
        <v>#DIV/0!</v>
      </c>
      <c r="P70" s="207" t="e">
        <f t="shared" ref="P70:P72" si="15">STDEVP(F70:J70)</f>
        <v>#DIV/0!</v>
      </c>
      <c r="Q70" s="208" t="e">
        <f t="shared" ref="Q70:Q72" si="16">P70/N70*100</f>
        <v>#DIV/0!</v>
      </c>
      <c r="R70" s="209" t="e">
        <f t="shared" ref="R70:R72" si="17">100-Q70</f>
        <v>#DIV/0!</v>
      </c>
      <c r="S70" s="210" t="e">
        <f t="shared" si="11"/>
        <v>#DIV/0!</v>
      </c>
      <c r="T70" s="192"/>
      <c r="V70" s="193"/>
      <c r="Y70" s="193"/>
    </row>
    <row r="71" spans="1:25" customFormat="1" ht="32.5" hidden="1" customHeight="1">
      <c r="A71" s="194"/>
      <c r="B71" s="201"/>
      <c r="C71" s="173"/>
      <c r="D71" s="174"/>
      <c r="E71" s="196"/>
      <c r="F71" s="167"/>
      <c r="G71" s="167"/>
      <c r="H71" s="167"/>
      <c r="I71" s="169"/>
      <c r="J71" s="195"/>
      <c r="K71" s="195"/>
      <c r="L71" s="195"/>
      <c r="M71" s="197">
        <f t="shared" si="12"/>
        <v>0</v>
      </c>
      <c r="N71" s="168" t="e">
        <f t="shared" si="13"/>
        <v>#DIV/0!</v>
      </c>
      <c r="O71" s="168" t="e">
        <f t="shared" si="14"/>
        <v>#DIV/0!</v>
      </c>
      <c r="P71" s="207" t="e">
        <f t="shared" si="15"/>
        <v>#DIV/0!</v>
      </c>
      <c r="Q71" s="208" t="e">
        <f t="shared" si="16"/>
        <v>#DIV/0!</v>
      </c>
      <c r="R71" s="209" t="e">
        <f t="shared" si="17"/>
        <v>#DIV/0!</v>
      </c>
      <c r="S71" s="210" t="e">
        <f t="shared" si="11"/>
        <v>#DIV/0!</v>
      </c>
      <c r="T71" s="192"/>
      <c r="V71" s="193"/>
      <c r="Y71" s="193"/>
    </row>
    <row r="72" spans="1:25" customFormat="1" ht="48.5" hidden="1" customHeight="1">
      <c r="A72" s="194"/>
      <c r="B72" s="201"/>
      <c r="C72" s="173"/>
      <c r="D72" s="174"/>
      <c r="E72" s="196"/>
      <c r="F72" s="167"/>
      <c r="G72" s="167"/>
      <c r="H72" s="167"/>
      <c r="I72" s="169"/>
      <c r="J72" s="195"/>
      <c r="K72" s="195"/>
      <c r="L72" s="195"/>
      <c r="M72" s="197">
        <f t="shared" si="12"/>
        <v>0</v>
      </c>
      <c r="N72" s="168" t="e">
        <f t="shared" si="13"/>
        <v>#DIV/0!</v>
      </c>
      <c r="O72" s="168" t="e">
        <f t="shared" si="14"/>
        <v>#DIV/0!</v>
      </c>
      <c r="P72" s="207" t="e">
        <f t="shared" si="15"/>
        <v>#DIV/0!</v>
      </c>
      <c r="Q72" s="208" t="e">
        <f t="shared" si="16"/>
        <v>#DIV/0!</v>
      </c>
      <c r="R72" s="209" t="e">
        <f t="shared" si="17"/>
        <v>#DIV/0!</v>
      </c>
      <c r="S72" s="210" t="e">
        <f t="shared" si="11"/>
        <v>#DIV/0!</v>
      </c>
      <c r="T72" s="192"/>
      <c r="V72" s="193"/>
      <c r="Y72" s="193"/>
    </row>
    <row r="73" spans="1:25" customFormat="1" ht="32.5" hidden="1" customHeight="1">
      <c r="A73" s="194"/>
      <c r="B73" s="201"/>
      <c r="C73" s="171"/>
      <c r="D73" s="172"/>
      <c r="E73" s="198"/>
      <c r="F73" s="167"/>
      <c r="G73" s="167"/>
      <c r="H73" s="167"/>
      <c r="I73" s="169"/>
      <c r="J73" s="195"/>
      <c r="K73" s="195"/>
      <c r="L73" s="195"/>
      <c r="M73" s="199"/>
      <c r="N73" s="175"/>
      <c r="O73" s="168">
        <f t="shared" si="14"/>
        <v>0</v>
      </c>
      <c r="P73" s="211"/>
      <c r="Q73" s="212"/>
      <c r="R73" s="213"/>
      <c r="S73" s="214"/>
      <c r="T73" s="192"/>
      <c r="V73" s="193"/>
      <c r="Y73" s="193"/>
    </row>
    <row r="74" spans="1:25" customFormat="1" ht="32.5" hidden="1" customHeight="1">
      <c r="A74" s="194"/>
      <c r="B74" s="201"/>
      <c r="C74" s="171"/>
      <c r="D74" s="172"/>
      <c r="E74" s="198"/>
      <c r="F74" s="167"/>
      <c r="G74" s="167"/>
      <c r="H74" s="167"/>
      <c r="I74" s="169"/>
      <c r="J74" s="195"/>
      <c r="K74" s="195"/>
      <c r="L74" s="195"/>
      <c r="M74" s="199"/>
      <c r="N74" s="175"/>
      <c r="O74" s="168">
        <f t="shared" si="14"/>
        <v>0</v>
      </c>
      <c r="P74" s="211"/>
      <c r="Q74" s="212"/>
      <c r="R74" s="213"/>
      <c r="S74" s="214"/>
      <c r="T74" s="192"/>
      <c r="V74" s="193"/>
      <c r="Y74" s="193"/>
    </row>
    <row r="75" spans="1:25" customFormat="1" ht="32.5" hidden="1" customHeight="1">
      <c r="A75" s="194"/>
      <c r="B75" s="201"/>
      <c r="C75" s="171"/>
      <c r="D75" s="172"/>
      <c r="E75" s="198"/>
      <c r="F75" s="167"/>
      <c r="G75" s="167"/>
      <c r="H75" s="167"/>
      <c r="I75" s="169"/>
      <c r="J75" s="195"/>
      <c r="K75" s="195"/>
      <c r="L75" s="195"/>
      <c r="M75" s="199"/>
      <c r="N75" s="175"/>
      <c r="O75" s="168">
        <f t="shared" si="14"/>
        <v>0</v>
      </c>
      <c r="P75" s="211"/>
      <c r="Q75" s="212"/>
      <c r="R75" s="213"/>
      <c r="S75" s="214"/>
      <c r="T75" s="192"/>
      <c r="V75" s="193"/>
      <c r="Y75" s="193"/>
    </row>
    <row r="76" spans="1:25" customFormat="1" ht="32.5" hidden="1" customHeight="1">
      <c r="A76" s="194"/>
      <c r="B76" s="201"/>
      <c r="C76" s="171"/>
      <c r="D76" s="172"/>
      <c r="E76" s="198"/>
      <c r="F76" s="167"/>
      <c r="G76" s="167"/>
      <c r="H76" s="167"/>
      <c r="I76" s="169"/>
      <c r="J76" s="195"/>
      <c r="K76" s="195"/>
      <c r="L76" s="195"/>
      <c r="M76" s="199"/>
      <c r="N76" s="175"/>
      <c r="O76" s="168">
        <f t="shared" si="14"/>
        <v>0</v>
      </c>
      <c r="P76" s="211"/>
      <c r="Q76" s="212"/>
      <c r="R76" s="213"/>
      <c r="S76" s="214"/>
      <c r="T76" s="192"/>
      <c r="V76" s="193"/>
      <c r="Y76" s="193"/>
    </row>
    <row r="77" spans="1:25" customFormat="1" ht="21.5" thickBot="1">
      <c r="A77" s="200"/>
      <c r="B77" s="202"/>
      <c r="C77" s="165"/>
      <c r="D77" s="166"/>
      <c r="E77" s="166"/>
      <c r="F77" s="176"/>
      <c r="G77" s="176"/>
      <c r="H77" s="176"/>
      <c r="I77" s="176"/>
      <c r="J77" s="177"/>
      <c r="K77" s="177"/>
      <c r="L77" s="177"/>
      <c r="M77" s="223" t="s">
        <v>168</v>
      </c>
      <c r="N77" s="223"/>
      <c r="O77" s="219">
        <f>+SUM(O7:O47)</f>
        <v>59479873</v>
      </c>
      <c r="P77" s="215"/>
      <c r="Q77" s="216"/>
      <c r="R77" s="217"/>
      <c r="S77" s="218"/>
      <c r="T77" s="192"/>
      <c r="Y77" s="193"/>
    </row>
    <row r="78" spans="1:25" s="155" customFormat="1" ht="39" customHeight="1">
      <c r="B78" s="224" t="s">
        <v>169</v>
      </c>
      <c r="C78" s="224"/>
      <c r="D78" s="224"/>
      <c r="E78" s="224"/>
      <c r="F78" s="224"/>
      <c r="G78" s="224"/>
      <c r="H78" s="224"/>
      <c r="I78" s="224"/>
      <c r="J78" s="224"/>
      <c r="K78" s="224"/>
      <c r="L78" s="224"/>
      <c r="M78" s="224"/>
      <c r="N78" s="224"/>
      <c r="O78" s="224"/>
      <c r="P78" s="224"/>
      <c r="Q78" s="224"/>
      <c r="R78" s="224"/>
      <c r="S78" s="224"/>
      <c r="T78" s="91"/>
      <c r="U78" s="91"/>
      <c r="V78" s="91"/>
      <c r="W78" s="91"/>
    </row>
    <row r="79" spans="1:25" s="42" customFormat="1" ht="23.5" customHeight="1" thickBot="1">
      <c r="B79" s="152"/>
      <c r="C79" s="152"/>
      <c r="D79" s="152"/>
      <c r="E79" s="152"/>
      <c r="F79" s="152"/>
      <c r="G79" s="152"/>
      <c r="H79" s="152"/>
      <c r="I79" s="152"/>
      <c r="J79" s="152"/>
      <c r="K79" s="152"/>
      <c r="L79" s="152"/>
      <c r="M79" s="222"/>
      <c r="N79" s="222"/>
      <c r="O79" s="178"/>
      <c r="P79" s="152"/>
      <c r="Q79" s="152"/>
      <c r="R79" s="152"/>
      <c r="S79" s="48"/>
    </row>
    <row r="80" spans="1:25" s="42" customFormat="1" ht="12.5" customHeight="1">
      <c r="B80" s="179"/>
      <c r="C80" s="155"/>
      <c r="D80" s="155"/>
      <c r="E80" s="141"/>
      <c r="F80" s="45"/>
      <c r="G80" s="45"/>
      <c r="H80" s="45"/>
      <c r="I80" s="45"/>
      <c r="J80" s="45"/>
      <c r="K80" s="45"/>
      <c r="L80" s="45"/>
      <c r="M80" s="48"/>
      <c r="N80" s="132"/>
      <c r="O80" s="48"/>
      <c r="P80" s="48"/>
      <c r="Q80" s="48"/>
      <c r="R80" s="48"/>
      <c r="S80" s="48"/>
    </row>
    <row r="81" spans="4:15" ht="3.5" customHeight="1"/>
    <row r="82" spans="4:15" hidden="1"/>
    <row r="83" spans="4:15">
      <c r="D83" s="143" t="s">
        <v>173</v>
      </c>
      <c r="E83" s="40"/>
      <c r="F83" s="40"/>
      <c r="M83" s="144"/>
      <c r="O83" s="132"/>
    </row>
    <row r="84" spans="4:15" hidden="1">
      <c r="D84" s="180">
        <v>2020</v>
      </c>
      <c r="E84" s="41">
        <v>1.61</v>
      </c>
      <c r="F84" s="41">
        <f>+E84/100+1</f>
        <v>1.0161</v>
      </c>
    </row>
    <row r="85" spans="4:15" hidden="1">
      <c r="D85" s="180">
        <v>2021</v>
      </c>
      <c r="E85" s="41">
        <v>5.62</v>
      </c>
      <c r="F85" s="41">
        <f t="shared" ref="F85:F93" si="18">+E85/100+1</f>
        <v>1.0562</v>
      </c>
      <c r="M85" s="48" t="s">
        <v>180</v>
      </c>
    </row>
    <row r="86" spans="4:15" hidden="1">
      <c r="D86" s="180">
        <v>2022</v>
      </c>
      <c r="E86" s="41">
        <v>13.12</v>
      </c>
      <c r="F86" s="41">
        <f t="shared" si="18"/>
        <v>1.1312</v>
      </c>
      <c r="G86" s="148"/>
    </row>
    <row r="87" spans="4:15" hidden="1">
      <c r="D87" s="180">
        <v>2023</v>
      </c>
      <c r="E87" s="41">
        <v>9.2799999999999994</v>
      </c>
      <c r="F87" s="41">
        <f t="shared" si="18"/>
        <v>1.0928</v>
      </c>
    </row>
    <row r="88" spans="4:15">
      <c r="D88" s="180">
        <v>2024</v>
      </c>
      <c r="E88" s="181">
        <v>5.2</v>
      </c>
      <c r="F88" s="41">
        <f t="shared" si="18"/>
        <v>1.052</v>
      </c>
    </row>
    <row r="89" spans="4:15">
      <c r="D89" s="180">
        <v>2025</v>
      </c>
      <c r="E89" s="41">
        <v>5.22</v>
      </c>
      <c r="F89" s="41">
        <f t="shared" si="18"/>
        <v>1.0522</v>
      </c>
    </row>
    <row r="90" spans="4:15">
      <c r="D90" s="180" t="s">
        <v>172</v>
      </c>
      <c r="E90" s="41">
        <v>1.18</v>
      </c>
      <c r="F90" s="41">
        <f t="shared" si="18"/>
        <v>1.0118</v>
      </c>
    </row>
    <row r="91" spans="4:15" hidden="1">
      <c r="D91" s="180"/>
      <c r="E91" s="41"/>
      <c r="F91" s="41">
        <f t="shared" si="18"/>
        <v>1</v>
      </c>
    </row>
    <row r="92" spans="4:15" hidden="1">
      <c r="D92" s="40"/>
      <c r="E92" s="41"/>
      <c r="F92" s="41">
        <f t="shared" si="18"/>
        <v>1</v>
      </c>
      <c r="G92" s="148"/>
    </row>
    <row r="93" spans="4:15" hidden="1">
      <c r="D93" s="40"/>
      <c r="E93" s="41"/>
      <c r="F93" s="41">
        <f t="shared" si="18"/>
        <v>1</v>
      </c>
    </row>
    <row r="94" spans="4:15" hidden="1">
      <c r="D94" s="40"/>
      <c r="E94" s="41"/>
      <c r="F94" s="41">
        <f>+E94/100+1</f>
        <v>1</v>
      </c>
      <c r="J94" s="182"/>
      <c r="K94" s="182"/>
      <c r="L94" s="182"/>
    </row>
    <row r="95" spans="4:15" hidden="1">
      <c r="D95" s="40"/>
      <c r="E95" s="41"/>
      <c r="F95" s="41">
        <f>+E95/100+1</f>
        <v>1</v>
      </c>
      <c r="J95" s="182"/>
      <c r="K95" s="182"/>
      <c r="L95" s="182"/>
    </row>
    <row r="96" spans="4:15" hidden="1">
      <c r="D96" s="40"/>
      <c r="E96" s="41"/>
      <c r="F96" s="41">
        <f t="shared" ref="F96:F99" si="19">+E96/100+1</f>
        <v>1</v>
      </c>
    </row>
    <row r="97" spans="4:6" hidden="1">
      <c r="D97" s="40"/>
      <c r="E97" s="41"/>
      <c r="F97" s="41">
        <f t="shared" si="19"/>
        <v>1</v>
      </c>
    </row>
    <row r="98" spans="4:6" hidden="1">
      <c r="D98" s="40"/>
      <c r="E98" s="41"/>
      <c r="F98" s="41">
        <f t="shared" si="19"/>
        <v>1</v>
      </c>
    </row>
    <row r="99" spans="4:6" hidden="1">
      <c r="D99" s="40"/>
      <c r="E99" s="41"/>
      <c r="F99" s="41">
        <f t="shared" si="19"/>
        <v>1</v>
      </c>
    </row>
    <row r="100" spans="4:6">
      <c r="D100" s="155" t="s">
        <v>174</v>
      </c>
    </row>
  </sheetData>
  <autoFilter ref="A5:Y78" xr:uid="{66B21082-0B91-4F9D-BC0A-F88FE018BAAF}"/>
  <mergeCells count="6">
    <mergeCell ref="M79:N79"/>
    <mergeCell ref="M77:N77"/>
    <mergeCell ref="B78:S78"/>
    <mergeCell ref="B2:E4"/>
    <mergeCell ref="M2:S4"/>
    <mergeCell ref="F2:J3"/>
  </mergeCells>
  <phoneticPr fontId="86" type="noConversion"/>
  <conditionalFormatting sqref="S7:S77">
    <cfRule type="cellIs" dxfId="7" priority="1" operator="equal">
      <formula>"BAJO"</formula>
    </cfRule>
  </conditionalFormatting>
  <printOptions horizontalCentered="1" verticalCentered="1"/>
  <pageMargins left="0.59055118110236227" right="0.39370078740157483" top="0.39370078740157483" bottom="0.39370078740157483" header="0.31496062992125984" footer="0.59055118110236227"/>
  <pageSetup scale="27"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747A5-2ADD-4417-A8DE-0FE3913B5892}">
  <sheetPr>
    <tabColor theme="9" tint="-0.249977111117893"/>
  </sheetPr>
  <dimension ref="A1:Y100"/>
  <sheetViews>
    <sheetView showGridLines="0" view="pageLayout" topLeftCell="G8" zoomScale="60" zoomScaleNormal="80" zoomScaleSheetLayoutView="50" zoomScalePageLayoutView="60" workbookViewId="0">
      <selection activeCell="E42" sqref="E42"/>
    </sheetView>
  </sheetViews>
  <sheetFormatPr baseColWidth="10" defaultColWidth="11.453125" defaultRowHeight="21"/>
  <cols>
    <col min="1" max="1" width="4.81640625" style="48" hidden="1" customWidth="1"/>
    <col min="2" max="2" width="14.453125" style="42" customWidth="1"/>
    <col min="3" max="3" width="70.36328125" style="155" customWidth="1"/>
    <col min="4" max="4" width="14.26953125" style="155" customWidth="1"/>
    <col min="5" max="5" width="15.7265625" style="141" customWidth="1"/>
    <col min="6" max="6" width="27.81640625" style="48" customWidth="1"/>
    <col min="7" max="7" width="28.7265625" style="48" customWidth="1"/>
    <col min="8" max="8" width="27.1796875" style="48" customWidth="1"/>
    <col min="9" max="9" width="24" style="48" customWidth="1"/>
    <col min="10" max="10" width="22.81640625" style="48" customWidth="1"/>
    <col min="11" max="12" width="22.81640625" style="48" hidden="1" customWidth="1"/>
    <col min="13" max="13" width="21" style="48" bestFit="1" customWidth="1"/>
    <col min="14" max="14" width="19.453125" style="132" customWidth="1"/>
    <col min="15" max="15" width="33.453125" style="48" customWidth="1"/>
    <col min="16" max="16" width="22" style="48" customWidth="1"/>
    <col min="17" max="17" width="22.1796875" style="48" customWidth="1"/>
    <col min="18" max="18" width="19.1796875" style="48" customWidth="1"/>
    <col min="19" max="19" width="20.7265625" style="48" customWidth="1"/>
    <col min="20" max="20" width="2.453125" style="42" customWidth="1"/>
    <col min="21" max="21" width="11.453125" style="48"/>
    <col min="22" max="22" width="18" style="48" bestFit="1" customWidth="1"/>
    <col min="23" max="24" width="11.453125" style="48"/>
    <col min="25" max="25" width="23.26953125" style="48" bestFit="1" customWidth="1"/>
    <col min="26" max="16384" width="11.453125" style="48"/>
  </cols>
  <sheetData>
    <row r="1" spans="1:22" ht="15.75" customHeight="1" thickBot="1"/>
    <row r="2" spans="1:22" ht="51" customHeight="1">
      <c r="A2" s="156"/>
      <c r="B2" s="225" t="s">
        <v>175</v>
      </c>
      <c r="C2" s="225"/>
      <c r="D2" s="225"/>
      <c r="E2" s="225"/>
      <c r="F2" s="233" t="s">
        <v>221</v>
      </c>
      <c r="G2" s="234"/>
      <c r="H2" s="234"/>
      <c r="I2" s="234"/>
      <c r="J2" s="235"/>
      <c r="K2" s="157"/>
      <c r="L2" s="157"/>
      <c r="M2" s="227" t="s">
        <v>220</v>
      </c>
      <c r="N2" s="228"/>
      <c r="O2" s="228"/>
      <c r="P2" s="228"/>
      <c r="Q2" s="228"/>
      <c r="R2" s="228"/>
      <c r="S2" s="229"/>
    </row>
    <row r="3" spans="1:22" ht="14" customHeight="1">
      <c r="A3" s="158"/>
      <c r="B3" s="226"/>
      <c r="C3" s="226"/>
      <c r="D3" s="226"/>
      <c r="E3" s="226"/>
      <c r="F3" s="236"/>
      <c r="G3" s="237"/>
      <c r="H3" s="237"/>
      <c r="I3" s="237"/>
      <c r="J3" s="238"/>
      <c r="K3" s="157"/>
      <c r="L3" s="157"/>
      <c r="M3" s="230"/>
      <c r="N3" s="231"/>
      <c r="O3" s="231"/>
      <c r="P3" s="231"/>
      <c r="Q3" s="231"/>
      <c r="R3" s="231"/>
      <c r="S3" s="232"/>
    </row>
    <row r="4" spans="1:22" ht="49" customHeight="1">
      <c r="A4" s="158"/>
      <c r="B4" s="226"/>
      <c r="C4" s="226"/>
      <c r="D4" s="226"/>
      <c r="E4" s="226"/>
      <c r="F4" s="140" t="s">
        <v>222</v>
      </c>
      <c r="G4" s="140" t="s">
        <v>223</v>
      </c>
      <c r="H4" s="140" t="s">
        <v>229</v>
      </c>
      <c r="I4" s="140" t="s">
        <v>230</v>
      </c>
      <c r="J4" s="140" t="s">
        <v>231</v>
      </c>
      <c r="K4" s="140" t="s">
        <v>176</v>
      </c>
      <c r="L4" s="140" t="s">
        <v>178</v>
      </c>
      <c r="M4" s="230"/>
      <c r="N4" s="231"/>
      <c r="O4" s="231"/>
      <c r="P4" s="231"/>
      <c r="Q4" s="231"/>
      <c r="R4" s="231"/>
      <c r="S4" s="232"/>
    </row>
    <row r="5" spans="1:22" ht="62" customHeight="1">
      <c r="A5" s="158"/>
      <c r="B5" s="150" t="s">
        <v>64</v>
      </c>
      <c r="C5" s="139" t="s">
        <v>170</v>
      </c>
      <c r="D5" s="139" t="s">
        <v>171</v>
      </c>
      <c r="E5" s="139" t="s">
        <v>79</v>
      </c>
      <c r="F5" s="159" t="s">
        <v>179</v>
      </c>
      <c r="G5" s="159" t="s">
        <v>179</v>
      </c>
      <c r="H5" s="159" t="s">
        <v>177</v>
      </c>
      <c r="I5" s="159" t="s">
        <v>177</v>
      </c>
      <c r="J5" s="159" t="s">
        <v>177</v>
      </c>
      <c r="K5" s="159" t="s">
        <v>177</v>
      </c>
      <c r="L5" s="159" t="s">
        <v>177</v>
      </c>
      <c r="M5" s="140" t="s">
        <v>66</v>
      </c>
      <c r="N5" s="153" t="s">
        <v>67</v>
      </c>
      <c r="O5" s="140" t="s">
        <v>167</v>
      </c>
      <c r="P5" s="140" t="s">
        <v>0</v>
      </c>
      <c r="Q5" s="140" t="s">
        <v>69</v>
      </c>
      <c r="R5" s="140" t="s">
        <v>1</v>
      </c>
      <c r="S5" s="149" t="s">
        <v>2</v>
      </c>
    </row>
    <row r="6" spans="1:22" ht="22.5" hidden="1" customHeight="1">
      <c r="A6" s="160"/>
      <c r="B6" s="161"/>
      <c r="C6" s="162"/>
      <c r="D6" s="145"/>
      <c r="E6" s="142"/>
      <c r="F6" s="163"/>
      <c r="G6" s="163"/>
      <c r="H6" s="164"/>
      <c r="I6" s="163"/>
      <c r="J6" s="163"/>
      <c r="K6" s="163"/>
      <c r="L6" s="163"/>
      <c r="M6" s="151"/>
      <c r="N6" s="154"/>
      <c r="O6" s="146"/>
      <c r="P6" s="146"/>
      <c r="Q6" s="146"/>
      <c r="R6" s="146"/>
      <c r="S6" s="147"/>
    </row>
    <row r="7" spans="1:22" ht="29" customHeight="1">
      <c r="A7" s="160"/>
      <c r="B7" s="161">
        <v>1</v>
      </c>
      <c r="C7" s="165" t="s">
        <v>181</v>
      </c>
      <c r="D7" s="166" t="s">
        <v>182</v>
      </c>
      <c r="E7" s="166">
        <v>40</v>
      </c>
      <c r="F7" s="186">
        <v>1785</v>
      </c>
      <c r="G7" s="186">
        <v>1319</v>
      </c>
      <c r="H7" s="167"/>
      <c r="I7" s="167"/>
      <c r="J7" s="186">
        <v>1071</v>
      </c>
      <c r="K7" s="167"/>
      <c r="L7" s="167"/>
      <c r="M7" s="183">
        <f>COUNT(F7:L7)</f>
        <v>3</v>
      </c>
      <c r="N7" s="184">
        <f>ROUND(AVERAGE(F7:L7),0)</f>
        <v>1392</v>
      </c>
      <c r="O7" s="185">
        <f>+N7*E7</f>
        <v>55680</v>
      </c>
      <c r="P7" s="203">
        <f>STDEVP(F7:J7)</f>
        <v>295.98348302265487</v>
      </c>
      <c r="Q7" s="204">
        <f>P7/N7*100</f>
        <v>21.263181251627504</v>
      </c>
      <c r="R7" s="205">
        <f>100-Q7</f>
        <v>78.736818748372499</v>
      </c>
      <c r="S7" s="206" t="str">
        <f t="shared" ref="S7:S68" si="0">IF(R7&gt;70,"ALTO","BAJO")</f>
        <v>ALTO</v>
      </c>
      <c r="V7" s="132"/>
    </row>
    <row r="8" spans="1:22" ht="48.5" customHeight="1">
      <c r="A8" s="160"/>
      <c r="B8" s="161">
        <v>2</v>
      </c>
      <c r="C8" s="165" t="s">
        <v>183</v>
      </c>
      <c r="D8" s="166" t="s">
        <v>182</v>
      </c>
      <c r="E8" s="166">
        <v>250</v>
      </c>
      <c r="F8" s="186">
        <v>5712</v>
      </c>
      <c r="G8" s="186">
        <v>6797</v>
      </c>
      <c r="H8" s="167"/>
      <c r="I8" s="167"/>
      <c r="J8" s="186">
        <v>3451</v>
      </c>
      <c r="K8" s="164"/>
      <c r="L8" s="164"/>
      <c r="M8" s="183">
        <f t="shared" ref="M8:M69" si="1">COUNT(F8:L8)</f>
        <v>3</v>
      </c>
      <c r="N8" s="184">
        <f t="shared" ref="N8:N69" si="2">ROUND(AVERAGE(F8:L8),0)</f>
        <v>5320</v>
      </c>
      <c r="O8" s="185">
        <f t="shared" ref="O8:O69" si="3">+N8*E8</f>
        <v>1330000</v>
      </c>
      <c r="P8" s="203">
        <f t="shared" ref="P8:P69" si="4">STDEVP(F8:J8)</f>
        <v>1393.8381063332522</v>
      </c>
      <c r="Q8" s="204">
        <f t="shared" ref="Q8:Q69" si="5">P8/N8*100</f>
        <v>26.199964404760379</v>
      </c>
      <c r="R8" s="205">
        <f t="shared" ref="R8:R69" si="6">100-Q8</f>
        <v>73.800035595239621</v>
      </c>
      <c r="S8" s="206" t="str">
        <f t="shared" si="0"/>
        <v>ALTO</v>
      </c>
    </row>
    <row r="9" spans="1:22" ht="22.5" customHeight="1">
      <c r="A9" s="160"/>
      <c r="B9" s="161">
        <f>+B8+1</f>
        <v>3</v>
      </c>
      <c r="C9" s="165" t="s">
        <v>184</v>
      </c>
      <c r="D9" s="166" t="s">
        <v>171</v>
      </c>
      <c r="E9" s="166">
        <v>100</v>
      </c>
      <c r="F9" s="186">
        <v>1071</v>
      </c>
      <c r="G9" s="186">
        <v>1303</v>
      </c>
      <c r="H9" s="167"/>
      <c r="I9" s="167"/>
      <c r="J9" s="187"/>
      <c r="K9" s="164"/>
      <c r="L9" s="164"/>
      <c r="M9" s="183">
        <f t="shared" si="1"/>
        <v>2</v>
      </c>
      <c r="N9" s="184">
        <f t="shared" si="2"/>
        <v>1187</v>
      </c>
      <c r="O9" s="185">
        <f t="shared" si="3"/>
        <v>118700</v>
      </c>
      <c r="P9" s="203">
        <f t="shared" si="4"/>
        <v>116</v>
      </c>
      <c r="Q9" s="204">
        <f t="shared" si="5"/>
        <v>9.7725358045492836</v>
      </c>
      <c r="R9" s="205">
        <f t="shared" si="6"/>
        <v>90.227464195450722</v>
      </c>
      <c r="S9" s="206" t="str">
        <f t="shared" si="0"/>
        <v>ALTO</v>
      </c>
    </row>
    <row r="10" spans="1:22" ht="23" customHeight="1">
      <c r="A10" s="160"/>
      <c r="B10" s="161">
        <f t="shared" ref="B10:B47" si="7">+B9+1</f>
        <v>4</v>
      </c>
      <c r="C10" s="165" t="s">
        <v>185</v>
      </c>
      <c r="D10" s="166" t="s">
        <v>186</v>
      </c>
      <c r="E10" s="166">
        <v>12</v>
      </c>
      <c r="F10" s="186">
        <v>2499</v>
      </c>
      <c r="G10" s="186">
        <v>2850</v>
      </c>
      <c r="H10" s="167"/>
      <c r="I10" s="167"/>
      <c r="J10" s="186">
        <v>1785</v>
      </c>
      <c r="K10" s="164"/>
      <c r="L10" s="164"/>
      <c r="M10" s="183">
        <f t="shared" si="1"/>
        <v>3</v>
      </c>
      <c r="N10" s="184">
        <f t="shared" si="2"/>
        <v>2378</v>
      </c>
      <c r="O10" s="185">
        <f t="shared" si="3"/>
        <v>28536</v>
      </c>
      <c r="P10" s="203">
        <f t="shared" si="4"/>
        <v>443.1230077529263</v>
      </c>
      <c r="Q10" s="204">
        <f t="shared" si="5"/>
        <v>18.634272823924572</v>
      </c>
      <c r="R10" s="205">
        <f t="shared" si="6"/>
        <v>81.365727176075424</v>
      </c>
      <c r="S10" s="206" t="str">
        <f t="shared" si="0"/>
        <v>ALTO</v>
      </c>
    </row>
    <row r="11" spans="1:22" ht="26" customHeight="1">
      <c r="A11" s="160"/>
      <c r="B11" s="161">
        <f t="shared" si="7"/>
        <v>5</v>
      </c>
      <c r="C11" s="165" t="s">
        <v>187</v>
      </c>
      <c r="D11" s="166" t="s">
        <v>186</v>
      </c>
      <c r="E11" s="166">
        <v>2000</v>
      </c>
      <c r="F11" s="186">
        <v>178.5</v>
      </c>
      <c r="G11" s="186">
        <v>240</v>
      </c>
      <c r="H11" s="167"/>
      <c r="I11" s="167"/>
      <c r="J11" s="186">
        <v>226</v>
      </c>
      <c r="K11" s="164"/>
      <c r="L11" s="164"/>
      <c r="M11" s="183">
        <f t="shared" si="1"/>
        <v>3</v>
      </c>
      <c r="N11" s="184">
        <f t="shared" si="2"/>
        <v>215</v>
      </c>
      <c r="O11" s="185">
        <f t="shared" si="3"/>
        <v>430000</v>
      </c>
      <c r="P11" s="203">
        <f t="shared" si="4"/>
        <v>26.319616680761559</v>
      </c>
      <c r="Q11" s="204">
        <f t="shared" si="5"/>
        <v>12.241682177098399</v>
      </c>
      <c r="R11" s="205">
        <f t="shared" si="6"/>
        <v>87.758317822901603</v>
      </c>
      <c r="S11" s="206" t="str">
        <f t="shared" si="0"/>
        <v>ALTO</v>
      </c>
    </row>
    <row r="12" spans="1:22" ht="22" customHeight="1">
      <c r="A12" s="160"/>
      <c r="B12" s="161">
        <f t="shared" si="7"/>
        <v>6</v>
      </c>
      <c r="C12" s="165" t="s">
        <v>188</v>
      </c>
      <c r="D12" s="166" t="s">
        <v>171</v>
      </c>
      <c r="E12" s="166">
        <v>50</v>
      </c>
      <c r="F12" s="186">
        <v>1785</v>
      </c>
      <c r="G12" s="187"/>
      <c r="H12" s="167"/>
      <c r="I12" s="167"/>
      <c r="J12" s="186">
        <v>1071</v>
      </c>
      <c r="K12" s="164"/>
      <c r="L12" s="164"/>
      <c r="M12" s="183">
        <f t="shared" si="1"/>
        <v>2</v>
      </c>
      <c r="N12" s="184">
        <f t="shared" si="2"/>
        <v>1428</v>
      </c>
      <c r="O12" s="185">
        <f t="shared" si="3"/>
        <v>71400</v>
      </c>
      <c r="P12" s="203">
        <f t="shared" si="4"/>
        <v>357</v>
      </c>
      <c r="Q12" s="204">
        <f t="shared" si="5"/>
        <v>25</v>
      </c>
      <c r="R12" s="205">
        <f t="shared" si="6"/>
        <v>75</v>
      </c>
      <c r="S12" s="206" t="str">
        <f t="shared" si="0"/>
        <v>ALTO</v>
      </c>
    </row>
    <row r="13" spans="1:22" ht="23.5" customHeight="1">
      <c r="A13" s="160"/>
      <c r="B13" s="161">
        <f t="shared" si="7"/>
        <v>7</v>
      </c>
      <c r="C13" s="165" t="s">
        <v>189</v>
      </c>
      <c r="D13" s="166" t="s">
        <v>171</v>
      </c>
      <c r="E13" s="166">
        <v>24</v>
      </c>
      <c r="F13" s="186">
        <v>4998</v>
      </c>
      <c r="G13" s="187"/>
      <c r="H13" s="167"/>
      <c r="I13" s="167"/>
      <c r="J13" s="186">
        <v>7497</v>
      </c>
      <c r="K13" s="168"/>
      <c r="L13" s="168"/>
      <c r="M13" s="183">
        <f t="shared" si="1"/>
        <v>2</v>
      </c>
      <c r="N13" s="184">
        <f t="shared" si="2"/>
        <v>6248</v>
      </c>
      <c r="O13" s="185">
        <f t="shared" si="3"/>
        <v>149952</v>
      </c>
      <c r="P13" s="203">
        <f t="shared" si="4"/>
        <v>1249.5</v>
      </c>
      <c r="Q13" s="204">
        <f t="shared" si="5"/>
        <v>19.998399487836107</v>
      </c>
      <c r="R13" s="205">
        <f t="shared" si="6"/>
        <v>80.00160051216389</v>
      </c>
      <c r="S13" s="206" t="str">
        <f t="shared" si="0"/>
        <v>ALTO</v>
      </c>
    </row>
    <row r="14" spans="1:22" customFormat="1" ht="37.5" customHeight="1">
      <c r="A14" s="188"/>
      <c r="B14" s="189">
        <f t="shared" si="7"/>
        <v>8</v>
      </c>
      <c r="C14" s="165" t="s">
        <v>224</v>
      </c>
      <c r="D14" s="166" t="s">
        <v>171</v>
      </c>
      <c r="E14" s="166">
        <v>100</v>
      </c>
      <c r="F14" s="186">
        <v>7080</v>
      </c>
      <c r="G14" s="187"/>
      <c r="H14" s="167"/>
      <c r="I14" s="167"/>
      <c r="J14" s="186">
        <v>5831</v>
      </c>
      <c r="K14" s="190"/>
      <c r="L14" s="190"/>
      <c r="M14" s="191">
        <f t="shared" si="1"/>
        <v>2</v>
      </c>
      <c r="N14" s="184">
        <f t="shared" si="2"/>
        <v>6456</v>
      </c>
      <c r="O14" s="184">
        <f t="shared" si="3"/>
        <v>645600</v>
      </c>
      <c r="P14" s="207">
        <f t="shared" si="4"/>
        <v>624.5</v>
      </c>
      <c r="Q14" s="208">
        <f t="shared" si="5"/>
        <v>9.6731722428748448</v>
      </c>
      <c r="R14" s="209">
        <f t="shared" si="6"/>
        <v>90.326827757125159</v>
      </c>
      <c r="S14" s="210" t="str">
        <f t="shared" si="0"/>
        <v>ALTO</v>
      </c>
      <c r="T14" s="192"/>
    </row>
    <row r="15" spans="1:22" customFormat="1" ht="24" customHeight="1">
      <c r="A15" s="188"/>
      <c r="B15" s="189">
        <f t="shared" si="7"/>
        <v>9</v>
      </c>
      <c r="C15" s="165" t="s">
        <v>190</v>
      </c>
      <c r="D15" s="166" t="s">
        <v>171</v>
      </c>
      <c r="E15" s="166">
        <v>50</v>
      </c>
      <c r="F15" s="186">
        <v>17850</v>
      </c>
      <c r="G15" s="186">
        <v>10993</v>
      </c>
      <c r="H15" s="167"/>
      <c r="I15" s="167"/>
      <c r="J15" s="187"/>
      <c r="K15" s="190"/>
      <c r="L15" s="190"/>
      <c r="M15" s="191">
        <f t="shared" si="1"/>
        <v>2</v>
      </c>
      <c r="N15" s="184">
        <f t="shared" si="2"/>
        <v>14422</v>
      </c>
      <c r="O15" s="184">
        <f t="shared" si="3"/>
        <v>721100</v>
      </c>
      <c r="P15" s="207">
        <f t="shared" si="4"/>
        <v>3428.5</v>
      </c>
      <c r="Q15" s="208">
        <f t="shared" si="5"/>
        <v>23.772708362224378</v>
      </c>
      <c r="R15" s="209">
        <f t="shared" si="6"/>
        <v>76.227291637775622</v>
      </c>
      <c r="S15" s="210" t="str">
        <f t="shared" si="0"/>
        <v>ALTO</v>
      </c>
      <c r="T15" s="192"/>
    </row>
    <row r="16" spans="1:22" customFormat="1" ht="24" customHeight="1">
      <c r="A16" s="188"/>
      <c r="B16" s="189">
        <f t="shared" si="7"/>
        <v>10</v>
      </c>
      <c r="C16" s="165" t="s">
        <v>191</v>
      </c>
      <c r="D16" s="166" t="s">
        <v>171</v>
      </c>
      <c r="E16" s="166">
        <v>50</v>
      </c>
      <c r="F16" s="186">
        <v>4700.5</v>
      </c>
      <c r="G16" s="186">
        <v>3121</v>
      </c>
      <c r="H16" s="167"/>
      <c r="I16" s="167"/>
      <c r="J16" s="186">
        <v>2618</v>
      </c>
      <c r="K16" s="190"/>
      <c r="L16" s="190"/>
      <c r="M16" s="191">
        <f t="shared" si="1"/>
        <v>3</v>
      </c>
      <c r="N16" s="184">
        <f t="shared" si="2"/>
        <v>3480</v>
      </c>
      <c r="O16" s="184">
        <f t="shared" si="3"/>
        <v>174000</v>
      </c>
      <c r="P16" s="207">
        <f t="shared" si="4"/>
        <v>887.23262012970542</v>
      </c>
      <c r="Q16" s="208">
        <f t="shared" si="5"/>
        <v>25.495190233612224</v>
      </c>
      <c r="R16" s="209">
        <f t="shared" si="6"/>
        <v>74.50480976638778</v>
      </c>
      <c r="S16" s="210" t="str">
        <f t="shared" si="0"/>
        <v>ALTO</v>
      </c>
      <c r="T16" s="192"/>
    </row>
    <row r="17" spans="1:25" customFormat="1" ht="21" customHeight="1">
      <c r="A17" s="188"/>
      <c r="B17" s="189">
        <f t="shared" si="7"/>
        <v>11</v>
      </c>
      <c r="C17" s="165" t="s">
        <v>192</v>
      </c>
      <c r="D17" s="166" t="s">
        <v>171</v>
      </c>
      <c r="E17" s="166">
        <v>50</v>
      </c>
      <c r="F17" s="187"/>
      <c r="G17" s="186">
        <v>14569</v>
      </c>
      <c r="H17" s="167"/>
      <c r="I17" s="167"/>
      <c r="J17" s="186">
        <v>8925</v>
      </c>
      <c r="K17" s="168"/>
      <c r="L17" s="168"/>
      <c r="M17" s="191">
        <f t="shared" si="1"/>
        <v>2</v>
      </c>
      <c r="N17" s="184">
        <f t="shared" si="2"/>
        <v>11747</v>
      </c>
      <c r="O17" s="184">
        <f t="shared" si="3"/>
        <v>587350</v>
      </c>
      <c r="P17" s="207">
        <f t="shared" si="4"/>
        <v>2822</v>
      </c>
      <c r="Q17" s="208">
        <f t="shared" si="5"/>
        <v>24.02315484804631</v>
      </c>
      <c r="R17" s="209">
        <f t="shared" si="6"/>
        <v>75.976845151953682</v>
      </c>
      <c r="S17" s="210" t="str">
        <f t="shared" si="0"/>
        <v>ALTO</v>
      </c>
      <c r="T17" s="192"/>
    </row>
    <row r="18" spans="1:25" customFormat="1" ht="45" customHeight="1">
      <c r="A18" s="188"/>
      <c r="B18" s="189">
        <f t="shared" si="7"/>
        <v>12</v>
      </c>
      <c r="C18" s="165" t="s">
        <v>227</v>
      </c>
      <c r="D18" s="166" t="s">
        <v>171</v>
      </c>
      <c r="E18" s="166">
        <v>6</v>
      </c>
      <c r="F18" s="186">
        <v>1725500</v>
      </c>
      <c r="G18" s="186">
        <v>1547089</v>
      </c>
      <c r="H18" s="167"/>
      <c r="I18" s="167"/>
      <c r="J18" s="186">
        <v>1166200</v>
      </c>
      <c r="K18" s="168"/>
      <c r="L18" s="168"/>
      <c r="M18" s="191">
        <f t="shared" si="1"/>
        <v>3</v>
      </c>
      <c r="N18" s="184">
        <f t="shared" si="2"/>
        <v>1479596</v>
      </c>
      <c r="O18" s="184">
        <f t="shared" si="3"/>
        <v>8877576</v>
      </c>
      <c r="P18" s="207">
        <f t="shared" si="4"/>
        <v>233267.46814237846</v>
      </c>
      <c r="Q18" s="208">
        <f t="shared" si="5"/>
        <v>15.765619002915557</v>
      </c>
      <c r="R18" s="209">
        <f t="shared" si="6"/>
        <v>84.234380997084443</v>
      </c>
      <c r="S18" s="210" t="str">
        <f t="shared" si="0"/>
        <v>ALTO</v>
      </c>
      <c r="T18" s="192"/>
    </row>
    <row r="19" spans="1:25" customFormat="1">
      <c r="A19" s="188"/>
      <c r="B19" s="189">
        <f t="shared" si="7"/>
        <v>13</v>
      </c>
      <c r="C19" s="165" t="s">
        <v>225</v>
      </c>
      <c r="D19" s="166" t="s">
        <v>171</v>
      </c>
      <c r="E19" s="166">
        <v>24</v>
      </c>
      <c r="F19" s="187"/>
      <c r="G19" s="186">
        <v>64327</v>
      </c>
      <c r="H19" s="167"/>
      <c r="I19" s="167"/>
      <c r="J19" s="186">
        <v>40460</v>
      </c>
      <c r="K19" s="169"/>
      <c r="L19" s="169"/>
      <c r="M19" s="191">
        <f t="shared" si="1"/>
        <v>2</v>
      </c>
      <c r="N19" s="184">
        <f t="shared" si="2"/>
        <v>52394</v>
      </c>
      <c r="O19" s="184">
        <f t="shared" si="3"/>
        <v>1257456</v>
      </c>
      <c r="P19" s="207">
        <f t="shared" si="4"/>
        <v>11933.5</v>
      </c>
      <c r="Q19" s="208">
        <f t="shared" si="5"/>
        <v>22.776462953773333</v>
      </c>
      <c r="R19" s="209">
        <f t="shared" si="6"/>
        <v>77.223537046226667</v>
      </c>
      <c r="S19" s="210" t="str">
        <f t="shared" si="0"/>
        <v>ALTO</v>
      </c>
      <c r="T19" s="192"/>
      <c r="V19" s="193"/>
      <c r="Y19" s="193"/>
    </row>
    <row r="20" spans="1:25" customFormat="1" ht="27.5" customHeight="1">
      <c r="A20" s="194"/>
      <c r="B20" s="189">
        <f t="shared" si="7"/>
        <v>14</v>
      </c>
      <c r="C20" s="165" t="s">
        <v>193</v>
      </c>
      <c r="D20" s="166" t="s">
        <v>171</v>
      </c>
      <c r="E20" s="166">
        <v>6</v>
      </c>
      <c r="F20" s="186">
        <v>339983</v>
      </c>
      <c r="G20" s="186">
        <v>223107</v>
      </c>
      <c r="H20" s="167"/>
      <c r="I20" s="167"/>
      <c r="J20" s="186">
        <v>165410</v>
      </c>
      <c r="K20" s="195"/>
      <c r="L20" s="195"/>
      <c r="M20" s="191">
        <f t="shared" si="1"/>
        <v>3</v>
      </c>
      <c r="N20" s="184">
        <f t="shared" si="2"/>
        <v>242833</v>
      </c>
      <c r="O20" s="184">
        <f t="shared" si="3"/>
        <v>1456998</v>
      </c>
      <c r="P20" s="207">
        <f t="shared" si="4"/>
        <v>72621.297391942047</v>
      </c>
      <c r="Q20" s="208">
        <f t="shared" si="5"/>
        <v>29.90586015572103</v>
      </c>
      <c r="R20" s="209">
        <f t="shared" si="6"/>
        <v>70.09413984427897</v>
      </c>
      <c r="S20" s="210" t="str">
        <f t="shared" si="0"/>
        <v>ALTO</v>
      </c>
      <c r="T20" s="192"/>
      <c r="V20" s="193"/>
      <c r="Y20" s="193"/>
    </row>
    <row r="21" spans="1:25" customFormat="1" ht="36.5" customHeight="1">
      <c r="A21" s="194"/>
      <c r="B21" s="189">
        <f t="shared" si="7"/>
        <v>15</v>
      </c>
      <c r="C21" s="165" t="s">
        <v>194</v>
      </c>
      <c r="D21" s="166" t="s">
        <v>171</v>
      </c>
      <c r="E21" s="166">
        <v>24</v>
      </c>
      <c r="F21" s="186">
        <v>8687</v>
      </c>
      <c r="G21" s="186">
        <v>7506</v>
      </c>
      <c r="H21" s="167"/>
      <c r="I21" s="167"/>
      <c r="J21" s="186">
        <v>9758</v>
      </c>
      <c r="K21" s="195"/>
      <c r="L21" s="195"/>
      <c r="M21" s="191">
        <f t="shared" si="1"/>
        <v>3</v>
      </c>
      <c r="N21" s="184">
        <f t="shared" si="2"/>
        <v>8650</v>
      </c>
      <c r="O21" s="184">
        <f t="shared" si="3"/>
        <v>207600</v>
      </c>
      <c r="P21" s="207">
        <f t="shared" si="4"/>
        <v>919.74066393135456</v>
      </c>
      <c r="Q21" s="208">
        <f t="shared" si="5"/>
        <v>10.632840045449186</v>
      </c>
      <c r="R21" s="209">
        <f t="shared" si="6"/>
        <v>89.367159954550814</v>
      </c>
      <c r="S21" s="210" t="str">
        <f t="shared" si="0"/>
        <v>ALTO</v>
      </c>
      <c r="T21" s="192"/>
      <c r="V21" s="193"/>
      <c r="Y21" s="193"/>
    </row>
    <row r="22" spans="1:25" customFormat="1">
      <c r="A22" s="194"/>
      <c r="B22" s="189">
        <f t="shared" si="7"/>
        <v>16</v>
      </c>
      <c r="C22" s="165" t="s">
        <v>195</v>
      </c>
      <c r="D22" s="166" t="s">
        <v>171</v>
      </c>
      <c r="E22" s="166">
        <v>50</v>
      </c>
      <c r="F22" s="187"/>
      <c r="G22" s="186">
        <v>1183</v>
      </c>
      <c r="H22" s="167"/>
      <c r="I22" s="167"/>
      <c r="J22" s="186">
        <v>1666</v>
      </c>
      <c r="K22" s="195"/>
      <c r="L22" s="195"/>
      <c r="M22" s="191">
        <f t="shared" si="1"/>
        <v>2</v>
      </c>
      <c r="N22" s="184">
        <f t="shared" si="2"/>
        <v>1425</v>
      </c>
      <c r="O22" s="184">
        <f t="shared" si="3"/>
        <v>71250</v>
      </c>
      <c r="P22" s="207">
        <f t="shared" si="4"/>
        <v>241.5</v>
      </c>
      <c r="Q22" s="208">
        <f t="shared" si="5"/>
        <v>16.94736842105263</v>
      </c>
      <c r="R22" s="209">
        <f t="shared" si="6"/>
        <v>83.05263157894737</v>
      </c>
      <c r="S22" s="210" t="str">
        <f t="shared" si="0"/>
        <v>ALTO</v>
      </c>
      <c r="T22" s="192"/>
      <c r="V22" s="193"/>
      <c r="Y22" s="193"/>
    </row>
    <row r="23" spans="1:25" customFormat="1">
      <c r="A23" s="194"/>
      <c r="B23" s="189">
        <f t="shared" si="7"/>
        <v>17</v>
      </c>
      <c r="C23" s="165" t="s">
        <v>196</v>
      </c>
      <c r="D23" s="166" t="s">
        <v>171</v>
      </c>
      <c r="E23" s="166">
        <v>800</v>
      </c>
      <c r="F23" s="186">
        <v>535.5</v>
      </c>
      <c r="G23" s="186">
        <v>669</v>
      </c>
      <c r="H23" s="167"/>
      <c r="I23" s="167"/>
      <c r="J23" s="186">
        <v>655</v>
      </c>
      <c r="K23" s="195"/>
      <c r="L23" s="195"/>
      <c r="M23" s="191">
        <f t="shared" si="1"/>
        <v>3</v>
      </c>
      <c r="N23" s="184">
        <f t="shared" si="2"/>
        <v>620</v>
      </c>
      <c r="O23" s="184">
        <f t="shared" si="3"/>
        <v>496000</v>
      </c>
      <c r="P23" s="207">
        <f t="shared" si="4"/>
        <v>59.905944798677723</v>
      </c>
      <c r="Q23" s="208">
        <f t="shared" si="5"/>
        <v>9.6622491610770531</v>
      </c>
      <c r="R23" s="209">
        <f t="shared" si="6"/>
        <v>90.337750838922943</v>
      </c>
      <c r="S23" s="210" t="str">
        <f t="shared" si="0"/>
        <v>ALTO</v>
      </c>
      <c r="T23" s="192"/>
      <c r="V23" s="193"/>
      <c r="Y23" s="193"/>
    </row>
    <row r="24" spans="1:25" customFormat="1" ht="41.5" customHeight="1">
      <c r="A24" s="194"/>
      <c r="B24" s="189">
        <f t="shared" si="7"/>
        <v>18</v>
      </c>
      <c r="C24" s="165" t="s">
        <v>197</v>
      </c>
      <c r="D24" s="166" t="s">
        <v>198</v>
      </c>
      <c r="E24" s="166">
        <v>30</v>
      </c>
      <c r="F24" s="186">
        <v>3689</v>
      </c>
      <c r="G24" s="186">
        <v>3126</v>
      </c>
      <c r="H24" s="167"/>
      <c r="I24" s="167"/>
      <c r="J24" s="186">
        <v>3451</v>
      </c>
      <c r="K24" s="195"/>
      <c r="L24" s="195"/>
      <c r="M24" s="191">
        <f t="shared" si="1"/>
        <v>3</v>
      </c>
      <c r="N24" s="184">
        <f t="shared" si="2"/>
        <v>3422</v>
      </c>
      <c r="O24" s="184">
        <f t="shared" si="3"/>
        <v>102660</v>
      </c>
      <c r="P24" s="207">
        <f t="shared" si="4"/>
        <v>230.75672615693495</v>
      </c>
      <c r="Q24" s="208">
        <f t="shared" si="5"/>
        <v>6.7433292272628567</v>
      </c>
      <c r="R24" s="209">
        <f t="shared" si="6"/>
        <v>93.256670772737138</v>
      </c>
      <c r="S24" s="210" t="str">
        <f t="shared" si="0"/>
        <v>ALTO</v>
      </c>
      <c r="T24" s="192"/>
      <c r="V24" s="193"/>
      <c r="Y24" s="193"/>
    </row>
    <row r="25" spans="1:25" customFormat="1">
      <c r="A25" s="194"/>
      <c r="B25" s="189">
        <f t="shared" si="7"/>
        <v>19</v>
      </c>
      <c r="C25" s="165" t="s">
        <v>199</v>
      </c>
      <c r="D25" s="166" t="s">
        <v>198</v>
      </c>
      <c r="E25" s="166">
        <v>12</v>
      </c>
      <c r="F25" s="186">
        <v>4629.1000000000004</v>
      </c>
      <c r="G25" s="186">
        <v>8957</v>
      </c>
      <c r="H25" s="167"/>
      <c r="I25" s="167"/>
      <c r="J25" s="186">
        <v>6902</v>
      </c>
      <c r="K25" s="195"/>
      <c r="L25" s="195"/>
      <c r="M25" s="191">
        <f t="shared" si="1"/>
        <v>3</v>
      </c>
      <c r="N25" s="184">
        <f t="shared" si="2"/>
        <v>6829</v>
      </c>
      <c r="O25" s="184">
        <f t="shared" si="3"/>
        <v>81948</v>
      </c>
      <c r="P25" s="207">
        <f t="shared" si="4"/>
        <v>1767.6040852584122</v>
      </c>
      <c r="Q25" s="208">
        <f t="shared" si="5"/>
        <v>25.883790968786236</v>
      </c>
      <c r="R25" s="209">
        <f t="shared" si="6"/>
        <v>74.116209031213771</v>
      </c>
      <c r="S25" s="210" t="str">
        <f t="shared" si="0"/>
        <v>ALTO</v>
      </c>
      <c r="T25" s="192"/>
      <c r="V25" s="193"/>
      <c r="Y25" s="193"/>
    </row>
    <row r="26" spans="1:25" customFormat="1">
      <c r="A26" s="194"/>
      <c r="B26" s="189">
        <f t="shared" si="7"/>
        <v>20</v>
      </c>
      <c r="C26" s="165" t="s">
        <v>200</v>
      </c>
      <c r="D26" s="166" t="s">
        <v>171</v>
      </c>
      <c r="E26" s="166">
        <v>40</v>
      </c>
      <c r="F26" s="186">
        <v>17850</v>
      </c>
      <c r="G26" s="186">
        <v>10803</v>
      </c>
      <c r="H26" s="167"/>
      <c r="I26" s="167"/>
      <c r="J26" s="186">
        <v>14875</v>
      </c>
      <c r="K26" s="195"/>
      <c r="L26" s="195"/>
      <c r="M26" s="191">
        <f t="shared" si="1"/>
        <v>3</v>
      </c>
      <c r="N26" s="184">
        <f t="shared" si="2"/>
        <v>14509</v>
      </c>
      <c r="O26" s="184">
        <f t="shared" si="3"/>
        <v>580360</v>
      </c>
      <c r="P26" s="207">
        <f t="shared" si="4"/>
        <v>2888.5216903384257</v>
      </c>
      <c r="Q26" s="208">
        <f t="shared" si="5"/>
        <v>19.908482254727588</v>
      </c>
      <c r="R26" s="209">
        <f t="shared" si="6"/>
        <v>80.091517745272412</v>
      </c>
      <c r="S26" s="210" t="str">
        <f t="shared" si="0"/>
        <v>ALTO</v>
      </c>
      <c r="T26" s="192"/>
      <c r="V26" s="193"/>
      <c r="Y26" s="193"/>
    </row>
    <row r="27" spans="1:25" customFormat="1">
      <c r="A27" s="194"/>
      <c r="B27" s="189">
        <f t="shared" si="7"/>
        <v>21</v>
      </c>
      <c r="C27" s="165" t="s">
        <v>201</v>
      </c>
      <c r="D27" s="166" t="s">
        <v>171</v>
      </c>
      <c r="E27" s="166">
        <v>3</v>
      </c>
      <c r="F27" s="186">
        <v>278460</v>
      </c>
      <c r="G27" s="186">
        <v>164412</v>
      </c>
      <c r="H27" s="167"/>
      <c r="I27" s="167"/>
      <c r="J27" s="187"/>
      <c r="K27" s="195"/>
      <c r="L27" s="195"/>
      <c r="M27" s="191">
        <f t="shared" si="1"/>
        <v>2</v>
      </c>
      <c r="N27" s="184">
        <f t="shared" si="2"/>
        <v>221436</v>
      </c>
      <c r="O27" s="184">
        <f t="shared" si="3"/>
        <v>664308</v>
      </c>
      <c r="P27" s="207">
        <f t="shared" si="4"/>
        <v>57024</v>
      </c>
      <c r="Q27" s="208">
        <f t="shared" si="5"/>
        <v>25.751910258494554</v>
      </c>
      <c r="R27" s="209">
        <f t="shared" si="6"/>
        <v>74.248089741505453</v>
      </c>
      <c r="S27" s="210" t="str">
        <f t="shared" si="0"/>
        <v>ALTO</v>
      </c>
      <c r="T27" s="192"/>
      <c r="V27" s="193"/>
      <c r="Y27" s="193"/>
    </row>
    <row r="28" spans="1:25" customFormat="1">
      <c r="A28" s="194"/>
      <c r="B28" s="189">
        <f t="shared" si="7"/>
        <v>22</v>
      </c>
      <c r="C28" s="170" t="s">
        <v>202</v>
      </c>
      <c r="D28" s="166" t="s">
        <v>171</v>
      </c>
      <c r="E28" s="166">
        <v>100</v>
      </c>
      <c r="F28" s="186">
        <v>540</v>
      </c>
      <c r="G28" s="186">
        <v>821</v>
      </c>
      <c r="H28" s="167"/>
      <c r="I28" s="167"/>
      <c r="J28" s="186">
        <v>500</v>
      </c>
      <c r="K28" s="195"/>
      <c r="L28" s="195"/>
      <c r="M28" s="191">
        <f t="shared" si="1"/>
        <v>3</v>
      </c>
      <c r="N28" s="184">
        <f t="shared" si="2"/>
        <v>620</v>
      </c>
      <c r="O28" s="184">
        <f t="shared" si="3"/>
        <v>62000</v>
      </c>
      <c r="P28" s="207">
        <f t="shared" si="4"/>
        <v>142.82934650211848</v>
      </c>
      <c r="Q28" s="208">
        <f t="shared" si="5"/>
        <v>23.03699137130943</v>
      </c>
      <c r="R28" s="209">
        <f t="shared" si="6"/>
        <v>76.963008628690574</v>
      </c>
      <c r="S28" s="210" t="str">
        <f t="shared" si="0"/>
        <v>ALTO</v>
      </c>
      <c r="T28" s="192"/>
      <c r="V28" s="193"/>
      <c r="Y28" s="193"/>
    </row>
    <row r="29" spans="1:25" customFormat="1" ht="37">
      <c r="A29" s="194"/>
      <c r="B29" s="189">
        <f t="shared" si="7"/>
        <v>23</v>
      </c>
      <c r="C29" s="165" t="s">
        <v>226</v>
      </c>
      <c r="D29" s="166" t="s">
        <v>138</v>
      </c>
      <c r="E29" s="166">
        <v>100</v>
      </c>
      <c r="F29" s="186">
        <v>1785</v>
      </c>
      <c r="G29" s="187"/>
      <c r="H29" s="167"/>
      <c r="I29" s="167"/>
      <c r="J29" s="186">
        <v>1904</v>
      </c>
      <c r="K29" s="195"/>
      <c r="L29" s="195"/>
      <c r="M29" s="191">
        <f t="shared" si="1"/>
        <v>2</v>
      </c>
      <c r="N29" s="184">
        <f t="shared" si="2"/>
        <v>1845</v>
      </c>
      <c r="O29" s="184">
        <f t="shared" si="3"/>
        <v>184500</v>
      </c>
      <c r="P29" s="207">
        <f t="shared" si="4"/>
        <v>59.5</v>
      </c>
      <c r="Q29" s="208">
        <f t="shared" si="5"/>
        <v>3.2249322493224932</v>
      </c>
      <c r="R29" s="209">
        <f t="shared" si="6"/>
        <v>96.775067750677508</v>
      </c>
      <c r="S29" s="210" t="str">
        <f t="shared" si="0"/>
        <v>ALTO</v>
      </c>
      <c r="T29" s="192"/>
      <c r="V29" s="193"/>
      <c r="Y29" s="193"/>
    </row>
    <row r="30" spans="1:25" customFormat="1">
      <c r="A30" s="194"/>
      <c r="B30" s="189">
        <f t="shared" si="7"/>
        <v>24</v>
      </c>
      <c r="C30" s="165" t="s">
        <v>203</v>
      </c>
      <c r="D30" s="166" t="s">
        <v>171</v>
      </c>
      <c r="E30" s="166">
        <v>24</v>
      </c>
      <c r="F30" s="186">
        <v>1666</v>
      </c>
      <c r="G30" s="186">
        <v>1274</v>
      </c>
      <c r="H30" s="167"/>
      <c r="I30" s="167"/>
      <c r="J30" s="186">
        <v>1904</v>
      </c>
      <c r="K30" s="195"/>
      <c r="L30" s="195"/>
      <c r="M30" s="191">
        <f t="shared" si="1"/>
        <v>3</v>
      </c>
      <c r="N30" s="184">
        <f t="shared" si="2"/>
        <v>1615</v>
      </c>
      <c r="O30" s="184">
        <f t="shared" si="3"/>
        <v>38760</v>
      </c>
      <c r="P30" s="207">
        <f t="shared" si="4"/>
        <v>259.74517426808058</v>
      </c>
      <c r="Q30" s="208">
        <f t="shared" si="5"/>
        <v>16.083292524339356</v>
      </c>
      <c r="R30" s="209">
        <f t="shared" si="6"/>
        <v>83.916707475660644</v>
      </c>
      <c r="S30" s="210" t="str">
        <f t="shared" si="0"/>
        <v>ALTO</v>
      </c>
      <c r="T30" s="192"/>
      <c r="V30" s="193"/>
      <c r="Y30" s="193"/>
    </row>
    <row r="31" spans="1:25" customFormat="1">
      <c r="A31" s="194"/>
      <c r="B31" s="189">
        <f t="shared" si="7"/>
        <v>25</v>
      </c>
      <c r="C31" s="165" t="s">
        <v>204</v>
      </c>
      <c r="D31" s="166" t="s">
        <v>171</v>
      </c>
      <c r="E31" s="166">
        <v>24</v>
      </c>
      <c r="F31" s="186">
        <v>2142</v>
      </c>
      <c r="G31" s="186">
        <v>4071</v>
      </c>
      <c r="H31" s="167"/>
      <c r="I31" s="167"/>
      <c r="J31" s="186">
        <v>3332</v>
      </c>
      <c r="K31" s="195"/>
      <c r="L31" s="195"/>
      <c r="M31" s="191">
        <f t="shared" si="1"/>
        <v>3</v>
      </c>
      <c r="N31" s="184">
        <f t="shared" si="2"/>
        <v>3182</v>
      </c>
      <c r="O31" s="184">
        <f t="shared" si="3"/>
        <v>76368</v>
      </c>
      <c r="P31" s="207">
        <f t="shared" si="4"/>
        <v>794.65310391110631</v>
      </c>
      <c r="Q31" s="208">
        <f t="shared" si="5"/>
        <v>24.973384786646964</v>
      </c>
      <c r="R31" s="209">
        <f t="shared" si="6"/>
        <v>75.02661521335304</v>
      </c>
      <c r="S31" s="210" t="str">
        <f t="shared" si="0"/>
        <v>ALTO</v>
      </c>
      <c r="T31" s="192"/>
      <c r="V31" s="193"/>
      <c r="Y31" s="193"/>
    </row>
    <row r="32" spans="1:25" customFormat="1">
      <c r="A32" s="194"/>
      <c r="B32" s="189">
        <f t="shared" si="7"/>
        <v>26</v>
      </c>
      <c r="C32" s="165" t="s">
        <v>205</v>
      </c>
      <c r="D32" s="166" t="s">
        <v>171</v>
      </c>
      <c r="E32" s="166">
        <v>100</v>
      </c>
      <c r="F32" s="186">
        <v>2261</v>
      </c>
      <c r="G32" s="186">
        <v>1405</v>
      </c>
      <c r="H32" s="167"/>
      <c r="I32" s="167"/>
      <c r="J32" s="186">
        <v>2142</v>
      </c>
      <c r="K32" s="195"/>
      <c r="L32" s="195"/>
      <c r="M32" s="191">
        <f t="shared" si="1"/>
        <v>3</v>
      </c>
      <c r="N32" s="184">
        <f t="shared" si="2"/>
        <v>1936</v>
      </c>
      <c r="O32" s="184">
        <f t="shared" si="3"/>
        <v>193600</v>
      </c>
      <c r="P32" s="207">
        <f t="shared" si="4"/>
        <v>378.60357455611359</v>
      </c>
      <c r="Q32" s="208">
        <f t="shared" si="5"/>
        <v>19.555969760129834</v>
      </c>
      <c r="R32" s="209">
        <f t="shared" si="6"/>
        <v>80.444030239870159</v>
      </c>
      <c r="S32" s="210" t="str">
        <f t="shared" si="0"/>
        <v>ALTO</v>
      </c>
      <c r="T32" s="192"/>
      <c r="V32" s="193"/>
      <c r="Y32" s="193"/>
    </row>
    <row r="33" spans="1:25" customFormat="1">
      <c r="A33" s="194"/>
      <c r="B33" s="189">
        <f t="shared" si="7"/>
        <v>27</v>
      </c>
      <c r="C33" s="165" t="s">
        <v>206</v>
      </c>
      <c r="D33" s="166" t="s">
        <v>171</v>
      </c>
      <c r="E33" s="166">
        <v>100</v>
      </c>
      <c r="F33" s="186">
        <v>2261</v>
      </c>
      <c r="G33" s="186">
        <v>1430</v>
      </c>
      <c r="H33" s="167"/>
      <c r="I33" s="167"/>
      <c r="J33" s="186">
        <v>2142</v>
      </c>
      <c r="K33" s="195"/>
      <c r="L33" s="195"/>
      <c r="M33" s="191">
        <f t="shared" si="1"/>
        <v>3</v>
      </c>
      <c r="N33" s="184">
        <f t="shared" si="2"/>
        <v>1944</v>
      </c>
      <c r="O33" s="184">
        <f t="shared" si="3"/>
        <v>194400</v>
      </c>
      <c r="P33" s="207">
        <f t="shared" si="4"/>
        <v>366.91900408067659</v>
      </c>
      <c r="Q33" s="208">
        <f t="shared" si="5"/>
        <v>18.874434366289947</v>
      </c>
      <c r="R33" s="209">
        <f t="shared" si="6"/>
        <v>81.125565633710053</v>
      </c>
      <c r="S33" s="210" t="str">
        <f t="shared" si="0"/>
        <v>ALTO</v>
      </c>
      <c r="T33" s="192"/>
      <c r="V33" s="193"/>
      <c r="Y33" s="193"/>
    </row>
    <row r="34" spans="1:25" customFormat="1">
      <c r="A34" s="194"/>
      <c r="B34" s="189">
        <f t="shared" si="7"/>
        <v>28</v>
      </c>
      <c r="C34" s="165" t="s">
        <v>207</v>
      </c>
      <c r="D34" s="166" t="s">
        <v>171</v>
      </c>
      <c r="E34" s="166">
        <v>100</v>
      </c>
      <c r="F34" s="186">
        <v>2261</v>
      </c>
      <c r="G34" s="186">
        <v>1430</v>
      </c>
      <c r="H34" s="167"/>
      <c r="I34" s="167"/>
      <c r="J34" s="186">
        <v>2142</v>
      </c>
      <c r="K34" s="195"/>
      <c r="L34" s="195"/>
      <c r="M34" s="191">
        <f t="shared" si="1"/>
        <v>3</v>
      </c>
      <c r="N34" s="184">
        <f t="shared" si="2"/>
        <v>1944</v>
      </c>
      <c r="O34" s="184">
        <f t="shared" si="3"/>
        <v>194400</v>
      </c>
      <c r="P34" s="207">
        <f t="shared" si="4"/>
        <v>366.91900408067659</v>
      </c>
      <c r="Q34" s="208">
        <f t="shared" si="5"/>
        <v>18.874434366289947</v>
      </c>
      <c r="R34" s="209">
        <f t="shared" si="6"/>
        <v>81.125565633710053</v>
      </c>
      <c r="S34" s="210" t="str">
        <f t="shared" si="0"/>
        <v>ALTO</v>
      </c>
      <c r="T34" s="192"/>
      <c r="V34" s="193"/>
      <c r="Y34" s="193"/>
    </row>
    <row r="35" spans="1:25" customFormat="1" ht="42.5" customHeight="1">
      <c r="A35" s="194"/>
      <c r="B35" s="189">
        <f t="shared" si="7"/>
        <v>29</v>
      </c>
      <c r="C35" s="165" t="s">
        <v>208</v>
      </c>
      <c r="D35" s="166" t="s">
        <v>171</v>
      </c>
      <c r="E35" s="166">
        <v>24</v>
      </c>
      <c r="F35" s="186">
        <v>32725</v>
      </c>
      <c r="G35" s="186">
        <v>39239</v>
      </c>
      <c r="H35" s="167"/>
      <c r="I35" s="167"/>
      <c r="J35" s="186">
        <v>22610</v>
      </c>
      <c r="K35" s="195"/>
      <c r="L35" s="195"/>
      <c r="M35" s="191">
        <f t="shared" si="1"/>
        <v>3</v>
      </c>
      <c r="N35" s="184">
        <f t="shared" si="2"/>
        <v>31525</v>
      </c>
      <c r="O35" s="184">
        <f t="shared" si="3"/>
        <v>756600</v>
      </c>
      <c r="P35" s="207">
        <f t="shared" si="4"/>
        <v>6841.6133737266646</v>
      </c>
      <c r="Q35" s="208">
        <f t="shared" si="5"/>
        <v>21.70218358041765</v>
      </c>
      <c r="R35" s="209">
        <f t="shared" si="6"/>
        <v>78.297816419582347</v>
      </c>
      <c r="S35" s="210" t="str">
        <f t="shared" si="0"/>
        <v>ALTO</v>
      </c>
      <c r="T35" s="192"/>
      <c r="V35" s="193"/>
      <c r="Y35" s="193"/>
    </row>
    <row r="36" spans="1:25" customFormat="1" ht="44.5" customHeight="1">
      <c r="A36" s="194"/>
      <c r="B36" s="189">
        <f t="shared" si="7"/>
        <v>30</v>
      </c>
      <c r="C36" s="165" t="s">
        <v>209</v>
      </c>
      <c r="D36" s="166" t="s">
        <v>138</v>
      </c>
      <c r="E36" s="166">
        <v>50</v>
      </c>
      <c r="F36" s="186">
        <v>2975</v>
      </c>
      <c r="G36" s="186">
        <v>3077</v>
      </c>
      <c r="H36" s="167"/>
      <c r="I36" s="167"/>
      <c r="J36" s="187"/>
      <c r="K36" s="195"/>
      <c r="L36" s="195"/>
      <c r="M36" s="191">
        <f t="shared" si="1"/>
        <v>2</v>
      </c>
      <c r="N36" s="184">
        <f t="shared" si="2"/>
        <v>3026</v>
      </c>
      <c r="O36" s="184">
        <f t="shared" si="3"/>
        <v>151300</v>
      </c>
      <c r="P36" s="207">
        <f t="shared" si="4"/>
        <v>51</v>
      </c>
      <c r="Q36" s="208">
        <f t="shared" si="5"/>
        <v>1.6853932584269662</v>
      </c>
      <c r="R36" s="209">
        <f t="shared" si="6"/>
        <v>98.31460674157303</v>
      </c>
      <c r="S36" s="210" t="str">
        <f t="shared" si="0"/>
        <v>ALTO</v>
      </c>
      <c r="T36" s="192"/>
      <c r="V36" s="193"/>
      <c r="Y36" s="193"/>
    </row>
    <row r="37" spans="1:25" customFormat="1">
      <c r="A37" s="194"/>
      <c r="B37" s="189">
        <f t="shared" si="7"/>
        <v>31</v>
      </c>
      <c r="C37" s="165" t="s">
        <v>210</v>
      </c>
      <c r="D37" s="166" t="s">
        <v>171</v>
      </c>
      <c r="E37" s="166">
        <v>60</v>
      </c>
      <c r="F37" s="186">
        <v>5759.6</v>
      </c>
      <c r="G37" s="186">
        <v>5338</v>
      </c>
      <c r="H37" s="167"/>
      <c r="I37" s="167"/>
      <c r="J37" s="186">
        <v>4284</v>
      </c>
      <c r="K37" s="195"/>
      <c r="L37" s="195"/>
      <c r="M37" s="191">
        <f t="shared" si="1"/>
        <v>3</v>
      </c>
      <c r="N37" s="184">
        <f t="shared" si="2"/>
        <v>5127</v>
      </c>
      <c r="O37" s="184">
        <f t="shared" si="3"/>
        <v>307620</v>
      </c>
      <c r="P37" s="207">
        <f t="shared" si="4"/>
        <v>620.57839687396893</v>
      </c>
      <c r="Q37" s="208">
        <f t="shared" si="5"/>
        <v>12.104123207996272</v>
      </c>
      <c r="R37" s="209">
        <f t="shared" si="6"/>
        <v>87.895876792003733</v>
      </c>
      <c r="S37" s="210" t="str">
        <f t="shared" si="0"/>
        <v>ALTO</v>
      </c>
      <c r="T37" s="192"/>
      <c r="V37" s="193"/>
      <c r="Y37" s="193"/>
    </row>
    <row r="38" spans="1:25" customFormat="1">
      <c r="A38" s="194"/>
      <c r="B38" s="189">
        <f t="shared" si="7"/>
        <v>32</v>
      </c>
      <c r="C38" s="165" t="s">
        <v>211</v>
      </c>
      <c r="D38" s="166" t="s">
        <v>171</v>
      </c>
      <c r="E38" s="166">
        <v>60</v>
      </c>
      <c r="F38" s="186">
        <v>5759.6</v>
      </c>
      <c r="G38" s="186">
        <v>5273</v>
      </c>
      <c r="H38" s="167"/>
      <c r="I38" s="167"/>
      <c r="J38" s="186">
        <v>4284</v>
      </c>
      <c r="K38" s="195"/>
      <c r="L38" s="195"/>
      <c r="M38" s="191">
        <f t="shared" si="1"/>
        <v>3</v>
      </c>
      <c r="N38" s="184">
        <f t="shared" si="2"/>
        <v>5106</v>
      </c>
      <c r="O38" s="184">
        <f t="shared" si="3"/>
        <v>306360</v>
      </c>
      <c r="P38" s="207">
        <f t="shared" si="4"/>
        <v>613.93954823654053</v>
      </c>
      <c r="Q38" s="208">
        <f t="shared" si="5"/>
        <v>12.023884610978076</v>
      </c>
      <c r="R38" s="209">
        <f t="shared" si="6"/>
        <v>87.976115389021928</v>
      </c>
      <c r="S38" s="210" t="str">
        <f t="shared" si="0"/>
        <v>ALTO</v>
      </c>
      <c r="T38" s="192"/>
      <c r="V38" s="193"/>
      <c r="Y38" s="193"/>
    </row>
    <row r="39" spans="1:25" customFormat="1" ht="58.5" customHeight="1">
      <c r="A39" s="194"/>
      <c r="B39" s="189">
        <f t="shared" si="7"/>
        <v>33</v>
      </c>
      <c r="C39" s="165" t="s">
        <v>212</v>
      </c>
      <c r="D39" s="166" t="s">
        <v>171</v>
      </c>
      <c r="E39" s="166">
        <v>100</v>
      </c>
      <c r="F39" s="186">
        <v>1951.6</v>
      </c>
      <c r="G39" s="186">
        <v>1365</v>
      </c>
      <c r="H39" s="167"/>
      <c r="I39" s="167"/>
      <c r="J39" s="186">
        <v>1309</v>
      </c>
      <c r="K39" s="195"/>
      <c r="L39" s="195"/>
      <c r="M39" s="191">
        <f t="shared" si="1"/>
        <v>3</v>
      </c>
      <c r="N39" s="184">
        <f t="shared" si="2"/>
        <v>1542</v>
      </c>
      <c r="O39" s="184">
        <f t="shared" si="3"/>
        <v>154200</v>
      </c>
      <c r="P39" s="207">
        <f t="shared" si="4"/>
        <v>290.62582281842833</v>
      </c>
      <c r="Q39" s="208">
        <f t="shared" si="5"/>
        <v>18.847329625060201</v>
      </c>
      <c r="R39" s="209">
        <f t="shared" si="6"/>
        <v>81.152670374939802</v>
      </c>
      <c r="S39" s="210" t="str">
        <f t="shared" si="0"/>
        <v>ALTO</v>
      </c>
      <c r="T39" s="192"/>
      <c r="V39" s="193"/>
      <c r="Y39" s="193"/>
    </row>
    <row r="40" spans="1:25" customFormat="1">
      <c r="A40" s="194"/>
      <c r="B40" s="189">
        <f t="shared" si="7"/>
        <v>34</v>
      </c>
      <c r="C40" s="165" t="s">
        <v>213</v>
      </c>
      <c r="D40" s="166" t="s">
        <v>171</v>
      </c>
      <c r="E40" s="166">
        <v>50</v>
      </c>
      <c r="F40" s="186">
        <v>22967</v>
      </c>
      <c r="G40" s="186">
        <v>19617</v>
      </c>
      <c r="H40" s="167"/>
      <c r="I40" s="167"/>
      <c r="J40" s="186">
        <v>16660</v>
      </c>
      <c r="K40" s="195"/>
      <c r="L40" s="195"/>
      <c r="M40" s="191">
        <f t="shared" si="1"/>
        <v>3</v>
      </c>
      <c r="N40" s="184">
        <f t="shared" si="2"/>
        <v>19748</v>
      </c>
      <c r="O40" s="184">
        <f t="shared" si="3"/>
        <v>987400</v>
      </c>
      <c r="P40" s="207">
        <f t="shared" si="4"/>
        <v>2576.4876608799559</v>
      </c>
      <c r="Q40" s="208">
        <f t="shared" si="5"/>
        <v>13.046828341502714</v>
      </c>
      <c r="R40" s="209">
        <f t="shared" si="6"/>
        <v>86.953171658497283</v>
      </c>
      <c r="S40" s="210" t="str">
        <f t="shared" si="0"/>
        <v>ALTO</v>
      </c>
      <c r="T40" s="192"/>
      <c r="V40" s="193"/>
      <c r="Y40" s="193"/>
    </row>
    <row r="41" spans="1:25" customFormat="1">
      <c r="A41" s="194"/>
      <c r="B41" s="189">
        <f t="shared" si="7"/>
        <v>35</v>
      </c>
      <c r="C41" s="165" t="s">
        <v>214</v>
      </c>
      <c r="D41" s="166" t="s">
        <v>171</v>
      </c>
      <c r="E41" s="166">
        <v>250</v>
      </c>
      <c r="F41" s="186">
        <v>28441</v>
      </c>
      <c r="G41" s="186">
        <v>31385</v>
      </c>
      <c r="H41" s="167"/>
      <c r="I41" s="167"/>
      <c r="J41" s="186">
        <v>22610</v>
      </c>
      <c r="K41" s="195"/>
      <c r="L41" s="195"/>
      <c r="M41" s="191">
        <f t="shared" si="1"/>
        <v>3</v>
      </c>
      <c r="N41" s="184">
        <f t="shared" si="2"/>
        <v>27479</v>
      </c>
      <c r="O41" s="184">
        <f t="shared" si="3"/>
        <v>6869750</v>
      </c>
      <c r="P41" s="207">
        <f t="shared" si="4"/>
        <v>3646.4339048201905</v>
      </c>
      <c r="Q41" s="208">
        <f t="shared" si="5"/>
        <v>13.269893026748392</v>
      </c>
      <c r="R41" s="209">
        <f t="shared" si="6"/>
        <v>86.730106973251608</v>
      </c>
      <c r="S41" s="210" t="str">
        <f t="shared" si="0"/>
        <v>ALTO</v>
      </c>
      <c r="T41" s="192"/>
      <c r="V41" s="193"/>
      <c r="Y41" s="193"/>
    </row>
    <row r="42" spans="1:25" customFormat="1">
      <c r="A42" s="194"/>
      <c r="B42" s="189">
        <f t="shared" si="7"/>
        <v>36</v>
      </c>
      <c r="C42" s="165" t="s">
        <v>215</v>
      </c>
      <c r="D42" s="166" t="s">
        <v>171</v>
      </c>
      <c r="E42" s="166">
        <v>10</v>
      </c>
      <c r="F42" s="186">
        <v>2499</v>
      </c>
      <c r="G42" s="186">
        <v>2934</v>
      </c>
      <c r="H42" s="167"/>
      <c r="I42" s="167"/>
      <c r="J42" s="186">
        <v>1785</v>
      </c>
      <c r="K42" s="195"/>
      <c r="L42" s="195"/>
      <c r="M42" s="191">
        <f t="shared" si="1"/>
        <v>3</v>
      </c>
      <c r="N42" s="184">
        <f t="shared" si="2"/>
        <v>2406</v>
      </c>
      <c r="O42" s="184">
        <f t="shared" si="3"/>
        <v>24060</v>
      </c>
      <c r="P42" s="207">
        <f t="shared" si="4"/>
        <v>473.66443818382652</v>
      </c>
      <c r="Q42" s="208">
        <f t="shared" si="5"/>
        <v>19.686801254523132</v>
      </c>
      <c r="R42" s="209">
        <f t="shared" si="6"/>
        <v>80.313198745476868</v>
      </c>
      <c r="S42" s="210" t="str">
        <f t="shared" si="0"/>
        <v>ALTO</v>
      </c>
      <c r="T42" s="192"/>
      <c r="V42" s="193"/>
      <c r="Y42" s="193"/>
    </row>
    <row r="43" spans="1:25" customFormat="1">
      <c r="A43" s="194"/>
      <c r="B43" s="189">
        <f t="shared" si="7"/>
        <v>37</v>
      </c>
      <c r="C43" s="165" t="s">
        <v>216</v>
      </c>
      <c r="D43" s="166" t="s">
        <v>171</v>
      </c>
      <c r="E43" s="166">
        <v>12</v>
      </c>
      <c r="F43" s="186">
        <v>8925</v>
      </c>
      <c r="G43" s="186">
        <v>9233</v>
      </c>
      <c r="H43" s="167"/>
      <c r="I43" s="167"/>
      <c r="J43" s="186">
        <v>6188</v>
      </c>
      <c r="K43" s="195"/>
      <c r="L43" s="195"/>
      <c r="M43" s="191">
        <f t="shared" si="1"/>
        <v>3</v>
      </c>
      <c r="N43" s="184">
        <f t="shared" si="2"/>
        <v>8115</v>
      </c>
      <c r="O43" s="184">
        <f t="shared" si="3"/>
        <v>97380</v>
      </c>
      <c r="P43" s="207">
        <f t="shared" si="4"/>
        <v>1368.6188496274467</v>
      </c>
      <c r="Q43" s="208">
        <f t="shared" si="5"/>
        <v>16.865296976308645</v>
      </c>
      <c r="R43" s="209">
        <f t="shared" si="6"/>
        <v>83.134703023691358</v>
      </c>
      <c r="S43" s="210" t="str">
        <f t="shared" si="0"/>
        <v>ALTO</v>
      </c>
      <c r="T43" s="192"/>
      <c r="V43" s="193"/>
      <c r="Y43" s="193"/>
    </row>
    <row r="44" spans="1:25" customFormat="1">
      <c r="A44" s="194"/>
      <c r="B44" s="189">
        <f t="shared" si="7"/>
        <v>38</v>
      </c>
      <c r="C44" s="165" t="s">
        <v>217</v>
      </c>
      <c r="D44" s="166" t="s">
        <v>171</v>
      </c>
      <c r="E44" s="166">
        <v>5</v>
      </c>
      <c r="F44" s="186">
        <v>173502</v>
      </c>
      <c r="G44" s="186">
        <v>213990</v>
      </c>
      <c r="H44" s="167"/>
      <c r="I44" s="167"/>
      <c r="J44" s="186">
        <v>208250</v>
      </c>
      <c r="K44" s="195"/>
      <c r="L44" s="195"/>
      <c r="M44" s="191">
        <f t="shared" si="1"/>
        <v>3</v>
      </c>
      <c r="N44" s="184">
        <f t="shared" si="2"/>
        <v>198581</v>
      </c>
      <c r="O44" s="184">
        <f t="shared" si="3"/>
        <v>992905</v>
      </c>
      <c r="P44" s="207">
        <f t="shared" si="4"/>
        <v>17887.454473891903</v>
      </c>
      <c r="Q44" s="208">
        <f t="shared" si="5"/>
        <v>9.0076364173268857</v>
      </c>
      <c r="R44" s="209">
        <f t="shared" si="6"/>
        <v>90.992363582673107</v>
      </c>
      <c r="S44" s="210" t="str">
        <f t="shared" si="0"/>
        <v>ALTO</v>
      </c>
      <c r="T44" s="192"/>
      <c r="V44" s="193"/>
      <c r="Y44" s="193"/>
    </row>
    <row r="45" spans="1:25" customFormat="1" ht="53.5" customHeight="1">
      <c r="A45" s="194"/>
      <c r="B45" s="189">
        <f t="shared" si="7"/>
        <v>39</v>
      </c>
      <c r="C45" s="165" t="s">
        <v>218</v>
      </c>
      <c r="D45" s="166" t="s">
        <v>171</v>
      </c>
      <c r="E45" s="166">
        <v>20</v>
      </c>
      <c r="F45" s="187"/>
      <c r="G45" s="186">
        <v>350</v>
      </c>
      <c r="H45" s="167"/>
      <c r="I45" s="167"/>
      <c r="J45" s="186">
        <v>476</v>
      </c>
      <c r="K45" s="195"/>
      <c r="L45" s="195"/>
      <c r="M45" s="191">
        <f t="shared" si="1"/>
        <v>2</v>
      </c>
      <c r="N45" s="184">
        <f t="shared" si="2"/>
        <v>413</v>
      </c>
      <c r="O45" s="184">
        <f t="shared" si="3"/>
        <v>8260</v>
      </c>
      <c r="P45" s="207">
        <f t="shared" si="4"/>
        <v>63</v>
      </c>
      <c r="Q45" s="208">
        <f t="shared" si="5"/>
        <v>15.254237288135593</v>
      </c>
      <c r="R45" s="209">
        <f t="shared" si="6"/>
        <v>84.745762711864401</v>
      </c>
      <c r="S45" s="210" t="str">
        <f t="shared" si="0"/>
        <v>ALTO</v>
      </c>
      <c r="T45" s="192"/>
      <c r="V45" s="193"/>
      <c r="Y45" s="193"/>
    </row>
    <row r="46" spans="1:25" customFormat="1" ht="40" customHeight="1">
      <c r="A46" s="194"/>
      <c r="B46" s="189">
        <f t="shared" si="7"/>
        <v>40</v>
      </c>
      <c r="C46" s="165" t="s">
        <v>219</v>
      </c>
      <c r="D46" s="166" t="s">
        <v>171</v>
      </c>
      <c r="E46" s="166">
        <v>15</v>
      </c>
      <c r="F46" s="186">
        <v>5117</v>
      </c>
      <c r="G46" s="187"/>
      <c r="H46" s="167"/>
      <c r="I46" s="167"/>
      <c r="J46" s="186">
        <v>4760</v>
      </c>
      <c r="K46" s="195"/>
      <c r="L46" s="195"/>
      <c r="M46" s="191">
        <f t="shared" si="1"/>
        <v>2</v>
      </c>
      <c r="N46" s="184">
        <f t="shared" si="2"/>
        <v>4939</v>
      </c>
      <c r="O46" s="184">
        <f t="shared" si="3"/>
        <v>74085</v>
      </c>
      <c r="P46" s="207">
        <f t="shared" si="4"/>
        <v>178.5</v>
      </c>
      <c r="Q46" s="208">
        <f t="shared" si="5"/>
        <v>3.6140919214415876</v>
      </c>
      <c r="R46" s="209">
        <f t="shared" si="6"/>
        <v>96.385908078558415</v>
      </c>
      <c r="S46" s="210" t="str">
        <f t="shared" si="0"/>
        <v>ALTO</v>
      </c>
      <c r="T46" s="192"/>
      <c r="V46" s="193"/>
      <c r="Y46" s="193"/>
    </row>
    <row r="47" spans="1:25" customFormat="1" ht="40.5" customHeight="1">
      <c r="A47" s="194"/>
      <c r="B47" s="189">
        <f t="shared" si="7"/>
        <v>41</v>
      </c>
      <c r="C47" s="165" t="s">
        <v>228</v>
      </c>
      <c r="D47" s="165" t="s">
        <v>171</v>
      </c>
      <c r="E47" s="165">
        <v>15</v>
      </c>
      <c r="F47" s="186"/>
      <c r="G47" s="186">
        <v>1847475</v>
      </c>
      <c r="H47" s="186">
        <v>1119790</v>
      </c>
      <c r="I47" s="186">
        <v>962900</v>
      </c>
      <c r="J47" s="186">
        <v>1188810</v>
      </c>
      <c r="K47" s="195"/>
      <c r="L47" s="195"/>
      <c r="M47" s="191">
        <f t="shared" si="1"/>
        <v>4</v>
      </c>
      <c r="N47" s="184">
        <f t="shared" si="2"/>
        <v>1279744</v>
      </c>
      <c r="O47" s="184">
        <f>+N47*E47</f>
        <v>19196160</v>
      </c>
      <c r="P47" s="207">
        <f t="shared" si="4"/>
        <v>337847.18556203408</v>
      </c>
      <c r="Q47" s="208">
        <f t="shared" si="5"/>
        <v>26.399591290291969</v>
      </c>
      <c r="R47" s="209">
        <f t="shared" si="6"/>
        <v>73.600408709708034</v>
      </c>
      <c r="S47" s="210" t="str">
        <f t="shared" si="0"/>
        <v>ALTO</v>
      </c>
      <c r="T47" s="192"/>
      <c r="V47" s="193"/>
      <c r="Y47" s="193"/>
    </row>
    <row r="48" spans="1:25" customFormat="1" ht="37.5" hidden="1" customHeight="1">
      <c r="A48" s="194"/>
      <c r="B48" s="202"/>
      <c r="C48" s="220"/>
      <c r="D48" s="220"/>
      <c r="E48" s="220"/>
      <c r="F48" s="221"/>
      <c r="G48" s="167"/>
      <c r="H48" s="48"/>
      <c r="I48" s="48"/>
      <c r="J48" s="186"/>
      <c r="K48" s="195"/>
      <c r="L48" s="195"/>
      <c r="M48" s="191"/>
      <c r="N48" s="184" t="e">
        <f>ROUND(AVERAGE(F48:L48),0)</f>
        <v>#DIV/0!</v>
      </c>
      <c r="O48" s="184" t="e">
        <f>+N48*E47</f>
        <v>#DIV/0!</v>
      </c>
      <c r="P48" s="207" t="e">
        <f t="shared" si="4"/>
        <v>#DIV/0!</v>
      </c>
      <c r="Q48" s="208" t="e">
        <f t="shared" si="5"/>
        <v>#DIV/0!</v>
      </c>
      <c r="R48" s="209" t="e">
        <f t="shared" si="6"/>
        <v>#DIV/0!</v>
      </c>
      <c r="S48" s="210" t="e">
        <f t="shared" si="0"/>
        <v>#DIV/0!</v>
      </c>
      <c r="T48" s="192"/>
      <c r="V48" s="193"/>
      <c r="Y48" s="193"/>
    </row>
    <row r="49" spans="1:25" customFormat="1" ht="21" hidden="1" customHeight="1">
      <c r="A49" s="194"/>
      <c r="B49" s="171"/>
      <c r="C49" s="171"/>
      <c r="D49" s="172"/>
      <c r="E49" s="196"/>
      <c r="F49" s="167"/>
      <c r="G49" s="167"/>
      <c r="H49" s="167"/>
      <c r="I49" s="169"/>
      <c r="J49" s="195"/>
      <c r="K49" s="195"/>
      <c r="L49" s="195"/>
      <c r="M49" s="197">
        <f t="shared" si="1"/>
        <v>0</v>
      </c>
      <c r="N49" s="168" t="e">
        <f t="shared" si="2"/>
        <v>#DIV/0!</v>
      </c>
      <c r="O49" s="168" t="e">
        <f t="shared" si="3"/>
        <v>#DIV/0!</v>
      </c>
      <c r="P49" s="207" t="e">
        <f t="shared" si="4"/>
        <v>#DIV/0!</v>
      </c>
      <c r="Q49" s="208" t="e">
        <f t="shared" si="5"/>
        <v>#DIV/0!</v>
      </c>
      <c r="R49" s="209" t="e">
        <f t="shared" si="6"/>
        <v>#DIV/0!</v>
      </c>
      <c r="S49" s="210" t="e">
        <f t="shared" si="0"/>
        <v>#DIV/0!</v>
      </c>
      <c r="T49" s="192"/>
      <c r="V49" s="193"/>
      <c r="Y49" s="193"/>
    </row>
    <row r="50" spans="1:25" customFormat="1" ht="21" hidden="1" customHeight="1">
      <c r="A50" s="194"/>
      <c r="B50" s="171"/>
      <c r="C50" s="171"/>
      <c r="D50" s="172"/>
      <c r="E50" s="196"/>
      <c r="F50" s="167"/>
      <c r="G50" s="167"/>
      <c r="H50" s="167"/>
      <c r="I50" s="169"/>
      <c r="J50" s="195"/>
      <c r="K50" s="195"/>
      <c r="L50" s="195"/>
      <c r="M50" s="197">
        <f t="shared" si="1"/>
        <v>0</v>
      </c>
      <c r="N50" s="168" t="e">
        <f t="shared" si="2"/>
        <v>#DIV/0!</v>
      </c>
      <c r="O50" s="168" t="e">
        <f t="shared" si="3"/>
        <v>#DIV/0!</v>
      </c>
      <c r="P50" s="207" t="e">
        <f t="shared" si="4"/>
        <v>#DIV/0!</v>
      </c>
      <c r="Q50" s="208" t="e">
        <f t="shared" si="5"/>
        <v>#DIV/0!</v>
      </c>
      <c r="R50" s="209" t="e">
        <f t="shared" si="6"/>
        <v>#DIV/0!</v>
      </c>
      <c r="S50" s="210" t="e">
        <f t="shared" si="0"/>
        <v>#DIV/0!</v>
      </c>
      <c r="T50" s="192"/>
      <c r="V50" s="193"/>
      <c r="Y50" s="193"/>
    </row>
    <row r="51" spans="1:25" customFormat="1" ht="21" hidden="1" customHeight="1">
      <c r="A51" s="194"/>
      <c r="B51" s="171"/>
      <c r="C51" s="171"/>
      <c r="D51" s="172"/>
      <c r="E51" s="196"/>
      <c r="F51" s="167"/>
      <c r="G51" s="167"/>
      <c r="H51" s="167"/>
      <c r="I51" s="169"/>
      <c r="J51" s="195"/>
      <c r="K51" s="195"/>
      <c r="L51" s="195"/>
      <c r="M51" s="197">
        <f t="shared" si="1"/>
        <v>0</v>
      </c>
      <c r="N51" s="168" t="e">
        <f t="shared" si="2"/>
        <v>#DIV/0!</v>
      </c>
      <c r="O51" s="168" t="e">
        <f t="shared" si="3"/>
        <v>#DIV/0!</v>
      </c>
      <c r="P51" s="207" t="e">
        <f t="shared" si="4"/>
        <v>#DIV/0!</v>
      </c>
      <c r="Q51" s="208" t="e">
        <f t="shared" si="5"/>
        <v>#DIV/0!</v>
      </c>
      <c r="R51" s="209" t="e">
        <f t="shared" si="6"/>
        <v>#DIV/0!</v>
      </c>
      <c r="S51" s="210" t="e">
        <f t="shared" si="0"/>
        <v>#DIV/0!</v>
      </c>
      <c r="T51" s="192"/>
      <c r="V51" s="193"/>
      <c r="Y51" s="193"/>
    </row>
    <row r="52" spans="1:25" customFormat="1" ht="21" hidden="1" customHeight="1">
      <c r="A52" s="194"/>
      <c r="B52" s="171"/>
      <c r="C52" s="171"/>
      <c r="D52" s="172"/>
      <c r="E52" s="196"/>
      <c r="F52" s="167"/>
      <c r="G52" s="167"/>
      <c r="H52" s="167"/>
      <c r="I52" s="169"/>
      <c r="J52" s="195"/>
      <c r="K52" s="195"/>
      <c r="L52" s="195"/>
      <c r="M52" s="197">
        <f>COUNT(F52:L52)</f>
        <v>0</v>
      </c>
      <c r="N52" s="168" t="e">
        <f>ROUND(AVERAGE(F52:L52),0)</f>
        <v>#DIV/0!</v>
      </c>
      <c r="O52" s="168" t="e">
        <f t="shared" si="3"/>
        <v>#DIV/0!</v>
      </c>
      <c r="P52" s="207" t="e">
        <f>STDEVP(F52:J52)</f>
        <v>#DIV/0!</v>
      </c>
      <c r="Q52" s="208" t="e">
        <f t="shared" si="5"/>
        <v>#DIV/0!</v>
      </c>
      <c r="R52" s="209" t="e">
        <f t="shared" si="6"/>
        <v>#DIV/0!</v>
      </c>
      <c r="S52" s="210" t="e">
        <f t="shared" si="0"/>
        <v>#DIV/0!</v>
      </c>
      <c r="T52" s="192"/>
      <c r="V52" s="193"/>
      <c r="Y52" s="193"/>
    </row>
    <row r="53" spans="1:25" customFormat="1" ht="34.5" hidden="1" customHeight="1">
      <c r="A53" s="194"/>
      <c r="B53" s="171"/>
      <c r="C53" s="171"/>
      <c r="D53" s="172"/>
      <c r="E53" s="196"/>
      <c r="G53" s="167"/>
      <c r="H53" s="167"/>
      <c r="I53" s="169"/>
      <c r="J53" s="195"/>
      <c r="K53" s="195"/>
      <c r="L53" s="195"/>
      <c r="M53" s="197">
        <f t="shared" si="1"/>
        <v>0</v>
      </c>
      <c r="N53" s="168" t="e">
        <f t="shared" si="2"/>
        <v>#DIV/0!</v>
      </c>
      <c r="O53" s="168" t="e">
        <f t="shared" si="3"/>
        <v>#DIV/0!</v>
      </c>
      <c r="P53" s="207" t="e">
        <f t="shared" si="4"/>
        <v>#DIV/0!</v>
      </c>
      <c r="Q53" s="208" t="e">
        <f t="shared" si="5"/>
        <v>#DIV/0!</v>
      </c>
      <c r="R53" s="209" t="e">
        <f t="shared" si="6"/>
        <v>#DIV/0!</v>
      </c>
      <c r="S53" s="210" t="e">
        <f t="shared" si="0"/>
        <v>#DIV/0!</v>
      </c>
      <c r="T53" s="192"/>
      <c r="V53" s="193"/>
      <c r="Y53" s="193"/>
    </row>
    <row r="54" spans="1:25" customFormat="1" ht="32.5" hidden="1" customHeight="1">
      <c r="A54" s="194"/>
      <c r="B54" s="171"/>
      <c r="C54" s="171"/>
      <c r="D54" s="172"/>
      <c r="E54" s="196"/>
      <c r="F54" s="167"/>
      <c r="G54" s="167"/>
      <c r="H54" s="167"/>
      <c r="I54" s="169"/>
      <c r="J54" s="195"/>
      <c r="K54" s="195"/>
      <c r="L54" s="195"/>
      <c r="M54" s="197">
        <f t="shared" si="1"/>
        <v>0</v>
      </c>
      <c r="N54" s="168" t="e">
        <f t="shared" si="2"/>
        <v>#DIV/0!</v>
      </c>
      <c r="O54" s="168" t="e">
        <f t="shared" si="3"/>
        <v>#DIV/0!</v>
      </c>
      <c r="P54" s="207" t="e">
        <f t="shared" si="4"/>
        <v>#DIV/0!</v>
      </c>
      <c r="Q54" s="208" t="e">
        <f t="shared" si="5"/>
        <v>#DIV/0!</v>
      </c>
      <c r="R54" s="209" t="e">
        <f t="shared" si="6"/>
        <v>#DIV/0!</v>
      </c>
      <c r="S54" s="210" t="e">
        <f t="shared" si="0"/>
        <v>#DIV/0!</v>
      </c>
      <c r="T54" s="192"/>
      <c r="V54" s="193"/>
      <c r="Y54" s="193"/>
    </row>
    <row r="55" spans="1:25" customFormat="1" ht="33.5" hidden="1" customHeight="1">
      <c r="A55" s="194"/>
      <c r="B55" s="171"/>
      <c r="C55" s="171"/>
      <c r="D55" s="172"/>
      <c r="E55" s="196"/>
      <c r="F55" s="167"/>
      <c r="G55" s="167"/>
      <c r="H55" s="167"/>
      <c r="I55" s="169"/>
      <c r="J55" s="195"/>
      <c r="K55" s="195"/>
      <c r="L55" s="195"/>
      <c r="M55" s="197">
        <f t="shared" si="1"/>
        <v>0</v>
      </c>
      <c r="N55" s="168" t="e">
        <f t="shared" si="2"/>
        <v>#DIV/0!</v>
      </c>
      <c r="O55" s="168" t="e">
        <f t="shared" si="3"/>
        <v>#DIV/0!</v>
      </c>
      <c r="P55" s="207" t="e">
        <f t="shared" si="4"/>
        <v>#DIV/0!</v>
      </c>
      <c r="Q55" s="208" t="e">
        <f t="shared" si="5"/>
        <v>#DIV/0!</v>
      </c>
      <c r="R55" s="209" t="e">
        <f t="shared" si="6"/>
        <v>#DIV/0!</v>
      </c>
      <c r="S55" s="210" t="e">
        <f t="shared" si="0"/>
        <v>#DIV/0!</v>
      </c>
      <c r="T55" s="192"/>
      <c r="V55" s="193"/>
      <c r="Y55" s="193"/>
    </row>
    <row r="56" spans="1:25" customFormat="1" ht="39.5" hidden="1" customHeight="1">
      <c r="A56" s="194"/>
      <c r="B56" s="171"/>
      <c r="C56" s="171"/>
      <c r="D56" s="172"/>
      <c r="E56" s="196"/>
      <c r="F56" s="167"/>
      <c r="G56" s="167"/>
      <c r="H56" s="167"/>
      <c r="I56" s="169"/>
      <c r="J56" s="195"/>
      <c r="K56" s="195"/>
      <c r="L56" s="195"/>
      <c r="M56" s="197">
        <f t="shared" si="1"/>
        <v>0</v>
      </c>
      <c r="N56" s="168" t="e">
        <f t="shared" si="2"/>
        <v>#DIV/0!</v>
      </c>
      <c r="O56" s="168" t="e">
        <f t="shared" si="3"/>
        <v>#DIV/0!</v>
      </c>
      <c r="P56" s="207" t="e">
        <f t="shared" si="4"/>
        <v>#DIV/0!</v>
      </c>
      <c r="Q56" s="208" t="e">
        <f t="shared" si="5"/>
        <v>#DIV/0!</v>
      </c>
      <c r="R56" s="209" t="e">
        <f t="shared" si="6"/>
        <v>#DIV/0!</v>
      </c>
      <c r="S56" s="210" t="e">
        <f t="shared" si="0"/>
        <v>#DIV/0!</v>
      </c>
      <c r="T56" s="192"/>
      <c r="V56" s="193"/>
      <c r="Y56" s="193"/>
    </row>
    <row r="57" spans="1:25" customFormat="1" ht="47" hidden="1" customHeight="1">
      <c r="A57" s="194"/>
      <c r="B57" s="171"/>
      <c r="C57" s="171"/>
      <c r="D57" s="172"/>
      <c r="E57" s="196"/>
      <c r="F57" s="167"/>
      <c r="G57" s="167"/>
      <c r="H57" s="167"/>
      <c r="I57" s="169"/>
      <c r="J57" s="195"/>
      <c r="K57" s="195"/>
      <c r="L57" s="195"/>
      <c r="M57" s="197">
        <f t="shared" si="1"/>
        <v>0</v>
      </c>
      <c r="N57" s="168" t="e">
        <f t="shared" si="2"/>
        <v>#DIV/0!</v>
      </c>
      <c r="O57" s="168" t="e">
        <f t="shared" si="3"/>
        <v>#DIV/0!</v>
      </c>
      <c r="P57" s="207" t="e">
        <f t="shared" si="4"/>
        <v>#DIV/0!</v>
      </c>
      <c r="Q57" s="208" t="e">
        <f t="shared" si="5"/>
        <v>#DIV/0!</v>
      </c>
      <c r="R57" s="209" t="e">
        <f t="shared" si="6"/>
        <v>#DIV/0!</v>
      </c>
      <c r="S57" s="210" t="e">
        <f t="shared" si="0"/>
        <v>#DIV/0!</v>
      </c>
      <c r="T57" s="192"/>
      <c r="V57" s="193"/>
      <c r="Y57" s="193"/>
    </row>
    <row r="58" spans="1:25" customFormat="1" ht="39" hidden="1" customHeight="1">
      <c r="A58" s="194"/>
      <c r="B58" s="171"/>
      <c r="C58" s="171"/>
      <c r="D58" s="172"/>
      <c r="E58" s="196"/>
      <c r="F58" s="167"/>
      <c r="G58" s="167"/>
      <c r="H58" s="167"/>
      <c r="I58" s="169"/>
      <c r="J58" s="195"/>
      <c r="K58" s="195"/>
      <c r="L58" s="195"/>
      <c r="M58" s="197">
        <f t="shared" si="1"/>
        <v>0</v>
      </c>
      <c r="N58" s="168" t="e">
        <f t="shared" si="2"/>
        <v>#DIV/0!</v>
      </c>
      <c r="O58" s="168" t="e">
        <f t="shared" si="3"/>
        <v>#DIV/0!</v>
      </c>
      <c r="P58" s="207" t="e">
        <f t="shared" si="4"/>
        <v>#DIV/0!</v>
      </c>
      <c r="Q58" s="208" t="e">
        <f t="shared" si="5"/>
        <v>#DIV/0!</v>
      </c>
      <c r="R58" s="209" t="e">
        <f t="shared" si="6"/>
        <v>#DIV/0!</v>
      </c>
      <c r="S58" s="210" t="e">
        <f t="shared" si="0"/>
        <v>#DIV/0!</v>
      </c>
      <c r="T58" s="192"/>
      <c r="V58" s="193"/>
      <c r="Y58" s="193"/>
    </row>
    <row r="59" spans="1:25" customFormat="1" ht="30.5" hidden="1" customHeight="1">
      <c r="A59" s="194"/>
      <c r="B59" s="171"/>
      <c r="C59" s="171"/>
      <c r="D59" s="172"/>
      <c r="E59" s="196"/>
      <c r="F59" s="167"/>
      <c r="G59" s="167"/>
      <c r="H59" s="167"/>
      <c r="I59" s="169"/>
      <c r="J59" s="195"/>
      <c r="K59" s="195"/>
      <c r="L59" s="195"/>
      <c r="M59" s="197">
        <f t="shared" si="1"/>
        <v>0</v>
      </c>
      <c r="N59" s="168" t="e">
        <f t="shared" si="2"/>
        <v>#DIV/0!</v>
      </c>
      <c r="O59" s="168" t="e">
        <f t="shared" si="3"/>
        <v>#DIV/0!</v>
      </c>
      <c r="P59" s="207" t="e">
        <f t="shared" si="4"/>
        <v>#DIV/0!</v>
      </c>
      <c r="Q59" s="208" t="e">
        <f t="shared" si="5"/>
        <v>#DIV/0!</v>
      </c>
      <c r="R59" s="209" t="e">
        <f t="shared" si="6"/>
        <v>#DIV/0!</v>
      </c>
      <c r="S59" s="210" t="e">
        <f t="shared" si="0"/>
        <v>#DIV/0!</v>
      </c>
      <c r="T59" s="192"/>
      <c r="V59" s="193"/>
      <c r="Y59" s="193"/>
    </row>
    <row r="60" spans="1:25" customFormat="1" ht="36" hidden="1" customHeight="1">
      <c r="A60" s="194"/>
      <c r="B60" s="171"/>
      <c r="C60" s="171"/>
      <c r="D60" s="172"/>
      <c r="E60" s="196"/>
      <c r="F60" s="167"/>
      <c r="G60" s="167"/>
      <c r="H60" s="167"/>
      <c r="I60" s="169"/>
      <c r="J60" s="195"/>
      <c r="K60" s="195"/>
      <c r="L60" s="195"/>
      <c r="M60" s="197">
        <f t="shared" si="1"/>
        <v>0</v>
      </c>
      <c r="N60" s="168" t="e">
        <f t="shared" si="2"/>
        <v>#DIV/0!</v>
      </c>
      <c r="O60" s="168" t="e">
        <f t="shared" si="3"/>
        <v>#DIV/0!</v>
      </c>
      <c r="P60" s="207" t="e">
        <f t="shared" si="4"/>
        <v>#DIV/0!</v>
      </c>
      <c r="Q60" s="208" t="e">
        <f t="shared" si="5"/>
        <v>#DIV/0!</v>
      </c>
      <c r="R60" s="209" t="e">
        <f t="shared" si="6"/>
        <v>#DIV/0!</v>
      </c>
      <c r="S60" s="210" t="e">
        <f t="shared" si="0"/>
        <v>#DIV/0!</v>
      </c>
      <c r="T60" s="192"/>
      <c r="V60" s="193"/>
      <c r="Y60" s="193"/>
    </row>
    <row r="61" spans="1:25" customFormat="1" ht="32.5" hidden="1" customHeight="1">
      <c r="A61" s="194"/>
      <c r="B61" s="171"/>
      <c r="C61" s="171"/>
      <c r="D61" s="172"/>
      <c r="E61" s="196"/>
      <c r="F61" s="167"/>
      <c r="G61" s="167"/>
      <c r="H61" s="167"/>
      <c r="I61" s="169"/>
      <c r="J61" s="195"/>
      <c r="K61" s="195"/>
      <c r="L61" s="195"/>
      <c r="M61" s="197">
        <f t="shared" si="1"/>
        <v>0</v>
      </c>
      <c r="N61" s="168" t="e">
        <f t="shared" si="2"/>
        <v>#DIV/0!</v>
      </c>
      <c r="O61" s="168" t="e">
        <f t="shared" si="3"/>
        <v>#DIV/0!</v>
      </c>
      <c r="P61" s="207" t="e">
        <f t="shared" si="4"/>
        <v>#DIV/0!</v>
      </c>
      <c r="Q61" s="208" t="e">
        <f t="shared" si="5"/>
        <v>#DIV/0!</v>
      </c>
      <c r="R61" s="209" t="e">
        <f t="shared" si="6"/>
        <v>#DIV/0!</v>
      </c>
      <c r="S61" s="210" t="e">
        <f t="shared" si="0"/>
        <v>#DIV/0!</v>
      </c>
      <c r="T61" s="192"/>
      <c r="V61" s="193"/>
      <c r="Y61" s="193"/>
    </row>
    <row r="62" spans="1:25" customFormat="1" ht="80.5" hidden="1" customHeight="1">
      <c r="A62" s="194"/>
      <c r="B62" s="171"/>
      <c r="C62" s="173"/>
      <c r="D62" s="174"/>
      <c r="E62" s="196"/>
      <c r="F62" s="167"/>
      <c r="G62" s="167"/>
      <c r="H62" s="167"/>
      <c r="I62" s="169"/>
      <c r="J62" s="195"/>
      <c r="K62" s="195"/>
      <c r="L62" s="195"/>
      <c r="M62" s="197">
        <f t="shared" si="1"/>
        <v>0</v>
      </c>
      <c r="N62" s="168" t="e">
        <f t="shared" si="2"/>
        <v>#DIV/0!</v>
      </c>
      <c r="O62" s="168" t="e">
        <f>+N62*E62</f>
        <v>#DIV/0!</v>
      </c>
      <c r="P62" s="207" t="e">
        <f t="shared" si="4"/>
        <v>#DIV/0!</v>
      </c>
      <c r="Q62" s="208" t="e">
        <f t="shared" si="5"/>
        <v>#DIV/0!</v>
      </c>
      <c r="R62" s="209" t="e">
        <f t="shared" si="6"/>
        <v>#DIV/0!</v>
      </c>
      <c r="S62" s="210" t="e">
        <f t="shared" si="0"/>
        <v>#DIV/0!</v>
      </c>
      <c r="T62" s="192"/>
      <c r="V62" s="193"/>
      <c r="Y62" s="193"/>
    </row>
    <row r="63" spans="1:25" customFormat="1" ht="32.5" hidden="1" customHeight="1">
      <c r="A63" s="194"/>
      <c r="B63" s="201"/>
      <c r="C63" s="173"/>
      <c r="D63" s="174"/>
      <c r="E63" s="196"/>
      <c r="F63" s="167"/>
      <c r="G63" s="167"/>
      <c r="H63" s="167"/>
      <c r="I63" s="169"/>
      <c r="J63" s="195"/>
      <c r="K63" s="195"/>
      <c r="L63" s="195"/>
      <c r="M63" s="197">
        <f t="shared" si="1"/>
        <v>0</v>
      </c>
      <c r="N63" s="168" t="e">
        <f t="shared" si="2"/>
        <v>#DIV/0!</v>
      </c>
      <c r="O63" s="168" t="e">
        <f t="shared" si="3"/>
        <v>#DIV/0!</v>
      </c>
      <c r="P63" s="207" t="e">
        <f t="shared" si="4"/>
        <v>#DIV/0!</v>
      </c>
      <c r="Q63" s="208" t="e">
        <f t="shared" si="5"/>
        <v>#DIV/0!</v>
      </c>
      <c r="R63" s="209" t="e">
        <f t="shared" si="6"/>
        <v>#DIV/0!</v>
      </c>
      <c r="S63" s="210" t="e">
        <f t="shared" si="0"/>
        <v>#DIV/0!</v>
      </c>
      <c r="T63" s="192"/>
      <c r="V63" s="193"/>
      <c r="Y63" s="193"/>
    </row>
    <row r="64" spans="1:25" customFormat="1" ht="32.5" hidden="1" customHeight="1">
      <c r="A64" s="194"/>
      <c r="B64" s="201"/>
      <c r="C64" s="173"/>
      <c r="D64" s="174"/>
      <c r="E64" s="196"/>
      <c r="F64" s="167"/>
      <c r="G64" s="167"/>
      <c r="H64" s="167"/>
      <c r="I64" s="169"/>
      <c r="J64" s="195"/>
      <c r="K64" s="195"/>
      <c r="L64" s="195"/>
      <c r="M64" s="197">
        <f t="shared" si="1"/>
        <v>0</v>
      </c>
      <c r="N64" s="168" t="e">
        <f t="shared" si="2"/>
        <v>#DIV/0!</v>
      </c>
      <c r="O64" s="168" t="e">
        <f t="shared" si="3"/>
        <v>#DIV/0!</v>
      </c>
      <c r="P64" s="207" t="e">
        <f t="shared" si="4"/>
        <v>#DIV/0!</v>
      </c>
      <c r="Q64" s="208" t="e">
        <f t="shared" si="5"/>
        <v>#DIV/0!</v>
      </c>
      <c r="R64" s="209" t="e">
        <f t="shared" si="6"/>
        <v>#DIV/0!</v>
      </c>
      <c r="S64" s="210" t="e">
        <f t="shared" si="0"/>
        <v>#DIV/0!</v>
      </c>
      <c r="T64" s="192"/>
      <c r="V64" s="193"/>
      <c r="Y64" s="193"/>
    </row>
    <row r="65" spans="1:25" customFormat="1" ht="32.5" hidden="1" customHeight="1">
      <c r="A65" s="194"/>
      <c r="B65" s="201"/>
      <c r="C65" s="173"/>
      <c r="D65" s="174"/>
      <c r="E65" s="196"/>
      <c r="F65" s="167"/>
      <c r="G65" s="167"/>
      <c r="H65" s="167"/>
      <c r="I65" s="169"/>
      <c r="J65" s="195"/>
      <c r="K65" s="195"/>
      <c r="L65" s="195"/>
      <c r="M65" s="197">
        <f t="shared" si="1"/>
        <v>0</v>
      </c>
      <c r="N65" s="168" t="e">
        <f t="shared" si="2"/>
        <v>#DIV/0!</v>
      </c>
      <c r="O65" s="168" t="e">
        <f t="shared" si="3"/>
        <v>#DIV/0!</v>
      </c>
      <c r="P65" s="207" t="e">
        <f t="shared" si="4"/>
        <v>#DIV/0!</v>
      </c>
      <c r="Q65" s="208" t="e">
        <f t="shared" si="5"/>
        <v>#DIV/0!</v>
      </c>
      <c r="R65" s="209" t="e">
        <f t="shared" si="6"/>
        <v>#DIV/0!</v>
      </c>
      <c r="S65" s="210" t="e">
        <f t="shared" si="0"/>
        <v>#DIV/0!</v>
      </c>
      <c r="T65" s="192"/>
      <c r="V65" s="193"/>
      <c r="Y65" s="193"/>
    </row>
    <row r="66" spans="1:25" customFormat="1" ht="32.5" hidden="1" customHeight="1">
      <c r="A66" s="194"/>
      <c r="B66" s="201"/>
      <c r="C66" s="173"/>
      <c r="D66" s="174"/>
      <c r="E66" s="196"/>
      <c r="F66" s="167"/>
      <c r="G66" s="167"/>
      <c r="H66" s="167"/>
      <c r="I66" s="169"/>
      <c r="J66" s="195"/>
      <c r="K66" s="195"/>
      <c r="L66" s="195"/>
      <c r="M66" s="197">
        <f t="shared" si="1"/>
        <v>0</v>
      </c>
      <c r="N66" s="168" t="e">
        <f t="shared" si="2"/>
        <v>#DIV/0!</v>
      </c>
      <c r="O66" s="168" t="e">
        <f t="shared" si="3"/>
        <v>#DIV/0!</v>
      </c>
      <c r="P66" s="207" t="e">
        <f t="shared" si="4"/>
        <v>#DIV/0!</v>
      </c>
      <c r="Q66" s="208" t="e">
        <f t="shared" si="5"/>
        <v>#DIV/0!</v>
      </c>
      <c r="R66" s="209" t="e">
        <f t="shared" si="6"/>
        <v>#DIV/0!</v>
      </c>
      <c r="S66" s="210" t="e">
        <f t="shared" si="0"/>
        <v>#DIV/0!</v>
      </c>
      <c r="T66" s="192"/>
      <c r="V66" s="193"/>
      <c r="Y66" s="193"/>
    </row>
    <row r="67" spans="1:25" customFormat="1" ht="32.5" hidden="1" customHeight="1">
      <c r="A67" s="194"/>
      <c r="B67" s="201"/>
      <c r="C67" s="173"/>
      <c r="D67" s="174"/>
      <c r="E67" s="196"/>
      <c r="F67" s="167"/>
      <c r="G67" s="167"/>
      <c r="H67" s="167"/>
      <c r="I67" s="169"/>
      <c r="J67" s="195"/>
      <c r="K67" s="195"/>
      <c r="L67" s="195"/>
      <c r="M67" s="197">
        <f t="shared" si="1"/>
        <v>0</v>
      </c>
      <c r="N67" s="168" t="e">
        <f t="shared" si="2"/>
        <v>#DIV/0!</v>
      </c>
      <c r="O67" s="168" t="e">
        <f t="shared" si="3"/>
        <v>#DIV/0!</v>
      </c>
      <c r="P67" s="207" t="e">
        <f t="shared" si="4"/>
        <v>#DIV/0!</v>
      </c>
      <c r="Q67" s="208" t="e">
        <f t="shared" si="5"/>
        <v>#DIV/0!</v>
      </c>
      <c r="R67" s="209" t="e">
        <f t="shared" si="6"/>
        <v>#DIV/0!</v>
      </c>
      <c r="S67" s="210" t="e">
        <f t="shared" si="0"/>
        <v>#DIV/0!</v>
      </c>
      <c r="T67" s="192"/>
      <c r="V67" s="193"/>
      <c r="Y67" s="193"/>
    </row>
    <row r="68" spans="1:25" customFormat="1" ht="32.5" hidden="1" customHeight="1">
      <c r="A68" s="194"/>
      <c r="B68" s="201"/>
      <c r="C68" s="173"/>
      <c r="D68" s="174"/>
      <c r="E68" s="196"/>
      <c r="F68" s="167"/>
      <c r="G68" s="167"/>
      <c r="H68" s="167"/>
      <c r="I68" s="169"/>
      <c r="J68" s="195"/>
      <c r="K68" s="195"/>
      <c r="L68" s="195"/>
      <c r="M68" s="197">
        <f t="shared" si="1"/>
        <v>0</v>
      </c>
      <c r="N68" s="168" t="e">
        <f t="shared" si="2"/>
        <v>#DIV/0!</v>
      </c>
      <c r="O68" s="168" t="e">
        <f t="shared" si="3"/>
        <v>#DIV/0!</v>
      </c>
      <c r="P68" s="207" t="e">
        <f t="shared" si="4"/>
        <v>#DIV/0!</v>
      </c>
      <c r="Q68" s="208" t="e">
        <f t="shared" si="5"/>
        <v>#DIV/0!</v>
      </c>
      <c r="R68" s="209" t="e">
        <f t="shared" si="6"/>
        <v>#DIV/0!</v>
      </c>
      <c r="S68" s="210" t="e">
        <f t="shared" si="0"/>
        <v>#DIV/0!</v>
      </c>
      <c r="T68" s="192"/>
      <c r="V68" s="193"/>
      <c r="Y68" s="193"/>
    </row>
    <row r="69" spans="1:25" customFormat="1" ht="32.5" hidden="1" customHeight="1">
      <c r="A69" s="194"/>
      <c r="B69" s="201"/>
      <c r="C69" s="173"/>
      <c r="D69" s="174"/>
      <c r="E69" s="196"/>
      <c r="F69" s="167"/>
      <c r="G69" s="167"/>
      <c r="H69" s="167"/>
      <c r="I69" s="169"/>
      <c r="J69" s="195"/>
      <c r="K69" s="195"/>
      <c r="L69" s="195"/>
      <c r="M69" s="197">
        <f t="shared" si="1"/>
        <v>0</v>
      </c>
      <c r="N69" s="168" t="e">
        <f t="shared" si="2"/>
        <v>#DIV/0!</v>
      </c>
      <c r="O69" s="168" t="e">
        <f t="shared" si="3"/>
        <v>#DIV/0!</v>
      </c>
      <c r="P69" s="207" t="e">
        <f t="shared" si="4"/>
        <v>#DIV/0!</v>
      </c>
      <c r="Q69" s="208" t="e">
        <f t="shared" si="5"/>
        <v>#DIV/0!</v>
      </c>
      <c r="R69" s="209" t="e">
        <f t="shared" si="6"/>
        <v>#DIV/0!</v>
      </c>
      <c r="S69" s="210" t="e">
        <f t="shared" ref="S69:S72" si="8">IF(R69&gt;70,"ALTO","BAJO")</f>
        <v>#DIV/0!</v>
      </c>
      <c r="T69" s="192"/>
      <c r="V69" s="193"/>
      <c r="Y69" s="193"/>
    </row>
    <row r="70" spans="1:25" customFormat="1" ht="32.5" hidden="1" customHeight="1">
      <c r="A70" s="194"/>
      <c r="B70" s="201"/>
      <c r="C70" s="173"/>
      <c r="D70" s="174"/>
      <c r="E70" s="196"/>
      <c r="F70" s="167"/>
      <c r="G70" s="167"/>
      <c r="H70" s="167"/>
      <c r="I70" s="169"/>
      <c r="J70" s="195"/>
      <c r="K70" s="195"/>
      <c r="L70" s="195"/>
      <c r="M70" s="197">
        <f t="shared" ref="M70:M72" si="9">COUNT(F70:L70)</f>
        <v>0</v>
      </c>
      <c r="N70" s="168" t="e">
        <f t="shared" ref="N70:N72" si="10">ROUND(AVERAGE(F70:L70),0)</f>
        <v>#DIV/0!</v>
      </c>
      <c r="O70" s="168" t="e">
        <f t="shared" ref="O70:O76" si="11">+N70*E70</f>
        <v>#DIV/0!</v>
      </c>
      <c r="P70" s="207" t="e">
        <f t="shared" ref="P70:P72" si="12">STDEVP(F70:J70)</f>
        <v>#DIV/0!</v>
      </c>
      <c r="Q70" s="208" t="e">
        <f t="shared" ref="Q70:Q72" si="13">P70/N70*100</f>
        <v>#DIV/0!</v>
      </c>
      <c r="R70" s="209" t="e">
        <f t="shared" ref="R70:R72" si="14">100-Q70</f>
        <v>#DIV/0!</v>
      </c>
      <c r="S70" s="210" t="e">
        <f t="shared" si="8"/>
        <v>#DIV/0!</v>
      </c>
      <c r="T70" s="192"/>
      <c r="V70" s="193"/>
      <c r="Y70" s="193"/>
    </row>
    <row r="71" spans="1:25" customFormat="1" ht="32.5" hidden="1" customHeight="1">
      <c r="A71" s="194"/>
      <c r="B71" s="201"/>
      <c r="C71" s="173"/>
      <c r="D71" s="174"/>
      <c r="E71" s="196"/>
      <c r="F71" s="167"/>
      <c r="G71" s="167"/>
      <c r="H71" s="167"/>
      <c r="I71" s="169"/>
      <c r="J71" s="195"/>
      <c r="K71" s="195"/>
      <c r="L71" s="195"/>
      <c r="M71" s="197">
        <f t="shared" si="9"/>
        <v>0</v>
      </c>
      <c r="N71" s="168" t="e">
        <f t="shared" si="10"/>
        <v>#DIV/0!</v>
      </c>
      <c r="O71" s="168" t="e">
        <f t="shared" si="11"/>
        <v>#DIV/0!</v>
      </c>
      <c r="P71" s="207" t="e">
        <f t="shared" si="12"/>
        <v>#DIV/0!</v>
      </c>
      <c r="Q71" s="208" t="e">
        <f t="shared" si="13"/>
        <v>#DIV/0!</v>
      </c>
      <c r="R71" s="209" t="e">
        <f t="shared" si="14"/>
        <v>#DIV/0!</v>
      </c>
      <c r="S71" s="210" t="e">
        <f t="shared" si="8"/>
        <v>#DIV/0!</v>
      </c>
      <c r="T71" s="192"/>
      <c r="V71" s="193"/>
      <c r="Y71" s="193"/>
    </row>
    <row r="72" spans="1:25" customFormat="1" ht="48.5" hidden="1" customHeight="1">
      <c r="A72" s="194"/>
      <c r="B72" s="201"/>
      <c r="C72" s="173"/>
      <c r="D72" s="174"/>
      <c r="E72" s="196"/>
      <c r="F72" s="167"/>
      <c r="G72" s="167"/>
      <c r="H72" s="167"/>
      <c r="I72" s="169"/>
      <c r="J72" s="195"/>
      <c r="K72" s="195"/>
      <c r="L72" s="195"/>
      <c r="M72" s="197">
        <f t="shared" si="9"/>
        <v>0</v>
      </c>
      <c r="N72" s="168" t="e">
        <f t="shared" si="10"/>
        <v>#DIV/0!</v>
      </c>
      <c r="O72" s="168" t="e">
        <f t="shared" si="11"/>
        <v>#DIV/0!</v>
      </c>
      <c r="P72" s="207" t="e">
        <f t="shared" si="12"/>
        <v>#DIV/0!</v>
      </c>
      <c r="Q72" s="208" t="e">
        <f t="shared" si="13"/>
        <v>#DIV/0!</v>
      </c>
      <c r="R72" s="209" t="e">
        <f t="shared" si="14"/>
        <v>#DIV/0!</v>
      </c>
      <c r="S72" s="210" t="e">
        <f t="shared" si="8"/>
        <v>#DIV/0!</v>
      </c>
      <c r="T72" s="192"/>
      <c r="V72" s="193"/>
      <c r="Y72" s="193"/>
    </row>
    <row r="73" spans="1:25" customFormat="1" ht="32.5" hidden="1" customHeight="1">
      <c r="A73" s="194"/>
      <c r="B73" s="201"/>
      <c r="C73" s="171"/>
      <c r="D73" s="172"/>
      <c r="E73" s="198"/>
      <c r="F73" s="167"/>
      <c r="G73" s="167"/>
      <c r="H73" s="167"/>
      <c r="I73" s="169"/>
      <c r="J73" s="195"/>
      <c r="K73" s="195"/>
      <c r="L73" s="195"/>
      <c r="M73" s="199"/>
      <c r="N73" s="175"/>
      <c r="O73" s="168">
        <f t="shared" si="11"/>
        <v>0</v>
      </c>
      <c r="P73" s="211"/>
      <c r="Q73" s="212"/>
      <c r="R73" s="213"/>
      <c r="S73" s="214"/>
      <c r="T73" s="192"/>
      <c r="V73" s="193"/>
      <c r="Y73" s="193"/>
    </row>
    <row r="74" spans="1:25" customFormat="1" ht="32.5" hidden="1" customHeight="1">
      <c r="A74" s="194"/>
      <c r="B74" s="201"/>
      <c r="C74" s="171"/>
      <c r="D74" s="172"/>
      <c r="E74" s="198"/>
      <c r="F74" s="167"/>
      <c r="G74" s="167"/>
      <c r="H74" s="167"/>
      <c r="I74" s="169"/>
      <c r="J74" s="195"/>
      <c r="K74" s="195"/>
      <c r="L74" s="195"/>
      <c r="M74" s="199"/>
      <c r="N74" s="175"/>
      <c r="O74" s="168">
        <f t="shared" si="11"/>
        <v>0</v>
      </c>
      <c r="P74" s="211"/>
      <c r="Q74" s="212"/>
      <c r="R74" s="213"/>
      <c r="S74" s="214"/>
      <c r="T74" s="192"/>
      <c r="V74" s="193"/>
      <c r="Y74" s="193"/>
    </row>
    <row r="75" spans="1:25" customFormat="1" ht="32.5" hidden="1" customHeight="1">
      <c r="A75" s="194"/>
      <c r="B75" s="201"/>
      <c r="C75" s="171"/>
      <c r="D75" s="172"/>
      <c r="E75" s="198"/>
      <c r="F75" s="167"/>
      <c r="G75" s="167"/>
      <c r="H75" s="167"/>
      <c r="I75" s="169"/>
      <c r="J75" s="195"/>
      <c r="K75" s="195"/>
      <c r="L75" s="195"/>
      <c r="M75" s="199"/>
      <c r="N75" s="175"/>
      <c r="O75" s="168">
        <f t="shared" si="11"/>
        <v>0</v>
      </c>
      <c r="P75" s="211"/>
      <c r="Q75" s="212"/>
      <c r="R75" s="213"/>
      <c r="S75" s="214"/>
      <c r="T75" s="192"/>
      <c r="V75" s="193"/>
      <c r="Y75" s="193"/>
    </row>
    <row r="76" spans="1:25" customFormat="1" ht="32.5" hidden="1" customHeight="1">
      <c r="A76" s="194"/>
      <c r="B76" s="201"/>
      <c r="C76" s="171"/>
      <c r="D76" s="172"/>
      <c r="E76" s="198"/>
      <c r="F76" s="167"/>
      <c r="G76" s="167"/>
      <c r="H76" s="167"/>
      <c r="I76" s="169"/>
      <c r="J76" s="195"/>
      <c r="K76" s="195"/>
      <c r="L76" s="195"/>
      <c r="M76" s="199"/>
      <c r="N76" s="175"/>
      <c r="O76" s="168">
        <f t="shared" si="11"/>
        <v>0</v>
      </c>
      <c r="P76" s="211"/>
      <c r="Q76" s="212"/>
      <c r="R76" s="213"/>
      <c r="S76" s="214"/>
      <c r="T76" s="192"/>
      <c r="V76" s="193"/>
      <c r="Y76" s="193"/>
    </row>
    <row r="77" spans="1:25" customFormat="1" ht="21.5" thickBot="1">
      <c r="A77" s="200"/>
      <c r="B77" s="202"/>
      <c r="C77" s="165"/>
      <c r="D77" s="166"/>
      <c r="E77" s="166"/>
      <c r="F77" s="176"/>
      <c r="G77" s="176"/>
      <c r="H77" s="176"/>
      <c r="I77" s="176"/>
      <c r="J77" s="177"/>
      <c r="K77" s="177"/>
      <c r="L77" s="177"/>
      <c r="M77" s="223" t="s">
        <v>168</v>
      </c>
      <c r="N77" s="223"/>
      <c r="O77" s="219">
        <f>+SUM(O7:O47)</f>
        <v>48978582</v>
      </c>
      <c r="P77" s="215"/>
      <c r="Q77" s="216"/>
      <c r="R77" s="217"/>
      <c r="S77" s="218"/>
      <c r="T77" s="192"/>
      <c r="Y77" s="193"/>
    </row>
    <row r="78" spans="1:25" s="155" customFormat="1" ht="39" customHeight="1">
      <c r="B78" s="224" t="s">
        <v>169</v>
      </c>
      <c r="C78" s="224"/>
      <c r="D78" s="224"/>
      <c r="E78" s="224"/>
      <c r="F78" s="224"/>
      <c r="G78" s="224"/>
      <c r="H78" s="224"/>
      <c r="I78" s="224"/>
      <c r="J78" s="224"/>
      <c r="K78" s="224"/>
      <c r="L78" s="224"/>
      <c r="M78" s="224"/>
      <c r="N78" s="224"/>
      <c r="O78" s="224"/>
      <c r="P78" s="224"/>
      <c r="Q78" s="224"/>
      <c r="R78" s="224"/>
      <c r="S78" s="224"/>
      <c r="T78" s="91"/>
      <c r="U78" s="91"/>
      <c r="V78" s="91"/>
      <c r="W78" s="91"/>
    </row>
    <row r="79" spans="1:25" s="42" customFormat="1" ht="23.5" customHeight="1" thickBot="1">
      <c r="B79" s="152"/>
      <c r="C79" s="152"/>
      <c r="D79" s="152"/>
      <c r="E79" s="152"/>
      <c r="F79" s="152"/>
      <c r="G79" s="152"/>
      <c r="H79" s="152"/>
      <c r="I79" s="152"/>
      <c r="J79" s="152"/>
      <c r="K79" s="152"/>
      <c r="L79" s="152"/>
      <c r="M79" s="222"/>
      <c r="N79" s="222"/>
      <c r="O79" s="178"/>
      <c r="P79" s="152"/>
      <c r="Q79" s="152"/>
      <c r="R79" s="152"/>
      <c r="S79" s="48"/>
    </row>
    <row r="80" spans="1:25" s="42" customFormat="1" ht="12.5" customHeight="1">
      <c r="B80" s="179"/>
      <c r="C80" s="155"/>
      <c r="D80" s="155"/>
      <c r="E80" s="141"/>
      <c r="F80" s="45"/>
      <c r="G80" s="45"/>
      <c r="H80" s="45"/>
      <c r="I80" s="45"/>
      <c r="J80" s="45"/>
      <c r="K80" s="45"/>
      <c r="L80" s="45"/>
      <c r="M80" s="48"/>
      <c r="N80" s="132"/>
      <c r="O80" s="48"/>
      <c r="P80" s="48"/>
      <c r="Q80" s="48"/>
      <c r="R80" s="48"/>
      <c r="S80" s="48"/>
    </row>
    <row r="81" spans="4:15" ht="3.5" customHeight="1"/>
    <row r="82" spans="4:15" hidden="1"/>
    <row r="83" spans="4:15">
      <c r="D83" s="143" t="s">
        <v>173</v>
      </c>
      <c r="E83" s="40"/>
      <c r="F83" s="40"/>
      <c r="M83" s="144"/>
      <c r="O83" s="132"/>
    </row>
    <row r="84" spans="4:15" hidden="1">
      <c r="D84" s="180">
        <v>2020</v>
      </c>
      <c r="E84" s="41">
        <v>1.61</v>
      </c>
      <c r="F84" s="41">
        <f>+E84/100+1</f>
        <v>1.0161</v>
      </c>
    </row>
    <row r="85" spans="4:15" hidden="1">
      <c r="D85" s="180">
        <v>2021</v>
      </c>
      <c r="E85" s="41">
        <v>5.62</v>
      </c>
      <c r="F85" s="41">
        <f t="shared" ref="F85:F93" si="15">+E85/100+1</f>
        <v>1.0562</v>
      </c>
      <c r="M85" s="48" t="s">
        <v>180</v>
      </c>
    </row>
    <row r="86" spans="4:15" hidden="1">
      <c r="D86" s="180">
        <v>2022</v>
      </c>
      <c r="E86" s="41">
        <v>13.12</v>
      </c>
      <c r="F86" s="41">
        <f t="shared" si="15"/>
        <v>1.1312</v>
      </c>
      <c r="G86" s="148"/>
    </row>
    <row r="87" spans="4:15" hidden="1">
      <c r="D87" s="180">
        <v>2023</v>
      </c>
      <c r="E87" s="41">
        <v>9.2799999999999994</v>
      </c>
      <c r="F87" s="41">
        <f t="shared" si="15"/>
        <v>1.0928</v>
      </c>
    </row>
    <row r="88" spans="4:15">
      <c r="D88" s="180">
        <v>2024</v>
      </c>
      <c r="E88" s="181">
        <v>5.2</v>
      </c>
      <c r="F88" s="41">
        <f t="shared" si="15"/>
        <v>1.052</v>
      </c>
    </row>
    <row r="89" spans="4:15">
      <c r="D89" s="180">
        <v>2025</v>
      </c>
      <c r="E89" s="41">
        <v>5.22</v>
      </c>
      <c r="F89" s="41">
        <f t="shared" si="15"/>
        <v>1.0522</v>
      </c>
    </row>
    <row r="90" spans="4:15">
      <c r="D90" s="180" t="s">
        <v>172</v>
      </c>
      <c r="E90" s="41">
        <v>1.18</v>
      </c>
      <c r="F90" s="41">
        <f t="shared" si="15"/>
        <v>1.0118</v>
      </c>
    </row>
    <row r="91" spans="4:15" hidden="1">
      <c r="D91" s="180"/>
      <c r="E91" s="41"/>
      <c r="F91" s="41">
        <f t="shared" si="15"/>
        <v>1</v>
      </c>
    </row>
    <row r="92" spans="4:15" hidden="1">
      <c r="D92" s="40"/>
      <c r="E92" s="41"/>
      <c r="F92" s="41">
        <f t="shared" si="15"/>
        <v>1</v>
      </c>
      <c r="G92" s="148"/>
    </row>
    <row r="93" spans="4:15" hidden="1">
      <c r="D93" s="40"/>
      <c r="E93" s="41"/>
      <c r="F93" s="41">
        <f t="shared" si="15"/>
        <v>1</v>
      </c>
    </row>
    <row r="94" spans="4:15" hidden="1">
      <c r="D94" s="40"/>
      <c r="E94" s="41"/>
      <c r="F94" s="41">
        <f>+E94/100+1</f>
        <v>1</v>
      </c>
      <c r="J94" s="182"/>
      <c r="K94" s="182"/>
      <c r="L94" s="182"/>
    </row>
    <row r="95" spans="4:15" hidden="1">
      <c r="D95" s="40"/>
      <c r="E95" s="41"/>
      <c r="F95" s="41">
        <f>+E95/100+1</f>
        <v>1</v>
      </c>
      <c r="J95" s="182"/>
      <c r="K95" s="182"/>
      <c r="L95" s="182"/>
    </row>
    <row r="96" spans="4:15" hidden="1">
      <c r="D96" s="40"/>
      <c r="E96" s="41"/>
      <c r="F96" s="41">
        <f t="shared" ref="F96:F99" si="16">+E96/100+1</f>
        <v>1</v>
      </c>
    </row>
    <row r="97" spans="4:6" hidden="1">
      <c r="D97" s="40"/>
      <c r="E97" s="41"/>
      <c r="F97" s="41">
        <f t="shared" si="16"/>
        <v>1</v>
      </c>
    </row>
    <row r="98" spans="4:6" hidden="1">
      <c r="D98" s="40"/>
      <c r="E98" s="41"/>
      <c r="F98" s="41">
        <f t="shared" si="16"/>
        <v>1</v>
      </c>
    </row>
    <row r="99" spans="4:6" hidden="1">
      <c r="D99" s="40"/>
      <c r="E99" s="41"/>
      <c r="F99" s="41">
        <f t="shared" si="16"/>
        <v>1</v>
      </c>
    </row>
    <row r="100" spans="4:6">
      <c r="D100" s="155" t="s">
        <v>174</v>
      </c>
    </row>
  </sheetData>
  <autoFilter ref="A5:Y78" xr:uid="{66B21082-0B91-4F9D-BC0A-F88FE018BAAF}"/>
  <mergeCells count="6">
    <mergeCell ref="M79:N79"/>
    <mergeCell ref="B2:E4"/>
    <mergeCell ref="F2:J3"/>
    <mergeCell ref="M2:S4"/>
    <mergeCell ref="M77:N77"/>
    <mergeCell ref="B78:S78"/>
  </mergeCells>
  <conditionalFormatting sqref="S7:S77">
    <cfRule type="cellIs" dxfId="6" priority="1" operator="equal">
      <formula>"BAJO"</formula>
    </cfRule>
  </conditionalFormatting>
  <printOptions horizontalCentered="1" verticalCentered="1"/>
  <pageMargins left="0.59055118110236227" right="0.39370078740157483" top="0.39370078740157483" bottom="0.39370078740157483" header="0.31496062992125984" footer="0.59055118110236227"/>
  <pageSetup scale="27"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84FA1-6FB5-4D48-83D3-E545386FCFEA}">
  <sheetPr>
    <tabColor theme="9" tint="-0.249977111117893"/>
  </sheetPr>
  <dimension ref="A1:Y100"/>
  <sheetViews>
    <sheetView showGridLines="0" view="pageLayout" topLeftCell="B43" zoomScale="50" zoomScaleNormal="80" zoomScaleSheetLayoutView="50" zoomScalePageLayoutView="50" workbookViewId="0">
      <selection activeCell="O77" sqref="O77"/>
    </sheetView>
  </sheetViews>
  <sheetFormatPr baseColWidth="10" defaultColWidth="11.453125" defaultRowHeight="21"/>
  <cols>
    <col min="1" max="1" width="4.81640625" style="48" hidden="1" customWidth="1"/>
    <col min="2" max="2" width="14.453125" style="42" customWidth="1"/>
    <col min="3" max="3" width="70.36328125" style="155" customWidth="1"/>
    <col min="4" max="4" width="14.26953125" style="155" customWidth="1"/>
    <col min="5" max="5" width="15.7265625" style="141" customWidth="1"/>
    <col min="6" max="6" width="27.81640625" style="48" hidden="1" customWidth="1"/>
    <col min="7" max="7" width="28.7265625" style="48" hidden="1" customWidth="1"/>
    <col min="8" max="8" width="27.1796875" style="48" hidden="1" customWidth="1"/>
    <col min="9" max="9" width="24" style="48" hidden="1" customWidth="1"/>
    <col min="10" max="12" width="22.81640625" style="48" hidden="1" customWidth="1"/>
    <col min="13" max="13" width="21" style="48" hidden="1" customWidth="1"/>
    <col min="14" max="14" width="19.453125" style="132" customWidth="1"/>
    <col min="15" max="15" width="33.453125" style="48" customWidth="1"/>
    <col min="16" max="16" width="22" style="48" hidden="1" customWidth="1"/>
    <col min="17" max="17" width="22.1796875" style="48" hidden="1" customWidth="1"/>
    <col min="18" max="18" width="19.1796875" style="48" hidden="1" customWidth="1"/>
    <col min="19" max="19" width="20.7265625" style="48" customWidth="1"/>
    <col min="20" max="20" width="2.453125" style="42" customWidth="1"/>
    <col min="21" max="21" width="11.453125" style="48"/>
    <col min="22" max="22" width="18" style="48" bestFit="1" customWidth="1"/>
    <col min="23" max="24" width="11.453125" style="48"/>
    <col min="25" max="25" width="23.26953125" style="48" bestFit="1" customWidth="1"/>
    <col min="26" max="16384" width="11.453125" style="48"/>
  </cols>
  <sheetData>
    <row r="1" spans="1:22" ht="15.75" customHeight="1" thickBot="1"/>
    <row r="2" spans="1:22" ht="51" customHeight="1">
      <c r="A2" s="156"/>
      <c r="B2" s="225" t="s">
        <v>232</v>
      </c>
      <c r="C2" s="225"/>
      <c r="D2" s="225"/>
      <c r="E2" s="225"/>
      <c r="F2" s="233" t="s">
        <v>221</v>
      </c>
      <c r="G2" s="234"/>
      <c r="H2" s="234"/>
      <c r="I2" s="234"/>
      <c r="J2" s="235"/>
      <c r="K2" s="157"/>
      <c r="L2" s="157"/>
      <c r="M2" s="227" t="s">
        <v>220</v>
      </c>
      <c r="N2" s="228"/>
      <c r="O2" s="228"/>
      <c r="P2" s="228"/>
      <c r="Q2" s="228"/>
      <c r="R2" s="228"/>
      <c r="S2" s="229"/>
    </row>
    <row r="3" spans="1:22" ht="14" customHeight="1">
      <c r="A3" s="158"/>
      <c r="B3" s="226"/>
      <c r="C3" s="226"/>
      <c r="D3" s="226"/>
      <c r="E3" s="226"/>
      <c r="F3" s="236"/>
      <c r="G3" s="237"/>
      <c r="H3" s="237"/>
      <c r="I3" s="237"/>
      <c r="J3" s="238"/>
      <c r="K3" s="157"/>
      <c r="L3" s="157"/>
      <c r="M3" s="230"/>
      <c r="N3" s="231"/>
      <c r="O3" s="231"/>
      <c r="P3" s="231"/>
      <c r="Q3" s="231"/>
      <c r="R3" s="231"/>
      <c r="S3" s="232"/>
    </row>
    <row r="4" spans="1:22" ht="49" customHeight="1">
      <c r="A4" s="158"/>
      <c r="B4" s="226"/>
      <c r="C4" s="226"/>
      <c r="D4" s="226"/>
      <c r="E4" s="226"/>
      <c r="F4" s="140" t="s">
        <v>222</v>
      </c>
      <c r="G4" s="140" t="s">
        <v>223</v>
      </c>
      <c r="H4" s="140" t="s">
        <v>229</v>
      </c>
      <c r="I4" s="140" t="s">
        <v>230</v>
      </c>
      <c r="J4" s="140" t="s">
        <v>231</v>
      </c>
      <c r="K4" s="140" t="s">
        <v>176</v>
      </c>
      <c r="L4" s="140" t="s">
        <v>178</v>
      </c>
      <c r="M4" s="230"/>
      <c r="N4" s="231"/>
      <c r="O4" s="231"/>
      <c r="P4" s="231"/>
      <c r="Q4" s="231"/>
      <c r="R4" s="231"/>
      <c r="S4" s="232"/>
    </row>
    <row r="5" spans="1:22" ht="62" customHeight="1">
      <c r="A5" s="158"/>
      <c r="B5" s="150" t="s">
        <v>64</v>
      </c>
      <c r="C5" s="139" t="s">
        <v>170</v>
      </c>
      <c r="D5" s="139" t="s">
        <v>171</v>
      </c>
      <c r="E5" s="139" t="s">
        <v>79</v>
      </c>
      <c r="F5" s="159" t="s">
        <v>179</v>
      </c>
      <c r="G5" s="159" t="s">
        <v>179</v>
      </c>
      <c r="H5" s="159" t="s">
        <v>177</v>
      </c>
      <c r="I5" s="159" t="s">
        <v>177</v>
      </c>
      <c r="J5" s="159" t="s">
        <v>177</v>
      </c>
      <c r="K5" s="159" t="s">
        <v>177</v>
      </c>
      <c r="L5" s="159" t="s">
        <v>177</v>
      </c>
      <c r="M5" s="140" t="s">
        <v>66</v>
      </c>
      <c r="N5" s="153" t="s">
        <v>67</v>
      </c>
      <c r="O5" s="140" t="s">
        <v>167</v>
      </c>
      <c r="P5" s="140" t="s">
        <v>0</v>
      </c>
      <c r="Q5" s="140" t="s">
        <v>69</v>
      </c>
      <c r="R5" s="140" t="s">
        <v>1</v>
      </c>
      <c r="S5" s="149" t="s">
        <v>2</v>
      </c>
    </row>
    <row r="6" spans="1:22" ht="22.5" hidden="1" customHeight="1">
      <c r="A6" s="160"/>
      <c r="B6" s="161"/>
      <c r="C6" s="162"/>
      <c r="D6" s="145"/>
      <c r="E6" s="142"/>
      <c r="F6" s="163"/>
      <c r="G6" s="163"/>
      <c r="H6" s="164"/>
      <c r="I6" s="163"/>
      <c r="J6" s="163"/>
      <c r="K6" s="163"/>
      <c r="L6" s="163"/>
      <c r="M6" s="151"/>
      <c r="N6" s="154"/>
      <c r="O6" s="146"/>
      <c r="P6" s="146"/>
      <c r="Q6" s="146"/>
      <c r="R6" s="146"/>
      <c r="S6" s="147"/>
    </row>
    <row r="7" spans="1:22" ht="29" customHeight="1">
      <c r="A7" s="160"/>
      <c r="B7" s="161">
        <v>1</v>
      </c>
      <c r="C7" s="165" t="s">
        <v>181</v>
      </c>
      <c r="D7" s="166" t="s">
        <v>182</v>
      </c>
      <c r="E7" s="166">
        <v>40</v>
      </c>
      <c r="F7" s="186">
        <v>1785</v>
      </c>
      <c r="G7" s="186">
        <v>1319</v>
      </c>
      <c r="H7" s="167"/>
      <c r="I7" s="167"/>
      <c r="J7" s="186">
        <v>1071</v>
      </c>
      <c r="K7" s="167"/>
      <c r="L7" s="167"/>
      <c r="M7" s="183">
        <f>COUNT(F7:L7)</f>
        <v>3</v>
      </c>
      <c r="N7" s="184">
        <f>ROUND(AVERAGE(F7:L7),0)</f>
        <v>1392</v>
      </c>
      <c r="O7" s="185">
        <f>+N7*E7</f>
        <v>55680</v>
      </c>
      <c r="P7" s="203">
        <f>STDEVP(F7:J7)</f>
        <v>295.98348302265487</v>
      </c>
      <c r="Q7" s="204">
        <f>P7/N7*100</f>
        <v>21.263181251627504</v>
      </c>
      <c r="R7" s="205">
        <f>100-Q7</f>
        <v>78.736818748372499</v>
      </c>
      <c r="S7" s="206" t="str">
        <f t="shared" ref="S7:S68" si="0">IF(R7&gt;70,"ALTO","BAJO")</f>
        <v>ALTO</v>
      </c>
      <c r="V7" s="132"/>
    </row>
    <row r="8" spans="1:22" ht="48.5" customHeight="1">
      <c r="A8" s="160"/>
      <c r="B8" s="161">
        <v>2</v>
      </c>
      <c r="C8" s="165" t="s">
        <v>183</v>
      </c>
      <c r="D8" s="166" t="s">
        <v>182</v>
      </c>
      <c r="E8" s="166">
        <v>250</v>
      </c>
      <c r="F8" s="186">
        <v>5712</v>
      </c>
      <c r="G8" s="186">
        <v>6797</v>
      </c>
      <c r="H8" s="167"/>
      <c r="I8" s="167"/>
      <c r="J8" s="186">
        <v>3451</v>
      </c>
      <c r="K8" s="164"/>
      <c r="L8" s="164"/>
      <c r="M8" s="183">
        <f t="shared" ref="M8:M69" si="1">COUNT(F8:L8)</f>
        <v>3</v>
      </c>
      <c r="N8" s="184">
        <f t="shared" ref="N8:N69" si="2">ROUND(AVERAGE(F8:L8),0)</f>
        <v>5320</v>
      </c>
      <c r="O8" s="185">
        <f t="shared" ref="O8:O69" si="3">+N8*E8</f>
        <v>1330000</v>
      </c>
      <c r="P8" s="203">
        <f t="shared" ref="P8:P69" si="4">STDEVP(F8:J8)</f>
        <v>1393.8381063332522</v>
      </c>
      <c r="Q8" s="204">
        <f t="shared" ref="Q8:Q69" si="5">P8/N8*100</f>
        <v>26.199964404760379</v>
      </c>
      <c r="R8" s="205">
        <f t="shared" ref="R8:R69" si="6">100-Q8</f>
        <v>73.800035595239621</v>
      </c>
      <c r="S8" s="206" t="str">
        <f t="shared" si="0"/>
        <v>ALTO</v>
      </c>
    </row>
    <row r="9" spans="1:22" ht="22.5" customHeight="1">
      <c r="A9" s="160"/>
      <c r="B9" s="161">
        <f>+B8+1</f>
        <v>3</v>
      </c>
      <c r="C9" s="165" t="s">
        <v>184</v>
      </c>
      <c r="D9" s="166" t="s">
        <v>171</v>
      </c>
      <c r="E9" s="166">
        <v>100</v>
      </c>
      <c r="F9" s="186">
        <v>1071</v>
      </c>
      <c r="G9" s="186">
        <v>1303</v>
      </c>
      <c r="H9" s="167"/>
      <c r="I9" s="167"/>
      <c r="J9" s="187"/>
      <c r="K9" s="164"/>
      <c r="L9" s="164"/>
      <c r="M9" s="183">
        <f t="shared" si="1"/>
        <v>2</v>
      </c>
      <c r="N9" s="184">
        <f t="shared" si="2"/>
        <v>1187</v>
      </c>
      <c r="O9" s="185">
        <f t="shared" si="3"/>
        <v>118700</v>
      </c>
      <c r="P9" s="203">
        <f t="shared" si="4"/>
        <v>116</v>
      </c>
      <c r="Q9" s="204">
        <f t="shared" si="5"/>
        <v>9.7725358045492836</v>
      </c>
      <c r="R9" s="205">
        <f t="shared" si="6"/>
        <v>90.227464195450722</v>
      </c>
      <c r="S9" s="206" t="str">
        <f t="shared" si="0"/>
        <v>ALTO</v>
      </c>
    </row>
    <row r="10" spans="1:22" ht="23" customHeight="1">
      <c r="A10" s="160"/>
      <c r="B10" s="161">
        <f t="shared" ref="B10:B47" si="7">+B9+1</f>
        <v>4</v>
      </c>
      <c r="C10" s="165" t="s">
        <v>185</v>
      </c>
      <c r="D10" s="166" t="s">
        <v>186</v>
      </c>
      <c r="E10" s="166">
        <v>12</v>
      </c>
      <c r="F10" s="186">
        <v>2499</v>
      </c>
      <c r="G10" s="186">
        <v>2850</v>
      </c>
      <c r="H10" s="167"/>
      <c r="I10" s="167"/>
      <c r="J10" s="186">
        <v>1785</v>
      </c>
      <c r="K10" s="164"/>
      <c r="L10" s="164"/>
      <c r="M10" s="183">
        <f t="shared" si="1"/>
        <v>3</v>
      </c>
      <c r="N10" s="184">
        <f t="shared" si="2"/>
        <v>2378</v>
      </c>
      <c r="O10" s="185">
        <f t="shared" si="3"/>
        <v>28536</v>
      </c>
      <c r="P10" s="203">
        <f t="shared" si="4"/>
        <v>443.1230077529263</v>
      </c>
      <c r="Q10" s="204">
        <f t="shared" si="5"/>
        <v>18.634272823924572</v>
      </c>
      <c r="R10" s="205">
        <f t="shared" si="6"/>
        <v>81.365727176075424</v>
      </c>
      <c r="S10" s="206" t="str">
        <f t="shared" si="0"/>
        <v>ALTO</v>
      </c>
    </row>
    <row r="11" spans="1:22" ht="26" customHeight="1">
      <c r="A11" s="160"/>
      <c r="B11" s="161">
        <f t="shared" si="7"/>
        <v>5</v>
      </c>
      <c r="C11" s="165" t="s">
        <v>187</v>
      </c>
      <c r="D11" s="166" t="s">
        <v>186</v>
      </c>
      <c r="E11" s="166">
        <v>2000</v>
      </c>
      <c r="F11" s="186">
        <v>178.5</v>
      </c>
      <c r="G11" s="186">
        <v>240</v>
      </c>
      <c r="H11" s="167"/>
      <c r="I11" s="167"/>
      <c r="J11" s="186">
        <v>226</v>
      </c>
      <c r="K11" s="164"/>
      <c r="L11" s="164"/>
      <c r="M11" s="183">
        <f t="shared" si="1"/>
        <v>3</v>
      </c>
      <c r="N11" s="184">
        <f t="shared" si="2"/>
        <v>215</v>
      </c>
      <c r="O11" s="185">
        <f t="shared" si="3"/>
        <v>430000</v>
      </c>
      <c r="P11" s="203">
        <f t="shared" si="4"/>
        <v>26.319616680761559</v>
      </c>
      <c r="Q11" s="204">
        <f t="shared" si="5"/>
        <v>12.241682177098399</v>
      </c>
      <c r="R11" s="205">
        <f t="shared" si="6"/>
        <v>87.758317822901603</v>
      </c>
      <c r="S11" s="206" t="str">
        <f t="shared" si="0"/>
        <v>ALTO</v>
      </c>
    </row>
    <row r="12" spans="1:22" ht="38.5" customHeight="1">
      <c r="A12" s="160"/>
      <c r="B12" s="161">
        <f t="shared" si="7"/>
        <v>6</v>
      </c>
      <c r="C12" s="165" t="s">
        <v>188</v>
      </c>
      <c r="D12" s="166" t="s">
        <v>171</v>
      </c>
      <c r="E12" s="166">
        <v>50</v>
      </c>
      <c r="F12" s="186">
        <v>1785</v>
      </c>
      <c r="G12" s="187"/>
      <c r="H12" s="167"/>
      <c r="I12" s="167"/>
      <c r="J12" s="186">
        <v>1071</v>
      </c>
      <c r="K12" s="164"/>
      <c r="L12" s="164"/>
      <c r="M12" s="183">
        <f t="shared" si="1"/>
        <v>2</v>
      </c>
      <c r="N12" s="184">
        <f t="shared" si="2"/>
        <v>1428</v>
      </c>
      <c r="O12" s="185">
        <f t="shared" si="3"/>
        <v>71400</v>
      </c>
      <c r="P12" s="203">
        <f t="shared" si="4"/>
        <v>357</v>
      </c>
      <c r="Q12" s="204">
        <f t="shared" si="5"/>
        <v>25</v>
      </c>
      <c r="R12" s="205">
        <f t="shared" si="6"/>
        <v>75</v>
      </c>
      <c r="S12" s="206" t="str">
        <f t="shared" si="0"/>
        <v>ALTO</v>
      </c>
    </row>
    <row r="13" spans="1:22" ht="23.5" customHeight="1">
      <c r="A13" s="160"/>
      <c r="B13" s="161">
        <f t="shared" si="7"/>
        <v>7</v>
      </c>
      <c r="C13" s="165" t="s">
        <v>189</v>
      </c>
      <c r="D13" s="166" t="s">
        <v>171</v>
      </c>
      <c r="E13" s="166">
        <v>24</v>
      </c>
      <c r="F13" s="186">
        <v>4998</v>
      </c>
      <c r="G13" s="187"/>
      <c r="H13" s="167"/>
      <c r="I13" s="167"/>
      <c r="J13" s="186">
        <v>7497</v>
      </c>
      <c r="K13" s="168"/>
      <c r="L13" s="168"/>
      <c r="M13" s="183">
        <f t="shared" si="1"/>
        <v>2</v>
      </c>
      <c r="N13" s="184">
        <f t="shared" si="2"/>
        <v>6248</v>
      </c>
      <c r="O13" s="185">
        <f t="shared" si="3"/>
        <v>149952</v>
      </c>
      <c r="P13" s="203">
        <f t="shared" si="4"/>
        <v>1249.5</v>
      </c>
      <c r="Q13" s="204">
        <f t="shared" si="5"/>
        <v>19.998399487836107</v>
      </c>
      <c r="R13" s="205">
        <f t="shared" si="6"/>
        <v>80.00160051216389</v>
      </c>
      <c r="S13" s="206" t="str">
        <f t="shared" si="0"/>
        <v>ALTO</v>
      </c>
    </row>
    <row r="14" spans="1:22" customFormat="1" ht="37.5" customHeight="1">
      <c r="A14" s="188"/>
      <c r="B14" s="189">
        <f t="shared" si="7"/>
        <v>8</v>
      </c>
      <c r="C14" s="165" t="s">
        <v>224</v>
      </c>
      <c r="D14" s="166" t="s">
        <v>171</v>
      </c>
      <c r="E14" s="166">
        <v>100</v>
      </c>
      <c r="F14" s="186">
        <v>7080</v>
      </c>
      <c r="G14" s="187"/>
      <c r="H14" s="167"/>
      <c r="I14" s="167"/>
      <c r="J14" s="186">
        <v>5831</v>
      </c>
      <c r="K14" s="190"/>
      <c r="L14" s="190"/>
      <c r="M14" s="191">
        <f t="shared" si="1"/>
        <v>2</v>
      </c>
      <c r="N14" s="184">
        <f t="shared" si="2"/>
        <v>6456</v>
      </c>
      <c r="O14" s="184">
        <f t="shared" si="3"/>
        <v>645600</v>
      </c>
      <c r="P14" s="207">
        <f t="shared" si="4"/>
        <v>624.5</v>
      </c>
      <c r="Q14" s="208">
        <f t="shared" si="5"/>
        <v>9.6731722428748448</v>
      </c>
      <c r="R14" s="209">
        <f t="shared" si="6"/>
        <v>90.326827757125159</v>
      </c>
      <c r="S14" s="210" t="str">
        <f t="shared" si="0"/>
        <v>ALTO</v>
      </c>
      <c r="T14" s="192"/>
    </row>
    <row r="15" spans="1:22" customFormat="1" ht="24" customHeight="1">
      <c r="A15" s="188"/>
      <c r="B15" s="189">
        <f t="shared" si="7"/>
        <v>9</v>
      </c>
      <c r="C15" s="165" t="s">
        <v>190</v>
      </c>
      <c r="D15" s="166" t="s">
        <v>171</v>
      </c>
      <c r="E15" s="166">
        <v>50</v>
      </c>
      <c r="F15" s="186">
        <v>17850</v>
      </c>
      <c r="G15" s="186">
        <v>10993</v>
      </c>
      <c r="H15" s="167"/>
      <c r="I15" s="167"/>
      <c r="J15" s="187"/>
      <c r="K15" s="190"/>
      <c r="L15" s="190"/>
      <c r="M15" s="191">
        <f t="shared" si="1"/>
        <v>2</v>
      </c>
      <c r="N15" s="184">
        <f t="shared" si="2"/>
        <v>14422</v>
      </c>
      <c r="O15" s="184">
        <f t="shared" si="3"/>
        <v>721100</v>
      </c>
      <c r="P15" s="207">
        <f t="shared" si="4"/>
        <v>3428.5</v>
      </c>
      <c r="Q15" s="208">
        <f t="shared" si="5"/>
        <v>23.772708362224378</v>
      </c>
      <c r="R15" s="209">
        <f t="shared" si="6"/>
        <v>76.227291637775622</v>
      </c>
      <c r="S15" s="210" t="str">
        <f t="shared" si="0"/>
        <v>ALTO</v>
      </c>
      <c r="T15" s="192"/>
    </row>
    <row r="16" spans="1:22" customFormat="1" ht="24" customHeight="1">
      <c r="A16" s="188"/>
      <c r="B16" s="189">
        <f t="shared" si="7"/>
        <v>10</v>
      </c>
      <c r="C16" s="165" t="s">
        <v>191</v>
      </c>
      <c r="D16" s="166" t="s">
        <v>171</v>
      </c>
      <c r="E16" s="166">
        <v>50</v>
      </c>
      <c r="F16" s="186">
        <v>4700.5</v>
      </c>
      <c r="G16" s="186">
        <v>3121</v>
      </c>
      <c r="H16" s="167"/>
      <c r="I16" s="167"/>
      <c r="J16" s="186">
        <v>2618</v>
      </c>
      <c r="K16" s="190"/>
      <c r="L16" s="190"/>
      <c r="M16" s="191">
        <f t="shared" si="1"/>
        <v>3</v>
      </c>
      <c r="N16" s="184">
        <f t="shared" si="2"/>
        <v>3480</v>
      </c>
      <c r="O16" s="184">
        <f t="shared" si="3"/>
        <v>174000</v>
      </c>
      <c r="P16" s="207">
        <f t="shared" si="4"/>
        <v>887.23262012970542</v>
      </c>
      <c r="Q16" s="208">
        <f t="shared" si="5"/>
        <v>25.495190233612224</v>
      </c>
      <c r="R16" s="209">
        <f t="shared" si="6"/>
        <v>74.50480976638778</v>
      </c>
      <c r="S16" s="210" t="str">
        <f t="shared" si="0"/>
        <v>ALTO</v>
      </c>
      <c r="T16" s="192"/>
    </row>
    <row r="17" spans="1:25" customFormat="1" ht="21" customHeight="1">
      <c r="A17" s="188"/>
      <c r="B17" s="189">
        <f t="shared" si="7"/>
        <v>11</v>
      </c>
      <c r="C17" s="165" t="s">
        <v>192</v>
      </c>
      <c r="D17" s="166" t="s">
        <v>171</v>
      </c>
      <c r="E17" s="166">
        <v>50</v>
      </c>
      <c r="F17" s="187"/>
      <c r="G17" s="186">
        <v>14569</v>
      </c>
      <c r="H17" s="167"/>
      <c r="I17" s="167"/>
      <c r="J17" s="186">
        <v>8925</v>
      </c>
      <c r="K17" s="168"/>
      <c r="L17" s="168"/>
      <c r="M17" s="191">
        <f t="shared" si="1"/>
        <v>2</v>
      </c>
      <c r="N17" s="184">
        <f t="shared" si="2"/>
        <v>11747</v>
      </c>
      <c r="O17" s="184">
        <f t="shared" si="3"/>
        <v>587350</v>
      </c>
      <c r="P17" s="207">
        <f t="shared" si="4"/>
        <v>2822</v>
      </c>
      <c r="Q17" s="208">
        <f t="shared" si="5"/>
        <v>24.02315484804631</v>
      </c>
      <c r="R17" s="209">
        <f t="shared" si="6"/>
        <v>75.976845151953682</v>
      </c>
      <c r="S17" s="210" t="str">
        <f t="shared" si="0"/>
        <v>ALTO</v>
      </c>
      <c r="T17" s="192"/>
    </row>
    <row r="18" spans="1:25" customFormat="1" ht="45" customHeight="1">
      <c r="A18" s="188"/>
      <c r="B18" s="189">
        <f t="shared" si="7"/>
        <v>12</v>
      </c>
      <c r="C18" s="165" t="s">
        <v>227</v>
      </c>
      <c r="D18" s="166" t="s">
        <v>171</v>
      </c>
      <c r="E18" s="166">
        <v>6</v>
      </c>
      <c r="F18" s="186">
        <v>1725500</v>
      </c>
      <c r="G18" s="186">
        <v>1547089</v>
      </c>
      <c r="H18" s="167"/>
      <c r="I18" s="167"/>
      <c r="J18" s="186">
        <v>1166200</v>
      </c>
      <c r="K18" s="168"/>
      <c r="L18" s="168"/>
      <c r="M18" s="191">
        <f t="shared" si="1"/>
        <v>3</v>
      </c>
      <c r="N18" s="184">
        <f t="shared" si="2"/>
        <v>1479596</v>
      </c>
      <c r="O18" s="184">
        <f t="shared" si="3"/>
        <v>8877576</v>
      </c>
      <c r="P18" s="207">
        <f t="shared" si="4"/>
        <v>233267.46814237846</v>
      </c>
      <c r="Q18" s="208">
        <f t="shared" si="5"/>
        <v>15.765619002915557</v>
      </c>
      <c r="R18" s="209">
        <f t="shared" si="6"/>
        <v>84.234380997084443</v>
      </c>
      <c r="S18" s="210" t="str">
        <f t="shared" si="0"/>
        <v>ALTO</v>
      </c>
      <c r="T18" s="192"/>
    </row>
    <row r="19" spans="1:25" customFormat="1">
      <c r="A19" s="188"/>
      <c r="B19" s="189">
        <f t="shared" si="7"/>
        <v>13</v>
      </c>
      <c r="C19" s="165" t="s">
        <v>225</v>
      </c>
      <c r="D19" s="166" t="s">
        <v>171</v>
      </c>
      <c r="E19" s="166">
        <v>24</v>
      </c>
      <c r="F19" s="187"/>
      <c r="G19" s="186">
        <v>64327</v>
      </c>
      <c r="H19" s="167"/>
      <c r="I19" s="167"/>
      <c r="J19" s="186">
        <v>40460</v>
      </c>
      <c r="K19" s="169"/>
      <c r="L19" s="169"/>
      <c r="M19" s="191">
        <f t="shared" si="1"/>
        <v>2</v>
      </c>
      <c r="N19" s="184">
        <f t="shared" si="2"/>
        <v>52394</v>
      </c>
      <c r="O19" s="184">
        <f t="shared" si="3"/>
        <v>1257456</v>
      </c>
      <c r="P19" s="207">
        <f t="shared" si="4"/>
        <v>11933.5</v>
      </c>
      <c r="Q19" s="208">
        <f t="shared" si="5"/>
        <v>22.776462953773333</v>
      </c>
      <c r="R19" s="209">
        <f t="shared" si="6"/>
        <v>77.223537046226667</v>
      </c>
      <c r="S19" s="210" t="str">
        <f t="shared" si="0"/>
        <v>ALTO</v>
      </c>
      <c r="T19" s="192"/>
      <c r="V19" s="193"/>
      <c r="Y19" s="193"/>
    </row>
    <row r="20" spans="1:25" customFormat="1" ht="27.5" customHeight="1">
      <c r="A20" s="194"/>
      <c r="B20" s="189">
        <f t="shared" si="7"/>
        <v>14</v>
      </c>
      <c r="C20" s="165" t="s">
        <v>193</v>
      </c>
      <c r="D20" s="166" t="s">
        <v>171</v>
      </c>
      <c r="E20" s="166">
        <v>6</v>
      </c>
      <c r="F20" s="186">
        <v>339983</v>
      </c>
      <c r="G20" s="186">
        <v>223107</v>
      </c>
      <c r="H20" s="167"/>
      <c r="I20" s="167"/>
      <c r="J20" s="186">
        <v>165410</v>
      </c>
      <c r="K20" s="195"/>
      <c r="L20" s="195"/>
      <c r="M20" s="191">
        <f t="shared" si="1"/>
        <v>3</v>
      </c>
      <c r="N20" s="184">
        <f t="shared" si="2"/>
        <v>242833</v>
      </c>
      <c r="O20" s="184">
        <f t="shared" si="3"/>
        <v>1456998</v>
      </c>
      <c r="P20" s="207">
        <f t="shared" si="4"/>
        <v>72621.297391942047</v>
      </c>
      <c r="Q20" s="208">
        <f t="shared" si="5"/>
        <v>29.90586015572103</v>
      </c>
      <c r="R20" s="209">
        <f t="shared" si="6"/>
        <v>70.09413984427897</v>
      </c>
      <c r="S20" s="210" t="str">
        <f t="shared" si="0"/>
        <v>ALTO</v>
      </c>
      <c r="T20" s="192"/>
      <c r="V20" s="193"/>
      <c r="Y20" s="193"/>
    </row>
    <row r="21" spans="1:25" customFormat="1" ht="36.5" customHeight="1">
      <c r="A21" s="194"/>
      <c r="B21" s="189">
        <f t="shared" si="7"/>
        <v>15</v>
      </c>
      <c r="C21" s="165" t="s">
        <v>194</v>
      </c>
      <c r="D21" s="166" t="s">
        <v>171</v>
      </c>
      <c r="E21" s="166">
        <v>24</v>
      </c>
      <c r="F21" s="186">
        <v>8687</v>
      </c>
      <c r="G21" s="186">
        <v>7506</v>
      </c>
      <c r="H21" s="167"/>
      <c r="I21" s="167"/>
      <c r="J21" s="186">
        <v>9758</v>
      </c>
      <c r="K21" s="195"/>
      <c r="L21" s="195"/>
      <c r="M21" s="191">
        <f t="shared" si="1"/>
        <v>3</v>
      </c>
      <c r="N21" s="184">
        <f t="shared" si="2"/>
        <v>8650</v>
      </c>
      <c r="O21" s="184">
        <f t="shared" si="3"/>
        <v>207600</v>
      </c>
      <c r="P21" s="207">
        <f t="shared" si="4"/>
        <v>919.74066393135456</v>
      </c>
      <c r="Q21" s="208">
        <f t="shared" si="5"/>
        <v>10.632840045449186</v>
      </c>
      <c r="R21" s="209">
        <f t="shared" si="6"/>
        <v>89.367159954550814</v>
      </c>
      <c r="S21" s="210" t="str">
        <f t="shared" si="0"/>
        <v>ALTO</v>
      </c>
      <c r="T21" s="192"/>
      <c r="V21" s="193"/>
      <c r="Y21" s="193"/>
    </row>
    <row r="22" spans="1:25" customFormat="1">
      <c r="A22" s="194"/>
      <c r="B22" s="189">
        <f t="shared" si="7"/>
        <v>16</v>
      </c>
      <c r="C22" s="165" t="s">
        <v>195</v>
      </c>
      <c r="D22" s="166" t="s">
        <v>171</v>
      </c>
      <c r="E22" s="166">
        <v>50</v>
      </c>
      <c r="F22" s="187"/>
      <c r="G22" s="186">
        <v>1183</v>
      </c>
      <c r="H22" s="167"/>
      <c r="I22" s="167"/>
      <c r="J22" s="186">
        <v>1666</v>
      </c>
      <c r="K22" s="195"/>
      <c r="L22" s="195"/>
      <c r="M22" s="191">
        <f t="shared" si="1"/>
        <v>2</v>
      </c>
      <c r="N22" s="184">
        <f t="shared" si="2"/>
        <v>1425</v>
      </c>
      <c r="O22" s="184">
        <f t="shared" si="3"/>
        <v>71250</v>
      </c>
      <c r="P22" s="207">
        <f t="shared" si="4"/>
        <v>241.5</v>
      </c>
      <c r="Q22" s="208">
        <f t="shared" si="5"/>
        <v>16.94736842105263</v>
      </c>
      <c r="R22" s="209">
        <f t="shared" si="6"/>
        <v>83.05263157894737</v>
      </c>
      <c r="S22" s="210" t="str">
        <f t="shared" si="0"/>
        <v>ALTO</v>
      </c>
      <c r="T22" s="192"/>
      <c r="V22" s="193"/>
      <c r="Y22" s="193"/>
    </row>
    <row r="23" spans="1:25" customFormat="1">
      <c r="A23" s="194"/>
      <c r="B23" s="189">
        <f t="shared" si="7"/>
        <v>17</v>
      </c>
      <c r="C23" s="165" t="s">
        <v>196</v>
      </c>
      <c r="D23" s="166" t="s">
        <v>171</v>
      </c>
      <c r="E23" s="166">
        <v>800</v>
      </c>
      <c r="F23" s="186">
        <v>535.5</v>
      </c>
      <c r="G23" s="186">
        <v>669</v>
      </c>
      <c r="H23" s="167"/>
      <c r="I23" s="167"/>
      <c r="J23" s="186">
        <v>655</v>
      </c>
      <c r="K23" s="195"/>
      <c r="L23" s="195"/>
      <c r="M23" s="191">
        <f t="shared" si="1"/>
        <v>3</v>
      </c>
      <c r="N23" s="184">
        <f t="shared" si="2"/>
        <v>620</v>
      </c>
      <c r="O23" s="184">
        <f t="shared" si="3"/>
        <v>496000</v>
      </c>
      <c r="P23" s="207">
        <f t="shared" si="4"/>
        <v>59.905944798677723</v>
      </c>
      <c r="Q23" s="208">
        <f t="shared" si="5"/>
        <v>9.6622491610770531</v>
      </c>
      <c r="R23" s="209">
        <f t="shared" si="6"/>
        <v>90.337750838922943</v>
      </c>
      <c r="S23" s="210" t="str">
        <f t="shared" si="0"/>
        <v>ALTO</v>
      </c>
      <c r="T23" s="192"/>
      <c r="V23" s="193"/>
      <c r="Y23" s="193"/>
    </row>
    <row r="24" spans="1:25" customFormat="1" ht="41.5" customHeight="1">
      <c r="A24" s="194"/>
      <c r="B24" s="189">
        <f t="shared" si="7"/>
        <v>18</v>
      </c>
      <c r="C24" s="165" t="s">
        <v>197</v>
      </c>
      <c r="D24" s="166" t="s">
        <v>198</v>
      </c>
      <c r="E24" s="166">
        <v>30</v>
      </c>
      <c r="F24" s="186">
        <v>3689</v>
      </c>
      <c r="G24" s="186">
        <v>3126</v>
      </c>
      <c r="H24" s="167"/>
      <c r="I24" s="167"/>
      <c r="J24" s="186">
        <v>3451</v>
      </c>
      <c r="K24" s="195"/>
      <c r="L24" s="195"/>
      <c r="M24" s="191">
        <f t="shared" si="1"/>
        <v>3</v>
      </c>
      <c r="N24" s="184">
        <f t="shared" si="2"/>
        <v>3422</v>
      </c>
      <c r="O24" s="184">
        <f t="shared" si="3"/>
        <v>102660</v>
      </c>
      <c r="P24" s="207">
        <f t="shared" si="4"/>
        <v>230.75672615693495</v>
      </c>
      <c r="Q24" s="208">
        <f t="shared" si="5"/>
        <v>6.7433292272628567</v>
      </c>
      <c r="R24" s="209">
        <f t="shared" si="6"/>
        <v>93.256670772737138</v>
      </c>
      <c r="S24" s="210" t="str">
        <f t="shared" si="0"/>
        <v>ALTO</v>
      </c>
      <c r="T24" s="192"/>
      <c r="V24" s="193"/>
      <c r="Y24" s="193"/>
    </row>
    <row r="25" spans="1:25" customFormat="1">
      <c r="A25" s="194"/>
      <c r="B25" s="189">
        <f t="shared" si="7"/>
        <v>19</v>
      </c>
      <c r="C25" s="165" t="s">
        <v>199</v>
      </c>
      <c r="D25" s="166" t="s">
        <v>198</v>
      </c>
      <c r="E25" s="166">
        <v>12</v>
      </c>
      <c r="F25" s="186">
        <v>4629.1000000000004</v>
      </c>
      <c r="G25" s="186">
        <v>8957</v>
      </c>
      <c r="H25" s="167"/>
      <c r="I25" s="167"/>
      <c r="J25" s="186">
        <v>6902</v>
      </c>
      <c r="K25" s="195"/>
      <c r="L25" s="195"/>
      <c r="M25" s="191">
        <f t="shared" si="1"/>
        <v>3</v>
      </c>
      <c r="N25" s="184">
        <f t="shared" si="2"/>
        <v>6829</v>
      </c>
      <c r="O25" s="184">
        <f t="shared" si="3"/>
        <v>81948</v>
      </c>
      <c r="P25" s="207">
        <f t="shared" si="4"/>
        <v>1767.6040852584122</v>
      </c>
      <c r="Q25" s="208">
        <f t="shared" si="5"/>
        <v>25.883790968786236</v>
      </c>
      <c r="R25" s="209">
        <f t="shared" si="6"/>
        <v>74.116209031213771</v>
      </c>
      <c r="S25" s="210" t="str">
        <f t="shared" si="0"/>
        <v>ALTO</v>
      </c>
      <c r="T25" s="192"/>
      <c r="V25" s="193"/>
      <c r="Y25" s="193"/>
    </row>
    <row r="26" spans="1:25" customFormat="1">
      <c r="A26" s="194"/>
      <c r="B26" s="189">
        <f t="shared" si="7"/>
        <v>20</v>
      </c>
      <c r="C26" s="165" t="s">
        <v>200</v>
      </c>
      <c r="D26" s="166" t="s">
        <v>171</v>
      </c>
      <c r="E26" s="166">
        <v>40</v>
      </c>
      <c r="F26" s="186">
        <v>17850</v>
      </c>
      <c r="G26" s="186">
        <v>10803</v>
      </c>
      <c r="H26" s="167"/>
      <c r="I26" s="167"/>
      <c r="J26" s="186">
        <v>14875</v>
      </c>
      <c r="K26" s="195"/>
      <c r="L26" s="195"/>
      <c r="M26" s="191">
        <f t="shared" si="1"/>
        <v>3</v>
      </c>
      <c r="N26" s="184">
        <f t="shared" si="2"/>
        <v>14509</v>
      </c>
      <c r="O26" s="184">
        <f t="shared" si="3"/>
        <v>580360</v>
      </c>
      <c r="P26" s="207">
        <f t="shared" si="4"/>
        <v>2888.5216903384257</v>
      </c>
      <c r="Q26" s="208">
        <f t="shared" si="5"/>
        <v>19.908482254727588</v>
      </c>
      <c r="R26" s="209">
        <f t="shared" si="6"/>
        <v>80.091517745272412</v>
      </c>
      <c r="S26" s="210" t="str">
        <f t="shared" si="0"/>
        <v>ALTO</v>
      </c>
      <c r="T26" s="192"/>
      <c r="V26" s="193"/>
      <c r="Y26" s="193"/>
    </row>
    <row r="27" spans="1:25" customFormat="1">
      <c r="A27" s="194"/>
      <c r="B27" s="189">
        <f t="shared" si="7"/>
        <v>21</v>
      </c>
      <c r="C27" s="165" t="s">
        <v>201</v>
      </c>
      <c r="D27" s="166" t="s">
        <v>171</v>
      </c>
      <c r="E27" s="166">
        <v>3</v>
      </c>
      <c r="F27" s="186">
        <v>278460</v>
      </c>
      <c r="G27" s="186">
        <v>164412</v>
      </c>
      <c r="H27" s="167"/>
      <c r="I27" s="167"/>
      <c r="J27" s="187"/>
      <c r="K27" s="195"/>
      <c r="L27" s="195"/>
      <c r="M27" s="191">
        <f t="shared" si="1"/>
        <v>2</v>
      </c>
      <c r="N27" s="184">
        <f t="shared" si="2"/>
        <v>221436</v>
      </c>
      <c r="O27" s="184">
        <f t="shared" si="3"/>
        <v>664308</v>
      </c>
      <c r="P27" s="207">
        <f t="shared" si="4"/>
        <v>57024</v>
      </c>
      <c r="Q27" s="208">
        <f t="shared" si="5"/>
        <v>25.751910258494554</v>
      </c>
      <c r="R27" s="209">
        <f t="shared" si="6"/>
        <v>74.248089741505453</v>
      </c>
      <c r="S27" s="210" t="str">
        <f t="shared" si="0"/>
        <v>ALTO</v>
      </c>
      <c r="T27" s="192"/>
      <c r="V27" s="193"/>
      <c r="Y27" s="193"/>
    </row>
    <row r="28" spans="1:25" customFormat="1">
      <c r="A28" s="194"/>
      <c r="B28" s="189">
        <f t="shared" si="7"/>
        <v>22</v>
      </c>
      <c r="C28" s="170" t="s">
        <v>202</v>
      </c>
      <c r="D28" s="166" t="s">
        <v>171</v>
      </c>
      <c r="E28" s="166">
        <v>100</v>
      </c>
      <c r="F28" s="186">
        <v>540</v>
      </c>
      <c r="G28" s="186">
        <v>821</v>
      </c>
      <c r="H28" s="167"/>
      <c r="I28" s="167"/>
      <c r="J28" s="186">
        <v>500</v>
      </c>
      <c r="K28" s="195"/>
      <c r="L28" s="195"/>
      <c r="M28" s="191">
        <f t="shared" si="1"/>
        <v>3</v>
      </c>
      <c r="N28" s="184">
        <f t="shared" si="2"/>
        <v>620</v>
      </c>
      <c r="O28" s="184">
        <f t="shared" si="3"/>
        <v>62000</v>
      </c>
      <c r="P28" s="207">
        <f t="shared" si="4"/>
        <v>142.82934650211848</v>
      </c>
      <c r="Q28" s="208">
        <f t="shared" si="5"/>
        <v>23.03699137130943</v>
      </c>
      <c r="R28" s="209">
        <f t="shared" si="6"/>
        <v>76.963008628690574</v>
      </c>
      <c r="S28" s="210" t="str">
        <f t="shared" si="0"/>
        <v>ALTO</v>
      </c>
      <c r="T28" s="192"/>
      <c r="V28" s="193"/>
      <c r="Y28" s="193"/>
    </row>
    <row r="29" spans="1:25" customFormat="1" ht="37">
      <c r="A29" s="194"/>
      <c r="B29" s="189">
        <f t="shared" si="7"/>
        <v>23</v>
      </c>
      <c r="C29" s="165" t="s">
        <v>226</v>
      </c>
      <c r="D29" s="166" t="s">
        <v>138</v>
      </c>
      <c r="E29" s="166">
        <v>100</v>
      </c>
      <c r="F29" s="186">
        <v>1785</v>
      </c>
      <c r="G29" s="187"/>
      <c r="H29" s="167"/>
      <c r="I29" s="167"/>
      <c r="J29" s="186">
        <v>1904</v>
      </c>
      <c r="K29" s="195"/>
      <c r="L29" s="195"/>
      <c r="M29" s="191">
        <f t="shared" si="1"/>
        <v>2</v>
      </c>
      <c r="N29" s="184">
        <f t="shared" si="2"/>
        <v>1845</v>
      </c>
      <c r="O29" s="184">
        <f t="shared" si="3"/>
        <v>184500</v>
      </c>
      <c r="P29" s="207">
        <f t="shared" si="4"/>
        <v>59.5</v>
      </c>
      <c r="Q29" s="208">
        <f t="shared" si="5"/>
        <v>3.2249322493224932</v>
      </c>
      <c r="R29" s="209">
        <f t="shared" si="6"/>
        <v>96.775067750677508</v>
      </c>
      <c r="S29" s="210" t="str">
        <f t="shared" si="0"/>
        <v>ALTO</v>
      </c>
      <c r="T29" s="192"/>
      <c r="V29" s="193"/>
      <c r="Y29" s="193"/>
    </row>
    <row r="30" spans="1:25" customFormat="1">
      <c r="A30" s="194"/>
      <c r="B30" s="189">
        <f t="shared" si="7"/>
        <v>24</v>
      </c>
      <c r="C30" s="165" t="s">
        <v>203</v>
      </c>
      <c r="D30" s="166" t="s">
        <v>171</v>
      </c>
      <c r="E30" s="166">
        <v>24</v>
      </c>
      <c r="F30" s="186">
        <v>1666</v>
      </c>
      <c r="G30" s="186">
        <v>1274</v>
      </c>
      <c r="H30" s="167"/>
      <c r="I30" s="167"/>
      <c r="J30" s="186">
        <v>1904</v>
      </c>
      <c r="K30" s="195"/>
      <c r="L30" s="195"/>
      <c r="M30" s="191">
        <f t="shared" si="1"/>
        <v>3</v>
      </c>
      <c r="N30" s="184">
        <f t="shared" si="2"/>
        <v>1615</v>
      </c>
      <c r="O30" s="184">
        <f t="shared" si="3"/>
        <v>38760</v>
      </c>
      <c r="P30" s="207">
        <f t="shared" si="4"/>
        <v>259.74517426808058</v>
      </c>
      <c r="Q30" s="208">
        <f t="shared" si="5"/>
        <v>16.083292524339356</v>
      </c>
      <c r="R30" s="209">
        <f t="shared" si="6"/>
        <v>83.916707475660644</v>
      </c>
      <c r="S30" s="210" t="str">
        <f t="shared" si="0"/>
        <v>ALTO</v>
      </c>
      <c r="T30" s="192"/>
      <c r="V30" s="193"/>
      <c r="Y30" s="193"/>
    </row>
    <row r="31" spans="1:25" customFormat="1">
      <c r="A31" s="194"/>
      <c r="B31" s="189">
        <f t="shared" si="7"/>
        <v>25</v>
      </c>
      <c r="C31" s="165" t="s">
        <v>204</v>
      </c>
      <c r="D31" s="166" t="s">
        <v>171</v>
      </c>
      <c r="E31" s="166">
        <v>24</v>
      </c>
      <c r="F31" s="186">
        <v>2142</v>
      </c>
      <c r="G31" s="186">
        <v>4071</v>
      </c>
      <c r="H31" s="167"/>
      <c r="I31" s="167"/>
      <c r="J31" s="186">
        <v>3332</v>
      </c>
      <c r="K31" s="195"/>
      <c r="L31" s="195"/>
      <c r="M31" s="191">
        <f t="shared" si="1"/>
        <v>3</v>
      </c>
      <c r="N31" s="184">
        <f t="shared" si="2"/>
        <v>3182</v>
      </c>
      <c r="O31" s="184">
        <f t="shared" si="3"/>
        <v>76368</v>
      </c>
      <c r="P31" s="207">
        <f t="shared" si="4"/>
        <v>794.65310391110631</v>
      </c>
      <c r="Q31" s="208">
        <f t="shared" si="5"/>
        <v>24.973384786646964</v>
      </c>
      <c r="R31" s="209">
        <f t="shared" si="6"/>
        <v>75.02661521335304</v>
      </c>
      <c r="S31" s="210" t="str">
        <f t="shared" si="0"/>
        <v>ALTO</v>
      </c>
      <c r="T31" s="192"/>
      <c r="V31" s="193"/>
      <c r="Y31" s="193"/>
    </row>
    <row r="32" spans="1:25" customFormat="1">
      <c r="A32" s="194"/>
      <c r="B32" s="189">
        <f t="shared" si="7"/>
        <v>26</v>
      </c>
      <c r="C32" s="165" t="s">
        <v>205</v>
      </c>
      <c r="D32" s="166" t="s">
        <v>171</v>
      </c>
      <c r="E32" s="166">
        <v>100</v>
      </c>
      <c r="F32" s="186">
        <v>2261</v>
      </c>
      <c r="G32" s="186">
        <v>1405</v>
      </c>
      <c r="H32" s="167"/>
      <c r="I32" s="167"/>
      <c r="J32" s="186">
        <v>2142</v>
      </c>
      <c r="K32" s="195"/>
      <c r="L32" s="195"/>
      <c r="M32" s="191">
        <f t="shared" si="1"/>
        <v>3</v>
      </c>
      <c r="N32" s="184">
        <f t="shared" si="2"/>
        <v>1936</v>
      </c>
      <c r="O32" s="184">
        <f t="shared" si="3"/>
        <v>193600</v>
      </c>
      <c r="P32" s="207">
        <f t="shared" si="4"/>
        <v>378.60357455611359</v>
      </c>
      <c r="Q32" s="208">
        <f t="shared" si="5"/>
        <v>19.555969760129834</v>
      </c>
      <c r="R32" s="209">
        <f t="shared" si="6"/>
        <v>80.444030239870159</v>
      </c>
      <c r="S32" s="210" t="str">
        <f t="shared" si="0"/>
        <v>ALTO</v>
      </c>
      <c r="T32" s="192"/>
      <c r="V32" s="193"/>
      <c r="Y32" s="193"/>
    </row>
    <row r="33" spans="1:25" customFormat="1">
      <c r="A33" s="194"/>
      <c r="B33" s="189">
        <f t="shared" si="7"/>
        <v>27</v>
      </c>
      <c r="C33" s="165" t="s">
        <v>206</v>
      </c>
      <c r="D33" s="166" t="s">
        <v>171</v>
      </c>
      <c r="E33" s="166">
        <v>100</v>
      </c>
      <c r="F33" s="186">
        <v>2261</v>
      </c>
      <c r="G33" s="186">
        <v>1430</v>
      </c>
      <c r="H33" s="167"/>
      <c r="I33" s="167"/>
      <c r="J33" s="186">
        <v>2142</v>
      </c>
      <c r="K33" s="195"/>
      <c r="L33" s="195"/>
      <c r="M33" s="191">
        <f t="shared" si="1"/>
        <v>3</v>
      </c>
      <c r="N33" s="184">
        <f t="shared" si="2"/>
        <v>1944</v>
      </c>
      <c r="O33" s="184">
        <f t="shared" si="3"/>
        <v>194400</v>
      </c>
      <c r="P33" s="207">
        <f t="shared" si="4"/>
        <v>366.91900408067659</v>
      </c>
      <c r="Q33" s="208">
        <f t="shared" si="5"/>
        <v>18.874434366289947</v>
      </c>
      <c r="R33" s="209">
        <f t="shared" si="6"/>
        <v>81.125565633710053</v>
      </c>
      <c r="S33" s="210" t="str">
        <f t="shared" si="0"/>
        <v>ALTO</v>
      </c>
      <c r="T33" s="192"/>
      <c r="V33" s="193"/>
      <c r="Y33" s="193"/>
    </row>
    <row r="34" spans="1:25" customFormat="1">
      <c r="A34" s="194"/>
      <c r="B34" s="189">
        <f t="shared" si="7"/>
        <v>28</v>
      </c>
      <c r="C34" s="165" t="s">
        <v>207</v>
      </c>
      <c r="D34" s="166" t="s">
        <v>171</v>
      </c>
      <c r="E34" s="166">
        <v>100</v>
      </c>
      <c r="F34" s="186">
        <v>2261</v>
      </c>
      <c r="G34" s="186">
        <v>1430</v>
      </c>
      <c r="H34" s="167"/>
      <c r="I34" s="167"/>
      <c r="J34" s="186">
        <v>2142</v>
      </c>
      <c r="K34" s="195"/>
      <c r="L34" s="195"/>
      <c r="M34" s="191">
        <f t="shared" si="1"/>
        <v>3</v>
      </c>
      <c r="N34" s="184">
        <f t="shared" si="2"/>
        <v>1944</v>
      </c>
      <c r="O34" s="184">
        <f t="shared" si="3"/>
        <v>194400</v>
      </c>
      <c r="P34" s="207">
        <f t="shared" si="4"/>
        <v>366.91900408067659</v>
      </c>
      <c r="Q34" s="208">
        <f t="shared" si="5"/>
        <v>18.874434366289947</v>
      </c>
      <c r="R34" s="209">
        <f t="shared" si="6"/>
        <v>81.125565633710053</v>
      </c>
      <c r="S34" s="210" t="str">
        <f t="shared" si="0"/>
        <v>ALTO</v>
      </c>
      <c r="T34" s="192"/>
      <c r="V34" s="193"/>
      <c r="Y34" s="193"/>
    </row>
    <row r="35" spans="1:25" customFormat="1" ht="42.5" customHeight="1">
      <c r="A35" s="194"/>
      <c r="B35" s="189">
        <f t="shared" si="7"/>
        <v>29</v>
      </c>
      <c r="C35" s="165" t="s">
        <v>208</v>
      </c>
      <c r="D35" s="166" t="s">
        <v>171</v>
      </c>
      <c r="E35" s="166">
        <v>24</v>
      </c>
      <c r="F35" s="186">
        <v>32725</v>
      </c>
      <c r="G35" s="186">
        <v>39239</v>
      </c>
      <c r="H35" s="167"/>
      <c r="I35" s="167"/>
      <c r="J35" s="186">
        <v>22610</v>
      </c>
      <c r="K35" s="195"/>
      <c r="L35" s="195"/>
      <c r="M35" s="191">
        <f t="shared" si="1"/>
        <v>3</v>
      </c>
      <c r="N35" s="184">
        <f t="shared" si="2"/>
        <v>31525</v>
      </c>
      <c r="O35" s="184">
        <f t="shared" si="3"/>
        <v>756600</v>
      </c>
      <c r="P35" s="207">
        <f t="shared" si="4"/>
        <v>6841.6133737266646</v>
      </c>
      <c r="Q35" s="208">
        <f t="shared" si="5"/>
        <v>21.70218358041765</v>
      </c>
      <c r="R35" s="209">
        <f t="shared" si="6"/>
        <v>78.297816419582347</v>
      </c>
      <c r="S35" s="210" t="str">
        <f t="shared" si="0"/>
        <v>ALTO</v>
      </c>
      <c r="T35" s="192"/>
      <c r="V35" s="193"/>
      <c r="Y35" s="193"/>
    </row>
    <row r="36" spans="1:25" customFormat="1" ht="44.5" customHeight="1">
      <c r="A36" s="194"/>
      <c r="B36" s="189">
        <f t="shared" si="7"/>
        <v>30</v>
      </c>
      <c r="C36" s="165" t="s">
        <v>209</v>
      </c>
      <c r="D36" s="166" t="s">
        <v>138</v>
      </c>
      <c r="E36" s="166">
        <v>50</v>
      </c>
      <c r="F36" s="186">
        <v>2975</v>
      </c>
      <c r="G36" s="186">
        <v>3077</v>
      </c>
      <c r="H36" s="167"/>
      <c r="I36" s="167"/>
      <c r="J36" s="187"/>
      <c r="K36" s="195"/>
      <c r="L36" s="195"/>
      <c r="M36" s="191">
        <f t="shared" si="1"/>
        <v>2</v>
      </c>
      <c r="N36" s="184">
        <f t="shared" si="2"/>
        <v>3026</v>
      </c>
      <c r="O36" s="184">
        <f t="shared" si="3"/>
        <v>151300</v>
      </c>
      <c r="P36" s="207">
        <f t="shared" si="4"/>
        <v>51</v>
      </c>
      <c r="Q36" s="208">
        <f t="shared" si="5"/>
        <v>1.6853932584269662</v>
      </c>
      <c r="R36" s="209">
        <f t="shared" si="6"/>
        <v>98.31460674157303</v>
      </c>
      <c r="S36" s="210" t="str">
        <f t="shared" si="0"/>
        <v>ALTO</v>
      </c>
      <c r="T36" s="192"/>
      <c r="V36" s="193"/>
      <c r="Y36" s="193"/>
    </row>
    <row r="37" spans="1:25" customFormat="1">
      <c r="A37" s="194"/>
      <c r="B37" s="189">
        <f t="shared" si="7"/>
        <v>31</v>
      </c>
      <c r="C37" s="165" t="s">
        <v>210</v>
      </c>
      <c r="D37" s="166" t="s">
        <v>171</v>
      </c>
      <c r="E37" s="166">
        <v>60</v>
      </c>
      <c r="F37" s="186">
        <v>5759.6</v>
      </c>
      <c r="G37" s="186">
        <v>5338</v>
      </c>
      <c r="H37" s="167"/>
      <c r="I37" s="167"/>
      <c r="J37" s="186">
        <v>4284</v>
      </c>
      <c r="K37" s="195"/>
      <c r="L37" s="195"/>
      <c r="M37" s="191">
        <f t="shared" si="1"/>
        <v>3</v>
      </c>
      <c r="N37" s="184">
        <f t="shared" si="2"/>
        <v>5127</v>
      </c>
      <c r="O37" s="184">
        <f t="shared" si="3"/>
        <v>307620</v>
      </c>
      <c r="P37" s="207">
        <f t="shared" si="4"/>
        <v>620.57839687396893</v>
      </c>
      <c r="Q37" s="208">
        <f t="shared" si="5"/>
        <v>12.104123207996272</v>
      </c>
      <c r="R37" s="209">
        <f t="shared" si="6"/>
        <v>87.895876792003733</v>
      </c>
      <c r="S37" s="210" t="str">
        <f t="shared" si="0"/>
        <v>ALTO</v>
      </c>
      <c r="T37" s="192"/>
      <c r="V37" s="193"/>
      <c r="Y37" s="193"/>
    </row>
    <row r="38" spans="1:25" customFormat="1">
      <c r="A38" s="194"/>
      <c r="B38" s="189">
        <f t="shared" si="7"/>
        <v>32</v>
      </c>
      <c r="C38" s="165" t="s">
        <v>211</v>
      </c>
      <c r="D38" s="166" t="s">
        <v>171</v>
      </c>
      <c r="E38" s="166">
        <v>60</v>
      </c>
      <c r="F38" s="186">
        <v>5759.6</v>
      </c>
      <c r="G38" s="186">
        <v>5273</v>
      </c>
      <c r="H38" s="167"/>
      <c r="I38" s="167"/>
      <c r="J38" s="186">
        <v>4284</v>
      </c>
      <c r="K38" s="195"/>
      <c r="L38" s="195"/>
      <c r="M38" s="191">
        <f t="shared" si="1"/>
        <v>3</v>
      </c>
      <c r="N38" s="184">
        <f t="shared" si="2"/>
        <v>5106</v>
      </c>
      <c r="O38" s="184">
        <f t="shared" si="3"/>
        <v>306360</v>
      </c>
      <c r="P38" s="207">
        <f t="shared" si="4"/>
        <v>613.93954823654053</v>
      </c>
      <c r="Q38" s="208">
        <f t="shared" si="5"/>
        <v>12.023884610978076</v>
      </c>
      <c r="R38" s="209">
        <f t="shared" si="6"/>
        <v>87.976115389021928</v>
      </c>
      <c r="S38" s="210" t="str">
        <f t="shared" si="0"/>
        <v>ALTO</v>
      </c>
      <c r="T38" s="192"/>
      <c r="V38" s="193"/>
      <c r="Y38" s="193"/>
    </row>
    <row r="39" spans="1:25" customFormat="1" ht="58.5" customHeight="1">
      <c r="A39" s="194"/>
      <c r="B39" s="189">
        <f t="shared" si="7"/>
        <v>33</v>
      </c>
      <c r="C39" s="165" t="s">
        <v>212</v>
      </c>
      <c r="D39" s="166" t="s">
        <v>171</v>
      </c>
      <c r="E39" s="166">
        <v>100</v>
      </c>
      <c r="F39" s="186">
        <v>1951.6</v>
      </c>
      <c r="G39" s="186">
        <v>1365</v>
      </c>
      <c r="H39" s="167"/>
      <c r="I39" s="167"/>
      <c r="J39" s="186">
        <v>1309</v>
      </c>
      <c r="K39" s="195"/>
      <c r="L39" s="195"/>
      <c r="M39" s="191">
        <f t="shared" si="1"/>
        <v>3</v>
      </c>
      <c r="N39" s="184">
        <f t="shared" si="2"/>
        <v>1542</v>
      </c>
      <c r="O39" s="184">
        <f t="shared" si="3"/>
        <v>154200</v>
      </c>
      <c r="P39" s="207">
        <f t="shared" si="4"/>
        <v>290.62582281842833</v>
      </c>
      <c r="Q39" s="208">
        <f t="shared" si="5"/>
        <v>18.847329625060201</v>
      </c>
      <c r="R39" s="209">
        <f t="shared" si="6"/>
        <v>81.152670374939802</v>
      </c>
      <c r="S39" s="210" t="str">
        <f t="shared" si="0"/>
        <v>ALTO</v>
      </c>
      <c r="T39" s="192"/>
      <c r="V39" s="193"/>
      <c r="Y39" s="193"/>
    </row>
    <row r="40" spans="1:25" customFormat="1">
      <c r="A40" s="194"/>
      <c r="B40" s="189">
        <f t="shared" si="7"/>
        <v>34</v>
      </c>
      <c r="C40" s="165" t="s">
        <v>213</v>
      </c>
      <c r="D40" s="166" t="s">
        <v>171</v>
      </c>
      <c r="E40" s="166">
        <v>50</v>
      </c>
      <c r="F40" s="186">
        <v>22967</v>
      </c>
      <c r="G40" s="186">
        <v>19617</v>
      </c>
      <c r="H40" s="167"/>
      <c r="I40" s="167"/>
      <c r="J40" s="186">
        <v>16660</v>
      </c>
      <c r="K40" s="195"/>
      <c r="L40" s="195"/>
      <c r="M40" s="191">
        <f t="shared" si="1"/>
        <v>3</v>
      </c>
      <c r="N40" s="184">
        <f t="shared" si="2"/>
        <v>19748</v>
      </c>
      <c r="O40" s="184">
        <f t="shared" si="3"/>
        <v>987400</v>
      </c>
      <c r="P40" s="207">
        <f t="shared" si="4"/>
        <v>2576.4876608799559</v>
      </c>
      <c r="Q40" s="208">
        <f t="shared" si="5"/>
        <v>13.046828341502714</v>
      </c>
      <c r="R40" s="209">
        <f t="shared" si="6"/>
        <v>86.953171658497283</v>
      </c>
      <c r="S40" s="210" t="str">
        <f t="shared" si="0"/>
        <v>ALTO</v>
      </c>
      <c r="T40" s="192"/>
      <c r="V40" s="193"/>
      <c r="Y40" s="193"/>
    </row>
    <row r="41" spans="1:25" customFormat="1">
      <c r="A41" s="194"/>
      <c r="B41" s="189">
        <f t="shared" si="7"/>
        <v>35</v>
      </c>
      <c r="C41" s="165" t="s">
        <v>214</v>
      </c>
      <c r="D41" s="166" t="s">
        <v>171</v>
      </c>
      <c r="E41" s="166">
        <v>250</v>
      </c>
      <c r="F41" s="186">
        <v>28441</v>
      </c>
      <c r="G41" s="186">
        <v>31385</v>
      </c>
      <c r="H41" s="167"/>
      <c r="I41" s="167"/>
      <c r="J41" s="186">
        <v>22610</v>
      </c>
      <c r="K41" s="195"/>
      <c r="L41" s="195"/>
      <c r="M41" s="191">
        <f t="shared" si="1"/>
        <v>3</v>
      </c>
      <c r="N41" s="184">
        <f t="shared" si="2"/>
        <v>27479</v>
      </c>
      <c r="O41" s="184">
        <f t="shared" si="3"/>
        <v>6869750</v>
      </c>
      <c r="P41" s="207">
        <f t="shared" si="4"/>
        <v>3646.4339048201905</v>
      </c>
      <c r="Q41" s="208">
        <f t="shared" si="5"/>
        <v>13.269893026748392</v>
      </c>
      <c r="R41" s="209">
        <f t="shared" si="6"/>
        <v>86.730106973251608</v>
      </c>
      <c r="S41" s="210" t="str">
        <f t="shared" si="0"/>
        <v>ALTO</v>
      </c>
      <c r="T41" s="192"/>
      <c r="V41" s="193"/>
      <c r="Y41" s="193"/>
    </row>
    <row r="42" spans="1:25" customFormat="1">
      <c r="A42" s="194"/>
      <c r="B42" s="189">
        <f t="shared" si="7"/>
        <v>36</v>
      </c>
      <c r="C42" s="165" t="s">
        <v>215</v>
      </c>
      <c r="D42" s="166" t="s">
        <v>171</v>
      </c>
      <c r="E42" s="166">
        <v>10</v>
      </c>
      <c r="F42" s="186">
        <v>2499</v>
      </c>
      <c r="G42" s="186">
        <v>2934</v>
      </c>
      <c r="H42" s="167"/>
      <c r="I42" s="167"/>
      <c r="J42" s="186">
        <v>1785</v>
      </c>
      <c r="K42" s="195"/>
      <c r="L42" s="195"/>
      <c r="M42" s="191">
        <f t="shared" si="1"/>
        <v>3</v>
      </c>
      <c r="N42" s="184">
        <f t="shared" si="2"/>
        <v>2406</v>
      </c>
      <c r="O42" s="184">
        <f t="shared" si="3"/>
        <v>24060</v>
      </c>
      <c r="P42" s="207">
        <f t="shared" si="4"/>
        <v>473.66443818382652</v>
      </c>
      <c r="Q42" s="208">
        <f t="shared" si="5"/>
        <v>19.686801254523132</v>
      </c>
      <c r="R42" s="209">
        <f t="shared" si="6"/>
        <v>80.313198745476868</v>
      </c>
      <c r="S42" s="210" t="str">
        <f t="shared" si="0"/>
        <v>ALTO</v>
      </c>
      <c r="T42" s="192"/>
      <c r="V42" s="193"/>
      <c r="Y42" s="193"/>
    </row>
    <row r="43" spans="1:25" customFormat="1">
      <c r="A43" s="194"/>
      <c r="B43" s="189">
        <f t="shared" si="7"/>
        <v>37</v>
      </c>
      <c r="C43" s="165" t="s">
        <v>216</v>
      </c>
      <c r="D43" s="166" t="s">
        <v>171</v>
      </c>
      <c r="E43" s="166">
        <v>12</v>
      </c>
      <c r="F43" s="186">
        <v>8925</v>
      </c>
      <c r="G43" s="186">
        <v>9233</v>
      </c>
      <c r="H43" s="167"/>
      <c r="I43" s="167"/>
      <c r="J43" s="186">
        <v>6188</v>
      </c>
      <c r="K43" s="195"/>
      <c r="L43" s="195"/>
      <c r="M43" s="191">
        <f t="shared" si="1"/>
        <v>3</v>
      </c>
      <c r="N43" s="184">
        <f t="shared" si="2"/>
        <v>8115</v>
      </c>
      <c r="O43" s="184">
        <f t="shared" si="3"/>
        <v>97380</v>
      </c>
      <c r="P43" s="207">
        <f t="shared" si="4"/>
        <v>1368.6188496274467</v>
      </c>
      <c r="Q43" s="208">
        <f t="shared" si="5"/>
        <v>16.865296976308645</v>
      </c>
      <c r="R43" s="209">
        <f t="shared" si="6"/>
        <v>83.134703023691358</v>
      </c>
      <c r="S43" s="210" t="str">
        <f t="shared" si="0"/>
        <v>ALTO</v>
      </c>
      <c r="T43" s="192"/>
      <c r="V43" s="193"/>
      <c r="Y43" s="193"/>
    </row>
    <row r="44" spans="1:25" customFormat="1">
      <c r="A44" s="194"/>
      <c r="B44" s="189">
        <f t="shared" si="7"/>
        <v>38</v>
      </c>
      <c r="C44" s="165" t="s">
        <v>217</v>
      </c>
      <c r="D44" s="166" t="s">
        <v>171</v>
      </c>
      <c r="E44" s="166">
        <v>5</v>
      </c>
      <c r="F44" s="186">
        <v>173502</v>
      </c>
      <c r="G44" s="186">
        <v>213990</v>
      </c>
      <c r="H44" s="167"/>
      <c r="I44" s="167"/>
      <c r="J44" s="186">
        <v>208250</v>
      </c>
      <c r="K44" s="195"/>
      <c r="L44" s="195"/>
      <c r="M44" s="191">
        <f t="shared" si="1"/>
        <v>3</v>
      </c>
      <c r="N44" s="184">
        <f t="shared" si="2"/>
        <v>198581</v>
      </c>
      <c r="O44" s="184">
        <f t="shared" si="3"/>
        <v>992905</v>
      </c>
      <c r="P44" s="207">
        <f t="shared" si="4"/>
        <v>17887.454473891903</v>
      </c>
      <c r="Q44" s="208">
        <f t="shared" si="5"/>
        <v>9.0076364173268857</v>
      </c>
      <c r="R44" s="209">
        <f t="shared" si="6"/>
        <v>90.992363582673107</v>
      </c>
      <c r="S44" s="210" t="str">
        <f t="shared" si="0"/>
        <v>ALTO</v>
      </c>
      <c r="T44" s="192"/>
      <c r="V44" s="193"/>
      <c r="Y44" s="193"/>
    </row>
    <row r="45" spans="1:25" customFormat="1" ht="53.5" customHeight="1">
      <c r="A45" s="194"/>
      <c r="B45" s="189">
        <f t="shared" si="7"/>
        <v>39</v>
      </c>
      <c r="C45" s="165" t="s">
        <v>218</v>
      </c>
      <c r="D45" s="166" t="s">
        <v>171</v>
      </c>
      <c r="E45" s="166">
        <v>20</v>
      </c>
      <c r="F45" s="187"/>
      <c r="G45" s="186">
        <v>350</v>
      </c>
      <c r="H45" s="167"/>
      <c r="I45" s="167"/>
      <c r="J45" s="186">
        <v>476</v>
      </c>
      <c r="K45" s="195"/>
      <c r="L45" s="195"/>
      <c r="M45" s="191">
        <f t="shared" si="1"/>
        <v>2</v>
      </c>
      <c r="N45" s="184">
        <f t="shared" si="2"/>
        <v>413</v>
      </c>
      <c r="O45" s="184">
        <f t="shared" si="3"/>
        <v>8260</v>
      </c>
      <c r="P45" s="207">
        <f t="shared" si="4"/>
        <v>63</v>
      </c>
      <c r="Q45" s="208">
        <f t="shared" si="5"/>
        <v>15.254237288135593</v>
      </c>
      <c r="R45" s="209">
        <f t="shared" si="6"/>
        <v>84.745762711864401</v>
      </c>
      <c r="S45" s="210" t="str">
        <f t="shared" si="0"/>
        <v>ALTO</v>
      </c>
      <c r="T45" s="192"/>
      <c r="V45" s="193"/>
      <c r="Y45" s="193"/>
    </row>
    <row r="46" spans="1:25" customFormat="1" ht="40" customHeight="1">
      <c r="A46" s="194"/>
      <c r="B46" s="189">
        <f t="shared" si="7"/>
        <v>40</v>
      </c>
      <c r="C46" s="165" t="s">
        <v>219</v>
      </c>
      <c r="D46" s="166" t="s">
        <v>171</v>
      </c>
      <c r="E46" s="166">
        <v>15</v>
      </c>
      <c r="F46" s="186">
        <v>5117</v>
      </c>
      <c r="G46" s="187"/>
      <c r="H46" s="167"/>
      <c r="I46" s="167"/>
      <c r="J46" s="186">
        <v>4760</v>
      </c>
      <c r="K46" s="195"/>
      <c r="L46" s="195"/>
      <c r="M46" s="191">
        <f t="shared" si="1"/>
        <v>2</v>
      </c>
      <c r="N46" s="184">
        <f t="shared" si="2"/>
        <v>4939</v>
      </c>
      <c r="O46" s="184">
        <f>+N46*E46</f>
        <v>74085</v>
      </c>
      <c r="P46" s="207">
        <f t="shared" si="4"/>
        <v>178.5</v>
      </c>
      <c r="Q46" s="208">
        <f t="shared" si="5"/>
        <v>3.6140919214415876</v>
      </c>
      <c r="R46" s="209">
        <f t="shared" si="6"/>
        <v>96.385908078558415</v>
      </c>
      <c r="S46" s="210" t="str">
        <f t="shared" si="0"/>
        <v>ALTO</v>
      </c>
      <c r="T46" s="192"/>
      <c r="V46" s="193"/>
      <c r="Y46" s="193"/>
    </row>
    <row r="47" spans="1:25" customFormat="1" ht="40.5" customHeight="1">
      <c r="A47" s="194"/>
      <c r="B47" s="189">
        <f t="shared" si="7"/>
        <v>41</v>
      </c>
      <c r="C47" s="165" t="s">
        <v>228</v>
      </c>
      <c r="D47" s="165" t="s">
        <v>171</v>
      </c>
      <c r="E47" s="166">
        <v>15</v>
      </c>
      <c r="F47" s="186"/>
      <c r="G47" s="186">
        <v>1847475</v>
      </c>
      <c r="H47" s="186">
        <v>1119790</v>
      </c>
      <c r="I47" s="186">
        <v>962900</v>
      </c>
      <c r="J47" s="186">
        <v>1188810</v>
      </c>
      <c r="K47" s="195"/>
      <c r="L47" s="195"/>
      <c r="M47" s="191">
        <f t="shared" si="1"/>
        <v>4</v>
      </c>
      <c r="N47" s="184">
        <f t="shared" si="2"/>
        <v>1279744</v>
      </c>
      <c r="O47" s="184">
        <f>+N47*E47</f>
        <v>19196160</v>
      </c>
      <c r="P47" s="207">
        <f t="shared" si="4"/>
        <v>337847.18556203408</v>
      </c>
      <c r="Q47" s="208">
        <f t="shared" si="5"/>
        <v>26.399591290291969</v>
      </c>
      <c r="R47" s="209">
        <f t="shared" si="6"/>
        <v>73.600408709708034</v>
      </c>
      <c r="S47" s="210" t="str">
        <f t="shared" si="0"/>
        <v>ALTO</v>
      </c>
      <c r="T47" s="192"/>
      <c r="V47" s="193"/>
      <c r="Y47" s="193"/>
    </row>
    <row r="48" spans="1:25" customFormat="1" ht="37.5" hidden="1" customHeight="1">
      <c r="A48" s="194"/>
      <c r="B48" s="202"/>
      <c r="C48" s="220"/>
      <c r="D48" s="220"/>
      <c r="E48" s="220"/>
      <c r="F48" s="221"/>
      <c r="G48" s="167"/>
      <c r="H48" s="48"/>
      <c r="I48" s="48"/>
      <c r="J48" s="186"/>
      <c r="K48" s="195"/>
      <c r="L48" s="195"/>
      <c r="M48" s="191"/>
      <c r="N48" s="184" t="e">
        <f>ROUND(AVERAGE(F48:L48),0)</f>
        <v>#DIV/0!</v>
      </c>
      <c r="O48" s="184" t="e">
        <f>+N48*E47</f>
        <v>#DIV/0!</v>
      </c>
      <c r="P48" s="207" t="e">
        <f t="shared" si="4"/>
        <v>#DIV/0!</v>
      </c>
      <c r="Q48" s="208" t="e">
        <f t="shared" si="5"/>
        <v>#DIV/0!</v>
      </c>
      <c r="R48" s="209" t="e">
        <f t="shared" si="6"/>
        <v>#DIV/0!</v>
      </c>
      <c r="S48" s="210" t="e">
        <f t="shared" si="0"/>
        <v>#DIV/0!</v>
      </c>
      <c r="T48" s="192"/>
      <c r="V48" s="193"/>
      <c r="Y48" s="193"/>
    </row>
    <row r="49" spans="1:25" customFormat="1" ht="21" hidden="1" customHeight="1">
      <c r="A49" s="194"/>
      <c r="B49" s="171"/>
      <c r="C49" s="171"/>
      <c r="D49" s="172"/>
      <c r="E49" s="196"/>
      <c r="F49" s="167"/>
      <c r="G49" s="167"/>
      <c r="H49" s="167"/>
      <c r="I49" s="169"/>
      <c r="J49" s="195"/>
      <c r="K49" s="195"/>
      <c r="L49" s="195"/>
      <c r="M49" s="197">
        <f t="shared" si="1"/>
        <v>0</v>
      </c>
      <c r="N49" s="168" t="e">
        <f t="shared" si="2"/>
        <v>#DIV/0!</v>
      </c>
      <c r="O49" s="168" t="e">
        <f t="shared" si="3"/>
        <v>#DIV/0!</v>
      </c>
      <c r="P49" s="207" t="e">
        <f t="shared" si="4"/>
        <v>#DIV/0!</v>
      </c>
      <c r="Q49" s="208" t="e">
        <f t="shared" si="5"/>
        <v>#DIV/0!</v>
      </c>
      <c r="R49" s="209" t="e">
        <f t="shared" si="6"/>
        <v>#DIV/0!</v>
      </c>
      <c r="S49" s="210" t="e">
        <f t="shared" si="0"/>
        <v>#DIV/0!</v>
      </c>
      <c r="T49" s="192"/>
      <c r="V49" s="193"/>
      <c r="Y49" s="193"/>
    </row>
    <row r="50" spans="1:25" customFormat="1" ht="21" hidden="1" customHeight="1">
      <c r="A50" s="194"/>
      <c r="B50" s="171"/>
      <c r="C50" s="171"/>
      <c r="D50" s="172"/>
      <c r="E50" s="196"/>
      <c r="F50" s="167"/>
      <c r="G50" s="167"/>
      <c r="H50" s="167"/>
      <c r="I50" s="169"/>
      <c r="J50" s="195"/>
      <c r="K50" s="195"/>
      <c r="L50" s="195"/>
      <c r="M50" s="197">
        <f t="shared" si="1"/>
        <v>0</v>
      </c>
      <c r="N50" s="168" t="e">
        <f t="shared" si="2"/>
        <v>#DIV/0!</v>
      </c>
      <c r="O50" s="168" t="e">
        <f t="shared" si="3"/>
        <v>#DIV/0!</v>
      </c>
      <c r="P50" s="207" t="e">
        <f t="shared" si="4"/>
        <v>#DIV/0!</v>
      </c>
      <c r="Q50" s="208" t="e">
        <f t="shared" si="5"/>
        <v>#DIV/0!</v>
      </c>
      <c r="R50" s="209" t="e">
        <f t="shared" si="6"/>
        <v>#DIV/0!</v>
      </c>
      <c r="S50" s="210" t="e">
        <f t="shared" si="0"/>
        <v>#DIV/0!</v>
      </c>
      <c r="T50" s="192"/>
      <c r="V50" s="193"/>
      <c r="Y50" s="193"/>
    </row>
    <row r="51" spans="1:25" customFormat="1" ht="21" hidden="1" customHeight="1">
      <c r="A51" s="194"/>
      <c r="B51" s="171"/>
      <c r="C51" s="171"/>
      <c r="D51" s="172"/>
      <c r="E51" s="196"/>
      <c r="F51" s="167"/>
      <c r="G51" s="167"/>
      <c r="H51" s="167"/>
      <c r="I51" s="169"/>
      <c r="J51" s="195"/>
      <c r="K51" s="195"/>
      <c r="L51" s="195"/>
      <c r="M51" s="197">
        <f t="shared" si="1"/>
        <v>0</v>
      </c>
      <c r="N51" s="168" t="e">
        <f t="shared" si="2"/>
        <v>#DIV/0!</v>
      </c>
      <c r="O51" s="168" t="e">
        <f t="shared" si="3"/>
        <v>#DIV/0!</v>
      </c>
      <c r="P51" s="207" t="e">
        <f t="shared" si="4"/>
        <v>#DIV/0!</v>
      </c>
      <c r="Q51" s="208" t="e">
        <f t="shared" si="5"/>
        <v>#DIV/0!</v>
      </c>
      <c r="R51" s="209" t="e">
        <f t="shared" si="6"/>
        <v>#DIV/0!</v>
      </c>
      <c r="S51" s="210" t="e">
        <f t="shared" si="0"/>
        <v>#DIV/0!</v>
      </c>
      <c r="T51" s="192"/>
      <c r="V51" s="193"/>
      <c r="Y51" s="193"/>
    </row>
    <row r="52" spans="1:25" customFormat="1" ht="21" hidden="1" customHeight="1">
      <c r="A52" s="194"/>
      <c r="B52" s="171"/>
      <c r="C52" s="171"/>
      <c r="D52" s="172"/>
      <c r="E52" s="196"/>
      <c r="F52" s="167"/>
      <c r="G52" s="167"/>
      <c r="H52" s="167"/>
      <c r="I52" s="169"/>
      <c r="J52" s="195"/>
      <c r="K52" s="195"/>
      <c r="L52" s="195"/>
      <c r="M52" s="197">
        <f>COUNT(F52:L52)</f>
        <v>0</v>
      </c>
      <c r="N52" s="168" t="e">
        <f>ROUND(AVERAGE(F52:L52),0)</f>
        <v>#DIV/0!</v>
      </c>
      <c r="O52" s="168" t="e">
        <f t="shared" si="3"/>
        <v>#DIV/0!</v>
      </c>
      <c r="P52" s="207" t="e">
        <f>STDEVP(F52:J52)</f>
        <v>#DIV/0!</v>
      </c>
      <c r="Q52" s="208" t="e">
        <f t="shared" si="5"/>
        <v>#DIV/0!</v>
      </c>
      <c r="R52" s="209" t="e">
        <f t="shared" si="6"/>
        <v>#DIV/0!</v>
      </c>
      <c r="S52" s="210" t="e">
        <f t="shared" si="0"/>
        <v>#DIV/0!</v>
      </c>
      <c r="T52" s="192"/>
      <c r="V52" s="193"/>
      <c r="Y52" s="193"/>
    </row>
    <row r="53" spans="1:25" customFormat="1" ht="34.5" hidden="1" customHeight="1">
      <c r="A53" s="194"/>
      <c r="B53" s="171"/>
      <c r="C53" s="171"/>
      <c r="D53" s="172"/>
      <c r="E53" s="196"/>
      <c r="G53" s="167"/>
      <c r="H53" s="167"/>
      <c r="I53" s="169"/>
      <c r="J53" s="195"/>
      <c r="K53" s="195"/>
      <c r="L53" s="195"/>
      <c r="M53" s="197">
        <f t="shared" si="1"/>
        <v>0</v>
      </c>
      <c r="N53" s="168" t="e">
        <f t="shared" si="2"/>
        <v>#DIV/0!</v>
      </c>
      <c r="O53" s="168" t="e">
        <f t="shared" si="3"/>
        <v>#DIV/0!</v>
      </c>
      <c r="P53" s="207" t="e">
        <f t="shared" si="4"/>
        <v>#DIV/0!</v>
      </c>
      <c r="Q53" s="208" t="e">
        <f t="shared" si="5"/>
        <v>#DIV/0!</v>
      </c>
      <c r="R53" s="209" t="e">
        <f t="shared" si="6"/>
        <v>#DIV/0!</v>
      </c>
      <c r="S53" s="210" t="e">
        <f t="shared" si="0"/>
        <v>#DIV/0!</v>
      </c>
      <c r="T53" s="192"/>
      <c r="V53" s="193"/>
      <c r="Y53" s="193"/>
    </row>
    <row r="54" spans="1:25" customFormat="1" ht="32.5" hidden="1" customHeight="1">
      <c r="A54" s="194"/>
      <c r="B54" s="171"/>
      <c r="C54" s="171"/>
      <c r="D54" s="172"/>
      <c r="E54" s="196"/>
      <c r="F54" s="167"/>
      <c r="G54" s="167"/>
      <c r="H54" s="167"/>
      <c r="I54" s="169"/>
      <c r="J54" s="195"/>
      <c r="K54" s="195"/>
      <c r="L54" s="195"/>
      <c r="M54" s="197">
        <f t="shared" si="1"/>
        <v>0</v>
      </c>
      <c r="N54" s="168" t="e">
        <f t="shared" si="2"/>
        <v>#DIV/0!</v>
      </c>
      <c r="O54" s="168" t="e">
        <f t="shared" si="3"/>
        <v>#DIV/0!</v>
      </c>
      <c r="P54" s="207" t="e">
        <f t="shared" si="4"/>
        <v>#DIV/0!</v>
      </c>
      <c r="Q54" s="208" t="e">
        <f t="shared" si="5"/>
        <v>#DIV/0!</v>
      </c>
      <c r="R54" s="209" t="e">
        <f t="shared" si="6"/>
        <v>#DIV/0!</v>
      </c>
      <c r="S54" s="210" t="e">
        <f t="shared" si="0"/>
        <v>#DIV/0!</v>
      </c>
      <c r="T54" s="192"/>
      <c r="V54" s="193"/>
      <c r="Y54" s="193"/>
    </row>
    <row r="55" spans="1:25" customFormat="1" ht="33.5" hidden="1" customHeight="1">
      <c r="A55" s="194"/>
      <c r="B55" s="171"/>
      <c r="C55" s="171"/>
      <c r="D55" s="172"/>
      <c r="E55" s="196"/>
      <c r="F55" s="167"/>
      <c r="G55" s="167"/>
      <c r="H55" s="167"/>
      <c r="I55" s="169"/>
      <c r="J55" s="195"/>
      <c r="K55" s="195"/>
      <c r="L55" s="195"/>
      <c r="M55" s="197">
        <f t="shared" si="1"/>
        <v>0</v>
      </c>
      <c r="N55" s="168" t="e">
        <f t="shared" si="2"/>
        <v>#DIV/0!</v>
      </c>
      <c r="O55" s="168" t="e">
        <f t="shared" si="3"/>
        <v>#DIV/0!</v>
      </c>
      <c r="P55" s="207" t="e">
        <f t="shared" si="4"/>
        <v>#DIV/0!</v>
      </c>
      <c r="Q55" s="208" t="e">
        <f t="shared" si="5"/>
        <v>#DIV/0!</v>
      </c>
      <c r="R55" s="209" t="e">
        <f t="shared" si="6"/>
        <v>#DIV/0!</v>
      </c>
      <c r="S55" s="210" t="e">
        <f t="shared" si="0"/>
        <v>#DIV/0!</v>
      </c>
      <c r="T55" s="192"/>
      <c r="V55" s="193"/>
      <c r="Y55" s="193"/>
    </row>
    <row r="56" spans="1:25" customFormat="1" ht="39.5" hidden="1" customHeight="1">
      <c r="A56" s="194"/>
      <c r="B56" s="171"/>
      <c r="C56" s="171"/>
      <c r="D56" s="172"/>
      <c r="E56" s="196"/>
      <c r="F56" s="167"/>
      <c r="G56" s="167"/>
      <c r="H56" s="167"/>
      <c r="I56" s="169"/>
      <c r="J56" s="195"/>
      <c r="K56" s="195"/>
      <c r="L56" s="195"/>
      <c r="M56" s="197">
        <f t="shared" si="1"/>
        <v>0</v>
      </c>
      <c r="N56" s="168" t="e">
        <f t="shared" si="2"/>
        <v>#DIV/0!</v>
      </c>
      <c r="O56" s="168" t="e">
        <f t="shared" si="3"/>
        <v>#DIV/0!</v>
      </c>
      <c r="P56" s="207" t="e">
        <f t="shared" si="4"/>
        <v>#DIV/0!</v>
      </c>
      <c r="Q56" s="208" t="e">
        <f t="shared" si="5"/>
        <v>#DIV/0!</v>
      </c>
      <c r="R56" s="209" t="e">
        <f t="shared" si="6"/>
        <v>#DIV/0!</v>
      </c>
      <c r="S56" s="210" t="e">
        <f t="shared" si="0"/>
        <v>#DIV/0!</v>
      </c>
      <c r="T56" s="192"/>
      <c r="V56" s="193"/>
      <c r="Y56" s="193"/>
    </row>
    <row r="57" spans="1:25" customFormat="1" ht="47" hidden="1" customHeight="1">
      <c r="A57" s="194"/>
      <c r="B57" s="171"/>
      <c r="C57" s="171"/>
      <c r="D57" s="172"/>
      <c r="E57" s="196"/>
      <c r="F57" s="167"/>
      <c r="G57" s="167"/>
      <c r="H57" s="167"/>
      <c r="I57" s="169"/>
      <c r="J57" s="195"/>
      <c r="K57" s="195"/>
      <c r="L57" s="195"/>
      <c r="M57" s="197">
        <f t="shared" si="1"/>
        <v>0</v>
      </c>
      <c r="N57" s="168" t="e">
        <f t="shared" si="2"/>
        <v>#DIV/0!</v>
      </c>
      <c r="O57" s="168" t="e">
        <f t="shared" si="3"/>
        <v>#DIV/0!</v>
      </c>
      <c r="P57" s="207" t="e">
        <f t="shared" si="4"/>
        <v>#DIV/0!</v>
      </c>
      <c r="Q57" s="208" t="e">
        <f t="shared" si="5"/>
        <v>#DIV/0!</v>
      </c>
      <c r="R57" s="209" t="e">
        <f t="shared" si="6"/>
        <v>#DIV/0!</v>
      </c>
      <c r="S57" s="210" t="e">
        <f t="shared" si="0"/>
        <v>#DIV/0!</v>
      </c>
      <c r="T57" s="192"/>
      <c r="V57" s="193"/>
      <c r="Y57" s="193"/>
    </row>
    <row r="58" spans="1:25" customFormat="1" ht="39" hidden="1" customHeight="1">
      <c r="A58" s="194"/>
      <c r="B58" s="171"/>
      <c r="C58" s="171"/>
      <c r="D58" s="172"/>
      <c r="E58" s="196"/>
      <c r="F58" s="167"/>
      <c r="G58" s="167"/>
      <c r="H58" s="167"/>
      <c r="I58" s="169"/>
      <c r="J58" s="195"/>
      <c r="K58" s="195"/>
      <c r="L58" s="195"/>
      <c r="M58" s="197">
        <f t="shared" si="1"/>
        <v>0</v>
      </c>
      <c r="N58" s="168" t="e">
        <f t="shared" si="2"/>
        <v>#DIV/0!</v>
      </c>
      <c r="O58" s="168" t="e">
        <f t="shared" si="3"/>
        <v>#DIV/0!</v>
      </c>
      <c r="P58" s="207" t="e">
        <f t="shared" si="4"/>
        <v>#DIV/0!</v>
      </c>
      <c r="Q58" s="208" t="e">
        <f t="shared" si="5"/>
        <v>#DIV/0!</v>
      </c>
      <c r="R58" s="209" t="e">
        <f t="shared" si="6"/>
        <v>#DIV/0!</v>
      </c>
      <c r="S58" s="210" t="e">
        <f t="shared" si="0"/>
        <v>#DIV/0!</v>
      </c>
      <c r="T58" s="192"/>
      <c r="V58" s="193"/>
      <c r="Y58" s="193"/>
    </row>
    <row r="59" spans="1:25" customFormat="1" ht="30.5" hidden="1" customHeight="1">
      <c r="A59" s="194"/>
      <c r="B59" s="171"/>
      <c r="C59" s="171"/>
      <c r="D59" s="172"/>
      <c r="E59" s="196"/>
      <c r="F59" s="167"/>
      <c r="G59" s="167"/>
      <c r="H59" s="167"/>
      <c r="I59" s="169"/>
      <c r="J59" s="195"/>
      <c r="K59" s="195"/>
      <c r="L59" s="195"/>
      <c r="M59" s="197">
        <f t="shared" si="1"/>
        <v>0</v>
      </c>
      <c r="N59" s="168" t="e">
        <f t="shared" si="2"/>
        <v>#DIV/0!</v>
      </c>
      <c r="O59" s="168" t="e">
        <f t="shared" si="3"/>
        <v>#DIV/0!</v>
      </c>
      <c r="P59" s="207" t="e">
        <f t="shared" si="4"/>
        <v>#DIV/0!</v>
      </c>
      <c r="Q59" s="208" t="e">
        <f t="shared" si="5"/>
        <v>#DIV/0!</v>
      </c>
      <c r="R59" s="209" t="e">
        <f t="shared" si="6"/>
        <v>#DIV/0!</v>
      </c>
      <c r="S59" s="210" t="e">
        <f t="shared" si="0"/>
        <v>#DIV/0!</v>
      </c>
      <c r="T59" s="192"/>
      <c r="V59" s="193"/>
      <c r="Y59" s="193"/>
    </row>
    <row r="60" spans="1:25" customFormat="1" ht="36" hidden="1" customHeight="1">
      <c r="A60" s="194"/>
      <c r="B60" s="171"/>
      <c r="C60" s="171"/>
      <c r="D60" s="172"/>
      <c r="E60" s="196"/>
      <c r="F60" s="167"/>
      <c r="G60" s="167"/>
      <c r="H60" s="167"/>
      <c r="I60" s="169"/>
      <c r="J60" s="195"/>
      <c r="K60" s="195"/>
      <c r="L60" s="195"/>
      <c r="M60" s="197">
        <f t="shared" si="1"/>
        <v>0</v>
      </c>
      <c r="N60" s="168" t="e">
        <f t="shared" si="2"/>
        <v>#DIV/0!</v>
      </c>
      <c r="O60" s="168" t="e">
        <f t="shared" si="3"/>
        <v>#DIV/0!</v>
      </c>
      <c r="P60" s="207" t="e">
        <f t="shared" si="4"/>
        <v>#DIV/0!</v>
      </c>
      <c r="Q60" s="208" t="e">
        <f t="shared" si="5"/>
        <v>#DIV/0!</v>
      </c>
      <c r="R60" s="209" t="e">
        <f t="shared" si="6"/>
        <v>#DIV/0!</v>
      </c>
      <c r="S60" s="210" t="e">
        <f t="shared" si="0"/>
        <v>#DIV/0!</v>
      </c>
      <c r="T60" s="192"/>
      <c r="V60" s="193"/>
      <c r="Y60" s="193"/>
    </row>
    <row r="61" spans="1:25" customFormat="1" ht="32.5" hidden="1" customHeight="1">
      <c r="A61" s="194"/>
      <c r="B61" s="171"/>
      <c r="C61" s="171"/>
      <c r="D61" s="172"/>
      <c r="E61" s="196"/>
      <c r="F61" s="167"/>
      <c r="G61" s="167"/>
      <c r="H61" s="167"/>
      <c r="I61" s="169"/>
      <c r="J61" s="195"/>
      <c r="K61" s="195"/>
      <c r="L61" s="195"/>
      <c r="M61" s="197">
        <f t="shared" si="1"/>
        <v>0</v>
      </c>
      <c r="N61" s="168" t="e">
        <f t="shared" si="2"/>
        <v>#DIV/0!</v>
      </c>
      <c r="O61" s="168" t="e">
        <f t="shared" si="3"/>
        <v>#DIV/0!</v>
      </c>
      <c r="P61" s="207" t="e">
        <f t="shared" si="4"/>
        <v>#DIV/0!</v>
      </c>
      <c r="Q61" s="208" t="e">
        <f t="shared" si="5"/>
        <v>#DIV/0!</v>
      </c>
      <c r="R61" s="209" t="e">
        <f t="shared" si="6"/>
        <v>#DIV/0!</v>
      </c>
      <c r="S61" s="210" t="e">
        <f t="shared" si="0"/>
        <v>#DIV/0!</v>
      </c>
      <c r="T61" s="192"/>
      <c r="V61" s="193"/>
      <c r="Y61" s="193"/>
    </row>
    <row r="62" spans="1:25" customFormat="1" ht="80.5" hidden="1" customHeight="1">
      <c r="A62" s="194"/>
      <c r="B62" s="171"/>
      <c r="C62" s="173"/>
      <c r="D62" s="174"/>
      <c r="E62" s="196"/>
      <c r="F62" s="167"/>
      <c r="G62" s="167"/>
      <c r="H62" s="167"/>
      <c r="I62" s="169"/>
      <c r="J62" s="195"/>
      <c r="K62" s="195"/>
      <c r="L62" s="195"/>
      <c r="M62" s="197">
        <f t="shared" si="1"/>
        <v>0</v>
      </c>
      <c r="N62" s="168" t="e">
        <f t="shared" si="2"/>
        <v>#DIV/0!</v>
      </c>
      <c r="O62" s="168" t="e">
        <f>+N62*E62</f>
        <v>#DIV/0!</v>
      </c>
      <c r="P62" s="207" t="e">
        <f t="shared" si="4"/>
        <v>#DIV/0!</v>
      </c>
      <c r="Q62" s="208" t="e">
        <f t="shared" si="5"/>
        <v>#DIV/0!</v>
      </c>
      <c r="R62" s="209" t="e">
        <f t="shared" si="6"/>
        <v>#DIV/0!</v>
      </c>
      <c r="S62" s="210" t="e">
        <f t="shared" si="0"/>
        <v>#DIV/0!</v>
      </c>
      <c r="T62" s="192"/>
      <c r="V62" s="193"/>
      <c r="Y62" s="193"/>
    </row>
    <row r="63" spans="1:25" customFormat="1" ht="32.5" hidden="1" customHeight="1">
      <c r="A63" s="194"/>
      <c r="B63" s="201"/>
      <c r="C63" s="173"/>
      <c r="D63" s="174"/>
      <c r="E63" s="196"/>
      <c r="F63" s="167"/>
      <c r="G63" s="167"/>
      <c r="H63" s="167"/>
      <c r="I63" s="169"/>
      <c r="J63" s="195"/>
      <c r="K63" s="195"/>
      <c r="L63" s="195"/>
      <c r="M63" s="197">
        <f t="shared" si="1"/>
        <v>0</v>
      </c>
      <c r="N63" s="168" t="e">
        <f t="shared" si="2"/>
        <v>#DIV/0!</v>
      </c>
      <c r="O63" s="168" t="e">
        <f t="shared" si="3"/>
        <v>#DIV/0!</v>
      </c>
      <c r="P63" s="207" t="e">
        <f t="shared" si="4"/>
        <v>#DIV/0!</v>
      </c>
      <c r="Q63" s="208" t="e">
        <f t="shared" si="5"/>
        <v>#DIV/0!</v>
      </c>
      <c r="R63" s="209" t="e">
        <f t="shared" si="6"/>
        <v>#DIV/0!</v>
      </c>
      <c r="S63" s="210" t="e">
        <f t="shared" si="0"/>
        <v>#DIV/0!</v>
      </c>
      <c r="T63" s="192"/>
      <c r="V63" s="193"/>
      <c r="Y63" s="193"/>
    </row>
    <row r="64" spans="1:25" customFormat="1" ht="32.5" hidden="1" customHeight="1">
      <c r="A64" s="194"/>
      <c r="B64" s="201"/>
      <c r="C64" s="173"/>
      <c r="D64" s="174"/>
      <c r="E64" s="196"/>
      <c r="F64" s="167"/>
      <c r="G64" s="167"/>
      <c r="H64" s="167"/>
      <c r="I64" s="169"/>
      <c r="J64" s="195"/>
      <c r="K64" s="195"/>
      <c r="L64" s="195"/>
      <c r="M64" s="197">
        <f t="shared" si="1"/>
        <v>0</v>
      </c>
      <c r="N64" s="168" t="e">
        <f t="shared" si="2"/>
        <v>#DIV/0!</v>
      </c>
      <c r="O64" s="168" t="e">
        <f t="shared" si="3"/>
        <v>#DIV/0!</v>
      </c>
      <c r="P64" s="207" t="e">
        <f t="shared" si="4"/>
        <v>#DIV/0!</v>
      </c>
      <c r="Q64" s="208" t="e">
        <f t="shared" si="5"/>
        <v>#DIV/0!</v>
      </c>
      <c r="R64" s="209" t="e">
        <f t="shared" si="6"/>
        <v>#DIV/0!</v>
      </c>
      <c r="S64" s="210" t="e">
        <f t="shared" si="0"/>
        <v>#DIV/0!</v>
      </c>
      <c r="T64" s="192"/>
      <c r="V64" s="193"/>
      <c r="Y64" s="193"/>
    </row>
    <row r="65" spans="1:25" customFormat="1" ht="32.5" hidden="1" customHeight="1">
      <c r="A65" s="194"/>
      <c r="B65" s="201"/>
      <c r="C65" s="173"/>
      <c r="D65" s="174"/>
      <c r="E65" s="196"/>
      <c r="F65" s="167"/>
      <c r="G65" s="167"/>
      <c r="H65" s="167"/>
      <c r="I65" s="169"/>
      <c r="J65" s="195"/>
      <c r="K65" s="195"/>
      <c r="L65" s="195"/>
      <c r="M65" s="197">
        <f t="shared" si="1"/>
        <v>0</v>
      </c>
      <c r="N65" s="168" t="e">
        <f t="shared" si="2"/>
        <v>#DIV/0!</v>
      </c>
      <c r="O65" s="168" t="e">
        <f t="shared" si="3"/>
        <v>#DIV/0!</v>
      </c>
      <c r="P65" s="207" t="e">
        <f t="shared" si="4"/>
        <v>#DIV/0!</v>
      </c>
      <c r="Q65" s="208" t="e">
        <f t="shared" si="5"/>
        <v>#DIV/0!</v>
      </c>
      <c r="R65" s="209" t="e">
        <f t="shared" si="6"/>
        <v>#DIV/0!</v>
      </c>
      <c r="S65" s="210" t="e">
        <f t="shared" si="0"/>
        <v>#DIV/0!</v>
      </c>
      <c r="T65" s="192"/>
      <c r="V65" s="193"/>
      <c r="Y65" s="193"/>
    </row>
    <row r="66" spans="1:25" customFormat="1" ht="32.5" hidden="1" customHeight="1">
      <c r="A66" s="194"/>
      <c r="B66" s="201"/>
      <c r="C66" s="173"/>
      <c r="D66" s="174"/>
      <c r="E66" s="196"/>
      <c r="F66" s="167"/>
      <c r="G66" s="167"/>
      <c r="H66" s="167"/>
      <c r="I66" s="169"/>
      <c r="J66" s="195"/>
      <c r="K66" s="195"/>
      <c r="L66" s="195"/>
      <c r="M66" s="197">
        <f t="shared" si="1"/>
        <v>0</v>
      </c>
      <c r="N66" s="168" t="e">
        <f t="shared" si="2"/>
        <v>#DIV/0!</v>
      </c>
      <c r="O66" s="168" t="e">
        <f t="shared" si="3"/>
        <v>#DIV/0!</v>
      </c>
      <c r="P66" s="207" t="e">
        <f t="shared" si="4"/>
        <v>#DIV/0!</v>
      </c>
      <c r="Q66" s="208" t="e">
        <f t="shared" si="5"/>
        <v>#DIV/0!</v>
      </c>
      <c r="R66" s="209" t="e">
        <f t="shared" si="6"/>
        <v>#DIV/0!</v>
      </c>
      <c r="S66" s="210" t="e">
        <f t="shared" si="0"/>
        <v>#DIV/0!</v>
      </c>
      <c r="T66" s="192"/>
      <c r="V66" s="193"/>
      <c r="Y66" s="193"/>
    </row>
    <row r="67" spans="1:25" customFormat="1" ht="32.5" hidden="1" customHeight="1">
      <c r="A67" s="194"/>
      <c r="B67" s="201"/>
      <c r="C67" s="173"/>
      <c r="D67" s="174"/>
      <c r="E67" s="196"/>
      <c r="F67" s="167"/>
      <c r="G67" s="167"/>
      <c r="H67" s="167"/>
      <c r="I67" s="169"/>
      <c r="J67" s="195"/>
      <c r="K67" s="195"/>
      <c r="L67" s="195"/>
      <c r="M67" s="197">
        <f t="shared" si="1"/>
        <v>0</v>
      </c>
      <c r="N67" s="168" t="e">
        <f t="shared" si="2"/>
        <v>#DIV/0!</v>
      </c>
      <c r="O67" s="168" t="e">
        <f t="shared" si="3"/>
        <v>#DIV/0!</v>
      </c>
      <c r="P67" s="207" t="e">
        <f t="shared" si="4"/>
        <v>#DIV/0!</v>
      </c>
      <c r="Q67" s="208" t="e">
        <f t="shared" si="5"/>
        <v>#DIV/0!</v>
      </c>
      <c r="R67" s="209" t="e">
        <f t="shared" si="6"/>
        <v>#DIV/0!</v>
      </c>
      <c r="S67" s="210" t="e">
        <f t="shared" si="0"/>
        <v>#DIV/0!</v>
      </c>
      <c r="T67" s="192"/>
      <c r="V67" s="193"/>
      <c r="Y67" s="193"/>
    </row>
    <row r="68" spans="1:25" customFormat="1" ht="32.5" hidden="1" customHeight="1">
      <c r="A68" s="194"/>
      <c r="B68" s="201"/>
      <c r="C68" s="173"/>
      <c r="D68" s="174"/>
      <c r="E68" s="196"/>
      <c r="F68" s="167"/>
      <c r="G68" s="167"/>
      <c r="H68" s="167"/>
      <c r="I68" s="169"/>
      <c r="J68" s="195"/>
      <c r="K68" s="195"/>
      <c r="L68" s="195"/>
      <c r="M68" s="197">
        <f t="shared" si="1"/>
        <v>0</v>
      </c>
      <c r="N68" s="168" t="e">
        <f t="shared" si="2"/>
        <v>#DIV/0!</v>
      </c>
      <c r="O68" s="168" t="e">
        <f t="shared" si="3"/>
        <v>#DIV/0!</v>
      </c>
      <c r="P68" s="207" t="e">
        <f t="shared" si="4"/>
        <v>#DIV/0!</v>
      </c>
      <c r="Q68" s="208" t="e">
        <f t="shared" si="5"/>
        <v>#DIV/0!</v>
      </c>
      <c r="R68" s="209" t="e">
        <f t="shared" si="6"/>
        <v>#DIV/0!</v>
      </c>
      <c r="S68" s="210" t="e">
        <f t="shared" si="0"/>
        <v>#DIV/0!</v>
      </c>
      <c r="T68" s="192"/>
      <c r="V68" s="193"/>
      <c r="Y68" s="193"/>
    </row>
    <row r="69" spans="1:25" customFormat="1" ht="32.5" hidden="1" customHeight="1">
      <c r="A69" s="194"/>
      <c r="B69" s="201"/>
      <c r="C69" s="173"/>
      <c r="D69" s="174"/>
      <c r="E69" s="196"/>
      <c r="F69" s="167"/>
      <c r="G69" s="167"/>
      <c r="H69" s="167"/>
      <c r="I69" s="169"/>
      <c r="J69" s="195"/>
      <c r="K69" s="195"/>
      <c r="L69" s="195"/>
      <c r="M69" s="197">
        <f t="shared" si="1"/>
        <v>0</v>
      </c>
      <c r="N69" s="168" t="e">
        <f t="shared" si="2"/>
        <v>#DIV/0!</v>
      </c>
      <c r="O69" s="168" t="e">
        <f t="shared" si="3"/>
        <v>#DIV/0!</v>
      </c>
      <c r="P69" s="207" t="e">
        <f t="shared" si="4"/>
        <v>#DIV/0!</v>
      </c>
      <c r="Q69" s="208" t="e">
        <f t="shared" si="5"/>
        <v>#DIV/0!</v>
      </c>
      <c r="R69" s="209" t="e">
        <f t="shared" si="6"/>
        <v>#DIV/0!</v>
      </c>
      <c r="S69" s="210" t="e">
        <f t="shared" ref="S69:S72" si="8">IF(R69&gt;70,"ALTO","BAJO")</f>
        <v>#DIV/0!</v>
      </c>
      <c r="T69" s="192"/>
      <c r="V69" s="193"/>
      <c r="Y69" s="193"/>
    </row>
    <row r="70" spans="1:25" customFormat="1" ht="32.5" hidden="1" customHeight="1">
      <c r="A70" s="194"/>
      <c r="B70" s="201"/>
      <c r="C70" s="173"/>
      <c r="D70" s="174"/>
      <c r="E70" s="196"/>
      <c r="F70" s="167"/>
      <c r="G70" s="167"/>
      <c r="H70" s="167"/>
      <c r="I70" s="169"/>
      <c r="J70" s="195"/>
      <c r="K70" s="195"/>
      <c r="L70" s="195"/>
      <c r="M70" s="197">
        <f t="shared" ref="M70:M72" si="9">COUNT(F70:L70)</f>
        <v>0</v>
      </c>
      <c r="N70" s="168" t="e">
        <f t="shared" ref="N70:N72" si="10">ROUND(AVERAGE(F70:L70),0)</f>
        <v>#DIV/0!</v>
      </c>
      <c r="O70" s="168" t="e">
        <f t="shared" ref="O70:O76" si="11">+N70*E70</f>
        <v>#DIV/0!</v>
      </c>
      <c r="P70" s="207" t="e">
        <f t="shared" ref="P70:P72" si="12">STDEVP(F70:J70)</f>
        <v>#DIV/0!</v>
      </c>
      <c r="Q70" s="208" t="e">
        <f t="shared" ref="Q70:Q72" si="13">P70/N70*100</f>
        <v>#DIV/0!</v>
      </c>
      <c r="R70" s="209" t="e">
        <f t="shared" ref="R70:R72" si="14">100-Q70</f>
        <v>#DIV/0!</v>
      </c>
      <c r="S70" s="210" t="e">
        <f t="shared" si="8"/>
        <v>#DIV/0!</v>
      </c>
      <c r="T70" s="192"/>
      <c r="V70" s="193"/>
      <c r="Y70" s="193"/>
    </row>
    <row r="71" spans="1:25" customFormat="1" ht="32.5" hidden="1" customHeight="1">
      <c r="A71" s="194"/>
      <c r="B71" s="201"/>
      <c r="C71" s="173"/>
      <c r="D71" s="174"/>
      <c r="E71" s="196"/>
      <c r="F71" s="167"/>
      <c r="G71" s="167"/>
      <c r="H71" s="167"/>
      <c r="I71" s="169"/>
      <c r="J71" s="195"/>
      <c r="K71" s="195"/>
      <c r="L71" s="195"/>
      <c r="M71" s="197">
        <f t="shared" si="9"/>
        <v>0</v>
      </c>
      <c r="N71" s="168" t="e">
        <f t="shared" si="10"/>
        <v>#DIV/0!</v>
      </c>
      <c r="O71" s="168" t="e">
        <f t="shared" si="11"/>
        <v>#DIV/0!</v>
      </c>
      <c r="P71" s="207" t="e">
        <f t="shared" si="12"/>
        <v>#DIV/0!</v>
      </c>
      <c r="Q71" s="208" t="e">
        <f t="shared" si="13"/>
        <v>#DIV/0!</v>
      </c>
      <c r="R71" s="209" t="e">
        <f t="shared" si="14"/>
        <v>#DIV/0!</v>
      </c>
      <c r="S71" s="210" t="e">
        <f t="shared" si="8"/>
        <v>#DIV/0!</v>
      </c>
      <c r="T71" s="192"/>
      <c r="V71" s="193"/>
      <c r="Y71" s="193"/>
    </row>
    <row r="72" spans="1:25" customFormat="1" ht="48.5" hidden="1" customHeight="1">
      <c r="A72" s="194"/>
      <c r="B72" s="201"/>
      <c r="C72" s="173"/>
      <c r="D72" s="174"/>
      <c r="E72" s="196"/>
      <c r="F72" s="167"/>
      <c r="G72" s="167"/>
      <c r="H72" s="167"/>
      <c r="I72" s="169"/>
      <c r="J72" s="195"/>
      <c r="K72" s="195"/>
      <c r="L72" s="195"/>
      <c r="M72" s="197">
        <f t="shared" si="9"/>
        <v>0</v>
      </c>
      <c r="N72" s="168" t="e">
        <f t="shared" si="10"/>
        <v>#DIV/0!</v>
      </c>
      <c r="O72" s="168" t="e">
        <f t="shared" si="11"/>
        <v>#DIV/0!</v>
      </c>
      <c r="P72" s="207" t="e">
        <f t="shared" si="12"/>
        <v>#DIV/0!</v>
      </c>
      <c r="Q72" s="208" t="e">
        <f t="shared" si="13"/>
        <v>#DIV/0!</v>
      </c>
      <c r="R72" s="209" t="e">
        <f t="shared" si="14"/>
        <v>#DIV/0!</v>
      </c>
      <c r="S72" s="210" t="e">
        <f t="shared" si="8"/>
        <v>#DIV/0!</v>
      </c>
      <c r="T72" s="192"/>
      <c r="V72" s="193"/>
      <c r="Y72" s="193"/>
    </row>
    <row r="73" spans="1:25" customFormat="1" ht="32.5" hidden="1" customHeight="1">
      <c r="A73" s="194"/>
      <c r="B73" s="201"/>
      <c r="C73" s="171"/>
      <c r="D73" s="172"/>
      <c r="E73" s="198"/>
      <c r="F73" s="167"/>
      <c r="G73" s="167"/>
      <c r="H73" s="167"/>
      <c r="I73" s="169"/>
      <c r="J73" s="195"/>
      <c r="K73" s="195"/>
      <c r="L73" s="195"/>
      <c r="M73" s="199"/>
      <c r="N73" s="175"/>
      <c r="O73" s="168">
        <f t="shared" si="11"/>
        <v>0</v>
      </c>
      <c r="P73" s="211"/>
      <c r="Q73" s="212"/>
      <c r="R73" s="213"/>
      <c r="S73" s="214"/>
      <c r="T73" s="192"/>
      <c r="V73" s="193"/>
      <c r="Y73" s="193"/>
    </row>
    <row r="74" spans="1:25" customFormat="1" ht="32.5" hidden="1" customHeight="1">
      <c r="A74" s="194"/>
      <c r="B74" s="201"/>
      <c r="C74" s="171"/>
      <c r="D74" s="172"/>
      <c r="E74" s="198"/>
      <c r="F74" s="167"/>
      <c r="G74" s="167"/>
      <c r="H74" s="167"/>
      <c r="I74" s="169"/>
      <c r="J74" s="195"/>
      <c r="K74" s="195"/>
      <c r="L74" s="195"/>
      <c r="M74" s="199"/>
      <c r="N74" s="175"/>
      <c r="O74" s="168">
        <f t="shared" si="11"/>
        <v>0</v>
      </c>
      <c r="P74" s="211"/>
      <c r="Q74" s="212"/>
      <c r="R74" s="213"/>
      <c r="S74" s="214"/>
      <c r="T74" s="192"/>
      <c r="V74" s="193"/>
      <c r="Y74" s="193"/>
    </row>
    <row r="75" spans="1:25" customFormat="1" ht="32.5" hidden="1" customHeight="1">
      <c r="A75" s="194"/>
      <c r="B75" s="201"/>
      <c r="C75" s="171"/>
      <c r="D75" s="172"/>
      <c r="E75" s="198"/>
      <c r="F75" s="167"/>
      <c r="G75" s="167"/>
      <c r="H75" s="167"/>
      <c r="I75" s="169"/>
      <c r="J75" s="195"/>
      <c r="K75" s="195"/>
      <c r="L75" s="195"/>
      <c r="M75" s="199"/>
      <c r="N75" s="175"/>
      <c r="O75" s="168">
        <f t="shared" si="11"/>
        <v>0</v>
      </c>
      <c r="P75" s="211"/>
      <c r="Q75" s="212"/>
      <c r="R75" s="213"/>
      <c r="S75" s="214"/>
      <c r="T75" s="192"/>
      <c r="V75" s="193"/>
      <c r="Y75" s="193"/>
    </row>
    <row r="76" spans="1:25" customFormat="1" ht="32.5" hidden="1" customHeight="1">
      <c r="A76" s="194"/>
      <c r="B76" s="201"/>
      <c r="C76" s="171"/>
      <c r="D76" s="172"/>
      <c r="E76" s="198"/>
      <c r="F76" s="167"/>
      <c r="G76" s="167"/>
      <c r="H76" s="167"/>
      <c r="I76" s="169"/>
      <c r="J76" s="195"/>
      <c r="K76" s="195"/>
      <c r="L76" s="195"/>
      <c r="M76" s="199"/>
      <c r="N76" s="175"/>
      <c r="O76" s="168">
        <f t="shared" si="11"/>
        <v>0</v>
      </c>
      <c r="P76" s="211"/>
      <c r="Q76" s="212"/>
      <c r="R76" s="213"/>
      <c r="S76" s="214"/>
      <c r="T76" s="192"/>
      <c r="V76" s="193"/>
      <c r="Y76" s="193"/>
    </row>
    <row r="77" spans="1:25" customFormat="1" ht="21.5" thickBot="1">
      <c r="A77" s="200"/>
      <c r="B77" s="202"/>
      <c r="C77" s="165"/>
      <c r="D77" s="166"/>
      <c r="E77" s="166"/>
      <c r="F77" s="176"/>
      <c r="G77" s="176"/>
      <c r="H77" s="176"/>
      <c r="I77" s="176"/>
      <c r="J77" s="177"/>
      <c r="K77" s="177"/>
      <c r="L77" s="177"/>
      <c r="M77" s="223" t="s">
        <v>168</v>
      </c>
      <c r="N77" s="223"/>
      <c r="O77" s="219">
        <f>+SUM(O7:O47)</f>
        <v>48978582</v>
      </c>
      <c r="P77" s="215"/>
      <c r="Q77" s="216"/>
      <c r="R77" s="217"/>
      <c r="S77" s="218"/>
      <c r="T77" s="192"/>
      <c r="Y77" s="193"/>
    </row>
    <row r="78" spans="1:25" s="155" customFormat="1" ht="39" customHeight="1">
      <c r="B78" s="224" t="s">
        <v>169</v>
      </c>
      <c r="C78" s="224"/>
      <c r="D78" s="224"/>
      <c r="E78" s="224"/>
      <c r="F78" s="224"/>
      <c r="G78" s="224"/>
      <c r="H78" s="224"/>
      <c r="I78" s="224"/>
      <c r="J78" s="224"/>
      <c r="K78" s="224"/>
      <c r="L78" s="224"/>
      <c r="M78" s="224"/>
      <c r="N78" s="224"/>
      <c r="O78" s="224"/>
      <c r="P78" s="224"/>
      <c r="Q78" s="224"/>
      <c r="R78" s="224"/>
      <c r="S78" s="224"/>
      <c r="T78" s="91"/>
      <c r="U78" s="91"/>
      <c r="V78" s="91"/>
      <c r="W78" s="91"/>
    </row>
    <row r="79" spans="1:25" s="42" customFormat="1" ht="23.5" customHeight="1" thickBot="1">
      <c r="B79" s="152"/>
      <c r="C79" s="152"/>
      <c r="D79" s="152"/>
      <c r="E79" s="152"/>
      <c r="F79" s="152"/>
      <c r="G79" s="152"/>
      <c r="H79" s="152"/>
      <c r="I79" s="152"/>
      <c r="J79" s="152"/>
      <c r="K79" s="152"/>
      <c r="L79" s="152"/>
      <c r="M79" s="222"/>
      <c r="N79" s="222"/>
      <c r="O79" s="178"/>
      <c r="P79" s="152"/>
      <c r="Q79" s="152"/>
      <c r="R79" s="152"/>
      <c r="S79" s="48"/>
    </row>
    <row r="80" spans="1:25" s="42" customFormat="1" ht="12.5" customHeight="1">
      <c r="B80" s="179"/>
      <c r="C80" s="155"/>
      <c r="D80" s="155"/>
      <c r="E80" s="141"/>
      <c r="F80" s="45"/>
      <c r="G80" s="45"/>
      <c r="H80" s="45"/>
      <c r="I80" s="45"/>
      <c r="J80" s="45"/>
      <c r="K80" s="45"/>
      <c r="L80" s="45"/>
      <c r="M80" s="48"/>
      <c r="N80" s="132"/>
      <c r="O80" s="48"/>
      <c r="P80" s="48"/>
      <c r="Q80" s="48"/>
      <c r="R80" s="48"/>
      <c r="S80" s="48"/>
    </row>
    <row r="81" spans="4:15" ht="3.5" customHeight="1"/>
    <row r="82" spans="4:15" hidden="1"/>
    <row r="83" spans="4:15">
      <c r="D83" s="143" t="s">
        <v>173</v>
      </c>
      <c r="E83" s="40"/>
      <c r="F83" s="40"/>
      <c r="M83" s="144"/>
      <c r="O83" s="132"/>
    </row>
    <row r="84" spans="4:15" hidden="1">
      <c r="D84" s="180">
        <v>2020</v>
      </c>
      <c r="E84" s="41">
        <v>1.61</v>
      </c>
      <c r="F84" s="41">
        <f>+E84/100+1</f>
        <v>1.0161</v>
      </c>
    </row>
    <row r="85" spans="4:15" hidden="1">
      <c r="D85" s="180">
        <v>2021</v>
      </c>
      <c r="E85" s="41">
        <v>5.62</v>
      </c>
      <c r="F85" s="41">
        <f t="shared" ref="F85:F93" si="15">+E85/100+1</f>
        <v>1.0562</v>
      </c>
      <c r="M85" s="48" t="s">
        <v>180</v>
      </c>
    </row>
    <row r="86" spans="4:15" hidden="1">
      <c r="D86" s="180">
        <v>2022</v>
      </c>
      <c r="E86" s="41">
        <v>13.12</v>
      </c>
      <c r="F86" s="41">
        <f t="shared" si="15"/>
        <v>1.1312</v>
      </c>
      <c r="G86" s="148"/>
    </row>
    <row r="87" spans="4:15" hidden="1">
      <c r="D87" s="180">
        <v>2023</v>
      </c>
      <c r="E87" s="41">
        <v>9.2799999999999994</v>
      </c>
      <c r="F87" s="41">
        <f t="shared" si="15"/>
        <v>1.0928</v>
      </c>
    </row>
    <row r="88" spans="4:15">
      <c r="D88" s="180">
        <v>2024</v>
      </c>
      <c r="E88" s="181">
        <v>5.2</v>
      </c>
      <c r="F88" s="41">
        <f t="shared" si="15"/>
        <v>1.052</v>
      </c>
    </row>
    <row r="89" spans="4:15">
      <c r="D89" s="180">
        <v>2025</v>
      </c>
      <c r="E89" s="41">
        <v>5.22</v>
      </c>
      <c r="F89" s="41">
        <f t="shared" si="15"/>
        <v>1.0522</v>
      </c>
    </row>
    <row r="90" spans="4:15">
      <c r="D90" s="180" t="s">
        <v>172</v>
      </c>
      <c r="E90" s="41">
        <v>1.18</v>
      </c>
      <c r="F90" s="41">
        <f t="shared" si="15"/>
        <v>1.0118</v>
      </c>
    </row>
    <row r="91" spans="4:15" hidden="1">
      <c r="D91" s="180"/>
      <c r="E91" s="41"/>
      <c r="F91" s="41">
        <f t="shared" si="15"/>
        <v>1</v>
      </c>
    </row>
    <row r="92" spans="4:15" hidden="1">
      <c r="D92" s="40"/>
      <c r="E92" s="41"/>
      <c r="F92" s="41">
        <f t="shared" si="15"/>
        <v>1</v>
      </c>
      <c r="G92" s="148"/>
    </row>
    <row r="93" spans="4:15" hidden="1">
      <c r="D93" s="40"/>
      <c r="E93" s="41"/>
      <c r="F93" s="41">
        <f t="shared" si="15"/>
        <v>1</v>
      </c>
    </row>
    <row r="94" spans="4:15" hidden="1">
      <c r="D94" s="40"/>
      <c r="E94" s="41"/>
      <c r="F94" s="41">
        <f>+E94/100+1</f>
        <v>1</v>
      </c>
      <c r="J94" s="182"/>
      <c r="K94" s="182"/>
      <c r="L94" s="182"/>
    </row>
    <row r="95" spans="4:15" hidden="1">
      <c r="D95" s="40"/>
      <c r="E95" s="41"/>
      <c r="F95" s="41">
        <f>+E95/100+1</f>
        <v>1</v>
      </c>
      <c r="J95" s="182"/>
      <c r="K95" s="182"/>
      <c r="L95" s="182"/>
    </row>
    <row r="96" spans="4:15" hidden="1">
      <c r="D96" s="40"/>
      <c r="E96" s="41"/>
      <c r="F96" s="41">
        <f t="shared" ref="F96:F99" si="16">+E96/100+1</f>
        <v>1</v>
      </c>
    </row>
    <row r="97" spans="4:6" hidden="1">
      <c r="D97" s="40"/>
      <c r="E97" s="41"/>
      <c r="F97" s="41">
        <f t="shared" si="16"/>
        <v>1</v>
      </c>
    </row>
    <row r="98" spans="4:6" hidden="1">
      <c r="D98" s="40"/>
      <c r="E98" s="41"/>
      <c r="F98" s="41">
        <f t="shared" si="16"/>
        <v>1</v>
      </c>
    </row>
    <row r="99" spans="4:6" hidden="1">
      <c r="D99" s="40"/>
      <c r="E99" s="41"/>
      <c r="F99" s="41">
        <f t="shared" si="16"/>
        <v>1</v>
      </c>
    </row>
    <row r="100" spans="4:6">
      <c r="D100" s="155" t="s">
        <v>174</v>
      </c>
    </row>
  </sheetData>
  <autoFilter ref="A5:Y78" xr:uid="{66B21082-0B91-4F9D-BC0A-F88FE018BAAF}"/>
  <mergeCells count="6">
    <mergeCell ref="M79:N79"/>
    <mergeCell ref="B2:E4"/>
    <mergeCell ref="F2:J3"/>
    <mergeCell ref="M2:S4"/>
    <mergeCell ref="M77:N77"/>
    <mergeCell ref="B78:S78"/>
  </mergeCells>
  <conditionalFormatting sqref="S7:S77">
    <cfRule type="cellIs" dxfId="5" priority="1" operator="equal">
      <formula>"BAJO"</formula>
    </cfRule>
  </conditionalFormatting>
  <printOptions horizontalCentered="1" verticalCentered="1"/>
  <pageMargins left="0.59055118110236227" right="0.39370078740157483" top="0.39370078740157483" bottom="0.39370078740157483" header="0.31496062992125984" footer="0.59055118110236227"/>
  <pageSetup scale="27"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A2:AI95"/>
  <sheetViews>
    <sheetView showGridLines="0" view="pageBreakPreview" topLeftCell="D46" zoomScale="57" zoomScaleNormal="80" zoomScaleSheetLayoutView="57" zoomScalePageLayoutView="25" workbookViewId="0">
      <selection activeCell="O50" sqref="O50"/>
    </sheetView>
  </sheetViews>
  <sheetFormatPr baseColWidth="10" defaultColWidth="11.453125" defaultRowHeight="21"/>
  <cols>
    <col min="1" max="1" width="4.81640625" style="48" hidden="1" customWidth="1"/>
    <col min="2" max="2" width="7.26953125" style="48" customWidth="1"/>
    <col min="3" max="3" width="56" style="48" customWidth="1"/>
    <col min="4" max="4" width="14" style="48" customWidth="1"/>
    <col min="5" max="5" width="8.1796875" style="48" customWidth="1"/>
    <col min="6" max="6" width="19.1796875" style="48" customWidth="1"/>
    <col min="7" max="7" width="22.26953125" style="48" bestFit="1" customWidth="1"/>
    <col min="8" max="8" width="22.26953125" style="48" customWidth="1"/>
    <col min="9" max="9" width="21" style="48" bestFit="1" customWidth="1"/>
    <col min="10" max="10" width="23.453125" style="48" bestFit="1" customWidth="1"/>
    <col min="11" max="11" width="23.453125" style="48" customWidth="1"/>
    <col min="12" max="12" width="23.453125" style="48" bestFit="1" customWidth="1"/>
    <col min="13" max="13" width="20.26953125" style="48" customWidth="1"/>
    <col min="14" max="14" width="15.453125" style="48" customWidth="1"/>
    <col min="15" max="15" width="19.453125" style="48" customWidth="1"/>
    <col min="16" max="16" width="24.1796875" style="48" customWidth="1"/>
    <col min="17" max="17" width="21.453125" style="48" customWidth="1"/>
    <col min="18" max="18" width="17.453125" style="48" customWidth="1"/>
    <col min="19" max="19" width="19.1796875" style="48" customWidth="1"/>
    <col min="20" max="20" width="25.453125" style="48" customWidth="1"/>
    <col min="21" max="21" width="2.453125" style="42" customWidth="1"/>
    <col min="22" max="25" width="11.453125" style="48"/>
    <col min="26" max="26" width="23.26953125" style="48" bestFit="1" customWidth="1"/>
    <col min="27" max="27" width="46.26953125" style="48" bestFit="1" customWidth="1"/>
    <col min="28" max="16384" width="11.453125" style="48"/>
  </cols>
  <sheetData>
    <row r="2" spans="2:27" ht="39.75" customHeight="1">
      <c r="B2" s="272"/>
      <c r="C2" s="273"/>
      <c r="D2" s="278" t="s">
        <v>75</v>
      </c>
      <c r="E2" s="279"/>
      <c r="F2" s="279"/>
      <c r="G2" s="279"/>
      <c r="H2" s="279"/>
      <c r="I2" s="279"/>
      <c r="J2" s="279"/>
      <c r="K2" s="279"/>
      <c r="L2" s="279"/>
      <c r="M2" s="279"/>
      <c r="N2" s="279"/>
      <c r="O2" s="279"/>
      <c r="P2" s="279"/>
      <c r="Q2" s="279"/>
      <c r="R2" s="279"/>
      <c r="S2" s="279"/>
      <c r="T2" s="280"/>
      <c r="U2" s="74"/>
      <c r="V2" s="74"/>
    </row>
    <row r="3" spans="2:27" ht="17.25" customHeight="1">
      <c r="B3" s="274"/>
      <c r="C3" s="275"/>
      <c r="D3" s="281" t="s">
        <v>77</v>
      </c>
      <c r="E3" s="282"/>
      <c r="F3" s="282"/>
      <c r="G3" s="282"/>
      <c r="H3" s="282"/>
      <c r="I3" s="282"/>
      <c r="J3" s="282"/>
      <c r="K3" s="1"/>
      <c r="L3" s="1"/>
      <c r="M3" s="281" t="s">
        <v>76</v>
      </c>
      <c r="N3" s="282"/>
      <c r="O3" s="282"/>
      <c r="P3" s="282"/>
      <c r="Q3" s="282"/>
      <c r="R3" s="282"/>
      <c r="S3" s="282"/>
      <c r="T3" s="283"/>
      <c r="U3" s="75"/>
      <c r="V3" s="75"/>
    </row>
    <row r="4" spans="2:27" ht="17.25" customHeight="1">
      <c r="B4" s="276"/>
      <c r="C4" s="277"/>
      <c r="D4" s="281" t="s">
        <v>78</v>
      </c>
      <c r="E4" s="282"/>
      <c r="F4" s="282"/>
      <c r="G4" s="282"/>
      <c r="H4" s="282"/>
      <c r="I4" s="282"/>
      <c r="J4" s="282"/>
      <c r="K4" s="282"/>
      <c r="L4" s="282"/>
      <c r="M4" s="282"/>
      <c r="N4" s="282"/>
      <c r="O4" s="282"/>
      <c r="P4" s="282"/>
      <c r="Q4" s="282"/>
      <c r="R4" s="282"/>
      <c r="S4" s="282"/>
      <c r="T4" s="283"/>
      <c r="U4" s="75"/>
      <c r="V4" s="75"/>
    </row>
    <row r="5" spans="2:27" ht="15.75" customHeight="1" thickBot="1"/>
    <row r="6" spans="2:27" ht="65.25" customHeight="1">
      <c r="B6" s="251" t="s">
        <v>89</v>
      </c>
      <c r="C6" s="252"/>
      <c r="D6" s="252"/>
      <c r="E6" s="253"/>
      <c r="F6" s="257" t="s">
        <v>74</v>
      </c>
      <c r="G6" s="258"/>
      <c r="H6" s="258"/>
      <c r="I6" s="258"/>
      <c r="J6" s="257" t="s">
        <v>85</v>
      </c>
      <c r="K6" s="258"/>
      <c r="L6" s="258"/>
      <c r="M6" s="261" t="s">
        <v>88</v>
      </c>
      <c r="N6" s="263" t="s">
        <v>142</v>
      </c>
      <c r="O6" s="264"/>
      <c r="P6" s="264"/>
      <c r="Q6" s="264"/>
      <c r="R6" s="264"/>
      <c r="S6" s="264"/>
      <c r="T6" s="265"/>
    </row>
    <row r="7" spans="2:27" ht="59.25" customHeight="1" thickBot="1">
      <c r="B7" s="254"/>
      <c r="C7" s="255"/>
      <c r="D7" s="255"/>
      <c r="E7" s="256"/>
      <c r="F7" s="259"/>
      <c r="G7" s="260"/>
      <c r="H7" s="260"/>
      <c r="I7" s="260"/>
      <c r="J7" s="259"/>
      <c r="K7" s="260"/>
      <c r="L7" s="260"/>
      <c r="M7" s="262"/>
      <c r="N7" s="266"/>
      <c r="O7" s="267"/>
      <c r="P7" s="267"/>
      <c r="Q7" s="267"/>
      <c r="R7" s="267"/>
      <c r="S7" s="267"/>
      <c r="T7" s="268"/>
    </row>
    <row r="8" spans="2:27" ht="81" customHeight="1" thickBot="1">
      <c r="B8" s="254"/>
      <c r="C8" s="255"/>
      <c r="D8" s="255"/>
      <c r="E8" s="256"/>
      <c r="F8" s="115" t="s">
        <v>139</v>
      </c>
      <c r="G8" s="115" t="s">
        <v>140</v>
      </c>
      <c r="H8" s="115" t="s">
        <v>149</v>
      </c>
      <c r="I8" s="115" t="s">
        <v>141</v>
      </c>
      <c r="J8" s="115" t="s">
        <v>144</v>
      </c>
      <c r="K8" s="116" t="s">
        <v>146</v>
      </c>
      <c r="L8" s="116" t="s">
        <v>145</v>
      </c>
      <c r="M8" s="133">
        <v>2019</v>
      </c>
      <c r="N8" s="269"/>
      <c r="O8" s="270"/>
      <c r="P8" s="270"/>
      <c r="Q8" s="270"/>
      <c r="R8" s="270"/>
      <c r="S8" s="270"/>
      <c r="T8" s="271"/>
    </row>
    <row r="9" spans="2:27" ht="72" customHeight="1" thickBot="1">
      <c r="B9" s="110" t="s">
        <v>64</v>
      </c>
      <c r="C9" s="109" t="s">
        <v>65</v>
      </c>
      <c r="D9" s="84" t="s">
        <v>70</v>
      </c>
      <c r="E9" s="85" t="s">
        <v>79</v>
      </c>
      <c r="F9" s="244" t="s">
        <v>84</v>
      </c>
      <c r="G9" s="245"/>
      <c r="H9" s="245"/>
      <c r="I9" s="245"/>
      <c r="J9" s="244" t="s">
        <v>82</v>
      </c>
      <c r="K9" s="245"/>
      <c r="L9" s="246"/>
      <c r="M9" s="72"/>
      <c r="N9" s="73" t="s">
        <v>66</v>
      </c>
      <c r="O9" s="73" t="s">
        <v>67</v>
      </c>
      <c r="P9" s="73" t="s">
        <v>68</v>
      </c>
      <c r="Q9" s="73" t="s">
        <v>0</v>
      </c>
      <c r="R9" s="73" t="s">
        <v>69</v>
      </c>
      <c r="S9" s="73" t="s">
        <v>1</v>
      </c>
      <c r="T9" s="73" t="s">
        <v>2</v>
      </c>
      <c r="Z9" s="48" t="s">
        <v>154</v>
      </c>
      <c r="AA9" s="48" t="s">
        <v>166</v>
      </c>
    </row>
    <row r="10" spans="2:27" ht="124.5" thickBot="1">
      <c r="B10" s="108">
        <v>1</v>
      </c>
      <c r="C10" s="125" t="s">
        <v>91</v>
      </c>
      <c r="D10" s="127" t="s">
        <v>70</v>
      </c>
      <c r="E10" s="127">
        <v>40</v>
      </c>
      <c r="F10" s="113">
        <v>33000</v>
      </c>
      <c r="G10" s="114">
        <v>20400</v>
      </c>
      <c r="H10" s="114">
        <f>1.19*14252</f>
        <v>16959.88</v>
      </c>
      <c r="I10" s="114">
        <v>18907.563025210085</v>
      </c>
      <c r="J10" s="107"/>
      <c r="K10" s="107">
        <v>16363</v>
      </c>
      <c r="L10" s="107">
        <v>27500</v>
      </c>
      <c r="M10" s="107">
        <v>30071.121199999998</v>
      </c>
      <c r="N10" s="92">
        <f t="shared" ref="N10:N50" si="0">COUNT(F10:M10)</f>
        <v>7</v>
      </c>
      <c r="O10" s="93">
        <f t="shared" ref="O10:O50" si="1">ROUND(AVERAGE(F10:M10),2)</f>
        <v>23314.51</v>
      </c>
      <c r="P10" s="94">
        <f t="shared" ref="P10:P50" si="2">ROUND(+O10*E10,2)</f>
        <v>932580.4</v>
      </c>
      <c r="Q10" s="95">
        <f t="shared" ref="Q10:Q49" si="3">STDEVP(F10:L10)</f>
        <v>6059.9609663929859</v>
      </c>
      <c r="R10" s="96">
        <f t="shared" ref="R10:R50" si="4">Q10/O10*100</f>
        <v>25.992229587467147</v>
      </c>
      <c r="S10" s="97">
        <f t="shared" ref="S10:S50" si="5">100-R10</f>
        <v>74.007770412532849</v>
      </c>
      <c r="T10" s="98" t="str">
        <f t="shared" ref="T10:T50" si="6">IF(S10&gt;70,"ALTO","BAJO")</f>
        <v>ALTO</v>
      </c>
      <c r="Z10" s="132">
        <f>P10-'FM-029 Depurada16Oct2020'!Q10</f>
        <v>24820.400000000023</v>
      </c>
      <c r="AA10" s="48" t="e">
        <f>#REF!-'FM-029 Depurada 4Nov2020'!E10</f>
        <v>#REF!</v>
      </c>
    </row>
    <row r="11" spans="2:27" ht="124.5" thickBot="1">
      <c r="B11" s="108">
        <v>2</v>
      </c>
      <c r="C11" s="125" t="s">
        <v>92</v>
      </c>
      <c r="D11" s="128" t="s">
        <v>70</v>
      </c>
      <c r="E11" s="128">
        <v>10</v>
      </c>
      <c r="F11" s="113"/>
      <c r="G11" s="114">
        <v>20400</v>
      </c>
      <c r="H11" s="114">
        <f>1.19*14252</f>
        <v>16959.88</v>
      </c>
      <c r="I11" s="114">
        <v>18907.563025210085</v>
      </c>
      <c r="J11" s="107"/>
      <c r="K11" s="107">
        <v>16363</v>
      </c>
      <c r="L11" s="107">
        <v>25000</v>
      </c>
      <c r="M11" s="107"/>
      <c r="N11" s="92">
        <f t="shared" si="0"/>
        <v>5</v>
      </c>
      <c r="O11" s="93">
        <f t="shared" si="1"/>
        <v>19526.09</v>
      </c>
      <c r="P11" s="94">
        <f t="shared" si="2"/>
        <v>195260.9</v>
      </c>
      <c r="Q11" s="95">
        <f t="shared" si="3"/>
        <v>3088.7070792463701</v>
      </c>
      <c r="R11" s="96">
        <f t="shared" si="4"/>
        <v>15.818359329729454</v>
      </c>
      <c r="S11" s="97">
        <f t="shared" si="5"/>
        <v>84.181640670270554</v>
      </c>
      <c r="T11" s="98" t="str">
        <f t="shared" si="6"/>
        <v>ALTO</v>
      </c>
      <c r="Z11" s="132">
        <f>P11-'FM-029 Depurada16Oct2020'!Q11</f>
        <v>0.89999999999417923</v>
      </c>
      <c r="AA11" s="48" t="e">
        <f>#REF!-'FM-029 Depurada 4Nov2020'!E11</f>
        <v>#REF!</v>
      </c>
    </row>
    <row r="12" spans="2:27" ht="124.5" thickBot="1">
      <c r="B12" s="108">
        <v>3</v>
      </c>
      <c r="C12" s="125" t="s">
        <v>93</v>
      </c>
      <c r="D12" s="128" t="s">
        <v>70</v>
      </c>
      <c r="E12" s="128">
        <v>5</v>
      </c>
      <c r="F12" s="113">
        <v>33000</v>
      </c>
      <c r="G12" s="114">
        <v>20400</v>
      </c>
      <c r="H12" s="114">
        <f>1.19*14252</f>
        <v>16959.88</v>
      </c>
      <c r="I12" s="114">
        <v>18907.563025210085</v>
      </c>
      <c r="J12" s="107"/>
      <c r="K12" s="107">
        <v>16363</v>
      </c>
      <c r="L12" s="107"/>
      <c r="M12" s="107"/>
      <c r="N12" s="92">
        <f t="shared" si="0"/>
        <v>5</v>
      </c>
      <c r="O12" s="93">
        <f t="shared" si="1"/>
        <v>21126.09</v>
      </c>
      <c r="P12" s="94">
        <f t="shared" si="2"/>
        <v>105630.45</v>
      </c>
      <c r="Q12" s="95">
        <f t="shared" si="3"/>
        <v>6107.096518416266</v>
      </c>
      <c r="R12" s="96">
        <f t="shared" si="4"/>
        <v>28.907841055378757</v>
      </c>
      <c r="S12" s="97">
        <f t="shared" si="5"/>
        <v>71.092158944621247</v>
      </c>
      <c r="T12" s="98" t="str">
        <f t="shared" si="6"/>
        <v>ALTO</v>
      </c>
      <c r="Z12" s="132">
        <f>P12-'FM-029 Depurada16Oct2020'!Q12</f>
        <v>14845.449999999997</v>
      </c>
      <c r="AA12" s="48" t="e">
        <f>#REF!-'FM-029 Depurada 4Nov2020'!E12</f>
        <v>#REF!</v>
      </c>
    </row>
    <row r="13" spans="2:27" ht="162" customHeight="1" thickBot="1">
      <c r="B13" s="108">
        <v>4</v>
      </c>
      <c r="C13" s="125" t="s">
        <v>94</v>
      </c>
      <c r="D13" s="129" t="s">
        <v>70</v>
      </c>
      <c r="E13" s="129">
        <v>100</v>
      </c>
      <c r="F13" s="113">
        <v>12000</v>
      </c>
      <c r="G13" s="114">
        <v>7480</v>
      </c>
      <c r="H13" s="114">
        <f>1.19*5310</f>
        <v>6318.9</v>
      </c>
      <c r="I13" s="114">
        <v>5600</v>
      </c>
      <c r="J13" s="107"/>
      <c r="K13" s="107">
        <v>6395</v>
      </c>
      <c r="L13" s="107"/>
      <c r="M13" s="107">
        <v>10983.025599999999</v>
      </c>
      <c r="N13" s="92">
        <f t="shared" si="0"/>
        <v>6</v>
      </c>
      <c r="O13" s="93">
        <f t="shared" si="1"/>
        <v>8129.49</v>
      </c>
      <c r="P13" s="94">
        <f t="shared" si="2"/>
        <v>812949</v>
      </c>
      <c r="Q13" s="95">
        <f t="shared" si="3"/>
        <v>2300.3976511898973</v>
      </c>
      <c r="R13" s="96">
        <f t="shared" si="4"/>
        <v>28.296949146747181</v>
      </c>
      <c r="S13" s="97">
        <f t="shared" si="5"/>
        <v>71.703050853252819</v>
      </c>
      <c r="T13" s="98" t="str">
        <f t="shared" si="6"/>
        <v>ALTO</v>
      </c>
      <c r="Z13" s="132">
        <f>P13-'FM-029 Depurada16Oct2020'!Q13</f>
        <v>87749</v>
      </c>
      <c r="AA13" s="48" t="e">
        <f>#REF!-'FM-029 Depurada 4Nov2020'!E13</f>
        <v>#REF!</v>
      </c>
    </row>
    <row r="14" spans="2:27" ht="155.5" thickBot="1">
      <c r="B14" s="108">
        <v>5</v>
      </c>
      <c r="C14" s="125" t="s">
        <v>143</v>
      </c>
      <c r="D14" s="128" t="s">
        <v>70</v>
      </c>
      <c r="E14" s="128">
        <v>150</v>
      </c>
      <c r="F14" s="113"/>
      <c r="G14" s="114">
        <v>5440</v>
      </c>
      <c r="H14" s="114">
        <f>1.19*6300</f>
        <v>7497</v>
      </c>
      <c r="I14" s="114">
        <v>6500</v>
      </c>
      <c r="J14" s="107"/>
      <c r="K14" s="107">
        <v>6422</v>
      </c>
      <c r="L14" s="107"/>
      <c r="M14" s="107"/>
      <c r="N14" s="92">
        <f t="shared" si="0"/>
        <v>4</v>
      </c>
      <c r="O14" s="93">
        <f t="shared" si="1"/>
        <v>6464.75</v>
      </c>
      <c r="P14" s="94">
        <f t="shared" si="2"/>
        <v>969712.5</v>
      </c>
      <c r="Q14" s="95">
        <f t="shared" si="3"/>
        <v>727.79165116123727</v>
      </c>
      <c r="R14" s="96">
        <f t="shared" si="4"/>
        <v>11.257846802447693</v>
      </c>
      <c r="S14" s="97">
        <f t="shared" si="5"/>
        <v>88.742153197552312</v>
      </c>
      <c r="T14" s="98" t="str">
        <f t="shared" si="6"/>
        <v>ALTO</v>
      </c>
      <c r="Z14" s="132">
        <f>P14-'FM-029 Depurada16Oct2020'!Q14</f>
        <v>-37.5</v>
      </c>
      <c r="AA14" s="48" t="e">
        <f>#REF!-'FM-029 Depurada 4Nov2020'!E14</f>
        <v>#REF!</v>
      </c>
    </row>
    <row r="15" spans="2:27" ht="93.5" thickBot="1">
      <c r="B15" s="108">
        <v>6</v>
      </c>
      <c r="C15" s="125" t="s">
        <v>95</v>
      </c>
      <c r="D15" s="128" t="s">
        <v>70</v>
      </c>
      <c r="E15" s="128">
        <v>20</v>
      </c>
      <c r="F15" s="113"/>
      <c r="G15" s="114"/>
      <c r="H15" s="114">
        <f>1.19*7600</f>
        <v>9044</v>
      </c>
      <c r="I15" s="114">
        <v>10500</v>
      </c>
      <c r="J15" s="107"/>
      <c r="K15" s="107">
        <v>10342</v>
      </c>
      <c r="L15" s="107"/>
      <c r="M15" s="107">
        <v>11613.594799999999</v>
      </c>
      <c r="N15" s="92">
        <f t="shared" si="0"/>
        <v>4</v>
      </c>
      <c r="O15" s="93">
        <f t="shared" si="1"/>
        <v>10374.9</v>
      </c>
      <c r="P15" s="94">
        <f t="shared" si="2"/>
        <v>207498</v>
      </c>
      <c r="Q15" s="95">
        <f t="shared" si="3"/>
        <v>652.32098438319974</v>
      </c>
      <c r="R15" s="96">
        <f t="shared" si="4"/>
        <v>6.2874917771082099</v>
      </c>
      <c r="S15" s="97">
        <f t="shared" si="5"/>
        <v>93.712508222891785</v>
      </c>
      <c r="T15" s="98" t="str">
        <f t="shared" si="6"/>
        <v>ALTO</v>
      </c>
      <c r="Z15" s="132">
        <f>P15-'FM-029 Depurada16Oct2020'!Q15</f>
        <v>-582</v>
      </c>
      <c r="AA15" s="48" t="e">
        <f>#REF!-'FM-029 Depurada 4Nov2020'!E15</f>
        <v>#REF!</v>
      </c>
    </row>
    <row r="16" spans="2:27" ht="96" customHeight="1" thickBot="1">
      <c r="B16" s="108">
        <v>7</v>
      </c>
      <c r="C16" s="125" t="s">
        <v>96</v>
      </c>
      <c r="D16" s="129" t="s">
        <v>70</v>
      </c>
      <c r="E16" s="129">
        <v>10</v>
      </c>
      <c r="F16" s="113"/>
      <c r="G16" s="114">
        <v>24500</v>
      </c>
      <c r="H16" s="114">
        <f>1.19*25900</f>
        <v>30821</v>
      </c>
      <c r="I16" s="114">
        <v>28000</v>
      </c>
      <c r="J16" s="107"/>
      <c r="K16" s="107"/>
      <c r="L16" s="107"/>
      <c r="M16" s="107">
        <v>34935.212399999997</v>
      </c>
      <c r="N16" s="92">
        <f t="shared" si="0"/>
        <v>4</v>
      </c>
      <c r="O16" s="93">
        <f t="shared" si="1"/>
        <v>29564.05</v>
      </c>
      <c r="P16" s="94">
        <f t="shared" si="2"/>
        <v>295640.5</v>
      </c>
      <c r="Q16" s="95">
        <f t="shared" si="3"/>
        <v>2585.495482279729</v>
      </c>
      <c r="R16" s="96">
        <f t="shared" si="4"/>
        <v>8.7454035637192096</v>
      </c>
      <c r="S16" s="97">
        <f t="shared" si="5"/>
        <v>91.254596436280792</v>
      </c>
      <c r="T16" s="98" t="str">
        <f t="shared" si="6"/>
        <v>ALTO</v>
      </c>
      <c r="Z16" s="132">
        <f>P16-'FM-029 Depurada16Oct2020'!Q16</f>
        <v>-4189.5</v>
      </c>
      <c r="AA16" s="48" t="e">
        <f>#REF!-'FM-029 Depurada 4Nov2020'!E16</f>
        <v>#REF!</v>
      </c>
    </row>
    <row r="17" spans="2:27" s="42" customFormat="1" ht="204.75" customHeight="1" thickBot="1">
      <c r="B17" s="108">
        <v>8</v>
      </c>
      <c r="C17" s="125" t="s">
        <v>164</v>
      </c>
      <c r="D17" s="129" t="s">
        <v>70</v>
      </c>
      <c r="E17" s="129">
        <v>750</v>
      </c>
      <c r="F17" s="113"/>
      <c r="G17" s="114"/>
      <c r="H17" s="114">
        <f>1.19*12000</f>
        <v>14280</v>
      </c>
      <c r="I17" s="114">
        <v>14300</v>
      </c>
      <c r="J17" s="107"/>
      <c r="K17" s="107"/>
      <c r="L17" s="107"/>
      <c r="M17" s="107">
        <v>6727.4703999999992</v>
      </c>
      <c r="N17" s="92">
        <f t="shared" si="0"/>
        <v>3</v>
      </c>
      <c r="O17" s="93">
        <f t="shared" si="1"/>
        <v>11769.16</v>
      </c>
      <c r="P17" s="94">
        <f t="shared" si="2"/>
        <v>8826870</v>
      </c>
      <c r="Q17" s="95">
        <f t="shared" si="3"/>
        <v>10</v>
      </c>
      <c r="R17" s="96">
        <f t="shared" si="4"/>
        <v>8.4967831179115591E-2</v>
      </c>
      <c r="S17" s="97">
        <f t="shared" si="5"/>
        <v>99.915032168820886</v>
      </c>
      <c r="T17" s="98" t="str">
        <f t="shared" si="6"/>
        <v>ALTO</v>
      </c>
      <c r="V17" s="48"/>
      <c r="W17" s="48"/>
      <c r="X17" s="48"/>
      <c r="Y17" s="48"/>
      <c r="Z17" s="132">
        <f>P17-'FM-029 Depurada16Oct2020'!Q17</f>
        <v>78870</v>
      </c>
      <c r="AA17" s="48" t="e">
        <f>#REF!-'FM-029 Depurada 4Nov2020'!E17</f>
        <v>#REF!</v>
      </c>
    </row>
    <row r="18" spans="2:27" s="42" customFormat="1" ht="181.5" customHeight="1" thickBot="1">
      <c r="B18" s="108">
        <v>9</v>
      </c>
      <c r="C18" s="125" t="s">
        <v>163</v>
      </c>
      <c r="D18" s="129" t="s">
        <v>70</v>
      </c>
      <c r="E18" s="129">
        <v>750</v>
      </c>
      <c r="F18" s="113"/>
      <c r="G18" s="114"/>
      <c r="H18" s="114">
        <f>1.19*12000</f>
        <v>14280</v>
      </c>
      <c r="I18" s="114">
        <v>14300</v>
      </c>
      <c r="J18" s="107"/>
      <c r="K18" s="107"/>
      <c r="L18" s="107"/>
      <c r="M18" s="107">
        <v>6727.4703999999992</v>
      </c>
      <c r="N18" s="92">
        <f t="shared" si="0"/>
        <v>3</v>
      </c>
      <c r="O18" s="93">
        <f t="shared" si="1"/>
        <v>11769.16</v>
      </c>
      <c r="P18" s="94">
        <f t="shared" si="2"/>
        <v>8826870</v>
      </c>
      <c r="Q18" s="95">
        <f t="shared" si="3"/>
        <v>10</v>
      </c>
      <c r="R18" s="96">
        <f t="shared" si="4"/>
        <v>8.4967831179115591E-2</v>
      </c>
      <c r="S18" s="97">
        <f t="shared" si="5"/>
        <v>99.915032168820886</v>
      </c>
      <c r="T18" s="98" t="str">
        <f t="shared" si="6"/>
        <v>ALTO</v>
      </c>
      <c r="V18" s="48"/>
      <c r="W18" s="48"/>
      <c r="X18" s="48"/>
      <c r="Y18" s="48"/>
      <c r="Z18" s="132">
        <f>P18-'FM-029 Depurada16Oct2020'!Q18</f>
        <v>78870</v>
      </c>
      <c r="AA18" s="48" t="e">
        <f>#REF!-'FM-029 Depurada 4Nov2020'!E18</f>
        <v>#REF!</v>
      </c>
    </row>
    <row r="19" spans="2:27" s="42" customFormat="1" ht="186.5" thickBot="1">
      <c r="B19" s="108">
        <v>10</v>
      </c>
      <c r="C19" s="134" t="s">
        <v>165</v>
      </c>
      <c r="D19" s="129" t="s">
        <v>70</v>
      </c>
      <c r="E19" s="135">
        <v>499</v>
      </c>
      <c r="F19" s="113"/>
      <c r="G19" s="114"/>
      <c r="H19" s="114">
        <f>1.19*12000</f>
        <v>14280</v>
      </c>
      <c r="I19" s="114">
        <v>14500</v>
      </c>
      <c r="J19" s="107"/>
      <c r="K19" s="107"/>
      <c r="L19" s="107"/>
      <c r="M19" s="107">
        <v>17077.828399999999</v>
      </c>
      <c r="N19" s="92">
        <f t="shared" si="0"/>
        <v>3</v>
      </c>
      <c r="O19" s="93">
        <f t="shared" si="1"/>
        <v>15285.94</v>
      </c>
      <c r="P19" s="94">
        <f t="shared" si="2"/>
        <v>7627684.0599999996</v>
      </c>
      <c r="Q19" s="95">
        <f t="shared" si="3"/>
        <v>110</v>
      </c>
      <c r="R19" s="96">
        <f t="shared" si="4"/>
        <v>0.71961554212563961</v>
      </c>
      <c r="S19" s="97">
        <f t="shared" si="5"/>
        <v>99.280384457874362</v>
      </c>
      <c r="T19" s="98" t="str">
        <f t="shared" si="6"/>
        <v>ALTO</v>
      </c>
      <c r="V19" s="48"/>
      <c r="W19" s="48"/>
      <c r="X19" s="48"/>
      <c r="Y19" s="48"/>
      <c r="Z19" s="132">
        <f>P19-'FM-029 Depurada16Oct2020'!Q19</f>
        <v>-806015.94000000041</v>
      </c>
      <c r="AA19" s="48" t="e">
        <f>#REF!-'FM-029 Depurada 4Nov2020'!E19</f>
        <v>#REF!</v>
      </c>
    </row>
    <row r="20" spans="2:27" s="42" customFormat="1" ht="113.25" customHeight="1" thickBot="1">
      <c r="B20" s="108">
        <v>11</v>
      </c>
      <c r="C20" s="125" t="s">
        <v>100</v>
      </c>
      <c r="D20" s="129" t="s">
        <v>70</v>
      </c>
      <c r="E20" s="129">
        <v>2</v>
      </c>
      <c r="F20" s="113"/>
      <c r="G20" s="114">
        <v>479000</v>
      </c>
      <c r="H20" s="114">
        <f>1.19*430000</f>
        <v>511700</v>
      </c>
      <c r="I20" s="114">
        <v>378151.26050420169</v>
      </c>
      <c r="J20" s="107"/>
      <c r="K20" s="107"/>
      <c r="L20" s="107"/>
      <c r="M20" s="107">
        <v>416797.84759999998</v>
      </c>
      <c r="N20" s="92">
        <f t="shared" si="0"/>
        <v>4</v>
      </c>
      <c r="O20" s="93">
        <f t="shared" si="1"/>
        <v>446412.28</v>
      </c>
      <c r="P20" s="94">
        <f t="shared" si="2"/>
        <v>892824.56</v>
      </c>
      <c r="Q20" s="95">
        <f t="shared" si="3"/>
        <v>56837.999885452322</v>
      </c>
      <c r="R20" s="96">
        <f t="shared" si="4"/>
        <v>12.732176607115807</v>
      </c>
      <c r="S20" s="97">
        <f t="shared" si="5"/>
        <v>87.267823392884196</v>
      </c>
      <c r="T20" s="98" t="str">
        <f t="shared" si="6"/>
        <v>ALTO</v>
      </c>
      <c r="V20" s="48"/>
      <c r="W20" s="48"/>
      <c r="X20" s="48"/>
      <c r="Y20" s="48"/>
      <c r="Z20" s="132">
        <f>P20-'FM-029 Depurada16Oct2020'!Q20</f>
        <v>27482.560000000056</v>
      </c>
      <c r="AA20" s="48" t="e">
        <f>#REF!-'FM-029 Depurada 4Nov2020'!E20</f>
        <v>#REF!</v>
      </c>
    </row>
    <row r="21" spans="2:27" s="42" customFormat="1" ht="130.5" customHeight="1" thickBot="1">
      <c r="B21" s="108">
        <v>12</v>
      </c>
      <c r="C21" s="125" t="s">
        <v>101</v>
      </c>
      <c r="D21" s="129" t="s">
        <v>70</v>
      </c>
      <c r="E21" s="129">
        <v>8</v>
      </c>
      <c r="F21" s="113"/>
      <c r="G21" s="114">
        <v>53000</v>
      </c>
      <c r="H21" s="114">
        <f>1.19*41430</f>
        <v>49301.7</v>
      </c>
      <c r="I21" s="114">
        <v>47058.823529411769</v>
      </c>
      <c r="J21" s="107"/>
      <c r="K21" s="107">
        <v>52182</v>
      </c>
      <c r="L21" s="107"/>
      <c r="M21" s="107">
        <v>66551.805199999988</v>
      </c>
      <c r="N21" s="92">
        <f t="shared" si="0"/>
        <v>5</v>
      </c>
      <c r="O21" s="93">
        <f t="shared" si="1"/>
        <v>53618.87</v>
      </c>
      <c r="P21" s="94">
        <f t="shared" si="2"/>
        <v>428950.96</v>
      </c>
      <c r="Q21" s="95">
        <f t="shared" si="3"/>
        <v>2361.3778399191337</v>
      </c>
      <c r="R21" s="96">
        <f t="shared" si="4"/>
        <v>4.4040052315894265</v>
      </c>
      <c r="S21" s="97">
        <f t="shared" si="5"/>
        <v>95.595994768410577</v>
      </c>
      <c r="T21" s="98" t="str">
        <f t="shared" si="6"/>
        <v>ALTO</v>
      </c>
      <c r="V21" s="48"/>
      <c r="W21" s="48"/>
      <c r="X21" s="48"/>
      <c r="Y21" s="48"/>
      <c r="Z21" s="132">
        <f>P21-'FM-029 Depurada16Oct2020'!Q21</f>
        <v>-8913.039999999979</v>
      </c>
      <c r="AA21" s="48" t="e">
        <f>#REF!-'FM-029 Depurada 4Nov2020'!E21</f>
        <v>#REF!</v>
      </c>
    </row>
    <row r="22" spans="2:27" s="42" customFormat="1" ht="126.75" customHeight="1" thickBot="1">
      <c r="B22" s="108">
        <v>13</v>
      </c>
      <c r="C22" s="125" t="s">
        <v>102</v>
      </c>
      <c r="D22" s="128" t="s">
        <v>131</v>
      </c>
      <c r="E22" s="128">
        <v>30</v>
      </c>
      <c r="F22" s="113">
        <v>54000</v>
      </c>
      <c r="G22" s="114">
        <v>48500</v>
      </c>
      <c r="H22" s="114">
        <f>1.19*35071</f>
        <v>41734.49</v>
      </c>
      <c r="I22" s="114"/>
      <c r="J22" s="107"/>
      <c r="K22" s="107"/>
      <c r="L22" s="107"/>
      <c r="M22" s="107">
        <v>63123.019599999992</v>
      </c>
      <c r="N22" s="92">
        <f t="shared" si="0"/>
        <v>4</v>
      </c>
      <c r="O22" s="93">
        <f t="shared" si="1"/>
        <v>51839.38</v>
      </c>
      <c r="P22" s="94">
        <f t="shared" si="2"/>
        <v>1555181.4</v>
      </c>
      <c r="Q22" s="95">
        <f t="shared" si="3"/>
        <v>5016.24982897473</v>
      </c>
      <c r="R22" s="96">
        <f t="shared" si="4"/>
        <v>9.6765235791298636</v>
      </c>
      <c r="S22" s="97">
        <f t="shared" si="5"/>
        <v>90.323476420870136</v>
      </c>
      <c r="T22" s="98" t="str">
        <f t="shared" si="6"/>
        <v>ALTO</v>
      </c>
      <c r="V22" s="48"/>
      <c r="W22" s="48"/>
      <c r="X22" s="48"/>
      <c r="Y22" s="48"/>
      <c r="Z22" s="132">
        <f>P22-'FM-029 Depurada16Oct2020'!Q22</f>
        <v>-115998.60000000009</v>
      </c>
      <c r="AA22" s="48" t="e">
        <f>#REF!-'FM-029 Depurada 4Nov2020'!E22</f>
        <v>#REF!</v>
      </c>
    </row>
    <row r="23" spans="2:27" s="42" customFormat="1" ht="124.5" thickBot="1">
      <c r="B23" s="108">
        <v>14</v>
      </c>
      <c r="C23" s="125" t="s">
        <v>103</v>
      </c>
      <c r="D23" s="129" t="s">
        <v>131</v>
      </c>
      <c r="E23" s="129">
        <v>30</v>
      </c>
      <c r="F23" s="113">
        <v>36000</v>
      </c>
      <c r="G23" s="114"/>
      <c r="H23" s="114"/>
      <c r="I23" s="114"/>
      <c r="J23" s="107"/>
      <c r="K23" s="107"/>
      <c r="L23" s="107"/>
      <c r="M23" s="131">
        <v>35153.445999999996</v>
      </c>
      <c r="N23" s="92">
        <f t="shared" si="0"/>
        <v>2</v>
      </c>
      <c r="O23" s="93">
        <f t="shared" si="1"/>
        <v>35576.720000000001</v>
      </c>
      <c r="P23" s="94">
        <f t="shared" si="2"/>
        <v>1067301.6000000001</v>
      </c>
      <c r="Q23" s="95">
        <f t="shared" si="3"/>
        <v>0</v>
      </c>
      <c r="R23" s="96">
        <f t="shared" si="4"/>
        <v>0</v>
      </c>
      <c r="S23" s="97">
        <f t="shared" si="5"/>
        <v>100</v>
      </c>
      <c r="T23" s="98" t="str">
        <f t="shared" si="6"/>
        <v>ALTO</v>
      </c>
      <c r="V23" s="48"/>
      <c r="W23" s="48"/>
      <c r="X23" s="48"/>
      <c r="Y23" s="48"/>
      <c r="Z23" s="132">
        <f>P23-'FM-029 Depurada16Oct2020'!Q23</f>
        <v>552321.60000000009</v>
      </c>
      <c r="AA23" s="48" t="e">
        <f>#REF!-'FM-029 Depurada 4Nov2020'!E23</f>
        <v>#REF!</v>
      </c>
    </row>
    <row r="24" spans="2:27" s="42" customFormat="1" ht="93.5" thickBot="1">
      <c r="B24" s="108">
        <v>15</v>
      </c>
      <c r="C24" s="125" t="s">
        <v>104</v>
      </c>
      <c r="D24" s="129" t="s">
        <v>131</v>
      </c>
      <c r="E24" s="129">
        <v>30</v>
      </c>
      <c r="F24" s="113"/>
      <c r="G24" s="114">
        <v>39750</v>
      </c>
      <c r="H24" s="114">
        <f>1.19*32040</f>
        <v>38127.599999999999</v>
      </c>
      <c r="I24" s="114">
        <v>36134.45378151261</v>
      </c>
      <c r="J24" s="107"/>
      <c r="K24" s="107"/>
      <c r="L24" s="107"/>
      <c r="M24" s="131">
        <v>38361.899599999997</v>
      </c>
      <c r="N24" s="92">
        <f t="shared" si="0"/>
        <v>4</v>
      </c>
      <c r="O24" s="93">
        <f t="shared" si="1"/>
        <v>38093.49</v>
      </c>
      <c r="P24" s="94">
        <f t="shared" si="2"/>
        <v>1142804.7</v>
      </c>
      <c r="Q24" s="95">
        <f t="shared" si="3"/>
        <v>1478.6250394760161</v>
      </c>
      <c r="R24" s="96">
        <f t="shared" si="4"/>
        <v>3.8815688441148772</v>
      </c>
      <c r="S24" s="97">
        <f t="shared" si="5"/>
        <v>96.118431155885119</v>
      </c>
      <c r="T24" s="98" t="str">
        <f t="shared" si="6"/>
        <v>ALTO</v>
      </c>
      <c r="V24" s="48"/>
      <c r="W24" s="48"/>
      <c r="X24" s="48"/>
      <c r="Y24" s="48"/>
      <c r="Z24" s="132">
        <f>P24-'FM-029 Depurada16Oct2020'!Q24</f>
        <v>19994.699999999953</v>
      </c>
      <c r="AA24" s="48" t="e">
        <f>#REF!-'FM-029 Depurada 4Nov2020'!E24</f>
        <v>#REF!</v>
      </c>
    </row>
    <row r="25" spans="2:27" s="42" customFormat="1" ht="62.5" thickBot="1">
      <c r="B25" s="108">
        <v>16</v>
      </c>
      <c r="C25" s="125" t="s">
        <v>105</v>
      </c>
      <c r="D25" s="129" t="s">
        <v>131</v>
      </c>
      <c r="E25" s="129">
        <v>30</v>
      </c>
      <c r="F25" s="113"/>
      <c r="G25" s="114">
        <v>15200</v>
      </c>
      <c r="H25" s="114">
        <f>1.19*11220</f>
        <v>13351.8</v>
      </c>
      <c r="I25" s="114">
        <v>18907.563025210085</v>
      </c>
      <c r="J25" s="107"/>
      <c r="K25" s="107"/>
      <c r="L25" s="107"/>
      <c r="M25" s="107">
        <v>26049.537599999996</v>
      </c>
      <c r="N25" s="92">
        <f t="shared" si="0"/>
        <v>4</v>
      </c>
      <c r="O25" s="93">
        <f t="shared" si="1"/>
        <v>18377.23</v>
      </c>
      <c r="P25" s="94">
        <f t="shared" si="2"/>
        <v>551316.9</v>
      </c>
      <c r="Q25" s="95">
        <f t="shared" si="3"/>
        <v>2310.0834428939997</v>
      </c>
      <c r="R25" s="96">
        <f t="shared" si="4"/>
        <v>12.570357137033165</v>
      </c>
      <c r="S25" s="97">
        <f t="shared" si="5"/>
        <v>87.42964286296683</v>
      </c>
      <c r="T25" s="98" t="str">
        <f t="shared" si="6"/>
        <v>ALTO</v>
      </c>
      <c r="V25" s="48"/>
      <c r="W25" s="48"/>
      <c r="X25" s="48"/>
      <c r="Y25" s="48"/>
      <c r="Z25" s="132">
        <f>P25-'FM-029 Depurada16Oct2020'!Q25</f>
        <v>-31373.099999999977</v>
      </c>
      <c r="AA25" s="48" t="e">
        <f>#REF!-'FM-029 Depurada 4Nov2020'!E25</f>
        <v>#REF!</v>
      </c>
    </row>
    <row r="26" spans="2:27" s="42" customFormat="1" ht="78" thickBot="1">
      <c r="B26" s="108">
        <v>17</v>
      </c>
      <c r="C26" s="125" t="s">
        <v>106</v>
      </c>
      <c r="D26" s="129" t="s">
        <v>70</v>
      </c>
      <c r="E26" s="129">
        <v>100</v>
      </c>
      <c r="F26" s="113">
        <v>1000</v>
      </c>
      <c r="G26" s="114">
        <v>1820</v>
      </c>
      <c r="H26" s="114">
        <f>1.19*1513</f>
        <v>1800.47</v>
      </c>
      <c r="I26" s="114">
        <v>1575.6302521008404</v>
      </c>
      <c r="J26" s="107"/>
      <c r="K26" s="107"/>
      <c r="L26" s="107"/>
      <c r="M26" s="107">
        <v>2988.1215999999999</v>
      </c>
      <c r="N26" s="92">
        <f t="shared" si="0"/>
        <v>5</v>
      </c>
      <c r="O26" s="93">
        <f t="shared" si="1"/>
        <v>1836.84</v>
      </c>
      <c r="P26" s="94">
        <f t="shared" si="2"/>
        <v>183684</v>
      </c>
      <c r="Q26" s="95">
        <f t="shared" si="3"/>
        <v>331.2054984123647</v>
      </c>
      <c r="R26" s="96">
        <f t="shared" si="4"/>
        <v>18.031265565447438</v>
      </c>
      <c r="S26" s="97">
        <f t="shared" si="5"/>
        <v>81.968734434552559</v>
      </c>
      <c r="T26" s="98" t="str">
        <f t="shared" si="6"/>
        <v>ALTO</v>
      </c>
      <c r="V26" s="48"/>
      <c r="W26" s="48"/>
      <c r="X26" s="48"/>
      <c r="Y26" s="48"/>
      <c r="Z26" s="132">
        <f>P26-'FM-029 Depurada16Oct2020'!Q26</f>
        <v>-34116</v>
      </c>
      <c r="AA26" s="48" t="e">
        <f>#REF!-'FM-029 Depurada 4Nov2020'!E26</f>
        <v>#REF!</v>
      </c>
    </row>
    <row r="27" spans="2:27" s="42" customFormat="1" ht="93.5" thickBot="1">
      <c r="B27" s="108">
        <v>18</v>
      </c>
      <c r="C27" s="125" t="s">
        <v>107</v>
      </c>
      <c r="D27" s="128" t="s">
        <v>132</v>
      </c>
      <c r="E27" s="128">
        <v>8</v>
      </c>
      <c r="F27" s="113"/>
      <c r="G27" s="114">
        <v>90500</v>
      </c>
      <c r="H27" s="114">
        <f>1.19*77520</f>
        <v>92248.8</v>
      </c>
      <c r="I27" s="114">
        <v>84033.613445378156</v>
      </c>
      <c r="J27" s="107"/>
      <c r="K27" s="107"/>
      <c r="L27" s="107"/>
      <c r="M27" s="107"/>
      <c r="N27" s="92">
        <f t="shared" si="0"/>
        <v>3</v>
      </c>
      <c r="O27" s="93">
        <f t="shared" si="1"/>
        <v>88927.47</v>
      </c>
      <c r="P27" s="94">
        <f t="shared" si="2"/>
        <v>711419.76</v>
      </c>
      <c r="Q27" s="95">
        <f t="shared" si="3"/>
        <v>3533.3607961359417</v>
      </c>
      <c r="R27" s="96">
        <f t="shared" si="4"/>
        <v>3.9733063317059862</v>
      </c>
      <c r="S27" s="97">
        <f t="shared" si="5"/>
        <v>96.026693668294016</v>
      </c>
      <c r="T27" s="98" t="str">
        <f t="shared" si="6"/>
        <v>ALTO</v>
      </c>
      <c r="V27" s="48"/>
      <c r="W27" s="48"/>
      <c r="X27" s="48"/>
      <c r="Y27" s="48"/>
      <c r="Z27" s="132">
        <f>P27-'FM-029 Depurada16Oct2020'!Q27</f>
        <v>11.760000000009313</v>
      </c>
      <c r="AA27" s="48" t="e">
        <f>#REF!-'FM-029 Depurada 4Nov2020'!E27</f>
        <v>#REF!</v>
      </c>
    </row>
    <row r="28" spans="2:27" s="42" customFormat="1" ht="217.5" thickBot="1">
      <c r="B28" s="108">
        <v>19</v>
      </c>
      <c r="C28" s="125" t="s">
        <v>162</v>
      </c>
      <c r="D28" s="129" t="s">
        <v>70</v>
      </c>
      <c r="E28" s="129">
        <v>20</v>
      </c>
      <c r="F28" s="113">
        <v>92000</v>
      </c>
      <c r="G28" s="114"/>
      <c r="H28" s="114">
        <f>1.19*14880</f>
        <v>17707.2</v>
      </c>
      <c r="I28" s="114">
        <v>17226.89075630252</v>
      </c>
      <c r="J28" s="107"/>
      <c r="K28" s="107"/>
      <c r="L28" s="107"/>
      <c r="M28" s="107">
        <v>36481.733199999995</v>
      </c>
      <c r="N28" s="92">
        <f t="shared" si="0"/>
        <v>4</v>
      </c>
      <c r="O28" s="93">
        <f t="shared" si="1"/>
        <v>40853.96</v>
      </c>
      <c r="P28" s="94">
        <f t="shared" si="2"/>
        <v>817079.2</v>
      </c>
      <c r="Q28" s="95">
        <f t="shared" si="3"/>
        <v>35135.718917710918</v>
      </c>
      <c r="R28" s="96">
        <f t="shared" si="4"/>
        <v>86.003214664406869</v>
      </c>
      <c r="S28" s="97">
        <f t="shared" si="5"/>
        <v>13.996785335593131</v>
      </c>
      <c r="T28" s="98" t="str">
        <f t="shared" si="6"/>
        <v>BAJO</v>
      </c>
      <c r="V28" s="48"/>
      <c r="W28" s="48"/>
      <c r="X28" s="48"/>
      <c r="Y28" s="48"/>
      <c r="Z28" s="132">
        <f>P28-'FM-029 Depurada16Oct2020'!Q28</f>
        <v>352379.19999999995</v>
      </c>
      <c r="AA28" s="48" t="e">
        <f>#REF!-'FM-029 Depurada 4Nov2020'!E28</f>
        <v>#REF!</v>
      </c>
    </row>
    <row r="29" spans="2:27" s="42" customFormat="1" ht="62.5" thickBot="1">
      <c r="B29" s="108">
        <v>20</v>
      </c>
      <c r="C29" s="125" t="s">
        <v>109</v>
      </c>
      <c r="D29" s="129" t="s">
        <v>131</v>
      </c>
      <c r="E29" s="129">
        <v>200</v>
      </c>
      <c r="F29" s="113"/>
      <c r="G29" s="114">
        <v>6950</v>
      </c>
      <c r="H29" s="114">
        <f>1.19*5426</f>
        <v>6456.94</v>
      </c>
      <c r="I29" s="114">
        <v>5630.2521008403364</v>
      </c>
      <c r="J29" s="107"/>
      <c r="K29" s="107"/>
      <c r="L29" s="107">
        <v>5000</v>
      </c>
      <c r="M29" s="107">
        <v>11315.621999999999</v>
      </c>
      <c r="N29" s="92">
        <f t="shared" si="0"/>
        <v>5</v>
      </c>
      <c r="O29" s="93">
        <f t="shared" si="1"/>
        <v>7070.56</v>
      </c>
      <c r="P29" s="94">
        <f t="shared" si="2"/>
        <v>1414112</v>
      </c>
      <c r="Q29" s="95">
        <f t="shared" si="3"/>
        <v>749.61020861541056</v>
      </c>
      <c r="R29" s="96">
        <f t="shared" si="4"/>
        <v>10.601850611767816</v>
      </c>
      <c r="S29" s="97">
        <f t="shared" si="5"/>
        <v>89.398149388232184</v>
      </c>
      <c r="T29" s="98" t="str">
        <f t="shared" si="6"/>
        <v>ALTO</v>
      </c>
      <c r="V29" s="48"/>
      <c r="W29" s="48"/>
      <c r="X29" s="48"/>
      <c r="Y29" s="48"/>
      <c r="Z29" s="132">
        <f>P29-'FM-029 Depurada16Oct2020'!Q29</f>
        <v>21312</v>
      </c>
      <c r="AA29" s="48" t="e">
        <f>#REF!-'FM-029 Depurada 4Nov2020'!E29</f>
        <v>#REF!</v>
      </c>
    </row>
    <row r="30" spans="2:27" s="42" customFormat="1" ht="78" thickBot="1">
      <c r="B30" s="108">
        <v>21</v>
      </c>
      <c r="C30" s="125" t="s">
        <v>110</v>
      </c>
      <c r="D30" s="129" t="s">
        <v>131</v>
      </c>
      <c r="E30" s="129">
        <v>150</v>
      </c>
      <c r="F30" s="113">
        <v>19000</v>
      </c>
      <c r="G30" s="114"/>
      <c r="H30" s="114">
        <f>1.19*8561</f>
        <v>10187.59</v>
      </c>
      <c r="I30" s="114"/>
      <c r="J30" s="107"/>
      <c r="K30" s="107">
        <v>13454</v>
      </c>
      <c r="L30" s="107"/>
      <c r="M30" s="107">
        <v>19127.965199999999</v>
      </c>
      <c r="N30" s="92">
        <f t="shared" si="0"/>
        <v>4</v>
      </c>
      <c r="O30" s="93">
        <f t="shared" si="1"/>
        <v>15442.39</v>
      </c>
      <c r="P30" s="94">
        <f t="shared" si="2"/>
        <v>2316358.5</v>
      </c>
      <c r="Q30" s="95">
        <f t="shared" si="3"/>
        <v>3637.5529060100662</v>
      </c>
      <c r="R30" s="96">
        <f t="shared" si="4"/>
        <v>23.555634238029647</v>
      </c>
      <c r="S30" s="97">
        <f t="shared" si="5"/>
        <v>76.444365761970346</v>
      </c>
      <c r="T30" s="98" t="str">
        <f t="shared" si="6"/>
        <v>ALTO</v>
      </c>
      <c r="V30" s="48"/>
      <c r="W30" s="48"/>
      <c r="X30" s="48"/>
      <c r="Y30" s="48"/>
      <c r="Z30" s="132">
        <f>P30-'FM-029 Depurada16Oct2020'!Q30</f>
        <v>116008.5</v>
      </c>
      <c r="AA30" s="48" t="e">
        <f>#REF!-'FM-029 Depurada 4Nov2020'!E30</f>
        <v>#REF!</v>
      </c>
    </row>
    <row r="31" spans="2:27" s="42" customFormat="1" ht="155.5" thickBot="1">
      <c r="B31" s="108">
        <v>22</v>
      </c>
      <c r="C31" s="125" t="s">
        <v>111</v>
      </c>
      <c r="D31" s="129" t="s">
        <v>131</v>
      </c>
      <c r="E31" s="129">
        <v>108</v>
      </c>
      <c r="F31" s="113">
        <v>32000</v>
      </c>
      <c r="G31" s="114">
        <v>18020</v>
      </c>
      <c r="H31" s="114">
        <v>19117</v>
      </c>
      <c r="I31" s="114">
        <v>18907.563025210085</v>
      </c>
      <c r="J31" s="107"/>
      <c r="K31" s="107"/>
      <c r="L31" s="107"/>
      <c r="M31" s="107">
        <v>21595.683599999997</v>
      </c>
      <c r="N31" s="92">
        <f t="shared" si="0"/>
        <v>5</v>
      </c>
      <c r="O31" s="93">
        <f t="shared" si="1"/>
        <v>21928.05</v>
      </c>
      <c r="P31" s="94">
        <f t="shared" si="2"/>
        <v>2368229.4</v>
      </c>
      <c r="Q31" s="95">
        <f t="shared" si="3"/>
        <v>5781.7549017846677</v>
      </c>
      <c r="R31" s="96">
        <f t="shared" si="4"/>
        <v>26.366935964596337</v>
      </c>
      <c r="S31" s="97">
        <f t="shared" si="5"/>
        <v>73.633064035403663</v>
      </c>
      <c r="T31" s="98" t="str">
        <f t="shared" si="6"/>
        <v>ALTO</v>
      </c>
      <c r="V31" s="48"/>
      <c r="W31" s="48"/>
      <c r="X31" s="48"/>
      <c r="Y31" s="48"/>
      <c r="Z31" s="132">
        <f>P31-'FM-029 Depurada16Oct2020'!Q31</f>
        <v>42557.399999999907</v>
      </c>
      <c r="AA31" s="48" t="e">
        <f>#REF!-'FM-029 Depurada 4Nov2020'!E31</f>
        <v>#REF!</v>
      </c>
    </row>
    <row r="32" spans="2:27" s="42" customFormat="1" ht="219" customHeight="1" thickBot="1">
      <c r="B32" s="108">
        <v>23</v>
      </c>
      <c r="C32" s="125" t="s">
        <v>160</v>
      </c>
      <c r="D32" s="129" t="s">
        <v>131</v>
      </c>
      <c r="E32" s="129">
        <v>300</v>
      </c>
      <c r="F32" s="113">
        <v>15000</v>
      </c>
      <c r="G32" s="114"/>
      <c r="H32" s="114">
        <f>1.19*5084</f>
        <v>6049.96</v>
      </c>
      <c r="I32" s="114"/>
      <c r="J32" s="107">
        <v>7027</v>
      </c>
      <c r="K32" s="107">
        <v>12144</v>
      </c>
      <c r="L32" s="107"/>
      <c r="M32" s="107">
        <v>8340.0907999999999</v>
      </c>
      <c r="N32" s="92">
        <f t="shared" si="0"/>
        <v>5</v>
      </c>
      <c r="O32" s="93">
        <f t="shared" si="1"/>
        <v>9712.2099999999991</v>
      </c>
      <c r="P32" s="94">
        <f t="shared" si="2"/>
        <v>2913663</v>
      </c>
      <c r="Q32" s="95">
        <f t="shared" si="3"/>
        <v>3675.1216024507285</v>
      </c>
      <c r="R32" s="96">
        <f t="shared" si="4"/>
        <v>37.840219707468528</v>
      </c>
      <c r="S32" s="97">
        <f t="shared" si="5"/>
        <v>62.159780292531472</v>
      </c>
      <c r="T32" s="98" t="str">
        <f t="shared" si="6"/>
        <v>BAJO</v>
      </c>
      <c r="V32" s="48"/>
      <c r="W32" s="48"/>
      <c r="X32" s="48"/>
      <c r="Y32" s="48"/>
      <c r="Z32" s="132">
        <f>P32-'FM-029 Depurada16Oct2020'!Q32</f>
        <v>977463</v>
      </c>
      <c r="AA32" s="48" t="e">
        <f>#REF!-'FM-029 Depurada 4Nov2020'!E32</f>
        <v>#REF!</v>
      </c>
    </row>
    <row r="33" spans="2:27" s="42" customFormat="1" ht="93.5" thickBot="1">
      <c r="B33" s="108">
        <v>24</v>
      </c>
      <c r="C33" s="134" t="s">
        <v>155</v>
      </c>
      <c r="D33" s="129" t="s">
        <v>131</v>
      </c>
      <c r="E33" s="135">
        <v>300</v>
      </c>
      <c r="F33" s="138">
        <v>32000</v>
      </c>
      <c r="G33" s="114"/>
      <c r="H33" s="114"/>
      <c r="I33" s="114"/>
      <c r="J33" s="107"/>
      <c r="K33" s="107"/>
      <c r="L33" s="107"/>
      <c r="M33" s="107">
        <v>33904.897999999994</v>
      </c>
      <c r="N33" s="92">
        <f t="shared" si="0"/>
        <v>2</v>
      </c>
      <c r="O33" s="93">
        <f t="shared" si="1"/>
        <v>32952.449999999997</v>
      </c>
      <c r="P33" s="94">
        <f t="shared" si="2"/>
        <v>9885735</v>
      </c>
      <c r="Q33" s="95">
        <f t="shared" si="3"/>
        <v>0</v>
      </c>
      <c r="R33" s="96">
        <f t="shared" si="4"/>
        <v>0</v>
      </c>
      <c r="S33" s="97">
        <f t="shared" si="5"/>
        <v>100</v>
      </c>
      <c r="T33" s="98" t="str">
        <f t="shared" si="6"/>
        <v>ALTO</v>
      </c>
      <c r="V33" s="48"/>
      <c r="W33" s="48"/>
      <c r="X33" s="48"/>
      <c r="Y33" s="48"/>
      <c r="Z33" s="132">
        <f>P33-'FM-029 Depurada16Oct2020'!Q33</f>
        <v>3785735</v>
      </c>
      <c r="AA33" s="48" t="e">
        <f>#REF!-'FM-029 Depurada 4Nov2020'!E33</f>
        <v>#REF!</v>
      </c>
    </row>
    <row r="34" spans="2:27" s="42" customFormat="1" ht="62.5" thickBot="1">
      <c r="B34" s="108">
        <v>25</v>
      </c>
      <c r="C34" s="125" t="s">
        <v>114</v>
      </c>
      <c r="D34" s="129" t="s">
        <v>131</v>
      </c>
      <c r="E34" s="129">
        <v>10</v>
      </c>
      <c r="F34" s="113">
        <v>31000</v>
      </c>
      <c r="G34" s="114">
        <v>22228</v>
      </c>
      <c r="H34" s="114"/>
      <c r="I34" s="114"/>
      <c r="J34" s="107"/>
      <c r="K34" s="107"/>
      <c r="L34" s="107"/>
      <c r="M34" s="107">
        <v>31789.710799999997</v>
      </c>
      <c r="N34" s="92">
        <f t="shared" si="0"/>
        <v>3</v>
      </c>
      <c r="O34" s="93">
        <f t="shared" si="1"/>
        <v>28339.24</v>
      </c>
      <c r="P34" s="94">
        <f t="shared" si="2"/>
        <v>283392.40000000002</v>
      </c>
      <c r="Q34" s="95">
        <f t="shared" si="3"/>
        <v>4386</v>
      </c>
      <c r="R34" s="96">
        <f t="shared" si="4"/>
        <v>15.47677354791448</v>
      </c>
      <c r="S34" s="97">
        <f t="shared" si="5"/>
        <v>84.523226452085524</v>
      </c>
      <c r="T34" s="98" t="str">
        <f t="shared" si="6"/>
        <v>ALTO</v>
      </c>
      <c r="V34" s="48"/>
      <c r="W34" s="48"/>
      <c r="X34" s="48"/>
      <c r="Y34" s="48"/>
      <c r="Z34" s="132">
        <f>P34-'FM-029 Depurada16Oct2020'!Q34</f>
        <v>84722.400000000023</v>
      </c>
      <c r="AA34" s="48" t="e">
        <f>#REF!-'FM-029 Depurada 4Nov2020'!E34</f>
        <v>#REF!</v>
      </c>
    </row>
    <row r="35" spans="2:27" s="42" customFormat="1" ht="140" thickBot="1">
      <c r="B35" s="108">
        <v>26</v>
      </c>
      <c r="C35" s="125" t="s">
        <v>156</v>
      </c>
      <c r="D35" s="128" t="s">
        <v>131</v>
      </c>
      <c r="E35" s="128">
        <v>300</v>
      </c>
      <c r="F35" s="113">
        <v>11000</v>
      </c>
      <c r="G35" s="114"/>
      <c r="H35" s="114">
        <f>1.19*4637</f>
        <v>5518.03</v>
      </c>
      <c r="I35" s="114">
        <v>5042.0168067226896</v>
      </c>
      <c r="J35" s="107"/>
      <c r="K35" s="107"/>
      <c r="L35" s="107"/>
      <c r="M35" s="107"/>
      <c r="N35" s="92">
        <f t="shared" si="0"/>
        <v>3</v>
      </c>
      <c r="O35" s="93">
        <f t="shared" si="1"/>
        <v>7186.68</v>
      </c>
      <c r="P35" s="94">
        <f t="shared" si="2"/>
        <v>2156004</v>
      </c>
      <c r="Q35" s="95">
        <f t="shared" si="3"/>
        <v>2703.4165086351368</v>
      </c>
      <c r="R35" s="96">
        <f t="shared" si="4"/>
        <v>37.617043038442461</v>
      </c>
      <c r="S35" s="97">
        <f t="shared" si="5"/>
        <v>62.382956961557539</v>
      </c>
      <c r="T35" s="98" t="str">
        <f t="shared" si="6"/>
        <v>BAJO</v>
      </c>
      <c r="V35" s="48"/>
      <c r="W35" s="48"/>
      <c r="X35" s="48"/>
      <c r="Y35" s="48"/>
      <c r="Z35" s="132">
        <f>P35-'FM-029 Depurada16Oct2020'!Q35</f>
        <v>572004</v>
      </c>
      <c r="AA35" s="48" t="e">
        <f>#REF!-'FM-029 Depurada 4Nov2020'!E35</f>
        <v>#REF!</v>
      </c>
    </row>
    <row r="36" spans="2:27" s="42" customFormat="1" ht="93.5" thickBot="1">
      <c r="B36" s="108">
        <v>27</v>
      </c>
      <c r="C36" s="125" t="s">
        <v>157</v>
      </c>
      <c r="D36" s="128" t="s">
        <v>70</v>
      </c>
      <c r="E36" s="128">
        <v>5</v>
      </c>
      <c r="F36" s="113">
        <v>30000</v>
      </c>
      <c r="G36" s="114">
        <v>18700</v>
      </c>
      <c r="H36" s="114">
        <f>1.19*14847</f>
        <v>17667.93</v>
      </c>
      <c r="I36" s="114"/>
      <c r="J36" s="107"/>
      <c r="K36" s="107"/>
      <c r="L36" s="107"/>
      <c r="M36" s="107">
        <v>31197.961999999996</v>
      </c>
      <c r="N36" s="92">
        <f t="shared" si="0"/>
        <v>4</v>
      </c>
      <c r="O36" s="93">
        <f t="shared" si="1"/>
        <v>24391.47</v>
      </c>
      <c r="P36" s="94">
        <f t="shared" si="2"/>
        <v>121957.35</v>
      </c>
      <c r="Q36" s="95">
        <f t="shared" si="3"/>
        <v>5586.045301262393</v>
      </c>
      <c r="R36" s="96">
        <f t="shared" si="4"/>
        <v>22.901634470011004</v>
      </c>
      <c r="S36" s="97">
        <f t="shared" si="5"/>
        <v>77.098365529988996</v>
      </c>
      <c r="T36" s="98" t="str">
        <f t="shared" si="6"/>
        <v>ALTO</v>
      </c>
      <c r="V36" s="48"/>
      <c r="W36" s="48"/>
      <c r="X36" s="48"/>
      <c r="Y36" s="48"/>
      <c r="Z36" s="132">
        <f>P36-'FM-029 Depurada16Oct2020'!Q36</f>
        <v>-3877.6499999999942</v>
      </c>
      <c r="AA36" s="48" t="e">
        <f>#REF!-'FM-029 Depurada 4Nov2020'!E36</f>
        <v>#REF!</v>
      </c>
    </row>
    <row r="37" spans="2:27" s="42" customFormat="1" ht="129.75" customHeight="1" thickBot="1">
      <c r="B37" s="108">
        <v>28</v>
      </c>
      <c r="C37" s="134" t="s">
        <v>158</v>
      </c>
      <c r="D37" s="128" t="s">
        <v>70</v>
      </c>
      <c r="E37" s="135">
        <v>5</v>
      </c>
      <c r="F37" s="113">
        <v>73000</v>
      </c>
      <c r="G37" s="114">
        <v>86666</v>
      </c>
      <c r="H37" s="114"/>
      <c r="I37" s="114">
        <v>58823.529411764706</v>
      </c>
      <c r="J37" s="107"/>
      <c r="K37" s="107"/>
      <c r="L37" s="107"/>
      <c r="M37" s="107"/>
      <c r="N37" s="92">
        <f t="shared" si="0"/>
        <v>3</v>
      </c>
      <c r="O37" s="93">
        <f t="shared" si="1"/>
        <v>72829.84</v>
      </c>
      <c r="P37" s="94">
        <f t="shared" si="2"/>
        <v>364149.2</v>
      </c>
      <c r="Q37" s="95">
        <f t="shared" si="3"/>
        <v>11367.277807597291</v>
      </c>
      <c r="R37" s="96">
        <f t="shared" si="4"/>
        <v>15.607995030055388</v>
      </c>
      <c r="S37" s="97">
        <f t="shared" si="5"/>
        <v>84.392004969944608</v>
      </c>
      <c r="T37" s="98" t="str">
        <f t="shared" si="6"/>
        <v>ALTO</v>
      </c>
      <c r="V37" s="48"/>
      <c r="W37" s="48"/>
      <c r="X37" s="48"/>
      <c r="Y37" s="48"/>
      <c r="Z37" s="132">
        <f>P37-'FM-029 Depurada16Oct2020'!Q37</f>
        <v>-536860.80000000005</v>
      </c>
      <c r="AA37" s="48" t="e">
        <f>#REF!-'FM-029 Depurada 4Nov2020'!E37</f>
        <v>#REF!</v>
      </c>
    </row>
    <row r="38" spans="2:27" s="42" customFormat="1" ht="158.25" customHeight="1" thickBot="1">
      <c r="B38" s="108">
        <v>29</v>
      </c>
      <c r="C38" s="125" t="s">
        <v>159</v>
      </c>
      <c r="D38" s="129" t="s">
        <v>70</v>
      </c>
      <c r="E38" s="129">
        <v>30</v>
      </c>
      <c r="F38" s="113">
        <v>13000</v>
      </c>
      <c r="G38" s="114">
        <v>19500</v>
      </c>
      <c r="H38" s="114">
        <f>1.19*17780</f>
        <v>21158.2</v>
      </c>
      <c r="I38" s="114">
        <v>25210.084033613446</v>
      </c>
      <c r="J38" s="107">
        <v>22382</v>
      </c>
      <c r="K38" s="107"/>
      <c r="L38" s="107"/>
      <c r="M38" s="107">
        <v>28871.885599999998</v>
      </c>
      <c r="N38" s="92">
        <f t="shared" si="0"/>
        <v>6</v>
      </c>
      <c r="O38" s="93">
        <f t="shared" si="1"/>
        <v>21687.03</v>
      </c>
      <c r="P38" s="94">
        <f t="shared" si="2"/>
        <v>650610.9</v>
      </c>
      <c r="Q38" s="95">
        <f t="shared" si="3"/>
        <v>4076.7066326723234</v>
      </c>
      <c r="R38" s="96">
        <f t="shared" si="4"/>
        <v>18.797901938035423</v>
      </c>
      <c r="S38" s="97">
        <f t="shared" si="5"/>
        <v>81.202098061964577</v>
      </c>
      <c r="T38" s="98" t="str">
        <f t="shared" si="6"/>
        <v>ALTO</v>
      </c>
      <c r="V38" s="48"/>
      <c r="W38" s="48"/>
      <c r="X38" s="48"/>
      <c r="Y38" s="48"/>
      <c r="Z38" s="132">
        <f>P38-'FM-029 Depurada16Oct2020'!Q38</f>
        <v>-19169.099999999977</v>
      </c>
      <c r="AA38" s="48" t="e">
        <f>#REF!-'FM-029 Depurada 4Nov2020'!E38</f>
        <v>#REF!</v>
      </c>
    </row>
    <row r="39" spans="2:27" s="42" customFormat="1" ht="197.25" customHeight="1" thickBot="1">
      <c r="B39" s="108">
        <v>30</v>
      </c>
      <c r="C39" s="125" t="s">
        <v>119</v>
      </c>
      <c r="D39" s="128" t="s">
        <v>70</v>
      </c>
      <c r="E39" s="128">
        <v>2</v>
      </c>
      <c r="F39" s="113">
        <v>35000</v>
      </c>
      <c r="G39" s="114">
        <v>34760</v>
      </c>
      <c r="H39" s="114">
        <f>1.19*99160</f>
        <v>118000.4</v>
      </c>
      <c r="I39" s="114">
        <v>126050.42016806723</v>
      </c>
      <c r="J39" s="107"/>
      <c r="K39" s="107"/>
      <c r="L39" s="107"/>
      <c r="M39" s="107"/>
      <c r="N39" s="92">
        <f t="shared" si="0"/>
        <v>4</v>
      </c>
      <c r="O39" s="93">
        <f t="shared" si="1"/>
        <v>78452.710000000006</v>
      </c>
      <c r="P39" s="94">
        <f t="shared" si="2"/>
        <v>156905.42000000001</v>
      </c>
      <c r="Q39" s="95">
        <f t="shared" si="3"/>
        <v>43665.640700290678</v>
      </c>
      <c r="R39" s="96">
        <f t="shared" si="4"/>
        <v>55.658549845238838</v>
      </c>
      <c r="S39" s="97">
        <f t="shared" si="5"/>
        <v>44.341450154761162</v>
      </c>
      <c r="T39" s="98" t="str">
        <f t="shared" si="6"/>
        <v>BAJO</v>
      </c>
      <c r="V39" s="48"/>
      <c r="W39" s="48"/>
      <c r="X39" s="48"/>
      <c r="Y39" s="48"/>
      <c r="Z39" s="132">
        <f>P39-'FM-029 Depurada16Oct2020'!Q39</f>
        <v>87148.420000000013</v>
      </c>
      <c r="AA39" s="48" t="e">
        <f>#REF!-'FM-029 Depurada 4Nov2020'!E39</f>
        <v>#REF!</v>
      </c>
    </row>
    <row r="40" spans="2:27" s="42" customFormat="1" ht="124.5" thickBot="1">
      <c r="B40" s="108">
        <v>31</v>
      </c>
      <c r="C40" s="125" t="s">
        <v>120</v>
      </c>
      <c r="D40" s="128" t="s">
        <v>131</v>
      </c>
      <c r="E40" s="128">
        <v>2</v>
      </c>
      <c r="F40" s="113">
        <v>121000</v>
      </c>
      <c r="G40" s="114"/>
      <c r="H40" s="114">
        <f>1.19*84405</f>
        <v>100441.95</v>
      </c>
      <c r="I40" s="114">
        <v>57142.857142857145</v>
      </c>
      <c r="J40" s="107"/>
      <c r="K40" s="107"/>
      <c r="L40" s="107"/>
      <c r="M40" s="107"/>
      <c r="N40" s="92">
        <f t="shared" si="0"/>
        <v>3</v>
      </c>
      <c r="O40" s="93">
        <f t="shared" si="1"/>
        <v>92861.6</v>
      </c>
      <c r="P40" s="94">
        <f t="shared" si="2"/>
        <v>185723.2</v>
      </c>
      <c r="Q40" s="95">
        <f t="shared" si="3"/>
        <v>26614.907176099434</v>
      </c>
      <c r="R40" s="96">
        <f t="shared" si="4"/>
        <v>28.66083200817069</v>
      </c>
      <c r="S40" s="97">
        <f t="shared" si="5"/>
        <v>71.339167991829314</v>
      </c>
      <c r="T40" s="98" t="str">
        <f t="shared" si="6"/>
        <v>ALTO</v>
      </c>
      <c r="V40" s="48"/>
      <c r="W40" s="48"/>
      <c r="X40" s="48"/>
      <c r="Y40" s="48"/>
      <c r="Z40" s="132">
        <f>P40-'FM-029 Depurada16Oct2020'!Q40</f>
        <v>5.2000000000116415</v>
      </c>
      <c r="AA40" s="48" t="e">
        <f>#REF!-'FM-029 Depurada 4Nov2020'!E40</f>
        <v>#REF!</v>
      </c>
    </row>
    <row r="41" spans="2:27" s="42" customFormat="1" ht="78" thickBot="1">
      <c r="B41" s="108">
        <v>32</v>
      </c>
      <c r="C41" s="125" t="s">
        <v>121</v>
      </c>
      <c r="D41" s="129" t="s">
        <v>70</v>
      </c>
      <c r="E41" s="129">
        <v>80</v>
      </c>
      <c r="F41" s="113"/>
      <c r="G41" s="114"/>
      <c r="H41" s="114">
        <f>1.19*8203</f>
        <v>9761.57</v>
      </c>
      <c r="I41" s="114">
        <v>10819.327731092437</v>
      </c>
      <c r="J41" s="107"/>
      <c r="K41" s="107">
        <v>12968</v>
      </c>
      <c r="L41" s="107"/>
      <c r="M41" s="107">
        <v>23004.759199999997</v>
      </c>
      <c r="N41" s="92">
        <f t="shared" si="0"/>
        <v>4</v>
      </c>
      <c r="O41" s="93">
        <f t="shared" si="1"/>
        <v>14138.41</v>
      </c>
      <c r="P41" s="94">
        <f t="shared" si="2"/>
        <v>1131072.8</v>
      </c>
      <c r="Q41" s="95">
        <f t="shared" si="3"/>
        <v>1334.0347022705248</v>
      </c>
      <c r="R41" s="96">
        <f t="shared" si="4"/>
        <v>9.4355355536480037</v>
      </c>
      <c r="S41" s="97">
        <f t="shared" si="5"/>
        <v>90.564464446351991</v>
      </c>
      <c r="T41" s="98" t="str">
        <f t="shared" si="6"/>
        <v>ALTO</v>
      </c>
      <c r="V41" s="48"/>
      <c r="W41" s="48"/>
      <c r="X41" s="48"/>
      <c r="Y41" s="48"/>
      <c r="Z41" s="132">
        <f>P41-'FM-029 Depurada16Oct2020'!Q41</f>
        <v>21552.800000000047</v>
      </c>
      <c r="AA41" s="48" t="e">
        <f>#REF!-'FM-029 Depurada 4Nov2020'!E41</f>
        <v>#REF!</v>
      </c>
    </row>
    <row r="42" spans="2:27" s="42" customFormat="1" ht="119.25" customHeight="1" thickBot="1">
      <c r="B42" s="108">
        <v>33</v>
      </c>
      <c r="C42" s="125" t="s">
        <v>122</v>
      </c>
      <c r="D42" s="129" t="s">
        <v>161</v>
      </c>
      <c r="E42" s="129">
        <v>150</v>
      </c>
      <c r="F42" s="113"/>
      <c r="G42" s="114">
        <v>36450</v>
      </c>
      <c r="H42" s="114">
        <f>1.19*32560</f>
        <v>38746.400000000001</v>
      </c>
      <c r="I42" s="114">
        <v>30420.168067226892</v>
      </c>
      <c r="J42" s="107"/>
      <c r="K42" s="107">
        <v>44310</v>
      </c>
      <c r="L42" s="107"/>
      <c r="M42" s="107">
        <v>47894.930799999995</v>
      </c>
      <c r="N42" s="92">
        <f t="shared" si="0"/>
        <v>5</v>
      </c>
      <c r="O42" s="93">
        <f t="shared" si="1"/>
        <v>39564.300000000003</v>
      </c>
      <c r="P42" s="94">
        <f t="shared" si="2"/>
        <v>5934645</v>
      </c>
      <c r="Q42" s="95">
        <f t="shared" si="3"/>
        <v>4978.8247883945378</v>
      </c>
      <c r="R42" s="96">
        <f t="shared" si="4"/>
        <v>12.584134657745841</v>
      </c>
      <c r="S42" s="97">
        <f t="shared" si="5"/>
        <v>87.415865342254165</v>
      </c>
      <c r="T42" s="98" t="str">
        <f t="shared" si="6"/>
        <v>ALTO</v>
      </c>
      <c r="V42" s="48"/>
      <c r="W42" s="48"/>
      <c r="X42" s="48"/>
      <c r="Y42" s="48"/>
      <c r="Z42" s="132">
        <f>P42-'FM-029 Depurada16Oct2020'!Q42</f>
        <v>-95955</v>
      </c>
      <c r="AA42" s="48" t="e">
        <f>#REF!-'FM-029 Depurada 4Nov2020'!E42</f>
        <v>#REF!</v>
      </c>
    </row>
    <row r="43" spans="2:27" s="42" customFormat="1" ht="140" thickBot="1">
      <c r="B43" s="108">
        <v>34</v>
      </c>
      <c r="C43" s="125" t="s">
        <v>123</v>
      </c>
      <c r="D43" s="128" t="s">
        <v>70</v>
      </c>
      <c r="E43" s="128">
        <v>5</v>
      </c>
      <c r="F43" s="113"/>
      <c r="G43" s="114"/>
      <c r="H43" s="114">
        <f>1.19*28875</f>
        <v>34361.25</v>
      </c>
      <c r="I43" s="114"/>
      <c r="J43" s="107"/>
      <c r="K43" s="107"/>
      <c r="L43" s="107"/>
      <c r="M43" s="107">
        <v>68992.244399999996</v>
      </c>
      <c r="N43" s="92">
        <f t="shared" si="0"/>
        <v>2</v>
      </c>
      <c r="O43" s="93">
        <f t="shared" si="1"/>
        <v>51676.75</v>
      </c>
      <c r="P43" s="94">
        <f t="shared" si="2"/>
        <v>258383.75</v>
      </c>
      <c r="Q43" s="95">
        <f t="shared" si="3"/>
        <v>0</v>
      </c>
      <c r="R43" s="96">
        <f t="shared" si="4"/>
        <v>0</v>
      </c>
      <c r="S43" s="97">
        <f t="shared" si="5"/>
        <v>100</v>
      </c>
      <c r="T43" s="98" t="str">
        <f t="shared" si="6"/>
        <v>ALTO</v>
      </c>
      <c r="V43" s="48"/>
      <c r="W43" s="48"/>
      <c r="X43" s="48"/>
      <c r="Y43" s="48"/>
      <c r="Z43" s="132">
        <f>P43-'FM-029 Depurada16Oct2020'!Q43</f>
        <v>39618.75</v>
      </c>
      <c r="AA43" s="48" t="e">
        <f>#REF!-'FM-029 Depurada 4Nov2020'!E43</f>
        <v>#REF!</v>
      </c>
    </row>
    <row r="44" spans="2:27" s="42" customFormat="1" ht="93" customHeight="1" thickBot="1">
      <c r="B44" s="108">
        <v>35</v>
      </c>
      <c r="C44" s="125" t="s">
        <v>124</v>
      </c>
      <c r="D44" s="129" t="s">
        <v>70</v>
      </c>
      <c r="E44" s="129">
        <v>10</v>
      </c>
      <c r="F44" s="113"/>
      <c r="G44" s="114"/>
      <c r="H44" s="114"/>
      <c r="I44" s="114">
        <v>4201.680672268908</v>
      </c>
      <c r="J44" s="107"/>
      <c r="K44" s="107"/>
      <c r="L44" s="107"/>
      <c r="M44" s="107">
        <v>27048.375999999997</v>
      </c>
      <c r="N44" s="92">
        <f t="shared" si="0"/>
        <v>2</v>
      </c>
      <c r="O44" s="93">
        <f t="shared" si="1"/>
        <v>15625.03</v>
      </c>
      <c r="P44" s="94">
        <f t="shared" si="2"/>
        <v>156250.29999999999</v>
      </c>
      <c r="Q44" s="95">
        <f t="shared" si="3"/>
        <v>0</v>
      </c>
      <c r="R44" s="96">
        <f t="shared" si="4"/>
        <v>0</v>
      </c>
      <c r="S44" s="97">
        <f t="shared" si="5"/>
        <v>100</v>
      </c>
      <c r="T44" s="98" t="str">
        <f t="shared" si="6"/>
        <v>ALTO</v>
      </c>
      <c r="V44" s="48"/>
      <c r="W44" s="48"/>
      <c r="X44" s="48"/>
      <c r="Y44" s="48"/>
      <c r="Z44" s="132">
        <f>P44-'FM-029 Depurada16Oct2020'!Q44</f>
        <v>-493009.7</v>
      </c>
      <c r="AA44" s="48" t="e">
        <f>#REF!-'FM-029 Depurada 4Nov2020'!E44</f>
        <v>#REF!</v>
      </c>
    </row>
    <row r="45" spans="2:27" s="42" customFormat="1" ht="124.5" thickBot="1">
      <c r="B45" s="108">
        <v>36</v>
      </c>
      <c r="C45" s="125" t="s">
        <v>125</v>
      </c>
      <c r="D45" s="129" t="s">
        <v>135</v>
      </c>
      <c r="E45" s="129">
        <v>4</v>
      </c>
      <c r="F45" s="113"/>
      <c r="G45" s="114"/>
      <c r="H45" s="114">
        <f>1.19*261500</f>
        <v>311185</v>
      </c>
      <c r="I45" s="114">
        <v>605042.01680672274</v>
      </c>
      <c r="J45" s="107"/>
      <c r="K45" s="107"/>
      <c r="L45" s="107"/>
      <c r="M45" s="107"/>
      <c r="N45" s="92">
        <f t="shared" si="0"/>
        <v>2</v>
      </c>
      <c r="O45" s="93">
        <f t="shared" si="1"/>
        <v>458113.51</v>
      </c>
      <c r="P45" s="94">
        <f t="shared" si="2"/>
        <v>1832454.04</v>
      </c>
      <c r="Q45" s="95">
        <f t="shared" si="3"/>
        <v>146928.50840336134</v>
      </c>
      <c r="R45" s="96">
        <f t="shared" si="4"/>
        <v>32.072511549236197</v>
      </c>
      <c r="S45" s="97">
        <f t="shared" si="5"/>
        <v>67.927488450763803</v>
      </c>
      <c r="T45" s="98" t="str">
        <f t="shared" si="6"/>
        <v>BAJO</v>
      </c>
      <c r="V45" s="48"/>
      <c r="W45" s="48"/>
      <c r="X45" s="48"/>
      <c r="Y45" s="48"/>
      <c r="Z45" s="132">
        <f>P45-'FM-029 Depurada16Oct2020'!Q45</f>
        <v>-989185.96</v>
      </c>
      <c r="AA45" s="48" t="e">
        <f>#REF!-'FM-029 Depurada 4Nov2020'!E45</f>
        <v>#REF!</v>
      </c>
    </row>
    <row r="46" spans="2:27" s="42" customFormat="1" ht="31.5" thickBot="1">
      <c r="B46" s="108">
        <v>37</v>
      </c>
      <c r="C46" s="134" t="s">
        <v>126</v>
      </c>
      <c r="D46" s="129" t="s">
        <v>70</v>
      </c>
      <c r="E46" s="135">
        <v>5</v>
      </c>
      <c r="F46" s="113">
        <v>250000</v>
      </c>
      <c r="G46" s="114"/>
      <c r="H46" s="114">
        <f>1.19*250000</f>
        <v>297500</v>
      </c>
      <c r="I46" s="114">
        <v>290000</v>
      </c>
      <c r="J46" s="107">
        <v>391262</v>
      </c>
      <c r="K46" s="107">
        <v>335000</v>
      </c>
      <c r="L46" s="107"/>
      <c r="M46" s="107"/>
      <c r="N46" s="92">
        <f t="shared" si="0"/>
        <v>5</v>
      </c>
      <c r="O46" s="93">
        <f t="shared" si="1"/>
        <v>312752.40000000002</v>
      </c>
      <c r="P46" s="94">
        <f t="shared" si="2"/>
        <v>1563762</v>
      </c>
      <c r="Q46" s="95">
        <f t="shared" si="3"/>
        <v>47637.976689191994</v>
      </c>
      <c r="R46" s="96">
        <f t="shared" si="4"/>
        <v>15.231850079868927</v>
      </c>
      <c r="S46" s="97">
        <f t="shared" si="5"/>
        <v>84.768149920131066</v>
      </c>
      <c r="T46" s="98" t="str">
        <f t="shared" si="6"/>
        <v>ALTO</v>
      </c>
      <c r="V46" s="48"/>
      <c r="W46" s="48"/>
      <c r="X46" s="48"/>
      <c r="Y46" s="48"/>
      <c r="Z46" s="132">
        <f>P46-'FM-029 Depurada16Oct2020'!Q46</f>
        <v>-1720638</v>
      </c>
      <c r="AA46" s="48" t="e">
        <f>#REF!-'FM-029 Depurada 4Nov2020'!E46</f>
        <v>#REF!</v>
      </c>
    </row>
    <row r="47" spans="2:27" s="42" customFormat="1" ht="47" thickBot="1">
      <c r="B47" s="108">
        <v>38</v>
      </c>
      <c r="C47" s="134" t="s">
        <v>127</v>
      </c>
      <c r="D47" s="129" t="s">
        <v>136</v>
      </c>
      <c r="E47" s="135">
        <v>10</v>
      </c>
      <c r="F47" s="113">
        <v>45000</v>
      </c>
      <c r="G47" s="114"/>
      <c r="H47" s="114">
        <f>1.19*40336</f>
        <v>47999.839999999997</v>
      </c>
      <c r="I47" s="114"/>
      <c r="J47" s="107"/>
      <c r="K47" s="107"/>
      <c r="L47" s="107"/>
      <c r="M47" s="107"/>
      <c r="N47" s="92">
        <f t="shared" si="0"/>
        <v>2</v>
      </c>
      <c r="O47" s="93">
        <f t="shared" si="1"/>
        <v>46499.92</v>
      </c>
      <c r="P47" s="94">
        <f t="shared" si="2"/>
        <v>464999.2</v>
      </c>
      <c r="Q47" s="95">
        <f t="shared" si="3"/>
        <v>1499.9199999999983</v>
      </c>
      <c r="R47" s="96">
        <f t="shared" si="4"/>
        <v>3.2256399580902468</v>
      </c>
      <c r="S47" s="97">
        <f t="shared" si="5"/>
        <v>96.774360041909759</v>
      </c>
      <c r="T47" s="98" t="str">
        <f t="shared" si="6"/>
        <v>ALTO</v>
      </c>
      <c r="V47" s="48"/>
      <c r="W47" s="48"/>
      <c r="X47" s="48"/>
      <c r="Y47" s="48"/>
      <c r="Z47" s="132">
        <f>P47-'FM-029 Depurada16Oct2020'!Q47</f>
        <v>-465000.8</v>
      </c>
      <c r="AA47" s="48" t="e">
        <f>#REF!-'FM-029 Depurada 4Nov2020'!E47</f>
        <v>#REF!</v>
      </c>
    </row>
    <row r="48" spans="2:27" s="42" customFormat="1" ht="35.25" customHeight="1" thickBot="1">
      <c r="B48" s="108">
        <v>39</v>
      </c>
      <c r="C48" s="125" t="s">
        <v>128</v>
      </c>
      <c r="D48" s="129" t="s">
        <v>70</v>
      </c>
      <c r="E48" s="129">
        <v>50</v>
      </c>
      <c r="F48" s="113">
        <v>8000</v>
      </c>
      <c r="G48" s="114"/>
      <c r="H48" s="114">
        <f>1.19*3850</f>
        <v>4581.5</v>
      </c>
      <c r="I48" s="114">
        <v>4621.8487394957983</v>
      </c>
      <c r="J48" s="107"/>
      <c r="K48" s="107"/>
      <c r="L48" s="107"/>
      <c r="M48" s="107"/>
      <c r="N48" s="92">
        <f t="shared" si="0"/>
        <v>3</v>
      </c>
      <c r="O48" s="93">
        <f t="shared" si="1"/>
        <v>5734.45</v>
      </c>
      <c r="P48" s="94">
        <f t="shared" si="2"/>
        <v>286722.5</v>
      </c>
      <c r="Q48" s="95">
        <f t="shared" si="3"/>
        <v>1602.0707506094523</v>
      </c>
      <c r="R48" s="96">
        <f t="shared" si="4"/>
        <v>27.937653142140089</v>
      </c>
      <c r="S48" s="97">
        <f t="shared" si="5"/>
        <v>72.062346857859907</v>
      </c>
      <c r="T48" s="98" t="str">
        <f t="shared" si="6"/>
        <v>ALTO</v>
      </c>
      <c r="V48" s="48"/>
      <c r="W48" s="48"/>
      <c r="X48" s="48"/>
      <c r="Y48" s="48"/>
      <c r="Z48" s="132">
        <f>P48-'FM-029 Depurada16Oct2020'!Q48</f>
        <v>56672.5</v>
      </c>
      <c r="AA48" s="48" t="e">
        <f>#REF!-'FM-029 Depurada 4Nov2020'!E48</f>
        <v>#REF!</v>
      </c>
    </row>
    <row r="49" spans="2:28" ht="31.5" thickBot="1">
      <c r="B49" s="108">
        <v>40</v>
      </c>
      <c r="C49" s="134" t="s">
        <v>129</v>
      </c>
      <c r="D49" s="129" t="s">
        <v>137</v>
      </c>
      <c r="E49" s="135">
        <v>100</v>
      </c>
      <c r="F49" s="113">
        <v>28000</v>
      </c>
      <c r="G49" s="114"/>
      <c r="H49" s="114"/>
      <c r="I49" s="114">
        <v>17350</v>
      </c>
      <c r="J49" s="107"/>
      <c r="K49" s="107"/>
      <c r="L49" s="107"/>
      <c r="M49" s="107"/>
      <c r="N49" s="92">
        <f t="shared" si="0"/>
        <v>2</v>
      </c>
      <c r="O49" s="93">
        <f t="shared" si="1"/>
        <v>22675</v>
      </c>
      <c r="P49" s="94">
        <f t="shared" si="2"/>
        <v>2267500</v>
      </c>
      <c r="Q49" s="95">
        <f t="shared" si="3"/>
        <v>5325</v>
      </c>
      <c r="R49" s="96">
        <f t="shared" si="4"/>
        <v>23.484013230429991</v>
      </c>
      <c r="S49" s="97">
        <f t="shared" si="5"/>
        <v>76.515986769570006</v>
      </c>
      <c r="T49" s="98" t="str">
        <f t="shared" si="6"/>
        <v>ALTO</v>
      </c>
      <c r="Z49" s="132">
        <f>P49-'FM-029 Depurada16Oct2020'!Q49</f>
        <v>-2249700</v>
      </c>
      <c r="AA49" s="48" t="e">
        <f>#REF!-'FM-029 Depurada 4Nov2020'!E49</f>
        <v>#REF!</v>
      </c>
    </row>
    <row r="50" spans="2:28" ht="21.5" thickBot="1">
      <c r="B50" s="108">
        <v>41</v>
      </c>
      <c r="C50" s="137" t="s">
        <v>130</v>
      </c>
      <c r="D50" s="130" t="s">
        <v>138</v>
      </c>
      <c r="E50" s="136">
        <v>50</v>
      </c>
      <c r="F50" s="113">
        <v>34000</v>
      </c>
      <c r="G50" s="114"/>
      <c r="H50" s="114"/>
      <c r="I50" s="114">
        <v>28000</v>
      </c>
      <c r="J50" s="107">
        <v>8749</v>
      </c>
      <c r="K50" s="107"/>
      <c r="L50" s="107"/>
      <c r="M50" s="107"/>
      <c r="N50" s="92">
        <f t="shared" si="0"/>
        <v>3</v>
      </c>
      <c r="O50" s="93">
        <f t="shared" si="1"/>
        <v>23583</v>
      </c>
      <c r="P50" s="94">
        <f t="shared" si="2"/>
        <v>1179150</v>
      </c>
      <c r="Q50" s="95">
        <f>STDEVP(F50:I50)</f>
        <v>3000</v>
      </c>
      <c r="R50" s="96">
        <f t="shared" si="4"/>
        <v>12.721027859051013</v>
      </c>
      <c r="S50" s="97">
        <f t="shared" si="5"/>
        <v>87.27897214094898</v>
      </c>
      <c r="T50" s="98" t="str">
        <f t="shared" si="6"/>
        <v>ALTO</v>
      </c>
      <c r="U50" s="47"/>
      <c r="Z50" s="132">
        <f>P50-'FM-029 Depurada16Oct2020'!Q50</f>
        <v>519390</v>
      </c>
      <c r="AA50" s="48" t="e">
        <f>#REF!-'FM-029 Depurada 4Nov2020'!E50</f>
        <v>#REF!</v>
      </c>
    </row>
    <row r="51" spans="2:28">
      <c r="B51" s="80"/>
      <c r="C51" s="82"/>
      <c r="D51" s="81"/>
      <c r="E51" s="81"/>
      <c r="F51" s="86"/>
      <c r="G51" s="86"/>
      <c r="H51" s="86"/>
      <c r="I51" s="86"/>
      <c r="J51" s="107"/>
      <c r="K51" s="107"/>
      <c r="L51" s="107"/>
      <c r="M51" s="107"/>
      <c r="N51" s="247" t="s">
        <v>73</v>
      </c>
      <c r="O51" s="248"/>
      <c r="P51" s="71">
        <f>SUM(P10:P50)</f>
        <v>74043038.850000009</v>
      </c>
      <c r="Q51" s="61"/>
      <c r="R51" s="62"/>
      <c r="S51" s="63"/>
      <c r="T51" s="64"/>
      <c r="Z51" s="132">
        <f>P51-'FM-029 Depurada16Oct2020'!Q51</f>
        <v>-13087.149999991059</v>
      </c>
      <c r="AA51" s="48" t="e">
        <f>#REF!-'FM-029 Depurada 4Nov2020'!E51</f>
        <v>#REF!</v>
      </c>
    </row>
    <row r="52" spans="2:28" s="42" customFormat="1" ht="9.75" customHeight="1" thickBot="1">
      <c r="B52" s="49"/>
      <c r="C52" s="50"/>
      <c r="D52" s="51"/>
      <c r="E52" s="83"/>
      <c r="F52" s="70"/>
      <c r="G52" s="54"/>
      <c r="H52" s="54"/>
      <c r="I52" s="54"/>
      <c r="J52" s="53"/>
      <c r="K52" s="53"/>
      <c r="L52" s="53"/>
      <c r="M52" s="69"/>
      <c r="N52" s="49"/>
      <c r="O52" s="55"/>
      <c r="P52" s="56"/>
      <c r="Q52" s="57"/>
      <c r="R52" s="58"/>
      <c r="S52" s="59"/>
      <c r="T52" s="60"/>
      <c r="Z52" s="132"/>
    </row>
    <row r="53" spans="2:28" s="87" customFormat="1" ht="39" customHeight="1">
      <c r="B53" s="249" t="s">
        <v>81</v>
      </c>
      <c r="C53" s="249"/>
      <c r="D53" s="249"/>
      <c r="E53" s="249"/>
      <c r="F53" s="249"/>
      <c r="G53" s="249"/>
      <c r="H53" s="249"/>
      <c r="I53" s="249"/>
      <c r="J53" s="249"/>
      <c r="K53" s="249"/>
      <c r="L53" s="249"/>
      <c r="M53" s="249"/>
      <c r="N53" s="249"/>
      <c r="O53" s="249"/>
      <c r="P53" s="249"/>
      <c r="Q53" s="249"/>
      <c r="R53" s="249"/>
      <c r="S53" s="249"/>
      <c r="T53" s="249"/>
      <c r="U53" s="91"/>
      <c r="V53" s="91"/>
      <c r="W53" s="91"/>
      <c r="X53" s="91"/>
      <c r="AA53" s="88"/>
      <c r="AB53" s="88"/>
    </row>
    <row r="54" spans="2:28" s="87" customFormat="1" ht="19.5" customHeight="1">
      <c r="B54" s="250" t="s">
        <v>83</v>
      </c>
      <c r="C54" s="250"/>
      <c r="D54" s="250"/>
      <c r="E54" s="250"/>
      <c r="F54" s="250"/>
      <c r="G54" s="250"/>
      <c r="H54" s="250"/>
      <c r="I54" s="250"/>
      <c r="J54" s="111"/>
      <c r="K54" s="111"/>
      <c r="L54" s="111"/>
      <c r="M54" s="111"/>
      <c r="N54" s="111"/>
      <c r="O54" s="111"/>
      <c r="P54" s="111"/>
      <c r="Q54" s="111"/>
      <c r="R54" s="111"/>
      <c r="S54" s="111"/>
      <c r="T54" s="111"/>
      <c r="U54" s="111"/>
      <c r="V54" s="111"/>
      <c r="W54" s="111"/>
      <c r="X54" s="111"/>
      <c r="AA54" s="88"/>
      <c r="AB54" s="88"/>
    </row>
    <row r="55" spans="2:28" s="87" customFormat="1" ht="15.5">
      <c r="B55" s="77" t="s">
        <v>86</v>
      </c>
      <c r="E55" s="89"/>
      <c r="J55" s="90"/>
      <c r="K55" s="90"/>
      <c r="L55" s="90"/>
      <c r="M55" s="90"/>
      <c r="N55" s="90"/>
      <c r="O55" s="90"/>
      <c r="AA55" s="88"/>
      <c r="AB55" s="88"/>
    </row>
    <row r="56" spans="2:28" s="42" customFormat="1">
      <c r="B56" s="48"/>
      <c r="C56" s="43"/>
      <c r="D56" s="48"/>
      <c r="E56" s="48"/>
      <c r="F56" s="45"/>
      <c r="G56" s="45"/>
      <c r="H56" s="45"/>
      <c r="I56" s="45"/>
      <c r="J56" s="48"/>
      <c r="K56" s="48"/>
      <c r="L56" s="48"/>
      <c r="M56" s="48"/>
      <c r="N56" s="48"/>
      <c r="O56" s="48"/>
      <c r="P56" s="48"/>
      <c r="Q56" s="48"/>
      <c r="R56" s="48"/>
      <c r="S56" s="48"/>
      <c r="T56" s="48"/>
    </row>
    <row r="57" spans="2:28" s="42" customFormat="1">
      <c r="B57" s="48"/>
      <c r="C57" s="43"/>
      <c r="D57" s="48"/>
      <c r="E57" s="48"/>
      <c r="F57" s="45"/>
      <c r="G57" s="45"/>
      <c r="H57" s="45"/>
      <c r="I57" s="45"/>
      <c r="J57" s="48"/>
      <c r="K57" s="48"/>
      <c r="L57" s="48"/>
      <c r="M57" s="48"/>
      <c r="N57" s="48"/>
      <c r="O57" s="48"/>
      <c r="P57" s="48"/>
      <c r="Q57" s="48"/>
      <c r="R57" s="48"/>
      <c r="S57" s="48"/>
      <c r="T57" s="48"/>
    </row>
    <row r="58" spans="2:28" s="100" customFormat="1" ht="28.5">
      <c r="C58" s="101"/>
      <c r="F58" s="105"/>
      <c r="G58" s="105">
        <f>1137500*1.19</f>
        <v>1353625</v>
      </c>
      <c r="H58" s="105"/>
      <c r="I58" s="103"/>
    </row>
    <row r="59" spans="2:28" s="100" customFormat="1" ht="28.5">
      <c r="C59" s="101"/>
      <c r="F59" s="104"/>
      <c r="G59" s="103"/>
      <c r="H59" s="103"/>
      <c r="I59" s="103"/>
    </row>
    <row r="60" spans="2:28" s="100" customFormat="1" ht="28.5">
      <c r="C60" s="101"/>
      <c r="F60" s="102"/>
      <c r="G60" s="103"/>
      <c r="H60" s="103"/>
      <c r="I60" s="103"/>
    </row>
    <row r="61" spans="2:28" s="42" customFormat="1">
      <c r="B61" s="48"/>
      <c r="C61" s="43"/>
      <c r="D61" s="48"/>
      <c r="E61" s="48"/>
      <c r="F61" s="99"/>
      <c r="G61" s="45"/>
      <c r="H61" s="45"/>
      <c r="I61" s="45"/>
      <c r="J61" s="48">
        <v>493660571</v>
      </c>
      <c r="K61" s="48"/>
      <c r="L61" s="48"/>
      <c r="M61" s="48"/>
      <c r="N61" s="48"/>
      <c r="O61" s="48"/>
      <c r="P61" s="48"/>
      <c r="Q61" s="48"/>
      <c r="R61" s="48"/>
      <c r="S61" s="48"/>
      <c r="T61" s="48"/>
    </row>
    <row r="62" spans="2:28" s="42" customFormat="1">
      <c r="B62" s="48"/>
      <c r="C62" s="43"/>
      <c r="D62" s="48"/>
      <c r="E62" s="48"/>
      <c r="F62" s="99"/>
      <c r="G62" s="45"/>
      <c r="H62" s="45"/>
      <c r="I62" s="45"/>
      <c r="J62" s="112">
        <f>SUM(F10:F50)</f>
        <v>1038000</v>
      </c>
      <c r="K62" s="112"/>
      <c r="L62" s="112"/>
      <c r="M62" s="48"/>
      <c r="N62" s="48"/>
      <c r="O62" s="48"/>
      <c r="P62" s="48"/>
      <c r="Q62" s="48"/>
      <c r="R62" s="48"/>
      <c r="S62" s="48"/>
      <c r="T62" s="48"/>
    </row>
    <row r="63" spans="2:28" s="42" customFormat="1" ht="21.5" thickBot="1">
      <c r="B63" s="48"/>
      <c r="C63" s="43"/>
      <c r="D63" s="48"/>
      <c r="E63" s="48"/>
      <c r="F63" s="99"/>
      <c r="G63" s="45"/>
      <c r="H63" s="45"/>
      <c r="I63" s="45"/>
      <c r="J63" s="112">
        <f>J61-J62</f>
        <v>492622571</v>
      </c>
      <c r="K63" s="112"/>
      <c r="L63" s="112"/>
      <c r="M63" s="48"/>
      <c r="N63" s="48"/>
      <c r="O63" s="48"/>
      <c r="P63" s="48"/>
      <c r="Q63" s="48"/>
      <c r="R63" s="48"/>
      <c r="S63" s="48"/>
      <c r="T63" s="48"/>
    </row>
    <row r="64" spans="2:28" s="42" customFormat="1" ht="36" customHeight="1" thickBot="1">
      <c r="B64" s="48"/>
      <c r="C64" s="43"/>
      <c r="D64" s="48"/>
      <c r="E64" s="48"/>
      <c r="F64" s="46"/>
      <c r="G64" s="44">
        <v>26950000</v>
      </c>
      <c r="H64" s="44"/>
      <c r="I64" s="44"/>
      <c r="J64" s="48"/>
      <c r="K64" s="48"/>
      <c r="L64" s="48"/>
      <c r="M64" s="48"/>
      <c r="N64" s="48"/>
      <c r="O64" s="48"/>
      <c r="P64" s="48"/>
      <c r="Q64" s="48"/>
      <c r="R64" s="48"/>
      <c r="S64" s="48"/>
      <c r="T64" s="48"/>
    </row>
    <row r="65" spans="3:35" ht="33.75" customHeight="1">
      <c r="C65" s="52"/>
      <c r="F65" s="46"/>
    </row>
    <row r="66" spans="3:35">
      <c r="C66" s="65" t="s">
        <v>71</v>
      </c>
      <c r="D66" s="65"/>
      <c r="E66" s="66" t="s">
        <v>72</v>
      </c>
      <c r="F66" s="67"/>
    </row>
    <row r="67" spans="3:35">
      <c r="C67" s="65">
        <v>2002</v>
      </c>
      <c r="D67" s="65"/>
      <c r="E67" s="68">
        <v>6.99</v>
      </c>
      <c r="F67" s="67">
        <v>1.0699000000000001</v>
      </c>
      <c r="S67" s="10"/>
    </row>
    <row r="68" spans="3:35" ht="14.5">
      <c r="C68" s="65">
        <v>2003</v>
      </c>
      <c r="D68" s="65"/>
      <c r="E68" s="68">
        <v>6.49</v>
      </c>
      <c r="F68" s="67">
        <v>1.0649</v>
      </c>
      <c r="G68" s="78">
        <f>29999000/1.19</f>
        <v>25209243.697478991</v>
      </c>
      <c r="H68" s="78"/>
      <c r="I68" s="78"/>
      <c r="O68" s="117"/>
      <c r="P68" s="117"/>
      <c r="Q68" s="118"/>
      <c r="S68" s="119"/>
      <c r="T68" s="119"/>
      <c r="U68" s="119"/>
      <c r="V68" s="119"/>
      <c r="W68" s="119"/>
      <c r="X68" s="119"/>
      <c r="Y68" s="119"/>
      <c r="Z68" s="119"/>
      <c r="AA68" s="119"/>
    </row>
    <row r="69" spans="3:35" ht="14.5">
      <c r="C69" s="65">
        <v>2004</v>
      </c>
      <c r="D69" s="65"/>
      <c r="E69" s="68">
        <v>5.5</v>
      </c>
      <c r="F69" s="67">
        <v>1.0549999999999999</v>
      </c>
      <c r="G69" s="48" t="s">
        <v>80</v>
      </c>
      <c r="O69" s="120"/>
      <c r="P69" s="120"/>
      <c r="Q69" s="121"/>
      <c r="S69" s="240"/>
      <c r="T69" s="239"/>
      <c r="U69" s="240"/>
      <c r="V69" s="122"/>
      <c r="W69" s="240"/>
      <c r="X69" s="242"/>
      <c r="Y69" s="240"/>
      <c r="Z69" s="240"/>
      <c r="AA69" s="241"/>
    </row>
    <row r="70" spans="3:35" ht="14.5">
      <c r="C70" s="65">
        <v>2005</v>
      </c>
      <c r="D70" s="65"/>
      <c r="E70" s="68">
        <v>4.8499999999999996</v>
      </c>
      <c r="F70" s="67">
        <v>1.0485</v>
      </c>
      <c r="G70" s="79" t="s">
        <v>80</v>
      </c>
      <c r="H70" s="79"/>
      <c r="I70" s="79"/>
      <c r="O70" s="120"/>
      <c r="P70" s="120"/>
      <c r="Q70" s="121"/>
      <c r="S70" s="240"/>
      <c r="T70" s="239"/>
      <c r="U70" s="240"/>
      <c r="V70" s="122"/>
      <c r="W70" s="240"/>
      <c r="X70" s="240"/>
      <c r="Y70" s="240"/>
      <c r="Z70" s="240"/>
      <c r="AA70" s="241"/>
    </row>
    <row r="71" spans="3:35" ht="14.5">
      <c r="C71" s="65">
        <v>2006</v>
      </c>
      <c r="D71" s="65"/>
      <c r="E71" s="68">
        <v>4.4800000000000004</v>
      </c>
      <c r="F71" s="67">
        <v>1.0448</v>
      </c>
      <c r="O71" s="120"/>
      <c r="P71" s="120"/>
      <c r="Q71" s="121"/>
      <c r="S71" s="240"/>
      <c r="T71" s="239"/>
      <c r="U71" s="240"/>
      <c r="V71" s="122"/>
      <c r="W71" s="240"/>
      <c r="X71" s="240"/>
      <c r="Y71" s="240"/>
      <c r="Z71" s="240"/>
      <c r="AA71" s="241"/>
      <c r="AE71" s="120"/>
      <c r="AF71" s="121"/>
    </row>
    <row r="72" spans="3:35" ht="14.5">
      <c r="C72" s="65">
        <v>2007</v>
      </c>
      <c r="D72" s="65"/>
      <c r="E72" s="68">
        <v>5.69</v>
      </c>
      <c r="F72" s="67">
        <v>1.0569</v>
      </c>
      <c r="O72" s="120"/>
      <c r="P72" s="120"/>
      <c r="Q72" s="121"/>
      <c r="S72" s="240"/>
      <c r="T72" s="239"/>
      <c r="U72" s="240"/>
      <c r="V72" s="122"/>
      <c r="W72" s="240"/>
      <c r="X72" s="240"/>
      <c r="Y72" s="240"/>
      <c r="Z72" s="240"/>
      <c r="AA72" s="241"/>
      <c r="AE72" s="120"/>
      <c r="AF72" s="121"/>
      <c r="AH72" s="120"/>
      <c r="AI72" s="121"/>
    </row>
    <row r="73" spans="3:35" ht="14.5">
      <c r="C73" s="65">
        <v>2008</v>
      </c>
      <c r="D73" s="65"/>
      <c r="E73" s="68">
        <v>7.67</v>
      </c>
      <c r="F73" s="67">
        <v>1.0767</v>
      </c>
      <c r="S73" s="239"/>
      <c r="T73" s="239"/>
      <c r="U73" s="240"/>
      <c r="V73" s="122"/>
      <c r="W73" s="240"/>
      <c r="X73" s="242"/>
      <c r="Y73" s="240"/>
      <c r="Z73" s="240"/>
      <c r="AA73" s="241"/>
      <c r="AE73" s="120"/>
      <c r="AF73" s="121"/>
      <c r="AH73" s="120"/>
      <c r="AI73" s="121"/>
    </row>
    <row r="74" spans="3:35" ht="14.5">
      <c r="C74" s="65">
        <v>2009</v>
      </c>
      <c r="D74" s="65"/>
      <c r="E74" s="68">
        <v>2</v>
      </c>
      <c r="F74" s="67">
        <v>1.02</v>
      </c>
      <c r="S74" s="239"/>
      <c r="T74" s="239"/>
      <c r="U74" s="240"/>
      <c r="V74" s="122"/>
      <c r="W74" s="240"/>
      <c r="X74" s="240"/>
      <c r="Y74" s="240"/>
      <c r="Z74" s="240"/>
      <c r="AA74" s="241"/>
      <c r="AE74" s="120"/>
      <c r="AF74" s="121"/>
      <c r="AH74" s="120"/>
      <c r="AI74" s="121"/>
    </row>
    <row r="75" spans="3:35" ht="14.5">
      <c r="C75" s="76">
        <v>2010</v>
      </c>
      <c r="D75" s="65"/>
      <c r="E75" s="68">
        <v>3.17</v>
      </c>
      <c r="F75" s="67">
        <v>1.0317000000000001</v>
      </c>
      <c r="Q75" s="123"/>
      <c r="S75" s="239"/>
      <c r="T75" s="239"/>
      <c r="U75" s="240"/>
      <c r="V75" s="122"/>
      <c r="W75" s="240"/>
      <c r="X75" s="240"/>
      <c r="Y75" s="240"/>
      <c r="Z75" s="240"/>
      <c r="AA75" s="241"/>
      <c r="AE75" s="240"/>
      <c r="AF75" s="242"/>
      <c r="AH75" s="240"/>
      <c r="AI75" s="242"/>
    </row>
    <row r="76" spans="3:35" ht="14.5">
      <c r="C76" s="76">
        <v>2011</v>
      </c>
      <c r="D76" s="65"/>
      <c r="E76" s="68">
        <v>3.73</v>
      </c>
      <c r="F76" s="67">
        <v>1.0373000000000001</v>
      </c>
      <c r="S76" s="239"/>
      <c r="T76" s="239"/>
      <c r="U76" s="240"/>
      <c r="V76" s="122"/>
      <c r="W76" s="240"/>
      <c r="X76" s="240"/>
      <c r="Y76" s="240"/>
      <c r="Z76" s="240"/>
      <c r="AA76" s="241"/>
      <c r="AE76" s="240"/>
      <c r="AF76" s="240"/>
      <c r="AH76" s="240"/>
      <c r="AI76" s="240"/>
    </row>
    <row r="77" spans="3:35" ht="14.5">
      <c r="C77" s="76">
        <v>2012</v>
      </c>
      <c r="D77" s="65"/>
      <c r="E77" s="68">
        <v>2.44</v>
      </c>
      <c r="F77" s="67">
        <v>1.0244</v>
      </c>
      <c r="S77" s="239"/>
      <c r="T77" s="239"/>
      <c r="U77" s="240"/>
      <c r="V77" s="122"/>
      <c r="W77" s="240"/>
      <c r="X77" s="240"/>
      <c r="Y77" s="240"/>
      <c r="Z77" s="240"/>
      <c r="AA77" s="241"/>
      <c r="AE77" s="240"/>
      <c r="AF77" s="240"/>
      <c r="AH77" s="240"/>
      <c r="AI77" s="240"/>
    </row>
    <row r="78" spans="3:35">
      <c r="C78" s="67">
        <v>2013</v>
      </c>
      <c r="D78" s="41"/>
      <c r="E78" s="40">
        <v>1.94</v>
      </c>
      <c r="F78" s="67">
        <v>1.0194000000000001</v>
      </c>
      <c r="O78" s="42"/>
      <c r="S78" s="239"/>
      <c r="T78" s="239"/>
      <c r="U78" s="240"/>
      <c r="V78" s="122"/>
      <c r="W78" s="240"/>
      <c r="X78" s="242"/>
      <c r="Y78" s="240"/>
      <c r="Z78" s="240"/>
      <c r="AA78" s="243"/>
      <c r="AE78" s="240"/>
      <c r="AF78" s="240"/>
      <c r="AH78" s="240"/>
      <c r="AI78" s="240"/>
    </row>
    <row r="79" spans="3:35" ht="14.5">
      <c r="C79" s="67">
        <v>2014</v>
      </c>
      <c r="D79" s="40"/>
      <c r="E79" s="40">
        <v>3.66</v>
      </c>
      <c r="F79" s="67">
        <v>1.0366</v>
      </c>
      <c r="O79" s="117"/>
      <c r="P79" s="117"/>
      <c r="Q79" s="118"/>
      <c r="S79" s="239"/>
      <c r="T79" s="239"/>
      <c r="U79" s="240"/>
      <c r="V79" s="122"/>
      <c r="W79" s="240"/>
      <c r="X79" s="240"/>
      <c r="Y79" s="240"/>
      <c r="Z79" s="240"/>
      <c r="AA79" s="243"/>
      <c r="AE79" s="239"/>
      <c r="AF79" s="242"/>
      <c r="AH79" s="239"/>
      <c r="AI79" s="242"/>
    </row>
    <row r="80" spans="3:35" ht="14.5">
      <c r="C80" s="67">
        <v>2015</v>
      </c>
      <c r="D80" s="40"/>
      <c r="E80" s="40">
        <v>6.77</v>
      </c>
      <c r="F80" s="67">
        <v>1.0677000000000001</v>
      </c>
      <c r="O80" s="120"/>
      <c r="P80" s="120"/>
      <c r="Q80" s="121"/>
      <c r="S80" s="239"/>
      <c r="T80" s="239"/>
      <c r="U80" s="240"/>
      <c r="V80" s="122"/>
      <c r="W80" s="240"/>
      <c r="X80" s="240"/>
      <c r="Y80" s="240"/>
      <c r="Z80" s="240"/>
      <c r="AA80" s="241"/>
      <c r="AE80" s="239"/>
      <c r="AF80" s="240"/>
      <c r="AH80" s="239"/>
      <c r="AI80" s="240"/>
    </row>
    <row r="81" spans="3:35" ht="14.5">
      <c r="C81" s="67">
        <v>2016</v>
      </c>
      <c r="D81" s="40"/>
      <c r="E81" s="40">
        <v>5.75</v>
      </c>
      <c r="F81" s="67">
        <v>1.0575000000000001</v>
      </c>
      <c r="O81" s="120"/>
      <c r="P81" s="120"/>
      <c r="Q81" s="121"/>
      <c r="S81" s="239"/>
      <c r="T81" s="239"/>
      <c r="U81" s="240"/>
      <c r="V81" s="122"/>
      <c r="W81" s="240"/>
      <c r="X81" s="240"/>
      <c r="Y81" s="240"/>
      <c r="Z81" s="240"/>
      <c r="AA81" s="241"/>
      <c r="AE81" s="239"/>
      <c r="AF81" s="240"/>
      <c r="AH81" s="239"/>
      <c r="AI81" s="240"/>
    </row>
    <row r="82" spans="3:35" ht="14.5">
      <c r="C82" s="67">
        <v>2017</v>
      </c>
      <c r="D82" s="40"/>
      <c r="E82" s="40">
        <v>4.09</v>
      </c>
      <c r="F82" s="67">
        <v>1.0408999999999999</v>
      </c>
      <c r="O82" s="120"/>
      <c r="P82" s="120"/>
      <c r="Q82" s="121"/>
      <c r="S82" s="239"/>
      <c r="T82" s="239"/>
      <c r="U82" s="240"/>
      <c r="V82" s="122"/>
      <c r="W82" s="240"/>
      <c r="X82" s="240"/>
      <c r="Y82" s="240"/>
      <c r="Z82" s="240"/>
      <c r="AA82" s="241"/>
      <c r="AE82" s="239"/>
      <c r="AF82" s="240"/>
      <c r="AH82" s="239"/>
      <c r="AI82" s="240"/>
    </row>
    <row r="83" spans="3:35" ht="14.5">
      <c r="C83" s="67">
        <v>2018</v>
      </c>
      <c r="D83" s="40"/>
      <c r="E83" s="40">
        <v>3.18</v>
      </c>
      <c r="F83" s="67">
        <v>1.0318000000000001</v>
      </c>
      <c r="S83" s="239"/>
      <c r="T83" s="239"/>
      <c r="U83" s="240"/>
      <c r="V83" s="122"/>
      <c r="W83" s="240"/>
      <c r="X83" s="240"/>
      <c r="Y83" s="240"/>
      <c r="Z83" s="240"/>
      <c r="AA83" s="241"/>
      <c r="AE83" s="239"/>
      <c r="AF83" s="240"/>
      <c r="AH83" s="239"/>
      <c r="AI83" s="240"/>
    </row>
    <row r="84" spans="3:35" ht="14.5">
      <c r="C84" s="48">
        <v>2019</v>
      </c>
      <c r="E84" s="106">
        <v>3.7999999999999999E-2</v>
      </c>
      <c r="S84" s="239"/>
      <c r="T84" s="239"/>
      <c r="U84" s="240"/>
      <c r="V84" s="122"/>
      <c r="W84" s="240"/>
      <c r="X84" s="240"/>
      <c r="Y84" s="240"/>
      <c r="Z84" s="240"/>
      <c r="AA84" s="241"/>
      <c r="AE84" s="239"/>
      <c r="AF84" s="242"/>
      <c r="AH84" s="239"/>
      <c r="AI84" s="242"/>
    </row>
    <row r="85" spans="3:35" ht="14.5">
      <c r="C85" s="48">
        <v>2020</v>
      </c>
      <c r="E85" s="45" t="s">
        <v>87</v>
      </c>
      <c r="S85" s="239"/>
      <c r="T85" s="239"/>
      <c r="U85" s="240"/>
      <c r="V85" s="122"/>
      <c r="W85" s="240"/>
      <c r="X85" s="240"/>
      <c r="Y85" s="240"/>
      <c r="Z85" s="240"/>
      <c r="AA85" s="241"/>
      <c r="AE85" s="239"/>
      <c r="AF85" s="240"/>
      <c r="AH85" s="239"/>
      <c r="AI85" s="240"/>
    </row>
    <row r="86" spans="3:35" ht="22.5" customHeight="1">
      <c r="Q86" s="123"/>
      <c r="S86" s="239"/>
      <c r="T86" s="239"/>
      <c r="U86" s="240"/>
      <c r="V86" s="122"/>
      <c r="W86" s="240"/>
      <c r="X86" s="240"/>
      <c r="Y86" s="240"/>
      <c r="Z86" s="240"/>
      <c r="AA86" s="241"/>
      <c r="AE86" s="239"/>
      <c r="AF86" s="240"/>
      <c r="AH86" s="239"/>
      <c r="AI86" s="240"/>
    </row>
    <row r="87" spans="3:35" ht="14.5">
      <c r="S87" s="239"/>
      <c r="T87" s="239"/>
      <c r="U87" s="240"/>
      <c r="V87" s="122"/>
      <c r="W87" s="240"/>
      <c r="X87" s="240"/>
      <c r="Y87" s="240"/>
      <c r="Z87" s="240"/>
      <c r="AA87" s="241"/>
      <c r="AE87" s="239"/>
      <c r="AF87" s="240"/>
      <c r="AH87" s="239"/>
      <c r="AI87" s="240"/>
    </row>
    <row r="88" spans="3:35">
      <c r="O88" s="42"/>
      <c r="S88" s="239"/>
      <c r="T88" s="239"/>
      <c r="U88" s="240"/>
      <c r="V88" s="122"/>
      <c r="W88" s="240"/>
      <c r="X88" s="240"/>
      <c r="Y88" s="240"/>
      <c r="Z88" s="240"/>
      <c r="AA88" s="241"/>
      <c r="AE88" s="239"/>
      <c r="AF88" s="240"/>
      <c r="AH88" s="239"/>
      <c r="AI88" s="240"/>
    </row>
    <row r="89" spans="3:35">
      <c r="O89" s="42"/>
      <c r="S89" s="239"/>
      <c r="T89" s="239"/>
      <c r="U89" s="240"/>
      <c r="V89" s="122"/>
      <c r="W89" s="240"/>
      <c r="X89" s="240"/>
      <c r="Y89" s="240"/>
      <c r="Z89" s="240"/>
      <c r="AA89" s="241"/>
      <c r="AE89" s="239"/>
      <c r="AF89" s="240"/>
      <c r="AH89" s="239"/>
      <c r="AI89" s="240"/>
    </row>
    <row r="90" spans="3:35">
      <c r="O90" s="42"/>
      <c r="U90" s="48"/>
      <c r="AE90" s="239"/>
      <c r="AF90" s="240"/>
      <c r="AH90" s="239"/>
      <c r="AI90" s="240"/>
    </row>
    <row r="91" spans="3:35">
      <c r="O91" s="42"/>
      <c r="U91" s="48"/>
      <c r="AE91" s="239"/>
      <c r="AF91" s="240"/>
    </row>
    <row r="92" spans="3:35">
      <c r="O92" s="42"/>
      <c r="U92" s="48"/>
      <c r="AE92" s="239"/>
      <c r="AF92" s="240"/>
    </row>
    <row r="93" spans="3:35">
      <c r="O93" s="42"/>
      <c r="U93" s="48"/>
      <c r="AE93" s="239"/>
      <c r="AF93" s="240"/>
    </row>
    <row r="94" spans="3:35">
      <c r="W94" s="123"/>
      <c r="AE94" s="239"/>
      <c r="AF94" s="240"/>
    </row>
    <row r="95" spans="3:35">
      <c r="W95" s="124"/>
      <c r="AE95" s="239"/>
      <c r="AF95" s="240"/>
    </row>
  </sheetData>
  <mergeCells count="73">
    <mergeCell ref="B2:C4"/>
    <mergeCell ref="D2:T2"/>
    <mergeCell ref="D3:J3"/>
    <mergeCell ref="M3:T3"/>
    <mergeCell ref="D4:T4"/>
    <mergeCell ref="B6:E8"/>
    <mergeCell ref="F6:I7"/>
    <mergeCell ref="J6:L7"/>
    <mergeCell ref="M6:M7"/>
    <mergeCell ref="N6:T8"/>
    <mergeCell ref="F9:I9"/>
    <mergeCell ref="J9:L9"/>
    <mergeCell ref="N51:O51"/>
    <mergeCell ref="B53:T53"/>
    <mergeCell ref="B54:I54"/>
    <mergeCell ref="Y69:Y72"/>
    <mergeCell ref="Z69:Z72"/>
    <mergeCell ref="AA69:AA72"/>
    <mergeCell ref="S73:S77"/>
    <mergeCell ref="T73:T77"/>
    <mergeCell ref="U73:U77"/>
    <mergeCell ref="W73:W77"/>
    <mergeCell ref="X73:X77"/>
    <mergeCell ref="Y73:Y77"/>
    <mergeCell ref="Z73:Z77"/>
    <mergeCell ref="AA73:AA77"/>
    <mergeCell ref="S69:S72"/>
    <mergeCell ref="T69:T72"/>
    <mergeCell ref="U69:U72"/>
    <mergeCell ref="W69:W72"/>
    <mergeCell ref="X69:X72"/>
    <mergeCell ref="AE75:AE78"/>
    <mergeCell ref="AF75:AF78"/>
    <mergeCell ref="AH75:AH78"/>
    <mergeCell ref="AI75:AI78"/>
    <mergeCell ref="Z78:Z79"/>
    <mergeCell ref="AA78:AA79"/>
    <mergeCell ref="AE79:AE83"/>
    <mergeCell ref="AF79:AF83"/>
    <mergeCell ref="Y78:Y79"/>
    <mergeCell ref="AH79:AH83"/>
    <mergeCell ref="AI79:AI83"/>
    <mergeCell ref="S80:S84"/>
    <mergeCell ref="T80:T84"/>
    <mergeCell ref="U80:U84"/>
    <mergeCell ref="W80:W84"/>
    <mergeCell ref="X80:X84"/>
    <mergeCell ref="Y80:Y84"/>
    <mergeCell ref="Z80:Z84"/>
    <mergeCell ref="AA80:AA84"/>
    <mergeCell ref="S78:S79"/>
    <mergeCell ref="T78:T79"/>
    <mergeCell ref="U78:U79"/>
    <mergeCell ref="W78:W79"/>
    <mergeCell ref="X78:X79"/>
    <mergeCell ref="S85:S89"/>
    <mergeCell ref="T85:T89"/>
    <mergeCell ref="U85:U89"/>
    <mergeCell ref="W85:W89"/>
    <mergeCell ref="X85:X89"/>
    <mergeCell ref="Y85:Y89"/>
    <mergeCell ref="AH86:AH90"/>
    <mergeCell ref="AI86:AI90"/>
    <mergeCell ref="AE84:AE85"/>
    <mergeCell ref="AF84:AF85"/>
    <mergeCell ref="AH84:AH85"/>
    <mergeCell ref="AI84:AI85"/>
    <mergeCell ref="AE91:AE95"/>
    <mergeCell ref="AF91:AF95"/>
    <mergeCell ref="Z85:Z89"/>
    <mergeCell ref="AA85:AA89"/>
    <mergeCell ref="AE86:AE90"/>
    <mergeCell ref="AF86:AF90"/>
  </mergeCells>
  <conditionalFormatting sqref="T10:T52">
    <cfRule type="cellIs" dxfId="4" priority="1" operator="equal">
      <formula>"BAJO"</formula>
    </cfRule>
  </conditionalFormatting>
  <dataValidations count="1">
    <dataValidation type="list" allowBlank="1" showInputMessage="1" showErrorMessage="1" sqref="E32:E33 E35" xr:uid="{00000000-0002-0000-0100-000000000000}">
      <formula1>#REF!</formula1>
    </dataValidation>
  </dataValidations>
  <printOptions horizontalCentered="1" verticalCentered="1"/>
  <pageMargins left="0.59055118110236227" right="0.39370078740157483" top="0.39370078740157483" bottom="0.39370078740157483" header="0.31496062992125984" footer="0.59055118110236227"/>
  <pageSetup scale="31"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2:AJ95"/>
  <sheetViews>
    <sheetView showGridLines="0" view="pageBreakPreview" topLeftCell="B40" zoomScale="50" zoomScaleNormal="80" zoomScaleSheetLayoutView="50" zoomScalePageLayoutView="25" workbookViewId="0">
      <selection activeCell="C51" sqref="C51"/>
    </sheetView>
  </sheetViews>
  <sheetFormatPr baseColWidth="10" defaultColWidth="11.453125" defaultRowHeight="21"/>
  <cols>
    <col min="1" max="1" width="4.81640625" style="48" hidden="1" customWidth="1"/>
    <col min="2" max="2" width="7.26953125" style="48" customWidth="1"/>
    <col min="3" max="3" width="56" style="48" customWidth="1"/>
    <col min="4" max="4" width="8.7265625" style="48" customWidth="1"/>
    <col min="5" max="5" width="8.1796875" style="48" customWidth="1"/>
    <col min="6" max="6" width="19.1796875" style="48" customWidth="1"/>
    <col min="7" max="7" width="22.26953125" style="48" bestFit="1" customWidth="1"/>
    <col min="8" max="8" width="22.26953125" style="48" customWidth="1"/>
    <col min="9" max="9" width="21" style="48" bestFit="1" customWidth="1"/>
    <col min="10" max="10" width="23.453125" style="48" bestFit="1" customWidth="1"/>
    <col min="11" max="11" width="23.453125" style="48" customWidth="1"/>
    <col min="12" max="12" width="23.453125" style="48" bestFit="1" customWidth="1"/>
    <col min="13" max="13" width="20.26953125" style="48" hidden="1" customWidth="1"/>
    <col min="14" max="14" width="20.26953125" style="48" customWidth="1"/>
    <col min="15" max="15" width="15.453125" style="48" customWidth="1"/>
    <col min="16" max="16" width="19.453125" style="48" customWidth="1"/>
    <col min="17" max="17" width="29.81640625" style="48" customWidth="1"/>
    <col min="18" max="18" width="21.453125" style="48" customWidth="1"/>
    <col min="19" max="19" width="17.453125" style="48" customWidth="1"/>
    <col min="20" max="20" width="19.1796875" style="48" customWidth="1"/>
    <col min="21" max="21" width="25.453125" style="48" customWidth="1"/>
    <col min="22" max="22" width="2.453125" style="42" customWidth="1"/>
    <col min="23" max="26" width="11.453125" style="48"/>
    <col min="27" max="27" width="29.453125" style="48" customWidth="1"/>
    <col min="28" max="16384" width="11.453125" style="48"/>
  </cols>
  <sheetData>
    <row r="2" spans="2:27" ht="39.75" customHeight="1">
      <c r="B2" s="272"/>
      <c r="C2" s="273"/>
      <c r="D2" s="278" t="s">
        <v>75</v>
      </c>
      <c r="E2" s="279"/>
      <c r="F2" s="279"/>
      <c r="G2" s="279"/>
      <c r="H2" s="279"/>
      <c r="I2" s="279"/>
      <c r="J2" s="279"/>
      <c r="K2" s="279"/>
      <c r="L2" s="279"/>
      <c r="M2" s="279"/>
      <c r="N2" s="279"/>
      <c r="O2" s="279"/>
      <c r="P2" s="279"/>
      <c r="Q2" s="279"/>
      <c r="R2" s="279"/>
      <c r="S2" s="279"/>
      <c r="T2" s="279"/>
      <c r="U2" s="280"/>
      <c r="V2" s="74"/>
      <c r="W2" s="74"/>
    </row>
    <row r="3" spans="2:27" ht="17.25" customHeight="1">
      <c r="B3" s="274"/>
      <c r="C3" s="275"/>
      <c r="D3" s="281" t="s">
        <v>77</v>
      </c>
      <c r="E3" s="282"/>
      <c r="F3" s="282"/>
      <c r="G3" s="282"/>
      <c r="H3" s="282"/>
      <c r="I3" s="282"/>
      <c r="J3" s="282"/>
      <c r="K3" s="1"/>
      <c r="L3" s="1"/>
      <c r="M3" s="281" t="s">
        <v>76</v>
      </c>
      <c r="N3" s="282"/>
      <c r="O3" s="282"/>
      <c r="P3" s="282"/>
      <c r="Q3" s="282"/>
      <c r="R3" s="282"/>
      <c r="S3" s="282"/>
      <c r="T3" s="282"/>
      <c r="U3" s="283"/>
      <c r="V3" s="75"/>
      <c r="W3" s="75"/>
    </row>
    <row r="4" spans="2:27" ht="17.25" customHeight="1">
      <c r="B4" s="276"/>
      <c r="C4" s="277"/>
      <c r="D4" s="281" t="s">
        <v>78</v>
      </c>
      <c r="E4" s="282"/>
      <c r="F4" s="282"/>
      <c r="G4" s="282"/>
      <c r="H4" s="282"/>
      <c r="I4" s="282"/>
      <c r="J4" s="282"/>
      <c r="K4" s="282"/>
      <c r="L4" s="282"/>
      <c r="M4" s="282"/>
      <c r="N4" s="282"/>
      <c r="O4" s="282"/>
      <c r="P4" s="282"/>
      <c r="Q4" s="282"/>
      <c r="R4" s="282"/>
      <c r="S4" s="282"/>
      <c r="T4" s="282"/>
      <c r="U4" s="283"/>
      <c r="V4" s="75"/>
      <c r="W4" s="75"/>
    </row>
    <row r="5" spans="2:27" ht="15.75" customHeight="1" thickBot="1"/>
    <row r="6" spans="2:27" ht="65.25" customHeight="1">
      <c r="B6" s="251" t="s">
        <v>90</v>
      </c>
      <c r="C6" s="252"/>
      <c r="D6" s="252"/>
      <c r="E6" s="253"/>
      <c r="F6" s="257" t="s">
        <v>74</v>
      </c>
      <c r="G6" s="258"/>
      <c r="H6" s="258"/>
      <c r="I6" s="258"/>
      <c r="J6" s="257" t="s">
        <v>85</v>
      </c>
      <c r="K6" s="258"/>
      <c r="L6" s="258"/>
      <c r="M6" s="261" t="s">
        <v>88</v>
      </c>
      <c r="N6" s="261" t="s">
        <v>88</v>
      </c>
      <c r="O6" s="263" t="s">
        <v>142</v>
      </c>
      <c r="P6" s="264"/>
      <c r="Q6" s="264"/>
      <c r="R6" s="264"/>
      <c r="S6" s="264"/>
      <c r="T6" s="264"/>
      <c r="U6" s="265"/>
    </row>
    <row r="7" spans="2:27" ht="59.25" customHeight="1" thickBot="1">
      <c r="B7" s="254"/>
      <c r="C7" s="255"/>
      <c r="D7" s="255"/>
      <c r="E7" s="256"/>
      <c r="F7" s="259"/>
      <c r="G7" s="260"/>
      <c r="H7" s="260"/>
      <c r="I7" s="260"/>
      <c r="J7" s="259"/>
      <c r="K7" s="260"/>
      <c r="L7" s="260"/>
      <c r="M7" s="284"/>
      <c r="N7" s="284"/>
      <c r="O7" s="266"/>
      <c r="P7" s="267"/>
      <c r="Q7" s="267"/>
      <c r="R7" s="267"/>
      <c r="S7" s="267"/>
      <c r="T7" s="267"/>
      <c r="U7" s="268"/>
    </row>
    <row r="8" spans="2:27" ht="81" customHeight="1" thickBot="1">
      <c r="B8" s="254"/>
      <c r="C8" s="255"/>
      <c r="D8" s="255"/>
      <c r="E8" s="256"/>
      <c r="F8" s="115" t="s">
        <v>139</v>
      </c>
      <c r="G8" s="115" t="s">
        <v>140</v>
      </c>
      <c r="H8" s="115" t="s">
        <v>149</v>
      </c>
      <c r="I8" s="115" t="s">
        <v>141</v>
      </c>
      <c r="J8" s="115" t="s">
        <v>144</v>
      </c>
      <c r="K8" s="116" t="s">
        <v>146</v>
      </c>
      <c r="L8" s="116" t="s">
        <v>145</v>
      </c>
      <c r="M8" s="116">
        <v>2019</v>
      </c>
      <c r="N8" s="116">
        <v>2019</v>
      </c>
      <c r="O8" s="269"/>
      <c r="P8" s="270"/>
      <c r="Q8" s="270"/>
      <c r="R8" s="270"/>
      <c r="S8" s="270"/>
      <c r="T8" s="270"/>
      <c r="U8" s="271"/>
    </row>
    <row r="9" spans="2:27" ht="72" customHeight="1" thickBot="1">
      <c r="B9" s="110" t="s">
        <v>64</v>
      </c>
      <c r="C9" s="109" t="s">
        <v>65</v>
      </c>
      <c r="D9" s="84" t="s">
        <v>70</v>
      </c>
      <c r="E9" s="85" t="s">
        <v>79</v>
      </c>
      <c r="F9" s="244" t="s">
        <v>84</v>
      </c>
      <c r="G9" s="245"/>
      <c r="H9" s="245"/>
      <c r="I9" s="245"/>
      <c r="J9" s="244" t="s">
        <v>82</v>
      </c>
      <c r="K9" s="245"/>
      <c r="L9" s="246"/>
      <c r="M9" s="72"/>
      <c r="N9" s="72"/>
      <c r="O9" s="73" t="s">
        <v>66</v>
      </c>
      <c r="P9" s="73" t="s">
        <v>67</v>
      </c>
      <c r="Q9" s="73" t="s">
        <v>68</v>
      </c>
      <c r="R9" s="73" t="s">
        <v>0</v>
      </c>
      <c r="S9" s="73" t="s">
        <v>69</v>
      </c>
      <c r="T9" s="73" t="s">
        <v>1</v>
      </c>
      <c r="U9" s="73" t="s">
        <v>2</v>
      </c>
    </row>
    <row r="10" spans="2:27" ht="124.5" thickBot="1">
      <c r="B10" s="108">
        <v>1</v>
      </c>
      <c r="C10" s="125" t="s">
        <v>91</v>
      </c>
      <c r="D10" s="127" t="s">
        <v>70</v>
      </c>
      <c r="E10" s="127">
        <v>40</v>
      </c>
      <c r="F10" s="113"/>
      <c r="G10" s="114">
        <v>20400</v>
      </c>
      <c r="H10" s="114">
        <f>1.19*14252</f>
        <v>16959.88</v>
      </c>
      <c r="I10" s="114">
        <v>18907.563025210085</v>
      </c>
      <c r="J10" s="107"/>
      <c r="K10" s="107">
        <v>16363</v>
      </c>
      <c r="L10" s="107">
        <v>27500</v>
      </c>
      <c r="M10" s="107">
        <v>28661</v>
      </c>
      <c r="N10" s="107">
        <f>M10*(1+($E$84+$E$85))</f>
        <v>30071.121199999998</v>
      </c>
      <c r="O10" s="92">
        <f>COUNT(F10:N10)</f>
        <v>7</v>
      </c>
      <c r="P10" s="93">
        <v>22694</v>
      </c>
      <c r="Q10" s="94">
        <v>907760</v>
      </c>
      <c r="R10" s="95">
        <f>STDEVP(G10:N10)</f>
        <v>5420.6730388910692</v>
      </c>
      <c r="S10" s="96">
        <f>R10/P10*100</f>
        <v>23.885930373187051</v>
      </c>
      <c r="T10" s="97">
        <f>100-S10</f>
        <v>76.114069626812949</v>
      </c>
      <c r="U10" s="98" t="str">
        <f t="shared" ref="U10:U50" si="0">IF(T10&gt;70,"ALTO","BAJO")</f>
        <v>ALTO</v>
      </c>
      <c r="AA10" s="132">
        <f>'FM-029 Sin depurar'!P10-'FM-029 Depurada16Oct2020'!P10</f>
        <v>1288.8199999999997</v>
      </c>
    </row>
    <row r="11" spans="2:27" ht="124.5" thickBot="1">
      <c r="B11" s="108">
        <v>2</v>
      </c>
      <c r="C11" s="125" t="s">
        <v>92</v>
      </c>
      <c r="D11" s="128" t="s">
        <v>70</v>
      </c>
      <c r="E11" s="128">
        <v>10</v>
      </c>
      <c r="F11" s="113"/>
      <c r="G11" s="114">
        <v>20400</v>
      </c>
      <c r="H11" s="114">
        <f>1.19*14252</f>
        <v>16959.88</v>
      </c>
      <c r="I11" s="114">
        <v>18907.563025210085</v>
      </c>
      <c r="J11" s="107"/>
      <c r="K11" s="107">
        <v>16363</v>
      </c>
      <c r="L11" s="107">
        <v>25000</v>
      </c>
      <c r="M11" s="107"/>
      <c r="N11" s="107"/>
      <c r="O11" s="92">
        <f t="shared" ref="O11:O50" si="1">COUNT(F11:N11)</f>
        <v>5</v>
      </c>
      <c r="P11" s="93">
        <v>19526</v>
      </c>
      <c r="Q11" s="94">
        <v>195260</v>
      </c>
      <c r="R11" s="95">
        <f>STDEVP(F11:M11)</f>
        <v>3088.7070792463701</v>
      </c>
      <c r="S11" s="96">
        <f t="shared" ref="S11:S50" si="2">R11/P11*100</f>
        <v>15.818432240327615</v>
      </c>
      <c r="T11" s="97">
        <f t="shared" ref="T11:T50" si="3">100-S11</f>
        <v>84.18156775967239</v>
      </c>
      <c r="U11" s="98" t="str">
        <f t="shared" si="0"/>
        <v>ALTO</v>
      </c>
      <c r="AA11" s="132">
        <f>'FM-029 Sin depurar'!P11-'FM-029 Depurada16Oct2020'!P11</f>
        <v>3745.7400000000016</v>
      </c>
    </row>
    <row r="12" spans="2:27" ht="124.5" thickBot="1">
      <c r="B12" s="108">
        <v>3</v>
      </c>
      <c r="C12" s="125" t="s">
        <v>93</v>
      </c>
      <c r="D12" s="128" t="s">
        <v>70</v>
      </c>
      <c r="E12" s="128">
        <v>5</v>
      </c>
      <c r="F12" s="113"/>
      <c r="G12" s="114">
        <v>20400</v>
      </c>
      <c r="H12" s="114">
        <f>1.19*14252</f>
        <v>16959.88</v>
      </c>
      <c r="I12" s="114">
        <v>18907.563025210085</v>
      </c>
      <c r="J12" s="107"/>
      <c r="K12" s="107">
        <v>16363</v>
      </c>
      <c r="L12" s="107"/>
      <c r="M12" s="107"/>
      <c r="N12" s="107"/>
      <c r="O12" s="92">
        <f t="shared" si="1"/>
        <v>4</v>
      </c>
      <c r="P12" s="93">
        <v>18157</v>
      </c>
      <c r="Q12" s="94">
        <v>90785</v>
      </c>
      <c r="R12" s="95">
        <f>STDEVP(G12:K12)</f>
        <v>1600.4627969059034</v>
      </c>
      <c r="S12" s="96">
        <f t="shared" si="2"/>
        <v>8.8145772809709939</v>
      </c>
      <c r="T12" s="97">
        <f t="shared" si="3"/>
        <v>91.185422719029006</v>
      </c>
      <c r="U12" s="98" t="str">
        <f t="shared" si="0"/>
        <v>ALTO</v>
      </c>
      <c r="AA12" s="132">
        <f>'FM-029 Sin depurar'!P12-'FM-029 Depurada16Oct2020'!P12</f>
        <v>2969.09</v>
      </c>
    </row>
    <row r="13" spans="2:27" ht="162" customHeight="1" thickBot="1">
      <c r="B13" s="108">
        <v>4</v>
      </c>
      <c r="C13" s="125" t="s">
        <v>94</v>
      </c>
      <c r="D13" s="129" t="s">
        <v>70</v>
      </c>
      <c r="E13" s="129">
        <v>100</v>
      </c>
      <c r="F13" s="113"/>
      <c r="G13" s="114">
        <v>7480</v>
      </c>
      <c r="H13" s="114">
        <f>1.19*5310</f>
        <v>6318.9</v>
      </c>
      <c r="I13" s="114">
        <v>5600</v>
      </c>
      <c r="J13" s="107"/>
      <c r="K13" s="107">
        <v>6395</v>
      </c>
      <c r="L13" s="107"/>
      <c r="M13" s="107">
        <v>10468</v>
      </c>
      <c r="N13" s="107"/>
      <c r="O13" s="92">
        <f t="shared" si="1"/>
        <v>5</v>
      </c>
      <c r="P13" s="93">
        <v>7252</v>
      </c>
      <c r="Q13" s="94">
        <v>725200</v>
      </c>
      <c r="R13" s="95">
        <f>STDEVP(G13:K13)</f>
        <v>671.49141980742559</v>
      </c>
      <c r="S13" s="96">
        <f t="shared" si="2"/>
        <v>9.2593963018122665</v>
      </c>
      <c r="T13" s="97">
        <f t="shared" si="3"/>
        <v>90.740603698187726</v>
      </c>
      <c r="U13" s="98" t="str">
        <f t="shared" si="0"/>
        <v>ALTO</v>
      </c>
      <c r="AA13" s="132">
        <f>'FM-029 Sin depurar'!P13-'FM-029 Depurada16Oct2020'!P13</f>
        <v>1137.9899999999998</v>
      </c>
    </row>
    <row r="14" spans="2:27" ht="155.5" thickBot="1">
      <c r="B14" s="108">
        <v>5</v>
      </c>
      <c r="C14" s="125" t="s">
        <v>143</v>
      </c>
      <c r="D14" s="128" t="s">
        <v>70</v>
      </c>
      <c r="E14" s="128">
        <v>150</v>
      </c>
      <c r="F14" s="113"/>
      <c r="G14" s="114">
        <v>5440</v>
      </c>
      <c r="H14" s="114">
        <f>1.19*6300</f>
        <v>7497</v>
      </c>
      <c r="I14" s="114">
        <v>6500</v>
      </c>
      <c r="J14" s="107"/>
      <c r="K14" s="107">
        <v>6422</v>
      </c>
      <c r="L14" s="107"/>
      <c r="M14" s="107"/>
      <c r="N14" s="107"/>
      <c r="O14" s="92">
        <f t="shared" si="1"/>
        <v>4</v>
      </c>
      <c r="P14" s="93">
        <v>6465</v>
      </c>
      <c r="Q14" s="94">
        <v>969750</v>
      </c>
      <c r="R14" s="95">
        <f>STDEVP(G14:K14)</f>
        <v>727.79165116123727</v>
      </c>
      <c r="S14" s="96">
        <f t="shared" si="2"/>
        <v>11.257411464210939</v>
      </c>
      <c r="T14" s="97">
        <f t="shared" si="3"/>
        <v>88.742588535789054</v>
      </c>
      <c r="U14" s="98" t="str">
        <f t="shared" si="0"/>
        <v>ALTO</v>
      </c>
      <c r="AA14" s="132">
        <f>'FM-029 Sin depurar'!P14-'FM-029 Depurada16Oct2020'!P14</f>
        <v>1706.8000000000002</v>
      </c>
    </row>
    <row r="15" spans="2:27" ht="93.5" thickBot="1">
      <c r="B15" s="108">
        <v>6</v>
      </c>
      <c r="C15" s="125" t="s">
        <v>95</v>
      </c>
      <c r="D15" s="128" t="s">
        <v>70</v>
      </c>
      <c r="E15" s="128">
        <v>20</v>
      </c>
      <c r="F15" s="113"/>
      <c r="G15" s="114"/>
      <c r="H15" s="114">
        <f>1.19*7600</f>
        <v>9044</v>
      </c>
      <c r="I15" s="114">
        <v>10500</v>
      </c>
      <c r="J15" s="107"/>
      <c r="K15" s="107">
        <v>10342</v>
      </c>
      <c r="L15" s="107"/>
      <c r="M15" s="107">
        <v>11069</v>
      </c>
      <c r="N15" s="107">
        <v>11069</v>
      </c>
      <c r="O15" s="92">
        <f t="shared" si="1"/>
        <v>5</v>
      </c>
      <c r="P15" s="93">
        <v>10404</v>
      </c>
      <c r="Q15" s="94">
        <v>208080</v>
      </c>
      <c r="R15" s="95">
        <f>STDEVP(H15:N15)</f>
        <v>741.22962703874703</v>
      </c>
      <c r="S15" s="96">
        <f t="shared" si="2"/>
        <v>7.1244677723831886</v>
      </c>
      <c r="T15" s="97">
        <f t="shared" si="3"/>
        <v>92.875532227616816</v>
      </c>
      <c r="U15" s="98" t="str">
        <f t="shared" si="0"/>
        <v>ALTO</v>
      </c>
      <c r="AA15" s="132">
        <f>'FM-029 Sin depurar'!P15-'FM-029 Depurada16Oct2020'!P15</f>
        <v>7814.7099999999991</v>
      </c>
    </row>
    <row r="16" spans="2:27" ht="96" customHeight="1" thickBot="1">
      <c r="B16" s="108">
        <v>7</v>
      </c>
      <c r="C16" s="125" t="s">
        <v>96</v>
      </c>
      <c r="D16" s="129" t="s">
        <v>70</v>
      </c>
      <c r="E16" s="129">
        <v>10</v>
      </c>
      <c r="F16" s="113"/>
      <c r="G16" s="114">
        <v>24500</v>
      </c>
      <c r="H16" s="114">
        <f>1.19*25900</f>
        <v>30821</v>
      </c>
      <c r="I16" s="114">
        <v>28000</v>
      </c>
      <c r="J16" s="107"/>
      <c r="K16" s="107"/>
      <c r="L16" s="107"/>
      <c r="M16" s="107">
        <v>33297</v>
      </c>
      <c r="N16" s="107">
        <v>33297</v>
      </c>
      <c r="O16" s="92">
        <f t="shared" si="1"/>
        <v>5</v>
      </c>
      <c r="P16" s="93">
        <v>29983</v>
      </c>
      <c r="Q16" s="94">
        <v>299830</v>
      </c>
      <c r="R16" s="95">
        <f>STDEVP(G16:N16)</f>
        <v>3366.3931440044257</v>
      </c>
      <c r="S16" s="96">
        <f t="shared" si="2"/>
        <v>11.227672827950592</v>
      </c>
      <c r="T16" s="97">
        <f t="shared" si="3"/>
        <v>88.772327172049415</v>
      </c>
      <c r="U16" s="98" t="str">
        <f t="shared" si="0"/>
        <v>ALTO</v>
      </c>
      <c r="AA16" s="132">
        <f>'FM-029 Sin depurar'!P16-'FM-029 Depurada16Oct2020'!P16</f>
        <v>9169.5</v>
      </c>
    </row>
    <row r="17" spans="2:27" ht="186" customHeight="1" thickBot="1">
      <c r="B17" s="108">
        <v>8</v>
      </c>
      <c r="C17" s="125" t="s">
        <v>97</v>
      </c>
      <c r="D17" s="129" t="s">
        <v>70</v>
      </c>
      <c r="E17" s="129">
        <v>750</v>
      </c>
      <c r="F17" s="113"/>
      <c r="G17" s="114"/>
      <c r="H17" s="114">
        <f>1.19*12000</f>
        <v>14280</v>
      </c>
      <c r="I17" s="114">
        <v>14300</v>
      </c>
      <c r="J17" s="107"/>
      <c r="K17" s="107"/>
      <c r="L17" s="107"/>
      <c r="M17" s="107">
        <v>6412</v>
      </c>
      <c r="N17" s="107"/>
      <c r="O17" s="92">
        <f t="shared" si="1"/>
        <v>3</v>
      </c>
      <c r="P17" s="93">
        <v>11664</v>
      </c>
      <c r="Q17" s="94">
        <v>8748000</v>
      </c>
      <c r="R17" s="95">
        <f>STDEVP(H17:I17)</f>
        <v>10</v>
      </c>
      <c r="S17" s="96">
        <f t="shared" si="2"/>
        <v>8.5733882030178329E-2</v>
      </c>
      <c r="T17" s="97">
        <f t="shared" si="3"/>
        <v>99.914266117969817</v>
      </c>
      <c r="U17" s="98" t="str">
        <f t="shared" si="0"/>
        <v>ALTO</v>
      </c>
      <c r="AA17" s="132">
        <f>'FM-029 Sin depurar'!P17-'FM-029 Depurada16Oct2020'!P17</f>
        <v>7216.7999999999993</v>
      </c>
    </row>
    <row r="18" spans="2:27" ht="173.25" customHeight="1" thickBot="1">
      <c r="B18" s="108">
        <v>9</v>
      </c>
      <c r="C18" s="125" t="s">
        <v>98</v>
      </c>
      <c r="D18" s="129" t="s">
        <v>70</v>
      </c>
      <c r="E18" s="129">
        <v>750</v>
      </c>
      <c r="F18" s="113"/>
      <c r="G18" s="114"/>
      <c r="H18" s="114">
        <f>1.19*12000</f>
        <v>14280</v>
      </c>
      <c r="I18" s="114">
        <v>14300</v>
      </c>
      <c r="J18" s="107"/>
      <c r="K18" s="107"/>
      <c r="L18" s="107"/>
      <c r="M18" s="107">
        <v>6412</v>
      </c>
      <c r="N18" s="107"/>
      <c r="O18" s="92">
        <f t="shared" si="1"/>
        <v>3</v>
      </c>
      <c r="P18" s="93">
        <v>11664</v>
      </c>
      <c r="Q18" s="94">
        <v>8748000</v>
      </c>
      <c r="R18" s="95">
        <f>STDEVP(H18:I18)</f>
        <v>10</v>
      </c>
      <c r="S18" s="96">
        <f t="shared" si="2"/>
        <v>8.5733882030178329E-2</v>
      </c>
      <c r="T18" s="97">
        <f t="shared" si="3"/>
        <v>99.914266117969817</v>
      </c>
      <c r="U18" s="98" t="str">
        <f t="shared" si="0"/>
        <v>ALTO</v>
      </c>
      <c r="AA18" s="132">
        <f>'FM-029 Sin depurar'!P18-'FM-029 Depurada16Oct2020'!P18</f>
        <v>7216.7999999999993</v>
      </c>
    </row>
    <row r="19" spans="2:27" ht="140" thickBot="1">
      <c r="B19" s="108">
        <v>10</v>
      </c>
      <c r="C19" s="125" t="s">
        <v>99</v>
      </c>
      <c r="D19" s="129" t="s">
        <v>70</v>
      </c>
      <c r="E19" s="129">
        <v>550</v>
      </c>
      <c r="F19" s="113"/>
      <c r="G19" s="114"/>
      <c r="H19" s="114">
        <f>1.19*12000</f>
        <v>14280</v>
      </c>
      <c r="I19" s="114">
        <v>14500</v>
      </c>
      <c r="J19" s="107"/>
      <c r="K19" s="107"/>
      <c r="L19" s="107"/>
      <c r="M19" s="107">
        <v>16277</v>
      </c>
      <c r="N19" s="107">
        <v>16277</v>
      </c>
      <c r="O19" s="92">
        <f t="shared" si="1"/>
        <v>4</v>
      </c>
      <c r="P19" s="93">
        <v>15334</v>
      </c>
      <c r="Q19" s="94">
        <v>8433700</v>
      </c>
      <c r="R19" s="95">
        <f>STDEVP(H19:N19)</f>
        <v>946.70071828429491</v>
      </c>
      <c r="S19" s="96">
        <f t="shared" si="2"/>
        <v>6.173866690258869</v>
      </c>
      <c r="T19" s="97">
        <f t="shared" si="3"/>
        <v>93.826133309741124</v>
      </c>
      <c r="U19" s="98" t="str">
        <f t="shared" si="0"/>
        <v>ALTO</v>
      </c>
      <c r="AA19" s="132">
        <f>'FM-029 Sin depurar'!P19-'FM-029 Depurada16Oct2020'!P19</f>
        <v>3332.7999999999993</v>
      </c>
    </row>
    <row r="20" spans="2:27" ht="113.25" customHeight="1" thickBot="1">
      <c r="B20" s="108">
        <v>11</v>
      </c>
      <c r="C20" s="125" t="s">
        <v>100</v>
      </c>
      <c r="D20" s="129" t="s">
        <v>70</v>
      </c>
      <c r="E20" s="129">
        <v>2</v>
      </c>
      <c r="F20" s="113"/>
      <c r="G20" s="114">
        <v>479000</v>
      </c>
      <c r="H20" s="114">
        <f>1.19*430000</f>
        <v>511700</v>
      </c>
      <c r="I20" s="114">
        <v>378151.26050420169</v>
      </c>
      <c r="J20" s="107"/>
      <c r="K20" s="107"/>
      <c r="L20" s="107"/>
      <c r="M20" s="107">
        <v>397253</v>
      </c>
      <c r="N20" s="107">
        <v>397253</v>
      </c>
      <c r="O20" s="92">
        <f t="shared" si="1"/>
        <v>5</v>
      </c>
      <c r="P20" s="93">
        <v>432671</v>
      </c>
      <c r="Q20" s="94">
        <v>865342</v>
      </c>
      <c r="R20" s="95">
        <f>STDEVP(G20:N20)</f>
        <v>52674.909631944094</v>
      </c>
      <c r="S20" s="96">
        <f t="shared" si="2"/>
        <v>12.174356412133951</v>
      </c>
      <c r="T20" s="97">
        <f t="shared" si="3"/>
        <v>87.825643587866054</v>
      </c>
      <c r="U20" s="98" t="str">
        <f t="shared" si="0"/>
        <v>ALTO</v>
      </c>
      <c r="AA20" s="132">
        <f>'FM-029 Sin depurar'!P20-'FM-029 Depurada16Oct2020'!P20</f>
        <v>-50111.460000000021</v>
      </c>
    </row>
    <row r="21" spans="2:27" ht="130.5" customHeight="1" thickBot="1">
      <c r="B21" s="108">
        <v>12</v>
      </c>
      <c r="C21" s="125" t="s">
        <v>101</v>
      </c>
      <c r="D21" s="129" t="s">
        <v>70</v>
      </c>
      <c r="E21" s="129">
        <v>8</v>
      </c>
      <c r="F21" s="113"/>
      <c r="G21" s="114">
        <v>53000</v>
      </c>
      <c r="H21" s="114">
        <f>1.19*41430</f>
        <v>49301.7</v>
      </c>
      <c r="I21" s="114">
        <v>47058.823529411769</v>
      </c>
      <c r="J21" s="107"/>
      <c r="K21" s="107">
        <v>52182</v>
      </c>
      <c r="L21" s="107"/>
      <c r="M21" s="107">
        <v>63431</v>
      </c>
      <c r="N21" s="107">
        <v>63431</v>
      </c>
      <c r="O21" s="92">
        <f t="shared" si="1"/>
        <v>6</v>
      </c>
      <c r="P21" s="93">
        <v>54733</v>
      </c>
      <c r="Q21" s="94">
        <v>437864</v>
      </c>
      <c r="R21" s="95">
        <f t="shared" ref="R21:R48" si="4">STDEVP(F21:N21)</f>
        <v>6444.8079244586997</v>
      </c>
      <c r="S21" s="96">
        <f t="shared" si="2"/>
        <v>11.774994837591032</v>
      </c>
      <c r="T21" s="97">
        <f t="shared" si="3"/>
        <v>88.225005162408962</v>
      </c>
      <c r="U21" s="98" t="str">
        <f t="shared" si="0"/>
        <v>ALTO</v>
      </c>
      <c r="AA21" s="132">
        <f>'FM-029 Sin depurar'!P21-'FM-029 Depurada16Oct2020'!P21</f>
        <v>8181.93</v>
      </c>
    </row>
    <row r="22" spans="2:27" ht="126.75" customHeight="1" thickBot="1">
      <c r="B22" s="108">
        <v>13</v>
      </c>
      <c r="C22" s="125" t="s">
        <v>102</v>
      </c>
      <c r="D22" s="128" t="s">
        <v>131</v>
      </c>
      <c r="E22" s="128">
        <v>30</v>
      </c>
      <c r="F22" s="113">
        <v>54000</v>
      </c>
      <c r="G22" s="114">
        <v>48500</v>
      </c>
      <c r="H22" s="114"/>
      <c r="I22" s="114"/>
      <c r="J22" s="107"/>
      <c r="K22" s="107"/>
      <c r="L22" s="107"/>
      <c r="M22" s="107">
        <v>60163</v>
      </c>
      <c r="N22" s="107">
        <v>60163</v>
      </c>
      <c r="O22" s="92">
        <f t="shared" si="1"/>
        <v>4</v>
      </c>
      <c r="P22" s="93">
        <v>55706</v>
      </c>
      <c r="Q22" s="94">
        <v>1671180</v>
      </c>
      <c r="R22" s="95">
        <f>STDEVP(F22:N22)</f>
        <v>4862.2671923702428</v>
      </c>
      <c r="S22" s="96">
        <f t="shared" si="2"/>
        <v>8.7284443190504497</v>
      </c>
      <c r="T22" s="97">
        <f t="shared" si="3"/>
        <v>91.271555680949547</v>
      </c>
      <c r="U22" s="98" t="str">
        <f t="shared" si="0"/>
        <v>ALTO</v>
      </c>
      <c r="AA22" s="132">
        <f>'FM-029 Sin depurar'!P22-'FM-029 Depurada16Oct2020'!P22</f>
        <v>-5590.18</v>
      </c>
    </row>
    <row r="23" spans="2:27" ht="124.5" thickBot="1">
      <c r="B23" s="108">
        <v>14</v>
      </c>
      <c r="C23" s="125" t="s">
        <v>103</v>
      </c>
      <c r="D23" s="129" t="s">
        <v>131</v>
      </c>
      <c r="E23" s="129">
        <v>30</v>
      </c>
      <c r="F23" s="113"/>
      <c r="G23" s="114">
        <v>9220</v>
      </c>
      <c r="H23" s="114">
        <f>1.19*12760</f>
        <v>15184.4</v>
      </c>
      <c r="I23" s="114">
        <v>10756.302521008403</v>
      </c>
      <c r="J23" s="107"/>
      <c r="K23" s="107"/>
      <c r="L23" s="107"/>
      <c r="M23" s="131">
        <v>33505</v>
      </c>
      <c r="N23" s="131"/>
      <c r="O23" s="92">
        <f t="shared" si="1"/>
        <v>4</v>
      </c>
      <c r="P23" s="93">
        <v>17166</v>
      </c>
      <c r="Q23" s="94">
        <v>514980</v>
      </c>
      <c r="R23" s="95">
        <f>STDEVP(G23:I23)</f>
        <v>2528.5555841562227</v>
      </c>
      <c r="S23" s="96">
        <f t="shared" si="2"/>
        <v>14.730022044484578</v>
      </c>
      <c r="T23" s="97">
        <f t="shared" si="3"/>
        <v>85.269977955515429</v>
      </c>
      <c r="U23" s="98" t="str">
        <f t="shared" si="0"/>
        <v>ALTO</v>
      </c>
      <c r="AA23" s="132">
        <f>'FM-029 Sin depurar'!P23-'FM-029 Depurada16Oct2020'!P23</f>
        <v>5862.4500000000007</v>
      </c>
    </row>
    <row r="24" spans="2:27" ht="93.5" thickBot="1">
      <c r="B24" s="108">
        <v>15</v>
      </c>
      <c r="C24" s="125" t="s">
        <v>104</v>
      </c>
      <c r="D24" s="129" t="s">
        <v>131</v>
      </c>
      <c r="E24" s="129">
        <v>30</v>
      </c>
      <c r="F24" s="113"/>
      <c r="G24" s="114">
        <v>39750</v>
      </c>
      <c r="H24" s="114">
        <f>1.19*32040</f>
        <v>38127.599999999999</v>
      </c>
      <c r="I24" s="114">
        <v>36134.45378151261</v>
      </c>
      <c r="J24" s="107"/>
      <c r="K24" s="107"/>
      <c r="L24" s="107"/>
      <c r="M24" s="131">
        <v>36563</v>
      </c>
      <c r="N24" s="131">
        <v>36563</v>
      </c>
      <c r="O24" s="92">
        <f t="shared" si="1"/>
        <v>5</v>
      </c>
      <c r="P24" s="93">
        <v>37427</v>
      </c>
      <c r="Q24" s="94">
        <v>1122810</v>
      </c>
      <c r="R24" s="95">
        <f t="shared" si="4"/>
        <v>1345.4244848232654</v>
      </c>
      <c r="S24" s="96">
        <f t="shared" si="2"/>
        <v>3.5947964967089678</v>
      </c>
      <c r="T24" s="97">
        <f t="shared" si="3"/>
        <v>96.405203503291034</v>
      </c>
      <c r="U24" s="98" t="str">
        <f t="shared" si="0"/>
        <v>ALTO</v>
      </c>
      <c r="AA24" s="132">
        <f>'FM-029 Sin depurar'!P24-'FM-029 Depurada16Oct2020'!P24</f>
        <v>7762.68</v>
      </c>
    </row>
    <row r="25" spans="2:27" ht="62.5" thickBot="1">
      <c r="B25" s="108">
        <v>16</v>
      </c>
      <c r="C25" s="125" t="s">
        <v>105</v>
      </c>
      <c r="D25" s="129" t="s">
        <v>131</v>
      </c>
      <c r="E25" s="129">
        <v>30</v>
      </c>
      <c r="F25" s="113"/>
      <c r="G25" s="114">
        <v>15200</v>
      </c>
      <c r="H25" s="114">
        <f>1.19*11220</f>
        <v>13351.8</v>
      </c>
      <c r="I25" s="114">
        <v>18907.563025210085</v>
      </c>
      <c r="J25" s="107"/>
      <c r="K25" s="107"/>
      <c r="L25" s="107"/>
      <c r="M25" s="107">
        <v>24828</v>
      </c>
      <c r="N25" s="107">
        <v>24828</v>
      </c>
      <c r="O25" s="92">
        <f t="shared" si="1"/>
        <v>5</v>
      </c>
      <c r="P25" s="93">
        <v>19423</v>
      </c>
      <c r="Q25" s="94">
        <v>582690</v>
      </c>
      <c r="R25" s="95">
        <f t="shared" si="4"/>
        <v>4762.0777752704344</v>
      </c>
      <c r="S25" s="96">
        <f t="shared" si="2"/>
        <v>24.517725249809168</v>
      </c>
      <c r="T25" s="97">
        <f t="shared" si="3"/>
        <v>75.48227475019084</v>
      </c>
      <c r="U25" s="98" t="str">
        <f t="shared" si="0"/>
        <v>ALTO</v>
      </c>
      <c r="AA25" s="132">
        <f>'FM-029 Sin depurar'!P25-'FM-029 Depurada16Oct2020'!P25</f>
        <v>13262.89</v>
      </c>
    </row>
    <row r="26" spans="2:27" ht="78" thickBot="1">
      <c r="B26" s="108">
        <v>17</v>
      </c>
      <c r="C26" s="125" t="s">
        <v>106</v>
      </c>
      <c r="D26" s="129" t="s">
        <v>70</v>
      </c>
      <c r="E26" s="129">
        <v>100</v>
      </c>
      <c r="F26" s="113"/>
      <c r="G26" s="114">
        <v>1820</v>
      </c>
      <c r="H26" s="114">
        <f>1.19*1513</f>
        <v>1800.47</v>
      </c>
      <c r="I26" s="114">
        <v>1575.6302521008404</v>
      </c>
      <c r="J26" s="107"/>
      <c r="K26" s="107"/>
      <c r="L26" s="107"/>
      <c r="M26" s="107">
        <v>2848</v>
      </c>
      <c r="N26" s="107">
        <v>2848</v>
      </c>
      <c r="O26" s="92">
        <f t="shared" si="1"/>
        <v>5</v>
      </c>
      <c r="P26" s="93">
        <v>2178</v>
      </c>
      <c r="Q26" s="94">
        <v>217800</v>
      </c>
      <c r="R26" s="95">
        <f>STDEVP(F26:N26)</f>
        <v>553.41509409706464</v>
      </c>
      <c r="S26" s="96">
        <f t="shared" si="2"/>
        <v>25.409324797845024</v>
      </c>
      <c r="T26" s="97">
        <f t="shared" si="3"/>
        <v>74.590675202154983</v>
      </c>
      <c r="U26" s="98" t="str">
        <f t="shared" si="0"/>
        <v>ALTO</v>
      </c>
      <c r="AA26" s="132">
        <f>'FM-029 Sin depurar'!P26-'FM-029 Depurada16Oct2020'!P26</f>
        <v>-195.98000000000002</v>
      </c>
    </row>
    <row r="27" spans="2:27" ht="93.5" thickBot="1">
      <c r="B27" s="108">
        <v>18</v>
      </c>
      <c r="C27" s="125" t="s">
        <v>107</v>
      </c>
      <c r="D27" s="128" t="s">
        <v>132</v>
      </c>
      <c r="E27" s="128">
        <v>8</v>
      </c>
      <c r="F27" s="113"/>
      <c r="G27" s="114">
        <v>90500</v>
      </c>
      <c r="H27" s="114">
        <f>1.19*77520</f>
        <v>92248.8</v>
      </c>
      <c r="I27" s="114">
        <v>84033.613445378156</v>
      </c>
      <c r="J27" s="107"/>
      <c r="K27" s="107"/>
      <c r="L27" s="107"/>
      <c r="M27" s="107"/>
      <c r="N27" s="107"/>
      <c r="O27" s="92">
        <f t="shared" si="1"/>
        <v>3</v>
      </c>
      <c r="P27" s="93">
        <v>88926</v>
      </c>
      <c r="Q27" s="94">
        <v>711408</v>
      </c>
      <c r="R27" s="95">
        <f>STDEVP(G27:I27)</f>
        <v>3533.3607961359417</v>
      </c>
      <c r="S27" s="96">
        <f t="shared" si="2"/>
        <v>3.9733720128375749</v>
      </c>
      <c r="T27" s="97">
        <f t="shared" si="3"/>
        <v>96.026627987162428</v>
      </c>
      <c r="U27" s="98" t="str">
        <f t="shared" si="0"/>
        <v>ALTO</v>
      </c>
      <c r="AA27" s="132">
        <f>'FM-029 Sin depurar'!P27-'FM-029 Depurada16Oct2020'!P27</f>
        <v>-35117.72</v>
      </c>
    </row>
    <row r="28" spans="2:27" ht="124.5" thickBot="1">
      <c r="B28" s="108">
        <v>19</v>
      </c>
      <c r="C28" s="125" t="s">
        <v>108</v>
      </c>
      <c r="D28" s="129" t="s">
        <v>70</v>
      </c>
      <c r="E28" s="129">
        <v>20</v>
      </c>
      <c r="F28" s="113"/>
      <c r="G28" s="114"/>
      <c r="H28" s="114">
        <f>1.19*14880</f>
        <v>17707.2</v>
      </c>
      <c r="I28" s="114">
        <v>17226.89075630252</v>
      </c>
      <c r="J28" s="107"/>
      <c r="K28" s="107"/>
      <c r="L28" s="107"/>
      <c r="M28" s="107">
        <v>34771</v>
      </c>
      <c r="N28" s="107"/>
      <c r="O28" s="92">
        <f t="shared" si="1"/>
        <v>3</v>
      </c>
      <c r="P28" s="93">
        <v>23235</v>
      </c>
      <c r="Q28" s="94">
        <v>464700</v>
      </c>
      <c r="R28" s="95">
        <f>STDEVP(H28:I28)</f>
        <v>240.15462184874013</v>
      </c>
      <c r="S28" s="96">
        <f t="shared" si="2"/>
        <v>1.0335899369431467</v>
      </c>
      <c r="T28" s="97">
        <f t="shared" si="3"/>
        <v>98.966410063056856</v>
      </c>
      <c r="U28" s="98" t="str">
        <f t="shared" si="0"/>
        <v>ALTO</v>
      </c>
      <c r="AA28" s="132">
        <f>'FM-029 Sin depurar'!P28-'FM-029 Depurada16Oct2020'!P28</f>
        <v>16060.220000000001</v>
      </c>
    </row>
    <row r="29" spans="2:27" ht="62.5" thickBot="1">
      <c r="B29" s="108">
        <v>20</v>
      </c>
      <c r="C29" s="125" t="s">
        <v>109</v>
      </c>
      <c r="D29" s="129" t="s">
        <v>131</v>
      </c>
      <c r="E29" s="129">
        <v>200</v>
      </c>
      <c r="F29" s="113"/>
      <c r="G29" s="114">
        <v>6950</v>
      </c>
      <c r="H29" s="114">
        <f>1.19*5426</f>
        <v>6456.94</v>
      </c>
      <c r="I29" s="114">
        <v>5630.2521008403364</v>
      </c>
      <c r="J29" s="107"/>
      <c r="K29" s="107"/>
      <c r="L29" s="107">
        <v>5000</v>
      </c>
      <c r="M29" s="107">
        <v>10785</v>
      </c>
      <c r="N29" s="107"/>
      <c r="O29" s="92">
        <f t="shared" si="1"/>
        <v>5</v>
      </c>
      <c r="P29" s="93">
        <v>6964</v>
      </c>
      <c r="Q29" s="94">
        <v>1392800</v>
      </c>
      <c r="R29" s="95">
        <f t="shared" si="4"/>
        <v>2024.5258872660347</v>
      </c>
      <c r="S29" s="96">
        <f t="shared" si="2"/>
        <v>29.07130797337787</v>
      </c>
      <c r="T29" s="97">
        <f t="shared" si="3"/>
        <v>70.92869202662213</v>
      </c>
      <c r="U29" s="98" t="str">
        <f t="shared" si="0"/>
        <v>ALTO</v>
      </c>
      <c r="AA29" s="132">
        <f>'FM-029 Sin depurar'!P29-'FM-029 Depurada16Oct2020'!P29</f>
        <v>2551.3099999999995</v>
      </c>
    </row>
    <row r="30" spans="2:27" ht="78" thickBot="1">
      <c r="B30" s="108">
        <v>21</v>
      </c>
      <c r="C30" s="125" t="s">
        <v>110</v>
      </c>
      <c r="D30" s="129" t="s">
        <v>131</v>
      </c>
      <c r="E30" s="129">
        <v>150</v>
      </c>
      <c r="F30" s="113">
        <v>19000</v>
      </c>
      <c r="G30" s="114"/>
      <c r="H30" s="114">
        <f>1.19*8561</f>
        <v>10187.59</v>
      </c>
      <c r="I30" s="114">
        <v>8907.5630252100837</v>
      </c>
      <c r="J30" s="107"/>
      <c r="K30" s="107">
        <v>13454</v>
      </c>
      <c r="L30" s="107"/>
      <c r="M30" s="107">
        <v>18231</v>
      </c>
      <c r="N30" s="107">
        <v>18231</v>
      </c>
      <c r="O30" s="92">
        <f t="shared" si="1"/>
        <v>6</v>
      </c>
      <c r="P30" s="93">
        <v>14669</v>
      </c>
      <c r="Q30" s="94">
        <v>2200350</v>
      </c>
      <c r="R30" s="95">
        <f t="shared" si="4"/>
        <v>4059.6934254468674</v>
      </c>
      <c r="S30" s="96">
        <f t="shared" si="2"/>
        <v>27.675325008159163</v>
      </c>
      <c r="T30" s="97">
        <f t="shared" si="3"/>
        <v>72.324674991840837</v>
      </c>
      <c r="U30" s="98" t="str">
        <f t="shared" si="0"/>
        <v>ALTO</v>
      </c>
      <c r="AA30" s="132">
        <f>'FM-029 Sin depurar'!P30-'FM-029 Depurada16Oct2020'!P30</f>
        <v>-1060.2600000000002</v>
      </c>
    </row>
    <row r="31" spans="2:27" ht="155.5" thickBot="1">
      <c r="B31" s="108">
        <v>22</v>
      </c>
      <c r="C31" s="125" t="s">
        <v>111</v>
      </c>
      <c r="D31" s="129" t="s">
        <v>131</v>
      </c>
      <c r="E31" s="129">
        <v>108</v>
      </c>
      <c r="F31" s="113">
        <v>32000</v>
      </c>
      <c r="G31" s="114">
        <v>18020</v>
      </c>
      <c r="H31" s="114">
        <v>19117</v>
      </c>
      <c r="I31" s="114">
        <v>18907.563025210085</v>
      </c>
      <c r="J31" s="107"/>
      <c r="K31" s="107"/>
      <c r="L31" s="107"/>
      <c r="M31" s="107">
        <v>20583</v>
      </c>
      <c r="N31" s="107">
        <v>20583</v>
      </c>
      <c r="O31" s="92">
        <f t="shared" si="1"/>
        <v>6</v>
      </c>
      <c r="P31" s="93">
        <v>21534</v>
      </c>
      <c r="Q31" s="94">
        <v>2325672</v>
      </c>
      <c r="R31" s="95">
        <f t="shared" si="4"/>
        <v>4768.5463718632473</v>
      </c>
      <c r="S31" s="96">
        <f t="shared" si="2"/>
        <v>22.144266610305781</v>
      </c>
      <c r="T31" s="97">
        <f t="shared" si="3"/>
        <v>77.855733389694223</v>
      </c>
      <c r="U31" s="98" t="str">
        <f t="shared" si="0"/>
        <v>ALTO</v>
      </c>
      <c r="AA31" s="132">
        <f>'FM-029 Sin depurar'!P31-'FM-029 Depurada16Oct2020'!P31</f>
        <v>5853.2200000000012</v>
      </c>
    </row>
    <row r="32" spans="2:27" ht="130.5" customHeight="1" thickBot="1">
      <c r="B32" s="108">
        <v>23</v>
      </c>
      <c r="C32" s="125" t="s">
        <v>112</v>
      </c>
      <c r="D32" s="129" t="s">
        <v>133</v>
      </c>
      <c r="E32" s="129">
        <v>300</v>
      </c>
      <c r="F32" s="113"/>
      <c r="G32" s="114">
        <v>4600</v>
      </c>
      <c r="H32" s="114">
        <f>1.19*5084</f>
        <v>6049.96</v>
      </c>
      <c r="I32" s="114">
        <v>5147.0588235294117</v>
      </c>
      <c r="J32" s="107">
        <v>7027</v>
      </c>
      <c r="K32" s="107"/>
      <c r="L32" s="107"/>
      <c r="M32" s="107">
        <v>7949</v>
      </c>
      <c r="N32" s="107">
        <v>7949</v>
      </c>
      <c r="O32" s="92">
        <f t="shared" si="1"/>
        <v>6</v>
      </c>
      <c r="P32" s="93">
        <v>6454</v>
      </c>
      <c r="Q32" s="94">
        <v>1936200</v>
      </c>
      <c r="R32" s="95">
        <f t="shared" si="4"/>
        <v>1297.8853253258831</v>
      </c>
      <c r="S32" s="96">
        <f t="shared" si="2"/>
        <v>20.109781923239588</v>
      </c>
      <c r="T32" s="97">
        <f t="shared" si="3"/>
        <v>79.890218076760419</v>
      </c>
      <c r="U32" s="98" t="str">
        <f t="shared" si="0"/>
        <v>ALTO</v>
      </c>
      <c r="AA32" s="132">
        <f>'FM-029 Sin depurar'!P32-'FM-029 Depurada16Oct2020'!P32</f>
        <v>1779.25</v>
      </c>
    </row>
    <row r="33" spans="2:27" ht="93.5" thickBot="1">
      <c r="B33" s="108">
        <v>24</v>
      </c>
      <c r="C33" s="125" t="s">
        <v>113</v>
      </c>
      <c r="D33" s="129" t="s">
        <v>133</v>
      </c>
      <c r="E33" s="129">
        <v>500</v>
      </c>
      <c r="F33" s="113"/>
      <c r="G33" s="114"/>
      <c r="H33" s="114">
        <f>1.19*1920</f>
        <v>2284.7999999999997</v>
      </c>
      <c r="I33" s="114">
        <v>2000</v>
      </c>
      <c r="J33" s="107"/>
      <c r="K33" s="107"/>
      <c r="L33" s="107"/>
      <c r="M33" s="107">
        <v>32315</v>
      </c>
      <c r="N33" s="107"/>
      <c r="O33" s="92">
        <f t="shared" si="1"/>
        <v>3</v>
      </c>
      <c r="P33" s="93">
        <v>12200</v>
      </c>
      <c r="Q33" s="94">
        <v>6100000</v>
      </c>
      <c r="R33" s="95">
        <f>STDEVP(H33:I33)</f>
        <v>142.39999999999986</v>
      </c>
      <c r="S33" s="96">
        <f t="shared" si="2"/>
        <v>1.1672131147540974</v>
      </c>
      <c r="T33" s="97">
        <f t="shared" si="3"/>
        <v>98.832786885245909</v>
      </c>
      <c r="U33" s="98" t="str">
        <f t="shared" si="0"/>
        <v>ALTO</v>
      </c>
      <c r="AA33" s="132">
        <f>'FM-029 Sin depurar'!P33-'FM-029 Depurada16Oct2020'!P33</f>
        <v>4785.7999999999993</v>
      </c>
    </row>
    <row r="34" spans="2:27" ht="62.5" thickBot="1">
      <c r="B34" s="108">
        <v>25</v>
      </c>
      <c r="C34" s="125" t="s">
        <v>114</v>
      </c>
      <c r="D34" s="129" t="s">
        <v>131</v>
      </c>
      <c r="E34" s="129">
        <v>10</v>
      </c>
      <c r="F34" s="113"/>
      <c r="G34" s="114">
        <v>22228</v>
      </c>
      <c r="H34" s="114">
        <f>1.19*12753</f>
        <v>15176.07</v>
      </c>
      <c r="I34" s="114">
        <v>11764.705882352942</v>
      </c>
      <c r="J34" s="107"/>
      <c r="K34" s="107"/>
      <c r="L34" s="107"/>
      <c r="M34" s="107">
        <v>30299</v>
      </c>
      <c r="N34" s="107"/>
      <c r="O34" s="92">
        <f t="shared" si="1"/>
        <v>4</v>
      </c>
      <c r="P34" s="93">
        <v>19867</v>
      </c>
      <c r="Q34" s="94">
        <v>198670</v>
      </c>
      <c r="R34" s="95">
        <f>STDEVP(G34:I34)</f>
        <v>4356.9567062401247</v>
      </c>
      <c r="S34" s="96">
        <f t="shared" si="2"/>
        <v>21.930622168621959</v>
      </c>
      <c r="T34" s="97">
        <f t="shared" si="3"/>
        <v>78.069377831378034</v>
      </c>
      <c r="U34" s="98" t="str">
        <f t="shared" si="0"/>
        <v>ALTO</v>
      </c>
      <c r="AA34" s="132">
        <f>'FM-029 Sin depurar'!P34-'FM-029 Depurada16Oct2020'!P34</f>
        <v>3594.130000000001</v>
      </c>
    </row>
    <row r="35" spans="2:27" ht="78" thickBot="1">
      <c r="B35" s="108">
        <v>26</v>
      </c>
      <c r="C35" s="125" t="s">
        <v>115</v>
      </c>
      <c r="D35" s="128" t="s">
        <v>133</v>
      </c>
      <c r="E35" s="128">
        <v>300</v>
      </c>
      <c r="F35" s="113"/>
      <c r="G35" s="114"/>
      <c r="H35" s="114">
        <f>1.19*4637</f>
        <v>5518.03</v>
      </c>
      <c r="I35" s="114">
        <v>5042.0168067226896</v>
      </c>
      <c r="J35" s="107"/>
      <c r="K35" s="107"/>
      <c r="L35" s="107"/>
      <c r="M35" s="107"/>
      <c r="N35" s="107"/>
      <c r="O35" s="92">
        <f t="shared" si="1"/>
        <v>2</v>
      </c>
      <c r="P35" s="93">
        <v>5280</v>
      </c>
      <c r="Q35" s="94">
        <v>1584000</v>
      </c>
      <c r="R35" s="95">
        <f t="shared" si="4"/>
        <v>238.00659663865508</v>
      </c>
      <c r="S35" s="96">
        <f t="shared" si="2"/>
        <v>4.5077006939139217</v>
      </c>
      <c r="T35" s="97">
        <f t="shared" si="3"/>
        <v>95.492299306086082</v>
      </c>
      <c r="U35" s="98" t="str">
        <f t="shared" si="0"/>
        <v>ALTO</v>
      </c>
      <c r="AA35" s="132">
        <f>'FM-029 Sin depurar'!P35-'FM-029 Depurada16Oct2020'!P35</f>
        <v>702.51000000000022</v>
      </c>
    </row>
    <row r="36" spans="2:27" ht="93.5" thickBot="1">
      <c r="B36" s="108">
        <v>27</v>
      </c>
      <c r="C36" s="125" t="s">
        <v>116</v>
      </c>
      <c r="D36" s="128" t="s">
        <v>70</v>
      </c>
      <c r="E36" s="128">
        <v>5</v>
      </c>
      <c r="F36" s="113">
        <v>30000</v>
      </c>
      <c r="G36" s="114">
        <v>18700</v>
      </c>
      <c r="H36" s="114">
        <f>1.19*14847</f>
        <v>17667.93</v>
      </c>
      <c r="I36" s="114"/>
      <c r="J36" s="107"/>
      <c r="K36" s="107"/>
      <c r="L36" s="107"/>
      <c r="M36" s="107">
        <v>29735</v>
      </c>
      <c r="N36" s="107">
        <v>29735</v>
      </c>
      <c r="O36" s="92">
        <f t="shared" si="1"/>
        <v>5</v>
      </c>
      <c r="P36" s="93">
        <v>25167</v>
      </c>
      <c r="Q36" s="94">
        <v>125835</v>
      </c>
      <c r="R36" s="95">
        <f t="shared" si="4"/>
        <v>5712.2548113318653</v>
      </c>
      <c r="S36" s="96">
        <f t="shared" si="2"/>
        <v>22.69740060925762</v>
      </c>
      <c r="T36" s="97">
        <f t="shared" si="3"/>
        <v>77.302599390742387</v>
      </c>
      <c r="U36" s="98" t="str">
        <f t="shared" si="0"/>
        <v>ALTO</v>
      </c>
      <c r="AA36" s="132">
        <f>'FM-029 Sin depurar'!P36-'FM-029 Depurada16Oct2020'!P36</f>
        <v>-2793.4500000000007</v>
      </c>
    </row>
    <row r="37" spans="2:27" ht="107.25" customHeight="1" thickBot="1">
      <c r="B37" s="108">
        <v>28</v>
      </c>
      <c r="C37" s="125" t="s">
        <v>117</v>
      </c>
      <c r="D37" s="128" t="s">
        <v>70</v>
      </c>
      <c r="E37" s="128">
        <v>10</v>
      </c>
      <c r="F37" s="113">
        <v>73000</v>
      </c>
      <c r="G37" s="114">
        <v>86666</v>
      </c>
      <c r="H37" s="114">
        <f>1.19*92974</f>
        <v>110639.06</v>
      </c>
      <c r="I37" s="114"/>
      <c r="J37" s="107"/>
      <c r="K37" s="107"/>
      <c r="L37" s="107"/>
      <c r="M37" s="107"/>
      <c r="N37" s="107"/>
      <c r="O37" s="92">
        <f t="shared" si="1"/>
        <v>3</v>
      </c>
      <c r="P37" s="93">
        <v>90101</v>
      </c>
      <c r="Q37" s="94">
        <v>901010</v>
      </c>
      <c r="R37" s="95">
        <f>STDEVP(F37:H37)</f>
        <v>15556.941999731966</v>
      </c>
      <c r="S37" s="96">
        <f t="shared" si="2"/>
        <v>17.266114693213133</v>
      </c>
      <c r="T37" s="97">
        <f t="shared" si="3"/>
        <v>82.733885306786874</v>
      </c>
      <c r="U37" s="98" t="str">
        <f t="shared" si="0"/>
        <v>ALTO</v>
      </c>
      <c r="AA37" s="132">
        <f>'FM-029 Sin depurar'!P37-'FM-029 Depurada16Oct2020'!P37</f>
        <v>-7818.8500000000058</v>
      </c>
    </row>
    <row r="38" spans="2:27" ht="158.25" customHeight="1" thickBot="1">
      <c r="B38" s="108">
        <v>29</v>
      </c>
      <c r="C38" s="125" t="s">
        <v>118</v>
      </c>
      <c r="D38" s="129" t="s">
        <v>70</v>
      </c>
      <c r="E38" s="129">
        <v>30</v>
      </c>
      <c r="F38" s="113">
        <v>13000</v>
      </c>
      <c r="G38" s="114">
        <v>19500</v>
      </c>
      <c r="H38" s="114">
        <f>1.19*17780</f>
        <v>21158.2</v>
      </c>
      <c r="I38" s="114">
        <v>25210.084033613446</v>
      </c>
      <c r="J38" s="107">
        <v>22382</v>
      </c>
      <c r="K38" s="107"/>
      <c r="L38" s="107"/>
      <c r="M38" s="107">
        <v>27518</v>
      </c>
      <c r="N38" s="107">
        <v>27518</v>
      </c>
      <c r="O38" s="92">
        <f t="shared" si="1"/>
        <v>7</v>
      </c>
      <c r="P38" s="93">
        <v>22326</v>
      </c>
      <c r="Q38" s="94">
        <v>669780</v>
      </c>
      <c r="R38" s="95">
        <f t="shared" si="4"/>
        <v>4759.3383533412352</v>
      </c>
      <c r="S38" s="96">
        <f t="shared" si="2"/>
        <v>21.317470005111687</v>
      </c>
      <c r="T38" s="97">
        <f t="shared" si="3"/>
        <v>78.682529994888313</v>
      </c>
      <c r="U38" s="98" t="str">
        <f t="shared" si="0"/>
        <v>ALTO</v>
      </c>
      <c r="AA38" s="132">
        <f>'FM-029 Sin depurar'!P38-'FM-029 Depurada16Oct2020'!P38</f>
        <v>0.61000000000058208</v>
      </c>
    </row>
    <row r="39" spans="2:27" ht="197.25" customHeight="1" thickBot="1">
      <c r="B39" s="108">
        <v>30</v>
      </c>
      <c r="C39" s="125" t="s">
        <v>119</v>
      </c>
      <c r="D39" s="128" t="s">
        <v>70</v>
      </c>
      <c r="E39" s="128">
        <v>2</v>
      </c>
      <c r="F39" s="113">
        <v>35000</v>
      </c>
      <c r="G39" s="114">
        <v>34760</v>
      </c>
      <c r="H39" s="114"/>
      <c r="I39" s="114"/>
      <c r="J39" s="107"/>
      <c r="K39" s="107"/>
      <c r="L39" s="107"/>
      <c r="M39" s="107"/>
      <c r="N39" s="107"/>
      <c r="O39" s="92">
        <f t="shared" si="1"/>
        <v>2</v>
      </c>
      <c r="P39" s="93">
        <v>34878.5</v>
      </c>
      <c r="Q39" s="94">
        <v>69757</v>
      </c>
      <c r="R39" s="95">
        <f>STDEVP(F39:I39)</f>
        <v>120</v>
      </c>
      <c r="S39" s="96">
        <f t="shared" si="2"/>
        <v>0.344051493040125</v>
      </c>
      <c r="T39" s="97">
        <f t="shared" si="3"/>
        <v>99.655948506959874</v>
      </c>
      <c r="U39" s="98" t="str">
        <f t="shared" si="0"/>
        <v>ALTO</v>
      </c>
      <c r="AA39" s="132">
        <f>'FM-029 Sin depurar'!P39-'FM-029 Depurada16Oct2020'!P39</f>
        <v>43574.210000000006</v>
      </c>
    </row>
    <row r="40" spans="2:27" ht="124.5" thickBot="1">
      <c r="B40" s="108">
        <v>31</v>
      </c>
      <c r="C40" s="125" t="s">
        <v>120</v>
      </c>
      <c r="D40" s="128" t="s">
        <v>131</v>
      </c>
      <c r="E40" s="128">
        <v>2</v>
      </c>
      <c r="F40" s="113">
        <v>121000</v>
      </c>
      <c r="G40" s="114"/>
      <c r="H40" s="114">
        <f>1.19*84405</f>
        <v>100441.95</v>
      </c>
      <c r="I40" s="114">
        <v>57143</v>
      </c>
      <c r="J40" s="107"/>
      <c r="K40" s="107"/>
      <c r="L40" s="107"/>
      <c r="M40" s="107"/>
      <c r="N40" s="107"/>
      <c r="O40" s="92">
        <f t="shared" si="1"/>
        <v>3</v>
      </c>
      <c r="P40" s="93">
        <v>92859</v>
      </c>
      <c r="Q40" s="94">
        <v>185718</v>
      </c>
      <c r="R40" s="95">
        <f>STDEVP(F40:I40)</f>
        <v>26614.843268591056</v>
      </c>
      <c r="S40" s="96">
        <f t="shared" si="2"/>
        <v>28.661565673323054</v>
      </c>
      <c r="T40" s="97">
        <f t="shared" si="3"/>
        <v>71.338434326676946</v>
      </c>
      <c r="U40" s="98" t="str">
        <f t="shared" si="0"/>
        <v>ALTO</v>
      </c>
      <c r="AA40" s="132">
        <f>'FM-029 Sin depurar'!P40-'FM-029 Depurada16Oct2020'!P40</f>
        <v>2.6000000000058208</v>
      </c>
    </row>
    <row r="41" spans="2:27" ht="78" thickBot="1">
      <c r="B41" s="108">
        <v>32</v>
      </c>
      <c r="C41" s="125" t="s">
        <v>121</v>
      </c>
      <c r="D41" s="129" t="s">
        <v>70</v>
      </c>
      <c r="E41" s="129">
        <v>80</v>
      </c>
      <c r="F41" s="113"/>
      <c r="G41" s="114"/>
      <c r="H41" s="114">
        <f>1.19*8203</f>
        <v>9761.57</v>
      </c>
      <c r="I41" s="114">
        <v>10819.327731092437</v>
      </c>
      <c r="J41" s="107"/>
      <c r="K41" s="107">
        <v>12968</v>
      </c>
      <c r="L41" s="107"/>
      <c r="M41" s="107">
        <v>21926</v>
      </c>
      <c r="N41" s="107"/>
      <c r="O41" s="92">
        <f t="shared" si="1"/>
        <v>4</v>
      </c>
      <c r="P41" s="93">
        <v>13869</v>
      </c>
      <c r="Q41" s="94">
        <v>1109520</v>
      </c>
      <c r="R41" s="95">
        <f>STDEVP(H41:K41)</f>
        <v>1334.0347022705248</v>
      </c>
      <c r="S41" s="96">
        <f t="shared" si="2"/>
        <v>9.618824012333441</v>
      </c>
      <c r="T41" s="97">
        <f t="shared" si="3"/>
        <v>90.381175987666552</v>
      </c>
      <c r="U41" s="98" t="str">
        <f t="shared" si="0"/>
        <v>ALTO</v>
      </c>
      <c r="AA41" s="132">
        <f>'FM-029 Sin depurar'!P41-'FM-029 Depurada16Oct2020'!P41</f>
        <v>8197.82</v>
      </c>
    </row>
    <row r="42" spans="2:27" ht="93.5" thickBot="1">
      <c r="B42" s="108">
        <v>33</v>
      </c>
      <c r="C42" s="125" t="s">
        <v>122</v>
      </c>
      <c r="D42" s="129" t="s">
        <v>134</v>
      </c>
      <c r="E42" s="129">
        <v>150</v>
      </c>
      <c r="F42" s="113"/>
      <c r="G42" s="114">
        <v>36450</v>
      </c>
      <c r="H42" s="114">
        <f>1.19*32560</f>
        <v>38746.400000000001</v>
      </c>
      <c r="I42" s="114">
        <v>30420.168067226892</v>
      </c>
      <c r="J42" s="107"/>
      <c r="K42" s="107">
        <v>44310</v>
      </c>
      <c r="L42" s="107"/>
      <c r="M42" s="107">
        <v>45649</v>
      </c>
      <c r="N42" s="107">
        <v>45649</v>
      </c>
      <c r="O42" s="92">
        <f t="shared" si="1"/>
        <v>6</v>
      </c>
      <c r="P42" s="93">
        <v>40204</v>
      </c>
      <c r="Q42" s="94">
        <v>6030600</v>
      </c>
      <c r="R42" s="95">
        <f t="shared" si="4"/>
        <v>5599.044070121362</v>
      </c>
      <c r="S42" s="96">
        <f t="shared" si="2"/>
        <v>13.926584593874644</v>
      </c>
      <c r="T42" s="97">
        <f t="shared" si="3"/>
        <v>86.073415406125349</v>
      </c>
      <c r="U42" s="98" t="str">
        <f t="shared" si="0"/>
        <v>ALTO</v>
      </c>
      <c r="AA42" s="132">
        <f>'FM-029 Sin depurar'!P42-'FM-029 Depurada16Oct2020'!P42</f>
        <v>4542.3700000000026</v>
      </c>
    </row>
    <row r="43" spans="2:27" ht="140" thickBot="1">
      <c r="B43" s="108">
        <v>34</v>
      </c>
      <c r="C43" s="125" t="s">
        <v>123</v>
      </c>
      <c r="D43" s="128" t="s">
        <v>70</v>
      </c>
      <c r="E43" s="128">
        <v>5</v>
      </c>
      <c r="F43" s="113"/>
      <c r="G43" s="114"/>
      <c r="H43" s="114">
        <v>34361</v>
      </c>
      <c r="I43" s="114">
        <v>9139</v>
      </c>
      <c r="J43" s="107"/>
      <c r="K43" s="107"/>
      <c r="L43" s="107"/>
      <c r="M43" s="107">
        <v>65757</v>
      </c>
      <c r="N43" s="107">
        <v>65757</v>
      </c>
      <c r="O43" s="92">
        <f t="shared" si="1"/>
        <v>4</v>
      </c>
      <c r="P43" s="93">
        <v>43753</v>
      </c>
      <c r="Q43" s="94">
        <v>218765</v>
      </c>
      <c r="R43" s="95">
        <f>STDEVP(H43:N43)</f>
        <v>23741.791692077495</v>
      </c>
      <c r="S43" s="96">
        <f t="shared" si="2"/>
        <v>54.26323153172924</v>
      </c>
      <c r="T43" s="97">
        <f t="shared" si="3"/>
        <v>45.73676846827076</v>
      </c>
      <c r="U43" s="98" t="str">
        <f t="shared" si="0"/>
        <v>BAJO</v>
      </c>
      <c r="AA43" s="132">
        <f>'FM-029 Sin depurar'!P43-'FM-029 Depurada16Oct2020'!P43</f>
        <v>91849.78</v>
      </c>
    </row>
    <row r="44" spans="2:27" ht="93" customHeight="1" thickBot="1">
      <c r="B44" s="108">
        <v>35</v>
      </c>
      <c r="C44" s="125" t="s">
        <v>124</v>
      </c>
      <c r="D44" s="129" t="s">
        <v>70</v>
      </c>
      <c r="E44" s="129">
        <v>10</v>
      </c>
      <c r="F44" s="113">
        <v>144000</v>
      </c>
      <c r="G44" s="114"/>
      <c r="H44" s="114"/>
      <c r="I44" s="114"/>
      <c r="J44" s="107"/>
      <c r="K44" s="107"/>
      <c r="L44" s="107"/>
      <c r="M44" s="107">
        <v>25780</v>
      </c>
      <c r="N44" s="107">
        <v>25000</v>
      </c>
      <c r="O44" s="92">
        <f t="shared" si="1"/>
        <v>3</v>
      </c>
      <c r="P44" s="93">
        <v>64926</v>
      </c>
      <c r="Q44" s="94">
        <v>649260</v>
      </c>
      <c r="R44" s="95">
        <f>STDEVP(F44:N44)</f>
        <v>55914.19696483374</v>
      </c>
      <c r="S44" s="96">
        <f t="shared" si="2"/>
        <v>86.11988566188235</v>
      </c>
      <c r="T44" s="97">
        <f t="shared" si="3"/>
        <v>13.88011433811765</v>
      </c>
      <c r="U44" s="98" t="str">
        <f t="shared" si="0"/>
        <v>BAJO</v>
      </c>
      <c r="AA44" s="132">
        <f>'FM-029 Sin depurar'!P44-'FM-029 Depurada16Oct2020'!P44</f>
        <v>-14985.580000000002</v>
      </c>
    </row>
    <row r="45" spans="2:27" ht="124.5" thickBot="1">
      <c r="B45" s="108">
        <v>36</v>
      </c>
      <c r="C45" s="125" t="s">
        <v>150</v>
      </c>
      <c r="D45" s="129" t="s">
        <v>151</v>
      </c>
      <c r="E45" s="129">
        <v>4</v>
      </c>
      <c r="F45" s="113">
        <v>1200000</v>
      </c>
      <c r="G45" s="114"/>
      <c r="H45" s="114">
        <f>1.19*261500</f>
        <v>311185</v>
      </c>
      <c r="I45" s="114">
        <v>605042</v>
      </c>
      <c r="J45" s="107"/>
      <c r="K45" s="107"/>
      <c r="L45" s="107"/>
      <c r="M45" s="107"/>
      <c r="N45" s="107"/>
      <c r="O45" s="92">
        <f t="shared" si="1"/>
        <v>3</v>
      </c>
      <c r="P45" s="93">
        <v>705410</v>
      </c>
      <c r="Q45" s="94">
        <v>2821640</v>
      </c>
      <c r="R45" s="95">
        <f>STDEVP(F45:I45)</f>
        <v>369732.49525659316</v>
      </c>
      <c r="S45" s="96">
        <f t="shared" si="2"/>
        <v>52.413843758465738</v>
      </c>
      <c r="T45" s="97">
        <f t="shared" si="3"/>
        <v>47.586156241534262</v>
      </c>
      <c r="U45" s="98" t="str">
        <f t="shared" si="0"/>
        <v>BAJO</v>
      </c>
      <c r="AA45" s="132">
        <f>'FM-029 Sin depurar'!P45-'FM-029 Depurada16Oct2020'!P45</f>
        <v>-0.98999999999068677</v>
      </c>
    </row>
    <row r="46" spans="2:27" ht="31.5" thickBot="1">
      <c r="B46" s="108">
        <v>37</v>
      </c>
      <c r="C46" s="125" t="s">
        <v>126</v>
      </c>
      <c r="D46" s="129" t="s">
        <v>70</v>
      </c>
      <c r="E46" s="129">
        <v>10</v>
      </c>
      <c r="F46" s="113"/>
      <c r="G46" s="114"/>
      <c r="H46" s="114">
        <f>1.19*250000</f>
        <v>297500</v>
      </c>
      <c r="I46" s="114">
        <v>290000</v>
      </c>
      <c r="J46" s="107">
        <v>391262</v>
      </c>
      <c r="K46" s="107">
        <v>335000</v>
      </c>
      <c r="L46" s="107"/>
      <c r="M46" s="107"/>
      <c r="N46" s="107"/>
      <c r="O46" s="92">
        <f t="shared" si="1"/>
        <v>4</v>
      </c>
      <c r="P46" s="93">
        <v>328440</v>
      </c>
      <c r="Q46" s="94">
        <v>3284400</v>
      </c>
      <c r="R46" s="95">
        <f>STDEVP(H46:K46)</f>
        <v>40076.659301269108</v>
      </c>
      <c r="S46" s="96">
        <f t="shared" si="2"/>
        <v>12.202124985162923</v>
      </c>
      <c r="T46" s="97">
        <f t="shared" si="3"/>
        <v>87.797875014837075</v>
      </c>
      <c r="U46" s="98" t="str">
        <f t="shared" si="0"/>
        <v>ALTO</v>
      </c>
      <c r="AA46" s="132">
        <f>'FM-029 Sin depurar'!P46-'FM-029 Depurada16Oct2020'!P46</f>
        <v>-15687.599999999977</v>
      </c>
    </row>
    <row r="47" spans="2:27" ht="47" thickBot="1">
      <c r="B47" s="108">
        <v>38</v>
      </c>
      <c r="C47" s="125" t="s">
        <v>127</v>
      </c>
      <c r="D47" s="129" t="s">
        <v>152</v>
      </c>
      <c r="E47" s="129">
        <v>20</v>
      </c>
      <c r="F47" s="113">
        <v>45000</v>
      </c>
      <c r="G47" s="114"/>
      <c r="H47" s="114">
        <f>1.19*40336</f>
        <v>47999.839999999997</v>
      </c>
      <c r="I47" s="114"/>
      <c r="J47" s="107"/>
      <c r="K47" s="107"/>
      <c r="L47" s="107"/>
      <c r="M47" s="107"/>
      <c r="N47" s="107"/>
      <c r="O47" s="92">
        <f t="shared" si="1"/>
        <v>2</v>
      </c>
      <c r="P47" s="93">
        <v>46500</v>
      </c>
      <c r="Q47" s="94">
        <v>930000</v>
      </c>
      <c r="R47" s="95">
        <f t="shared" si="4"/>
        <v>1499.9199999999983</v>
      </c>
      <c r="S47" s="96">
        <f t="shared" si="2"/>
        <v>3.2256344086021467</v>
      </c>
      <c r="T47" s="97">
        <f t="shared" si="3"/>
        <v>96.774365591397853</v>
      </c>
      <c r="U47" s="98" t="str">
        <f t="shared" si="0"/>
        <v>ALTO</v>
      </c>
      <c r="AA47" s="132">
        <f>'FM-029 Sin depurar'!P47-'FM-029 Depurada16Oct2020'!P47</f>
        <v>16166.61</v>
      </c>
    </row>
    <row r="48" spans="2:27" ht="35.25" customHeight="1" thickBot="1">
      <c r="B48" s="108">
        <v>39</v>
      </c>
      <c r="C48" s="125" t="s">
        <v>128</v>
      </c>
      <c r="D48" s="129" t="s">
        <v>70</v>
      </c>
      <c r="E48" s="129">
        <v>50</v>
      </c>
      <c r="F48" s="113"/>
      <c r="G48" s="114"/>
      <c r="H48" s="114">
        <f>1.19*3850</f>
        <v>4581.5</v>
      </c>
      <c r="I48" s="114">
        <v>4621.8487394957983</v>
      </c>
      <c r="J48" s="107"/>
      <c r="K48" s="107"/>
      <c r="L48" s="107"/>
      <c r="M48" s="107"/>
      <c r="N48" s="107"/>
      <c r="O48" s="92">
        <f t="shared" si="1"/>
        <v>2</v>
      </c>
      <c r="P48" s="93">
        <v>4601</v>
      </c>
      <c r="Q48" s="94">
        <v>230050</v>
      </c>
      <c r="R48" s="95">
        <f t="shared" si="4"/>
        <v>20.174369747899163</v>
      </c>
      <c r="S48" s="96">
        <f t="shared" si="2"/>
        <v>0.43847793409909075</v>
      </c>
      <c r="T48" s="97">
        <f t="shared" si="3"/>
        <v>99.561522065900903</v>
      </c>
      <c r="U48" s="98" t="str">
        <f t="shared" si="0"/>
        <v>ALTO</v>
      </c>
      <c r="AA48" s="132">
        <f>'FM-029 Sin depurar'!P48-'FM-029 Depurada16Oct2020'!P48</f>
        <v>-4601</v>
      </c>
    </row>
    <row r="49" spans="2:29" ht="62.5" thickBot="1">
      <c r="B49" s="108">
        <v>40</v>
      </c>
      <c r="C49" s="125" t="s">
        <v>129</v>
      </c>
      <c r="D49" s="129" t="s">
        <v>137</v>
      </c>
      <c r="E49" s="129">
        <v>400</v>
      </c>
      <c r="F49" s="113"/>
      <c r="G49" s="114"/>
      <c r="H49" s="114">
        <v>5236</v>
      </c>
      <c r="I49" s="114">
        <v>17350</v>
      </c>
      <c r="J49" s="107"/>
      <c r="K49" s="107"/>
      <c r="L49" s="107"/>
      <c r="M49" s="107"/>
      <c r="N49" s="107"/>
      <c r="O49" s="92">
        <f t="shared" si="1"/>
        <v>2</v>
      </c>
      <c r="P49" s="93">
        <v>11293</v>
      </c>
      <c r="Q49" s="94">
        <v>4517200</v>
      </c>
      <c r="R49" s="95">
        <f>STDEVP(H49:I49)</f>
        <v>6057</v>
      </c>
      <c r="S49" s="96">
        <f t="shared" si="2"/>
        <v>53.634995129726384</v>
      </c>
      <c r="T49" s="97">
        <f t="shared" si="3"/>
        <v>46.365004870273616</v>
      </c>
      <c r="U49" s="98" t="str">
        <f t="shared" si="0"/>
        <v>BAJO</v>
      </c>
      <c r="AA49" s="132">
        <f>'FM-029 Sin depurar'!P49-'FM-029 Depurada16Oct2020'!P49</f>
        <v>-11293</v>
      </c>
    </row>
    <row r="50" spans="2:29" ht="31.5" thickBot="1">
      <c r="B50" s="108">
        <v>41</v>
      </c>
      <c r="C50" s="126" t="s">
        <v>153</v>
      </c>
      <c r="D50" s="130" t="s">
        <v>138</v>
      </c>
      <c r="E50" s="130">
        <v>80</v>
      </c>
      <c r="F50" s="113"/>
      <c r="G50" s="114"/>
      <c r="H50" s="114">
        <v>7746</v>
      </c>
      <c r="I50" s="114"/>
      <c r="J50" s="107">
        <v>8749</v>
      </c>
      <c r="K50" s="107"/>
      <c r="L50" s="107"/>
      <c r="M50" s="107"/>
      <c r="N50" s="107"/>
      <c r="O50" s="92">
        <f t="shared" si="1"/>
        <v>2</v>
      </c>
      <c r="P50" s="93">
        <v>8247</v>
      </c>
      <c r="Q50" s="94">
        <v>659760</v>
      </c>
      <c r="R50" s="95">
        <f>STDEVP(H50:J50)</f>
        <v>501.5</v>
      </c>
      <c r="S50" s="96">
        <f t="shared" si="2"/>
        <v>6.0809991512064991</v>
      </c>
      <c r="T50" s="97">
        <f t="shared" si="3"/>
        <v>93.919000848793502</v>
      </c>
      <c r="U50" s="98" t="str">
        <f t="shared" si="0"/>
        <v>ALTO</v>
      </c>
      <c r="V50" s="47"/>
      <c r="AA50" s="132">
        <f>'FM-029 Sin depurar'!P50-'FM-029 Depurada16Oct2020'!P50</f>
        <v>500457.97</v>
      </c>
    </row>
    <row r="51" spans="2:29">
      <c r="B51" s="80"/>
      <c r="C51" s="82"/>
      <c r="D51" s="81"/>
      <c r="E51" s="81"/>
      <c r="F51" s="86"/>
      <c r="G51" s="86"/>
      <c r="H51" s="86"/>
      <c r="I51" s="86"/>
      <c r="J51" s="107"/>
      <c r="K51" s="107"/>
      <c r="L51" s="107"/>
      <c r="M51" s="107"/>
      <c r="N51" s="107"/>
      <c r="O51" s="247" t="s">
        <v>73</v>
      </c>
      <c r="P51" s="248"/>
      <c r="Q51" s="71">
        <f>SUM(Q10:Q50)</f>
        <v>74056126</v>
      </c>
      <c r="R51" s="61"/>
      <c r="S51" s="62"/>
      <c r="T51" s="63"/>
      <c r="U51" s="64"/>
    </row>
    <row r="52" spans="2:29" s="42" customFormat="1" ht="9.75" customHeight="1" thickBot="1">
      <c r="B52" s="49"/>
      <c r="C52" s="50"/>
      <c r="D52" s="51"/>
      <c r="E52" s="83"/>
      <c r="F52" s="70"/>
      <c r="G52" s="54"/>
      <c r="H52" s="54"/>
      <c r="I52" s="54"/>
      <c r="J52" s="53"/>
      <c r="K52" s="53"/>
      <c r="L52" s="53"/>
      <c r="M52" s="69"/>
      <c r="N52" s="69"/>
      <c r="O52" s="49"/>
      <c r="P52" s="55"/>
      <c r="Q52" s="56"/>
      <c r="R52" s="57"/>
      <c r="S52" s="58"/>
      <c r="T52" s="59"/>
      <c r="U52" s="60"/>
    </row>
    <row r="53" spans="2:29" s="87" customFormat="1" ht="39" customHeight="1">
      <c r="B53" s="249" t="s">
        <v>81</v>
      </c>
      <c r="C53" s="249"/>
      <c r="D53" s="249"/>
      <c r="E53" s="249"/>
      <c r="F53" s="249"/>
      <c r="G53" s="249"/>
      <c r="H53" s="249"/>
      <c r="I53" s="249"/>
      <c r="J53" s="249"/>
      <c r="K53" s="249"/>
      <c r="L53" s="249"/>
      <c r="M53" s="249"/>
      <c r="N53" s="249"/>
      <c r="O53" s="249"/>
      <c r="P53" s="249"/>
      <c r="Q53" s="249"/>
      <c r="R53" s="249"/>
      <c r="S53" s="249"/>
      <c r="T53" s="249"/>
      <c r="U53" s="249"/>
      <c r="V53" s="91"/>
      <c r="W53" s="91"/>
      <c r="X53" s="91"/>
      <c r="Y53" s="91"/>
      <c r="AB53" s="88"/>
      <c r="AC53" s="88"/>
    </row>
    <row r="54" spans="2:29" s="87" customFormat="1" ht="19.5" customHeight="1">
      <c r="B54" s="250" t="s">
        <v>83</v>
      </c>
      <c r="C54" s="250"/>
      <c r="D54" s="250"/>
      <c r="E54" s="250"/>
      <c r="F54" s="250"/>
      <c r="G54" s="250"/>
      <c r="H54" s="250"/>
      <c r="I54" s="250"/>
      <c r="J54" s="111"/>
      <c r="K54" s="111"/>
      <c r="L54" s="111"/>
      <c r="M54" s="111"/>
      <c r="N54" s="111"/>
      <c r="O54" s="111"/>
      <c r="P54" s="111"/>
      <c r="Q54" s="111"/>
      <c r="R54" s="111"/>
      <c r="S54" s="111"/>
      <c r="T54" s="111"/>
      <c r="U54" s="111"/>
      <c r="V54" s="111"/>
      <c r="W54" s="111"/>
      <c r="X54" s="111"/>
      <c r="Y54" s="111"/>
      <c r="AB54" s="88"/>
      <c r="AC54" s="88"/>
    </row>
    <row r="55" spans="2:29" s="87" customFormat="1" ht="15.5">
      <c r="B55" s="77" t="s">
        <v>86</v>
      </c>
      <c r="E55" s="89"/>
      <c r="J55" s="90"/>
      <c r="K55" s="90"/>
      <c r="L55" s="90"/>
      <c r="M55" s="90"/>
      <c r="N55" s="90"/>
      <c r="O55" s="90"/>
      <c r="P55" s="90"/>
      <c r="AB55" s="88"/>
      <c r="AC55" s="88"/>
    </row>
    <row r="56" spans="2:29" s="42" customFormat="1">
      <c r="B56" s="48"/>
      <c r="C56" s="43"/>
      <c r="D56" s="48"/>
      <c r="E56" s="48"/>
      <c r="F56" s="45"/>
      <c r="G56" s="45"/>
      <c r="H56" s="45"/>
      <c r="I56" s="45"/>
      <c r="J56" s="48"/>
      <c r="K56" s="48"/>
      <c r="L56" s="48"/>
      <c r="M56" s="48"/>
      <c r="N56" s="48"/>
      <c r="O56" s="48"/>
      <c r="P56" s="48"/>
      <c r="Q56" s="48"/>
      <c r="R56" s="48"/>
      <c r="S56" s="48"/>
      <c r="T56" s="48"/>
      <c r="U56" s="48"/>
    </row>
    <row r="57" spans="2:29" s="42" customFormat="1">
      <c r="B57" s="48"/>
      <c r="C57" s="43"/>
      <c r="D57" s="48"/>
      <c r="E57" s="48"/>
      <c r="F57" s="45"/>
      <c r="G57" s="45"/>
      <c r="H57" s="45"/>
      <c r="I57" s="45"/>
      <c r="J57" s="48"/>
      <c r="K57" s="48"/>
      <c r="L57" s="48"/>
      <c r="M57" s="48"/>
      <c r="N57" s="48"/>
      <c r="O57" s="48"/>
      <c r="P57" s="48"/>
      <c r="Q57" s="48"/>
      <c r="R57" s="48"/>
      <c r="S57" s="48"/>
      <c r="T57" s="48"/>
      <c r="U57" s="48"/>
    </row>
    <row r="58" spans="2:29" s="100" customFormat="1" ht="28.5">
      <c r="C58" s="101"/>
      <c r="F58" s="105"/>
      <c r="G58" s="105">
        <f>1137500*1.19</f>
        <v>1353625</v>
      </c>
      <c r="H58" s="105"/>
      <c r="I58" s="103"/>
    </row>
    <row r="59" spans="2:29" s="100" customFormat="1" ht="28.5">
      <c r="C59" s="101"/>
      <c r="F59" s="104"/>
      <c r="G59" s="103"/>
      <c r="H59" s="103"/>
      <c r="I59" s="103"/>
    </row>
    <row r="60" spans="2:29" s="100" customFormat="1" ht="28.5">
      <c r="C60" s="101"/>
      <c r="F60" s="102"/>
      <c r="G60" s="103"/>
      <c r="H60" s="103"/>
      <c r="I60" s="103"/>
    </row>
    <row r="61" spans="2:29" s="42" customFormat="1">
      <c r="B61" s="48"/>
      <c r="C61" s="43"/>
      <c r="D61" s="48"/>
      <c r="E61" s="48"/>
      <c r="F61" s="99"/>
      <c r="G61" s="45"/>
      <c r="H61" s="45"/>
      <c r="I61" s="45"/>
      <c r="J61" s="48">
        <v>493660571</v>
      </c>
      <c r="K61" s="48"/>
      <c r="L61" s="48"/>
      <c r="M61" s="48"/>
      <c r="N61" s="48"/>
      <c r="O61" s="48"/>
      <c r="P61" s="48"/>
      <c r="Q61" s="48"/>
      <c r="R61" s="48"/>
      <c r="S61" s="48"/>
      <c r="T61" s="48"/>
      <c r="U61" s="48"/>
    </row>
    <row r="62" spans="2:29" s="42" customFormat="1">
      <c r="B62" s="48"/>
      <c r="C62" s="43"/>
      <c r="D62" s="48"/>
      <c r="E62" s="48"/>
      <c r="F62" s="99"/>
      <c r="G62" s="45"/>
      <c r="H62" s="45"/>
      <c r="I62" s="45"/>
      <c r="J62" s="112">
        <f>SUM(F10:F50)</f>
        <v>1766000</v>
      </c>
      <c r="K62" s="112"/>
      <c r="L62" s="112"/>
      <c r="M62" s="48"/>
      <c r="N62" s="48"/>
      <c r="O62" s="48"/>
      <c r="P62" s="48"/>
      <c r="Q62" s="48"/>
      <c r="R62" s="48"/>
      <c r="S62" s="48"/>
      <c r="T62" s="48"/>
      <c r="U62" s="48"/>
    </row>
    <row r="63" spans="2:29" s="42" customFormat="1" ht="21.5" thickBot="1">
      <c r="B63" s="48"/>
      <c r="C63" s="43"/>
      <c r="D63" s="48"/>
      <c r="E63" s="48"/>
      <c r="F63" s="99"/>
      <c r="G63" s="45"/>
      <c r="H63" s="45"/>
      <c r="I63" s="45"/>
      <c r="J63" s="112">
        <f>J61-J62</f>
        <v>491894571</v>
      </c>
      <c r="K63" s="112"/>
      <c r="L63" s="112"/>
      <c r="M63" s="48"/>
      <c r="N63" s="48"/>
      <c r="O63" s="48"/>
      <c r="P63" s="48"/>
      <c r="Q63" s="48"/>
      <c r="R63" s="48"/>
      <c r="S63" s="48"/>
      <c r="T63" s="48"/>
      <c r="U63" s="48"/>
    </row>
    <row r="64" spans="2:29" s="42" customFormat="1" ht="36" customHeight="1" thickBot="1">
      <c r="B64" s="48"/>
      <c r="C64" s="43"/>
      <c r="D64" s="48"/>
      <c r="E64" s="48"/>
      <c r="F64" s="46"/>
      <c r="G64" s="44">
        <v>26950000</v>
      </c>
      <c r="H64" s="44"/>
      <c r="I64" s="44"/>
      <c r="J64" s="48"/>
      <c r="K64" s="48"/>
      <c r="L64" s="48"/>
      <c r="M64" s="48"/>
      <c r="N64" s="48"/>
      <c r="O64" s="48"/>
      <c r="P64" s="48"/>
      <c r="Q64" s="48"/>
      <c r="R64" s="48"/>
      <c r="S64" s="48"/>
      <c r="T64" s="48"/>
      <c r="U64" s="48"/>
    </row>
    <row r="65" spans="3:36" ht="33.75" customHeight="1">
      <c r="C65" s="52"/>
      <c r="F65" s="46"/>
    </row>
    <row r="66" spans="3:36">
      <c r="C66" s="65" t="s">
        <v>71</v>
      </c>
      <c r="D66" s="65"/>
      <c r="E66" s="66" t="s">
        <v>72</v>
      </c>
      <c r="F66" s="67"/>
    </row>
    <row r="67" spans="3:36">
      <c r="C67" s="65">
        <v>2002</v>
      </c>
      <c r="D67" s="65"/>
      <c r="E67" s="68">
        <v>6.99</v>
      </c>
      <c r="F67" s="67">
        <v>1.0699000000000001</v>
      </c>
      <c r="T67" s="10"/>
    </row>
    <row r="68" spans="3:36" ht="14.5">
      <c r="C68" s="65">
        <v>2003</v>
      </c>
      <c r="D68" s="65"/>
      <c r="E68" s="68">
        <v>6.49</v>
      </c>
      <c r="F68" s="67">
        <v>1.0649</v>
      </c>
      <c r="G68" s="78">
        <f>29999000/1.19</f>
        <v>25209243.697478991</v>
      </c>
      <c r="H68" s="78"/>
      <c r="I68" s="78"/>
      <c r="P68" s="117"/>
      <c r="Q68" s="117"/>
      <c r="R68" s="118"/>
      <c r="T68" s="119"/>
      <c r="U68" s="119"/>
      <c r="V68" s="119"/>
      <c r="W68" s="119"/>
      <c r="X68" s="119"/>
      <c r="Y68" s="119"/>
      <c r="Z68" s="119"/>
      <c r="AA68" s="119"/>
      <c r="AB68" s="119"/>
    </row>
    <row r="69" spans="3:36" ht="14.5">
      <c r="C69" s="65">
        <v>2004</v>
      </c>
      <c r="D69" s="65"/>
      <c r="E69" s="68">
        <v>5.5</v>
      </c>
      <c r="F69" s="67">
        <v>1.0549999999999999</v>
      </c>
      <c r="G69" s="48" t="s">
        <v>80</v>
      </c>
      <c r="P69" s="120"/>
      <c r="Q69" s="120"/>
      <c r="R69" s="121"/>
      <c r="T69" s="240"/>
      <c r="U69" s="239"/>
      <c r="V69" s="240"/>
      <c r="W69" s="122"/>
      <c r="X69" s="240"/>
      <c r="Y69" s="242"/>
      <c r="Z69" s="240"/>
      <c r="AA69" s="240"/>
      <c r="AB69" s="241"/>
    </row>
    <row r="70" spans="3:36" ht="14.5">
      <c r="C70" s="65">
        <v>2005</v>
      </c>
      <c r="D70" s="65"/>
      <c r="E70" s="68">
        <v>4.8499999999999996</v>
      </c>
      <c r="F70" s="67">
        <v>1.0485</v>
      </c>
      <c r="G70" s="79" t="s">
        <v>80</v>
      </c>
      <c r="H70" s="79"/>
      <c r="I70" s="79"/>
      <c r="P70" s="120"/>
      <c r="Q70" s="120"/>
      <c r="R70" s="121"/>
      <c r="T70" s="240"/>
      <c r="U70" s="239"/>
      <c r="V70" s="240"/>
      <c r="W70" s="122"/>
      <c r="X70" s="240"/>
      <c r="Y70" s="240"/>
      <c r="Z70" s="240"/>
      <c r="AA70" s="240"/>
      <c r="AB70" s="241"/>
    </row>
    <row r="71" spans="3:36" ht="14.5">
      <c r="C71" s="65">
        <v>2006</v>
      </c>
      <c r="D71" s="65"/>
      <c r="E71" s="68">
        <v>4.4800000000000004</v>
      </c>
      <c r="F71" s="67">
        <v>1.0448</v>
      </c>
      <c r="P71" s="120"/>
      <c r="Q71" s="120"/>
      <c r="R71" s="121"/>
      <c r="T71" s="240"/>
      <c r="U71" s="239"/>
      <c r="V71" s="240"/>
      <c r="W71" s="122"/>
      <c r="X71" s="240"/>
      <c r="Y71" s="240"/>
      <c r="Z71" s="240"/>
      <c r="AA71" s="240"/>
      <c r="AB71" s="241"/>
      <c r="AF71" s="120"/>
      <c r="AG71" s="121"/>
    </row>
    <row r="72" spans="3:36" ht="14.5">
      <c r="C72" s="65">
        <v>2007</v>
      </c>
      <c r="D72" s="65"/>
      <c r="E72" s="68">
        <v>5.69</v>
      </c>
      <c r="F72" s="67">
        <v>1.0569</v>
      </c>
      <c r="P72" s="120"/>
      <c r="Q72" s="120"/>
      <c r="R72" s="121"/>
      <c r="T72" s="240"/>
      <c r="U72" s="239"/>
      <c r="V72" s="240"/>
      <c r="W72" s="122"/>
      <c r="X72" s="240"/>
      <c r="Y72" s="240"/>
      <c r="Z72" s="240"/>
      <c r="AA72" s="240"/>
      <c r="AB72" s="241"/>
      <c r="AF72" s="120"/>
      <c r="AG72" s="121"/>
      <c r="AI72" s="120"/>
      <c r="AJ72" s="121"/>
    </row>
    <row r="73" spans="3:36" ht="14.5">
      <c r="C73" s="65">
        <v>2008</v>
      </c>
      <c r="D73" s="65"/>
      <c r="E73" s="68">
        <v>7.67</v>
      </c>
      <c r="F73" s="67">
        <v>1.0767</v>
      </c>
      <c r="T73" s="239"/>
      <c r="U73" s="239"/>
      <c r="V73" s="240"/>
      <c r="W73" s="122"/>
      <c r="X73" s="240"/>
      <c r="Y73" s="242"/>
      <c r="Z73" s="240"/>
      <c r="AA73" s="240"/>
      <c r="AB73" s="241"/>
      <c r="AF73" s="120"/>
      <c r="AG73" s="121"/>
      <c r="AI73" s="120"/>
      <c r="AJ73" s="121"/>
    </row>
    <row r="74" spans="3:36" ht="14.5">
      <c r="C74" s="65">
        <v>2009</v>
      </c>
      <c r="D74" s="65"/>
      <c r="E74" s="68">
        <v>2</v>
      </c>
      <c r="F74" s="67">
        <v>1.02</v>
      </c>
      <c r="T74" s="239"/>
      <c r="U74" s="239"/>
      <c r="V74" s="240"/>
      <c r="W74" s="122"/>
      <c r="X74" s="240"/>
      <c r="Y74" s="240"/>
      <c r="Z74" s="240"/>
      <c r="AA74" s="240"/>
      <c r="AB74" s="241"/>
      <c r="AF74" s="120"/>
      <c r="AG74" s="121"/>
      <c r="AI74" s="120"/>
      <c r="AJ74" s="121"/>
    </row>
    <row r="75" spans="3:36" ht="14.5">
      <c r="C75" s="76">
        <v>2010</v>
      </c>
      <c r="D75" s="65"/>
      <c r="E75" s="68">
        <v>3.17</v>
      </c>
      <c r="F75" s="67">
        <v>1.0317000000000001</v>
      </c>
      <c r="R75" s="123"/>
      <c r="T75" s="239"/>
      <c r="U75" s="239"/>
      <c r="V75" s="240"/>
      <c r="W75" s="122"/>
      <c r="X75" s="240"/>
      <c r="Y75" s="240"/>
      <c r="Z75" s="240"/>
      <c r="AA75" s="240"/>
      <c r="AB75" s="241"/>
      <c r="AF75" s="240"/>
      <c r="AG75" s="242"/>
      <c r="AI75" s="240"/>
      <c r="AJ75" s="242"/>
    </row>
    <row r="76" spans="3:36" ht="14.5">
      <c r="C76" s="76">
        <v>2011</v>
      </c>
      <c r="D76" s="65"/>
      <c r="E76" s="68">
        <v>3.73</v>
      </c>
      <c r="F76" s="67">
        <v>1.0373000000000001</v>
      </c>
      <c r="T76" s="239"/>
      <c r="U76" s="239"/>
      <c r="V76" s="240"/>
      <c r="W76" s="122"/>
      <c r="X76" s="240"/>
      <c r="Y76" s="240"/>
      <c r="Z76" s="240"/>
      <c r="AA76" s="240"/>
      <c r="AB76" s="241"/>
      <c r="AF76" s="240"/>
      <c r="AG76" s="240"/>
      <c r="AI76" s="240"/>
      <c r="AJ76" s="240"/>
    </row>
    <row r="77" spans="3:36" ht="14.5">
      <c r="C77" s="76">
        <v>2012</v>
      </c>
      <c r="D77" s="65"/>
      <c r="E77" s="68">
        <v>2.44</v>
      </c>
      <c r="F77" s="67">
        <v>1.0244</v>
      </c>
      <c r="T77" s="239"/>
      <c r="U77" s="239"/>
      <c r="V77" s="240"/>
      <c r="W77" s="122"/>
      <c r="X77" s="240"/>
      <c r="Y77" s="240"/>
      <c r="Z77" s="240"/>
      <c r="AA77" s="240"/>
      <c r="AB77" s="241"/>
      <c r="AF77" s="240"/>
      <c r="AG77" s="240"/>
      <c r="AI77" s="240"/>
      <c r="AJ77" s="240"/>
    </row>
    <row r="78" spans="3:36">
      <c r="C78" s="67">
        <v>2013</v>
      </c>
      <c r="D78" s="41"/>
      <c r="E78" s="40">
        <v>1.94</v>
      </c>
      <c r="F78" s="67">
        <v>1.0194000000000001</v>
      </c>
      <c r="P78" s="42"/>
      <c r="T78" s="239"/>
      <c r="U78" s="239"/>
      <c r="V78" s="240"/>
      <c r="W78" s="122"/>
      <c r="X78" s="240"/>
      <c r="Y78" s="242"/>
      <c r="Z78" s="240"/>
      <c r="AA78" s="240"/>
      <c r="AB78" s="243"/>
      <c r="AF78" s="240"/>
      <c r="AG78" s="240"/>
      <c r="AI78" s="240"/>
      <c r="AJ78" s="240"/>
    </row>
    <row r="79" spans="3:36" ht="14.5">
      <c r="C79" s="67">
        <v>2014</v>
      </c>
      <c r="D79" s="40"/>
      <c r="E79" s="40">
        <v>3.66</v>
      </c>
      <c r="F79" s="67">
        <v>1.0366</v>
      </c>
      <c r="P79" s="117"/>
      <c r="Q79" s="117"/>
      <c r="R79" s="118"/>
      <c r="T79" s="239"/>
      <c r="U79" s="239"/>
      <c r="V79" s="240"/>
      <c r="W79" s="122"/>
      <c r="X79" s="240"/>
      <c r="Y79" s="240"/>
      <c r="Z79" s="240"/>
      <c r="AA79" s="240"/>
      <c r="AB79" s="243"/>
      <c r="AF79" s="239"/>
      <c r="AG79" s="242"/>
      <c r="AI79" s="239"/>
      <c r="AJ79" s="242"/>
    </row>
    <row r="80" spans="3:36" ht="14.5">
      <c r="C80" s="67">
        <v>2015</v>
      </c>
      <c r="D80" s="40"/>
      <c r="E80" s="40">
        <v>6.77</v>
      </c>
      <c r="F80" s="67">
        <v>1.0677000000000001</v>
      </c>
      <c r="P80" s="120"/>
      <c r="Q80" s="120"/>
      <c r="R80" s="121"/>
      <c r="T80" s="239"/>
      <c r="U80" s="239"/>
      <c r="V80" s="240"/>
      <c r="W80" s="122"/>
      <c r="X80" s="240"/>
      <c r="Y80" s="240"/>
      <c r="Z80" s="240"/>
      <c r="AA80" s="240"/>
      <c r="AB80" s="241"/>
      <c r="AF80" s="239"/>
      <c r="AG80" s="240"/>
      <c r="AI80" s="239"/>
      <c r="AJ80" s="240"/>
    </row>
    <row r="81" spans="3:36" ht="14.5">
      <c r="C81" s="67">
        <v>2016</v>
      </c>
      <c r="D81" s="40"/>
      <c r="E81" s="40">
        <v>5.75</v>
      </c>
      <c r="F81" s="67">
        <v>1.0575000000000001</v>
      </c>
      <c r="P81" s="120"/>
      <c r="Q81" s="120"/>
      <c r="R81" s="121"/>
      <c r="T81" s="239"/>
      <c r="U81" s="239"/>
      <c r="V81" s="240"/>
      <c r="W81" s="122"/>
      <c r="X81" s="240"/>
      <c r="Y81" s="240"/>
      <c r="Z81" s="240"/>
      <c r="AA81" s="240"/>
      <c r="AB81" s="241"/>
      <c r="AF81" s="239"/>
      <c r="AG81" s="240"/>
      <c r="AI81" s="239"/>
      <c r="AJ81" s="240"/>
    </row>
    <row r="82" spans="3:36" ht="14.5">
      <c r="C82" s="67">
        <v>2017</v>
      </c>
      <c r="D82" s="40"/>
      <c r="E82" s="40">
        <v>4.09</v>
      </c>
      <c r="F82" s="67">
        <v>1.0408999999999999</v>
      </c>
      <c r="P82" s="120"/>
      <c r="Q82" s="120"/>
      <c r="R82" s="121"/>
      <c r="T82" s="239"/>
      <c r="U82" s="239"/>
      <c r="V82" s="240"/>
      <c r="W82" s="122"/>
      <c r="X82" s="240"/>
      <c r="Y82" s="240"/>
      <c r="Z82" s="240"/>
      <c r="AA82" s="240"/>
      <c r="AB82" s="241"/>
      <c r="AF82" s="239"/>
      <c r="AG82" s="240"/>
      <c r="AI82" s="239"/>
      <c r="AJ82" s="240"/>
    </row>
    <row r="83" spans="3:36" ht="14.5">
      <c r="C83" s="67">
        <v>2018</v>
      </c>
      <c r="D83" s="40"/>
      <c r="E83" s="40">
        <v>3.18</v>
      </c>
      <c r="F83" s="67">
        <v>1.0318000000000001</v>
      </c>
      <c r="T83" s="239"/>
      <c r="U83" s="239"/>
      <c r="V83" s="240"/>
      <c r="W83" s="122"/>
      <c r="X83" s="240"/>
      <c r="Y83" s="240"/>
      <c r="Z83" s="240"/>
      <c r="AA83" s="240"/>
      <c r="AB83" s="241"/>
      <c r="AF83" s="239"/>
      <c r="AG83" s="240"/>
      <c r="AI83" s="239"/>
      <c r="AJ83" s="240"/>
    </row>
    <row r="84" spans="3:36" ht="14.5">
      <c r="C84" s="48">
        <v>2019</v>
      </c>
      <c r="E84" s="106">
        <v>3.7999999999999999E-2</v>
      </c>
      <c r="T84" s="239"/>
      <c r="U84" s="239"/>
      <c r="V84" s="240"/>
      <c r="W84" s="122"/>
      <c r="X84" s="240"/>
      <c r="Y84" s="240"/>
      <c r="Z84" s="240"/>
      <c r="AA84" s="240"/>
      <c r="AB84" s="241"/>
      <c r="AF84" s="239"/>
      <c r="AG84" s="242"/>
      <c r="AI84" s="239"/>
      <c r="AJ84" s="242"/>
    </row>
    <row r="85" spans="3:36" ht="14.5">
      <c r="C85" s="48">
        <v>2020</v>
      </c>
      <c r="E85" s="45" t="s">
        <v>87</v>
      </c>
      <c r="T85" s="239"/>
      <c r="U85" s="239"/>
      <c r="V85" s="240"/>
      <c r="W85" s="122"/>
      <c r="X85" s="240"/>
      <c r="Y85" s="240"/>
      <c r="Z85" s="240"/>
      <c r="AA85" s="240"/>
      <c r="AB85" s="241"/>
      <c r="AF85" s="239"/>
      <c r="AG85" s="240"/>
      <c r="AI85" s="239"/>
      <c r="AJ85" s="240"/>
    </row>
    <row r="86" spans="3:36" ht="22.5" customHeight="1">
      <c r="R86" s="123"/>
      <c r="T86" s="239"/>
      <c r="U86" s="239"/>
      <c r="V86" s="240"/>
      <c r="W86" s="122"/>
      <c r="X86" s="240"/>
      <c r="Y86" s="240"/>
      <c r="Z86" s="240"/>
      <c r="AA86" s="240"/>
      <c r="AB86" s="241"/>
      <c r="AF86" s="239"/>
      <c r="AG86" s="240"/>
      <c r="AI86" s="239"/>
      <c r="AJ86" s="240"/>
    </row>
    <row r="87" spans="3:36" ht="14.5">
      <c r="T87" s="239"/>
      <c r="U87" s="239"/>
      <c r="V87" s="240"/>
      <c r="W87" s="122"/>
      <c r="X87" s="240"/>
      <c r="Y87" s="240"/>
      <c r="Z87" s="240"/>
      <c r="AA87" s="240"/>
      <c r="AB87" s="241"/>
      <c r="AF87" s="239"/>
      <c r="AG87" s="240"/>
      <c r="AI87" s="239"/>
      <c r="AJ87" s="240"/>
    </row>
    <row r="88" spans="3:36">
      <c r="P88" s="42"/>
      <c r="T88" s="239"/>
      <c r="U88" s="239"/>
      <c r="V88" s="240"/>
      <c r="W88" s="122"/>
      <c r="X88" s="240"/>
      <c r="Y88" s="240"/>
      <c r="Z88" s="240"/>
      <c r="AA88" s="240"/>
      <c r="AB88" s="241"/>
      <c r="AF88" s="239"/>
      <c r="AG88" s="240"/>
      <c r="AI88" s="239"/>
      <c r="AJ88" s="240"/>
    </row>
    <row r="89" spans="3:36">
      <c r="P89" s="42"/>
      <c r="T89" s="239"/>
      <c r="U89" s="239"/>
      <c r="V89" s="240"/>
      <c r="W89" s="122"/>
      <c r="X89" s="240"/>
      <c r="Y89" s="240"/>
      <c r="Z89" s="240"/>
      <c r="AA89" s="240"/>
      <c r="AB89" s="241"/>
      <c r="AF89" s="239"/>
      <c r="AG89" s="240"/>
      <c r="AI89" s="239"/>
      <c r="AJ89" s="240"/>
    </row>
    <row r="90" spans="3:36">
      <c r="P90" s="42"/>
      <c r="V90" s="48"/>
      <c r="AF90" s="239"/>
      <c r="AG90" s="240"/>
      <c r="AI90" s="239"/>
      <c r="AJ90" s="240"/>
    </row>
    <row r="91" spans="3:36">
      <c r="P91" s="42"/>
      <c r="V91" s="48"/>
      <c r="AF91" s="239"/>
      <c r="AG91" s="240"/>
    </row>
    <row r="92" spans="3:36">
      <c r="P92" s="42"/>
      <c r="V92" s="48"/>
      <c r="AF92" s="239"/>
      <c r="AG92" s="240"/>
    </row>
    <row r="93" spans="3:36">
      <c r="P93" s="42"/>
      <c r="V93" s="48"/>
      <c r="AF93" s="239"/>
      <c r="AG93" s="240"/>
    </row>
    <row r="94" spans="3:36">
      <c r="X94" s="123"/>
      <c r="AF94" s="239"/>
      <c r="AG94" s="240"/>
    </row>
    <row r="95" spans="3:36">
      <c r="X95" s="124"/>
      <c r="AF95" s="239"/>
      <c r="AG95" s="240"/>
    </row>
  </sheetData>
  <mergeCells count="74">
    <mergeCell ref="B54:I54"/>
    <mergeCell ref="B2:C4"/>
    <mergeCell ref="D2:U2"/>
    <mergeCell ref="D3:J3"/>
    <mergeCell ref="M3:U3"/>
    <mergeCell ref="D4:U4"/>
    <mergeCell ref="B6:E8"/>
    <mergeCell ref="F6:I7"/>
    <mergeCell ref="J6:L7"/>
    <mergeCell ref="M6:M7"/>
    <mergeCell ref="N6:N7"/>
    <mergeCell ref="O6:U8"/>
    <mergeCell ref="F9:I9"/>
    <mergeCell ref="J9:L9"/>
    <mergeCell ref="O51:P51"/>
    <mergeCell ref="B53:U53"/>
    <mergeCell ref="AA69:AA72"/>
    <mergeCell ref="AB69:AB72"/>
    <mergeCell ref="T73:T77"/>
    <mergeCell ref="U73:U77"/>
    <mergeCell ref="V73:V77"/>
    <mergeCell ref="X73:X77"/>
    <mergeCell ref="Y73:Y77"/>
    <mergeCell ref="Z73:Z77"/>
    <mergeCell ref="AA73:AA77"/>
    <mergeCell ref="AB73:AB77"/>
    <mergeCell ref="T69:T72"/>
    <mergeCell ref="U69:U72"/>
    <mergeCell ref="V69:V72"/>
    <mergeCell ref="X69:X72"/>
    <mergeCell ref="Y69:Y72"/>
    <mergeCell ref="Z69:Z72"/>
    <mergeCell ref="AJ75:AJ78"/>
    <mergeCell ref="T78:T79"/>
    <mergeCell ref="U78:U79"/>
    <mergeCell ref="V78:V79"/>
    <mergeCell ref="X78:X79"/>
    <mergeCell ref="Y78:Y79"/>
    <mergeCell ref="Z78:Z79"/>
    <mergeCell ref="AJ79:AJ83"/>
    <mergeCell ref="AA80:AA84"/>
    <mergeCell ref="AB80:AB84"/>
    <mergeCell ref="AF84:AF85"/>
    <mergeCell ref="AG84:AG85"/>
    <mergeCell ref="AA78:AA79"/>
    <mergeCell ref="AB78:AB79"/>
    <mergeCell ref="AF79:AF83"/>
    <mergeCell ref="AG79:AG83"/>
    <mergeCell ref="AI79:AI83"/>
    <mergeCell ref="AF75:AF78"/>
    <mergeCell ref="AG75:AG78"/>
    <mergeCell ref="AI75:AI78"/>
    <mergeCell ref="AI84:AI85"/>
    <mergeCell ref="AJ84:AJ85"/>
    <mergeCell ref="T85:T89"/>
    <mergeCell ref="U85:U89"/>
    <mergeCell ref="V85:V89"/>
    <mergeCell ref="X85:X89"/>
    <mergeCell ref="Y85:Y89"/>
    <mergeCell ref="Z85:Z89"/>
    <mergeCell ref="AA85:AA89"/>
    <mergeCell ref="AB85:AB89"/>
    <mergeCell ref="T80:T84"/>
    <mergeCell ref="U80:U84"/>
    <mergeCell ref="V80:V84"/>
    <mergeCell ref="X80:X84"/>
    <mergeCell ref="Y80:Y84"/>
    <mergeCell ref="Z80:Z84"/>
    <mergeCell ref="AF86:AF90"/>
    <mergeCell ref="AG86:AG90"/>
    <mergeCell ref="AI86:AI90"/>
    <mergeCell ref="AJ86:AJ90"/>
    <mergeCell ref="AF91:AF95"/>
    <mergeCell ref="AG91:AG95"/>
  </mergeCells>
  <conditionalFormatting sqref="U10:U52">
    <cfRule type="cellIs" dxfId="3" priority="1" operator="equal">
      <formula>"BAJO"</formula>
    </cfRule>
  </conditionalFormatting>
  <dataValidations count="2">
    <dataValidation type="list" allowBlank="1" showInputMessage="1" showErrorMessage="1" sqref="E33" xr:uid="{00000000-0002-0000-0200-000000000000}">
      <formula1>$J$27:$J$28</formula1>
    </dataValidation>
    <dataValidation type="list" allowBlank="1" showInputMessage="1" showErrorMessage="1" sqref="E32 E35" xr:uid="{00000000-0002-0000-0200-000001000000}">
      <formula1>#REF!</formula1>
    </dataValidation>
  </dataValidations>
  <printOptions horizontalCentered="1" verticalCentered="1"/>
  <pageMargins left="0.59055118110236227" right="0.39370078740157483" top="0.39370078740157483" bottom="0.39370078740157483" header="0.31496062992125984" footer="0.59055118110236227"/>
  <pageSetup scale="31"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2:AJ95"/>
  <sheetViews>
    <sheetView showGridLines="0" view="pageBreakPreview" topLeftCell="B46" zoomScale="50" zoomScaleNormal="80" zoomScaleSheetLayoutView="50" zoomScalePageLayoutView="25" workbookViewId="0">
      <selection activeCell="Q51" sqref="Q51"/>
    </sheetView>
  </sheetViews>
  <sheetFormatPr baseColWidth="10" defaultColWidth="11.453125" defaultRowHeight="21"/>
  <cols>
    <col min="1" max="1" width="4.81640625" style="48" hidden="1" customWidth="1"/>
    <col min="2" max="2" width="7.26953125" style="48" customWidth="1"/>
    <col min="3" max="3" width="56" style="48" customWidth="1"/>
    <col min="4" max="4" width="8.7265625" style="48" customWidth="1"/>
    <col min="5" max="5" width="8.1796875" style="48" customWidth="1"/>
    <col min="6" max="6" width="19.1796875" style="48" customWidth="1"/>
    <col min="7" max="7" width="22.26953125" style="48" bestFit="1" customWidth="1"/>
    <col min="8" max="8" width="22.26953125" style="48" customWidth="1"/>
    <col min="9" max="9" width="21" style="48" bestFit="1" customWidth="1"/>
    <col min="10" max="10" width="23.453125" style="48" bestFit="1" customWidth="1"/>
    <col min="11" max="11" width="23.453125" style="48" customWidth="1"/>
    <col min="12" max="12" width="23.453125" style="48" bestFit="1" customWidth="1"/>
    <col min="13" max="13" width="20.26953125" style="48" hidden="1" customWidth="1"/>
    <col min="14" max="14" width="20.26953125" style="48" customWidth="1"/>
    <col min="15" max="15" width="15.453125" style="48" customWidth="1"/>
    <col min="16" max="16" width="19.453125" style="48" customWidth="1"/>
    <col min="17" max="17" width="29.81640625" style="48" customWidth="1"/>
    <col min="18" max="18" width="21.453125" style="48" customWidth="1"/>
    <col min="19" max="19" width="17.453125" style="48" customWidth="1"/>
    <col min="20" max="20" width="19.1796875" style="48" customWidth="1"/>
    <col min="21" max="21" width="25.453125" style="48" customWidth="1"/>
    <col min="22" max="22" width="2.453125" style="42" customWidth="1"/>
    <col min="23" max="26" width="11.453125" style="48"/>
    <col min="27" max="27" width="29.453125" style="48" customWidth="1"/>
    <col min="28" max="16384" width="11.453125" style="48"/>
  </cols>
  <sheetData>
    <row r="2" spans="2:27" ht="39.75" customHeight="1">
      <c r="B2" s="272"/>
      <c r="C2" s="273"/>
      <c r="D2" s="278" t="s">
        <v>75</v>
      </c>
      <c r="E2" s="279"/>
      <c r="F2" s="279"/>
      <c r="G2" s="279"/>
      <c r="H2" s="279"/>
      <c r="I2" s="279"/>
      <c r="J2" s="279"/>
      <c r="K2" s="279"/>
      <c r="L2" s="279"/>
      <c r="M2" s="279"/>
      <c r="N2" s="279"/>
      <c r="O2" s="279"/>
      <c r="P2" s="279"/>
      <c r="Q2" s="279"/>
      <c r="R2" s="279"/>
      <c r="S2" s="279"/>
      <c r="T2" s="279"/>
      <c r="U2" s="280"/>
      <c r="V2" s="74"/>
      <c r="W2" s="74"/>
    </row>
    <row r="3" spans="2:27" ht="17.25" customHeight="1">
      <c r="B3" s="274"/>
      <c r="C3" s="275"/>
      <c r="D3" s="281" t="s">
        <v>77</v>
      </c>
      <c r="E3" s="282"/>
      <c r="F3" s="282"/>
      <c r="G3" s="282"/>
      <c r="H3" s="282"/>
      <c r="I3" s="282"/>
      <c r="J3" s="282"/>
      <c r="K3" s="1"/>
      <c r="L3" s="1"/>
      <c r="M3" s="281" t="s">
        <v>76</v>
      </c>
      <c r="N3" s="282"/>
      <c r="O3" s="282"/>
      <c r="P3" s="282"/>
      <c r="Q3" s="282"/>
      <c r="R3" s="282"/>
      <c r="S3" s="282"/>
      <c r="T3" s="282"/>
      <c r="U3" s="283"/>
      <c r="V3" s="75"/>
      <c r="W3" s="75"/>
    </row>
    <row r="4" spans="2:27" ht="17.25" customHeight="1">
      <c r="B4" s="276"/>
      <c r="C4" s="277"/>
      <c r="D4" s="281" t="s">
        <v>78</v>
      </c>
      <c r="E4" s="282"/>
      <c r="F4" s="282"/>
      <c r="G4" s="282"/>
      <c r="H4" s="282"/>
      <c r="I4" s="282"/>
      <c r="J4" s="282"/>
      <c r="K4" s="282"/>
      <c r="L4" s="282"/>
      <c r="M4" s="282"/>
      <c r="N4" s="282"/>
      <c r="O4" s="282"/>
      <c r="P4" s="282"/>
      <c r="Q4" s="282"/>
      <c r="R4" s="282"/>
      <c r="S4" s="282"/>
      <c r="T4" s="282"/>
      <c r="U4" s="283"/>
      <c r="V4" s="75"/>
      <c r="W4" s="75"/>
    </row>
    <row r="5" spans="2:27" ht="15.75" customHeight="1" thickBot="1"/>
    <row r="6" spans="2:27" ht="65.25" customHeight="1">
      <c r="B6" s="251" t="s">
        <v>90</v>
      </c>
      <c r="C6" s="252"/>
      <c r="D6" s="252"/>
      <c r="E6" s="253"/>
      <c r="F6" s="257" t="s">
        <v>74</v>
      </c>
      <c r="G6" s="258"/>
      <c r="H6" s="258"/>
      <c r="I6" s="258"/>
      <c r="J6" s="257" t="s">
        <v>85</v>
      </c>
      <c r="K6" s="258"/>
      <c r="L6" s="258"/>
      <c r="M6" s="261" t="s">
        <v>88</v>
      </c>
      <c r="N6" s="261" t="s">
        <v>88</v>
      </c>
      <c r="O6" s="263" t="s">
        <v>142</v>
      </c>
      <c r="P6" s="264"/>
      <c r="Q6" s="264"/>
      <c r="R6" s="264"/>
      <c r="S6" s="264"/>
      <c r="T6" s="264"/>
      <c r="U6" s="265"/>
    </row>
    <row r="7" spans="2:27" ht="59.25" customHeight="1" thickBot="1">
      <c r="B7" s="254"/>
      <c r="C7" s="255"/>
      <c r="D7" s="255"/>
      <c r="E7" s="256"/>
      <c r="F7" s="259"/>
      <c r="G7" s="260"/>
      <c r="H7" s="260"/>
      <c r="I7" s="260"/>
      <c r="J7" s="259"/>
      <c r="K7" s="260"/>
      <c r="L7" s="260"/>
      <c r="M7" s="284"/>
      <c r="N7" s="284"/>
      <c r="O7" s="266"/>
      <c r="P7" s="267"/>
      <c r="Q7" s="267"/>
      <c r="R7" s="267"/>
      <c r="S7" s="267"/>
      <c r="T7" s="267"/>
      <c r="U7" s="268"/>
    </row>
    <row r="8" spans="2:27" ht="81" customHeight="1" thickBot="1">
      <c r="B8" s="254"/>
      <c r="C8" s="255"/>
      <c r="D8" s="255"/>
      <c r="E8" s="256"/>
      <c r="F8" s="115" t="s">
        <v>139</v>
      </c>
      <c r="G8" s="115" t="s">
        <v>140</v>
      </c>
      <c r="H8" s="115" t="s">
        <v>149</v>
      </c>
      <c r="I8" s="115" t="s">
        <v>141</v>
      </c>
      <c r="J8" s="115" t="s">
        <v>144</v>
      </c>
      <c r="K8" s="116" t="s">
        <v>146</v>
      </c>
      <c r="L8" s="116" t="s">
        <v>145</v>
      </c>
      <c r="M8" s="116">
        <v>2019</v>
      </c>
      <c r="N8" s="116">
        <v>2019</v>
      </c>
      <c r="O8" s="269"/>
      <c r="P8" s="270"/>
      <c r="Q8" s="270"/>
      <c r="R8" s="270"/>
      <c r="S8" s="270"/>
      <c r="T8" s="270"/>
      <c r="U8" s="271"/>
    </row>
    <row r="9" spans="2:27" ht="72" customHeight="1" thickBot="1">
      <c r="B9" s="110" t="s">
        <v>64</v>
      </c>
      <c r="C9" s="109" t="s">
        <v>65</v>
      </c>
      <c r="D9" s="84" t="s">
        <v>70</v>
      </c>
      <c r="E9" s="85" t="s">
        <v>79</v>
      </c>
      <c r="F9" s="244" t="s">
        <v>84</v>
      </c>
      <c r="G9" s="245"/>
      <c r="H9" s="245"/>
      <c r="I9" s="245"/>
      <c r="J9" s="244" t="s">
        <v>82</v>
      </c>
      <c r="K9" s="245"/>
      <c r="L9" s="246"/>
      <c r="M9" s="72"/>
      <c r="N9" s="72"/>
      <c r="O9" s="73" t="s">
        <v>66</v>
      </c>
      <c r="P9" s="73" t="s">
        <v>67</v>
      </c>
      <c r="Q9" s="73" t="s">
        <v>68</v>
      </c>
      <c r="R9" s="73" t="s">
        <v>0</v>
      </c>
      <c r="S9" s="73" t="s">
        <v>69</v>
      </c>
      <c r="T9" s="73" t="s">
        <v>1</v>
      </c>
      <c r="U9" s="73" t="s">
        <v>2</v>
      </c>
    </row>
    <row r="10" spans="2:27" ht="124.5" thickBot="1">
      <c r="B10" s="108">
        <v>1</v>
      </c>
      <c r="C10" s="125" t="s">
        <v>91</v>
      </c>
      <c r="D10" s="127" t="s">
        <v>70</v>
      </c>
      <c r="E10" s="127">
        <v>40</v>
      </c>
      <c r="F10" s="113"/>
      <c r="G10" s="114">
        <v>20400</v>
      </c>
      <c r="H10" s="114">
        <f>1.19*14252</f>
        <v>16959.88</v>
      </c>
      <c r="I10" s="114">
        <v>18907.563025210085</v>
      </c>
      <c r="J10" s="107"/>
      <c r="K10" s="107">
        <v>16363</v>
      </c>
      <c r="L10" s="107">
        <v>27500</v>
      </c>
      <c r="M10" s="107">
        <v>28661</v>
      </c>
      <c r="N10" s="107">
        <f>M10*(1+($E$84+$E$85))</f>
        <v>30071.121199999998</v>
      </c>
      <c r="O10" s="92">
        <f>COUNT(F10:N10)</f>
        <v>7</v>
      </c>
      <c r="P10" s="93">
        <f>ROUND(AVERAGE(F10:N10),2)</f>
        <v>22694.65</v>
      </c>
      <c r="Q10" s="94">
        <f>ROUND(+P10*E10,2)</f>
        <v>907786</v>
      </c>
      <c r="R10" s="95">
        <f>STDEVP(G10:N10)</f>
        <v>5420.6730388910692</v>
      </c>
      <c r="S10" s="96">
        <f>R10/P10*100</f>
        <v>23.88524625359311</v>
      </c>
      <c r="T10" s="97">
        <f>100-S10</f>
        <v>76.11475374640689</v>
      </c>
      <c r="U10" s="98" t="str">
        <f t="shared" ref="U10:U50" si="0">IF(T10&gt;70,"ALTO","BAJO")</f>
        <v>ALTO</v>
      </c>
      <c r="AA10" s="132">
        <f>'FM-029 Sin depurar'!P10-'FM-029 Depurada18Ago2020'!P10</f>
        <v>1288.1699999999983</v>
      </c>
    </row>
    <row r="11" spans="2:27" ht="124.5" thickBot="1">
      <c r="B11" s="108">
        <v>2</v>
      </c>
      <c r="C11" s="125" t="s">
        <v>92</v>
      </c>
      <c r="D11" s="128" t="s">
        <v>70</v>
      </c>
      <c r="E11" s="128">
        <v>10</v>
      </c>
      <c r="F11" s="113"/>
      <c r="G11" s="114">
        <v>20400</v>
      </c>
      <c r="H11" s="114">
        <f>1.19*14252</f>
        <v>16959.88</v>
      </c>
      <c r="I11" s="114">
        <v>18907.563025210085</v>
      </c>
      <c r="J11" s="107"/>
      <c r="K11" s="107">
        <v>16363</v>
      </c>
      <c r="L11" s="107">
        <v>25000</v>
      </c>
      <c r="M11" s="107"/>
      <c r="N11" s="107"/>
      <c r="O11" s="92">
        <f t="shared" ref="O11:O50" si="1">COUNT(F11:N11)</f>
        <v>5</v>
      </c>
      <c r="P11" s="93">
        <f t="shared" ref="P11:P50" si="2">ROUND(AVERAGE(F11:N11),2)</f>
        <v>19526.09</v>
      </c>
      <c r="Q11" s="94">
        <f t="shared" ref="Q11:Q50" si="3">ROUND(+P11*E11,2)</f>
        <v>195260.9</v>
      </c>
      <c r="R11" s="95">
        <f>STDEVP(F11:M11)</f>
        <v>3088.7070792463701</v>
      </c>
      <c r="S11" s="96">
        <f t="shared" ref="S11:S50" si="4">R11/P11*100</f>
        <v>15.818359329729454</v>
      </c>
      <c r="T11" s="97">
        <f t="shared" ref="T11:T50" si="5">100-S11</f>
        <v>84.181640670270554</v>
      </c>
      <c r="U11" s="98" t="str">
        <f t="shared" si="0"/>
        <v>ALTO</v>
      </c>
      <c r="AA11" s="132">
        <f>'FM-029 Sin depurar'!P11-'FM-029 Depurada18Ago2020'!P11</f>
        <v>3745.6500000000015</v>
      </c>
    </row>
    <row r="12" spans="2:27" ht="124.5" thickBot="1">
      <c r="B12" s="108">
        <v>3</v>
      </c>
      <c r="C12" s="125" t="s">
        <v>93</v>
      </c>
      <c r="D12" s="128" t="s">
        <v>70</v>
      </c>
      <c r="E12" s="128">
        <v>5</v>
      </c>
      <c r="F12" s="113"/>
      <c r="G12" s="114">
        <v>20400</v>
      </c>
      <c r="H12" s="114">
        <f>1.19*14252</f>
        <v>16959.88</v>
      </c>
      <c r="I12" s="114">
        <v>18907.563025210085</v>
      </c>
      <c r="J12" s="107"/>
      <c r="K12" s="107">
        <v>16363</v>
      </c>
      <c r="L12" s="107"/>
      <c r="M12" s="107"/>
      <c r="N12" s="107"/>
      <c r="O12" s="92">
        <f t="shared" si="1"/>
        <v>4</v>
      </c>
      <c r="P12" s="93">
        <f t="shared" si="2"/>
        <v>18157.61</v>
      </c>
      <c r="Q12" s="94">
        <f t="shared" si="3"/>
        <v>90788.05</v>
      </c>
      <c r="R12" s="95">
        <f>STDEVP(G12:K12)</f>
        <v>1600.4627969059034</v>
      </c>
      <c r="S12" s="96">
        <f t="shared" si="4"/>
        <v>8.8142811576297948</v>
      </c>
      <c r="T12" s="97">
        <f t="shared" si="5"/>
        <v>91.185718842370207</v>
      </c>
      <c r="U12" s="98" t="str">
        <f t="shared" si="0"/>
        <v>ALTO</v>
      </c>
      <c r="AA12" s="132">
        <f>'FM-029 Sin depurar'!P12-'FM-029 Depurada18Ago2020'!P12</f>
        <v>2968.4799999999996</v>
      </c>
    </row>
    <row r="13" spans="2:27" ht="162" customHeight="1" thickBot="1">
      <c r="B13" s="108">
        <v>4</v>
      </c>
      <c r="C13" s="125" t="s">
        <v>94</v>
      </c>
      <c r="D13" s="129" t="s">
        <v>70</v>
      </c>
      <c r="E13" s="129">
        <v>100</v>
      </c>
      <c r="F13" s="113"/>
      <c r="G13" s="114">
        <v>7480</v>
      </c>
      <c r="H13" s="114">
        <f>1.19*5310</f>
        <v>6318.9</v>
      </c>
      <c r="I13" s="114">
        <v>5600</v>
      </c>
      <c r="J13" s="107"/>
      <c r="K13" s="107">
        <v>6395</v>
      </c>
      <c r="L13" s="107"/>
      <c r="M13" s="107">
        <v>10468</v>
      </c>
      <c r="N13" s="107"/>
      <c r="O13" s="92">
        <f t="shared" si="1"/>
        <v>5</v>
      </c>
      <c r="P13" s="93">
        <f t="shared" si="2"/>
        <v>7252.38</v>
      </c>
      <c r="Q13" s="94">
        <f t="shared" si="3"/>
        <v>725238</v>
      </c>
      <c r="R13" s="95">
        <f>STDEVP(G13:K13)</f>
        <v>671.49141980742559</v>
      </c>
      <c r="S13" s="96">
        <f t="shared" si="4"/>
        <v>9.2589111409968261</v>
      </c>
      <c r="T13" s="97">
        <f t="shared" si="5"/>
        <v>90.74108885900317</v>
      </c>
      <c r="U13" s="98" t="str">
        <f t="shared" si="0"/>
        <v>ALTO</v>
      </c>
      <c r="AA13" s="132">
        <f>'FM-029 Sin depurar'!P13-'FM-029 Depurada18Ago2020'!P13</f>
        <v>1137.6099999999997</v>
      </c>
    </row>
    <row r="14" spans="2:27" ht="155.5" thickBot="1">
      <c r="B14" s="108">
        <v>5</v>
      </c>
      <c r="C14" s="125" t="s">
        <v>143</v>
      </c>
      <c r="D14" s="128" t="s">
        <v>70</v>
      </c>
      <c r="E14" s="128">
        <v>150</v>
      </c>
      <c r="F14" s="113"/>
      <c r="G14" s="114">
        <v>5440</v>
      </c>
      <c r="H14" s="114">
        <f>1.19*6300</f>
        <v>7497</v>
      </c>
      <c r="I14" s="114">
        <v>6500</v>
      </c>
      <c r="J14" s="107"/>
      <c r="K14" s="107">
        <v>6422</v>
      </c>
      <c r="L14" s="107"/>
      <c r="M14" s="107"/>
      <c r="N14" s="107"/>
      <c r="O14" s="92">
        <f t="shared" si="1"/>
        <v>4</v>
      </c>
      <c r="P14" s="93">
        <f t="shared" si="2"/>
        <v>6464.75</v>
      </c>
      <c r="Q14" s="94">
        <f t="shared" si="3"/>
        <v>969712.5</v>
      </c>
      <c r="R14" s="95">
        <f>STDEVP(G14:K14)</f>
        <v>727.79165116123727</v>
      </c>
      <c r="S14" s="96">
        <f t="shared" si="4"/>
        <v>11.257846802447693</v>
      </c>
      <c r="T14" s="97">
        <f t="shared" si="5"/>
        <v>88.742153197552312</v>
      </c>
      <c r="U14" s="98" t="str">
        <f t="shared" si="0"/>
        <v>ALTO</v>
      </c>
      <c r="AA14" s="132">
        <f>'FM-029 Sin depurar'!P14-'FM-029 Depurada18Ago2020'!P14</f>
        <v>1707.0500000000002</v>
      </c>
    </row>
    <row r="15" spans="2:27" ht="93.5" thickBot="1">
      <c r="B15" s="108">
        <v>6</v>
      </c>
      <c r="C15" s="125" t="s">
        <v>95</v>
      </c>
      <c r="D15" s="128" t="s">
        <v>70</v>
      </c>
      <c r="E15" s="128">
        <v>20</v>
      </c>
      <c r="F15" s="113"/>
      <c r="G15" s="114"/>
      <c r="H15" s="114">
        <f>1.19*7600</f>
        <v>9044</v>
      </c>
      <c r="I15" s="114">
        <v>10500</v>
      </c>
      <c r="J15" s="107"/>
      <c r="K15" s="107">
        <v>10342</v>
      </c>
      <c r="L15" s="107"/>
      <c r="M15" s="107">
        <v>11069</v>
      </c>
      <c r="N15" s="107">
        <v>11069</v>
      </c>
      <c r="O15" s="92">
        <f t="shared" si="1"/>
        <v>5</v>
      </c>
      <c r="P15" s="93">
        <f t="shared" si="2"/>
        <v>10404.799999999999</v>
      </c>
      <c r="Q15" s="94">
        <f t="shared" si="3"/>
        <v>208096</v>
      </c>
      <c r="R15" s="95">
        <f>STDEVP(H15:N15)</f>
        <v>741.22962703874703</v>
      </c>
      <c r="S15" s="96">
        <f t="shared" si="4"/>
        <v>7.1239199892236957</v>
      </c>
      <c r="T15" s="97">
        <f t="shared" si="5"/>
        <v>92.876080010776306</v>
      </c>
      <c r="U15" s="98" t="str">
        <f t="shared" si="0"/>
        <v>ALTO</v>
      </c>
      <c r="AA15" s="132">
        <f>'FM-029 Sin depurar'!P15-'FM-029 Depurada18Ago2020'!P15</f>
        <v>7813.91</v>
      </c>
    </row>
    <row r="16" spans="2:27" ht="96" customHeight="1" thickBot="1">
      <c r="B16" s="108">
        <v>7</v>
      </c>
      <c r="C16" s="125" t="s">
        <v>96</v>
      </c>
      <c r="D16" s="129" t="s">
        <v>70</v>
      </c>
      <c r="E16" s="129">
        <v>10</v>
      </c>
      <c r="F16" s="113"/>
      <c r="G16" s="114">
        <v>24500</v>
      </c>
      <c r="H16" s="114">
        <f>1.19*25900</f>
        <v>30821</v>
      </c>
      <c r="I16" s="114">
        <v>28000</v>
      </c>
      <c r="J16" s="107"/>
      <c r="K16" s="107"/>
      <c r="L16" s="107"/>
      <c r="M16" s="107">
        <v>33297</v>
      </c>
      <c r="N16" s="107">
        <v>33297</v>
      </c>
      <c r="O16" s="92">
        <f t="shared" si="1"/>
        <v>5</v>
      </c>
      <c r="P16" s="93">
        <f t="shared" si="2"/>
        <v>29983</v>
      </c>
      <c r="Q16" s="94">
        <f t="shared" si="3"/>
        <v>299830</v>
      </c>
      <c r="R16" s="95">
        <f>STDEVP(G16:N16)</f>
        <v>3366.3931440044257</v>
      </c>
      <c r="S16" s="96">
        <f t="shared" si="4"/>
        <v>11.227672827950592</v>
      </c>
      <c r="T16" s="97">
        <f t="shared" si="5"/>
        <v>88.772327172049415</v>
      </c>
      <c r="U16" s="98" t="str">
        <f t="shared" si="0"/>
        <v>ALTO</v>
      </c>
      <c r="AA16" s="132">
        <f>'FM-029 Sin depurar'!P16-'FM-029 Depurada18Ago2020'!P16</f>
        <v>9169.5</v>
      </c>
    </row>
    <row r="17" spans="2:27" ht="186" customHeight="1" thickBot="1">
      <c r="B17" s="108">
        <v>8</v>
      </c>
      <c r="C17" s="125" t="s">
        <v>97</v>
      </c>
      <c r="D17" s="129" t="s">
        <v>70</v>
      </c>
      <c r="E17" s="129">
        <v>750</v>
      </c>
      <c r="F17" s="113"/>
      <c r="G17" s="114"/>
      <c r="H17" s="114">
        <f>1.19*12000</f>
        <v>14280</v>
      </c>
      <c r="I17" s="114">
        <v>14300</v>
      </c>
      <c r="J17" s="107"/>
      <c r="K17" s="107"/>
      <c r="L17" s="107"/>
      <c r="M17" s="107">
        <v>6412</v>
      </c>
      <c r="N17" s="107"/>
      <c r="O17" s="92">
        <f t="shared" si="1"/>
        <v>3</v>
      </c>
      <c r="P17" s="93">
        <f t="shared" si="2"/>
        <v>11664</v>
      </c>
      <c r="Q17" s="94">
        <f t="shared" si="3"/>
        <v>8748000</v>
      </c>
      <c r="R17" s="95">
        <f>STDEVP(H17:I17)</f>
        <v>10</v>
      </c>
      <c r="S17" s="96">
        <f t="shared" si="4"/>
        <v>8.5733882030178329E-2</v>
      </c>
      <c r="T17" s="97">
        <f t="shared" si="5"/>
        <v>99.914266117969817</v>
      </c>
      <c r="U17" s="98" t="str">
        <f t="shared" si="0"/>
        <v>ALTO</v>
      </c>
      <c r="AA17" s="132">
        <f>'FM-029 Sin depurar'!P17-'FM-029 Depurada18Ago2020'!P17</f>
        <v>7216.7999999999993</v>
      </c>
    </row>
    <row r="18" spans="2:27" ht="173.25" customHeight="1" thickBot="1">
      <c r="B18" s="108">
        <v>9</v>
      </c>
      <c r="C18" s="125" t="s">
        <v>98</v>
      </c>
      <c r="D18" s="129" t="s">
        <v>70</v>
      </c>
      <c r="E18" s="129">
        <v>750</v>
      </c>
      <c r="F18" s="113"/>
      <c r="G18" s="114"/>
      <c r="H18" s="114">
        <f>1.19*12000</f>
        <v>14280</v>
      </c>
      <c r="I18" s="114">
        <v>14300</v>
      </c>
      <c r="J18" s="107"/>
      <c r="K18" s="107"/>
      <c r="L18" s="107"/>
      <c r="M18" s="107">
        <v>6412</v>
      </c>
      <c r="N18" s="107"/>
      <c r="O18" s="92">
        <f t="shared" si="1"/>
        <v>3</v>
      </c>
      <c r="P18" s="93">
        <f t="shared" si="2"/>
        <v>11664</v>
      </c>
      <c r="Q18" s="94">
        <f t="shared" si="3"/>
        <v>8748000</v>
      </c>
      <c r="R18" s="95">
        <f>STDEVP(H18:I18)</f>
        <v>10</v>
      </c>
      <c r="S18" s="96">
        <f t="shared" si="4"/>
        <v>8.5733882030178329E-2</v>
      </c>
      <c r="T18" s="97">
        <f t="shared" si="5"/>
        <v>99.914266117969817</v>
      </c>
      <c r="U18" s="98" t="str">
        <f t="shared" si="0"/>
        <v>ALTO</v>
      </c>
      <c r="AA18" s="132">
        <f>'FM-029 Sin depurar'!P18-'FM-029 Depurada18Ago2020'!P18</f>
        <v>7216.7999999999993</v>
      </c>
    </row>
    <row r="19" spans="2:27" ht="140" thickBot="1">
      <c r="B19" s="108">
        <v>10</v>
      </c>
      <c r="C19" s="125" t="s">
        <v>99</v>
      </c>
      <c r="D19" s="129" t="s">
        <v>70</v>
      </c>
      <c r="E19" s="129">
        <v>550</v>
      </c>
      <c r="F19" s="113"/>
      <c r="G19" s="114"/>
      <c r="H19" s="114">
        <f>1.19*12000</f>
        <v>14280</v>
      </c>
      <c r="I19" s="114">
        <v>14500</v>
      </c>
      <c r="J19" s="107"/>
      <c r="K19" s="107"/>
      <c r="L19" s="107"/>
      <c r="M19" s="107">
        <v>16277</v>
      </c>
      <c r="N19" s="107">
        <v>16277</v>
      </c>
      <c r="O19" s="92">
        <f t="shared" si="1"/>
        <v>4</v>
      </c>
      <c r="P19" s="93">
        <f t="shared" si="2"/>
        <v>15333.5</v>
      </c>
      <c r="Q19" s="94">
        <f t="shared" si="3"/>
        <v>8433425</v>
      </c>
      <c r="R19" s="95">
        <f>STDEVP(H19:N19)</f>
        <v>946.70071828429491</v>
      </c>
      <c r="S19" s="96">
        <f t="shared" si="4"/>
        <v>6.1740680098105116</v>
      </c>
      <c r="T19" s="97">
        <f t="shared" si="5"/>
        <v>93.825931990189488</v>
      </c>
      <c r="U19" s="98" t="str">
        <f t="shared" si="0"/>
        <v>ALTO</v>
      </c>
      <c r="AA19" s="132">
        <f>'FM-029 Sin depurar'!P19-'FM-029 Depurada18Ago2020'!P19</f>
        <v>3333.2999999999993</v>
      </c>
    </row>
    <row r="20" spans="2:27" ht="113.25" customHeight="1" thickBot="1">
      <c r="B20" s="108">
        <v>11</v>
      </c>
      <c r="C20" s="125" t="s">
        <v>100</v>
      </c>
      <c r="D20" s="129" t="s">
        <v>70</v>
      </c>
      <c r="E20" s="129">
        <v>2</v>
      </c>
      <c r="F20" s="113"/>
      <c r="G20" s="114">
        <v>479000</v>
      </c>
      <c r="H20" s="114">
        <f>1.19*430000</f>
        <v>511700</v>
      </c>
      <c r="I20" s="114">
        <v>378151.26050420169</v>
      </c>
      <c r="J20" s="107"/>
      <c r="K20" s="107"/>
      <c r="L20" s="107"/>
      <c r="M20" s="107">
        <v>397253</v>
      </c>
      <c r="N20" s="107">
        <v>397253</v>
      </c>
      <c r="O20" s="92">
        <f t="shared" si="1"/>
        <v>5</v>
      </c>
      <c r="P20" s="93">
        <f t="shared" si="2"/>
        <v>432671.45</v>
      </c>
      <c r="Q20" s="94">
        <f t="shared" si="3"/>
        <v>865342.9</v>
      </c>
      <c r="R20" s="95">
        <f>STDEVP(G20:N20)</f>
        <v>52674.909631944094</v>
      </c>
      <c r="S20" s="96">
        <f t="shared" si="4"/>
        <v>12.174343750192921</v>
      </c>
      <c r="T20" s="97">
        <f t="shared" si="5"/>
        <v>87.825656249807082</v>
      </c>
      <c r="U20" s="98" t="str">
        <f t="shared" si="0"/>
        <v>ALTO</v>
      </c>
      <c r="AA20" s="132">
        <f>'FM-029 Sin depurar'!P20-'FM-029 Depurada18Ago2020'!P20</f>
        <v>-50111.910000000033</v>
      </c>
    </row>
    <row r="21" spans="2:27" ht="130.5" customHeight="1" thickBot="1">
      <c r="B21" s="108">
        <v>12</v>
      </c>
      <c r="C21" s="125" t="s">
        <v>101</v>
      </c>
      <c r="D21" s="129" t="s">
        <v>70</v>
      </c>
      <c r="E21" s="129">
        <v>8</v>
      </c>
      <c r="F21" s="113"/>
      <c r="G21" s="114">
        <v>53000</v>
      </c>
      <c r="H21" s="114">
        <f>1.19*41430</f>
        <v>49301.7</v>
      </c>
      <c r="I21" s="114">
        <v>47058.823529411769</v>
      </c>
      <c r="J21" s="107"/>
      <c r="K21" s="107">
        <v>52182</v>
      </c>
      <c r="L21" s="107"/>
      <c r="M21" s="107">
        <v>63431</v>
      </c>
      <c r="N21" s="107">
        <v>63431</v>
      </c>
      <c r="O21" s="92">
        <f t="shared" si="1"/>
        <v>6</v>
      </c>
      <c r="P21" s="93">
        <f t="shared" si="2"/>
        <v>54734.09</v>
      </c>
      <c r="Q21" s="94">
        <f t="shared" si="3"/>
        <v>437872.72</v>
      </c>
      <c r="R21" s="95">
        <f t="shared" ref="R21:R48" si="6">STDEVP(F21:N21)</f>
        <v>6444.8079244586997</v>
      </c>
      <c r="S21" s="96">
        <f t="shared" si="4"/>
        <v>11.774760344894197</v>
      </c>
      <c r="T21" s="97">
        <f t="shared" si="5"/>
        <v>88.22523965510581</v>
      </c>
      <c r="U21" s="98" t="str">
        <f t="shared" si="0"/>
        <v>ALTO</v>
      </c>
      <c r="AA21" s="132">
        <f>'FM-029 Sin depurar'!P21-'FM-029 Depurada18Ago2020'!P21</f>
        <v>8180.8400000000038</v>
      </c>
    </row>
    <row r="22" spans="2:27" ht="126.75" customHeight="1" thickBot="1">
      <c r="B22" s="108">
        <v>13</v>
      </c>
      <c r="C22" s="125" t="s">
        <v>102</v>
      </c>
      <c r="D22" s="128" t="s">
        <v>131</v>
      </c>
      <c r="E22" s="128">
        <v>30</v>
      </c>
      <c r="F22" s="113">
        <v>54000</v>
      </c>
      <c r="G22" s="114">
        <v>48500</v>
      </c>
      <c r="H22" s="114"/>
      <c r="I22" s="114"/>
      <c r="J22" s="107"/>
      <c r="K22" s="107"/>
      <c r="L22" s="107"/>
      <c r="M22" s="107">
        <v>60163</v>
      </c>
      <c r="N22" s="107">
        <v>60163</v>
      </c>
      <c r="O22" s="92">
        <f t="shared" si="1"/>
        <v>4</v>
      </c>
      <c r="P22" s="93">
        <f t="shared" si="2"/>
        <v>55706.5</v>
      </c>
      <c r="Q22" s="94">
        <f t="shared" si="3"/>
        <v>1671195</v>
      </c>
      <c r="R22" s="95">
        <f>STDEVP(F22:N22)</f>
        <v>4862.2671923702428</v>
      </c>
      <c r="S22" s="96">
        <f t="shared" si="4"/>
        <v>8.7283659759098899</v>
      </c>
      <c r="T22" s="97">
        <f t="shared" si="5"/>
        <v>91.271634024090105</v>
      </c>
      <c r="U22" s="98" t="str">
        <f t="shared" si="0"/>
        <v>ALTO</v>
      </c>
      <c r="AA22" s="132">
        <f>'FM-029 Sin depurar'!P22-'FM-029 Depurada18Ago2020'!P22</f>
        <v>-5590.68</v>
      </c>
    </row>
    <row r="23" spans="2:27" ht="124.5" thickBot="1">
      <c r="B23" s="108">
        <v>14</v>
      </c>
      <c r="C23" s="125" t="s">
        <v>103</v>
      </c>
      <c r="D23" s="129" t="s">
        <v>131</v>
      </c>
      <c r="E23" s="129">
        <v>30</v>
      </c>
      <c r="F23" s="113"/>
      <c r="G23" s="114">
        <v>9220</v>
      </c>
      <c r="H23" s="114">
        <f>1.19*12760</f>
        <v>15184.4</v>
      </c>
      <c r="I23" s="114">
        <v>10756.302521008403</v>
      </c>
      <c r="J23" s="107"/>
      <c r="K23" s="107"/>
      <c r="L23" s="107"/>
      <c r="M23" s="131">
        <v>33505</v>
      </c>
      <c r="N23" s="131"/>
      <c r="O23" s="92">
        <f t="shared" si="1"/>
        <v>4</v>
      </c>
      <c r="P23" s="93">
        <f t="shared" si="2"/>
        <v>17166.43</v>
      </c>
      <c r="Q23" s="94">
        <f t="shared" si="3"/>
        <v>514992.9</v>
      </c>
      <c r="R23" s="95">
        <f>STDEVP(G23:I23)</f>
        <v>2528.5555841562227</v>
      </c>
      <c r="S23" s="96">
        <f t="shared" si="4"/>
        <v>14.729653073797072</v>
      </c>
      <c r="T23" s="97">
        <f t="shared" si="5"/>
        <v>85.270346926202933</v>
      </c>
      <c r="U23" s="98" t="str">
        <f t="shared" si="0"/>
        <v>ALTO</v>
      </c>
      <c r="AA23" s="132">
        <f>'FM-029 Sin depurar'!P23-'FM-029 Depurada18Ago2020'!P23</f>
        <v>5862.02</v>
      </c>
    </row>
    <row r="24" spans="2:27" ht="93.5" thickBot="1">
      <c r="B24" s="108">
        <v>15</v>
      </c>
      <c r="C24" s="125" t="s">
        <v>104</v>
      </c>
      <c r="D24" s="129" t="s">
        <v>131</v>
      </c>
      <c r="E24" s="129">
        <v>30</v>
      </c>
      <c r="F24" s="113"/>
      <c r="G24" s="114">
        <v>39750</v>
      </c>
      <c r="H24" s="114">
        <f>1.19*32040</f>
        <v>38127.599999999999</v>
      </c>
      <c r="I24" s="114">
        <v>36134.45378151261</v>
      </c>
      <c r="J24" s="107"/>
      <c r="K24" s="107"/>
      <c r="L24" s="107"/>
      <c r="M24" s="131">
        <v>36563</v>
      </c>
      <c r="N24" s="131">
        <v>36563</v>
      </c>
      <c r="O24" s="92">
        <f t="shared" si="1"/>
        <v>5</v>
      </c>
      <c r="P24" s="93">
        <f t="shared" si="2"/>
        <v>37427.61</v>
      </c>
      <c r="Q24" s="94">
        <f t="shared" si="3"/>
        <v>1122828.3</v>
      </c>
      <c r="R24" s="95">
        <f t="shared" si="6"/>
        <v>1345.4244848232654</v>
      </c>
      <c r="S24" s="96">
        <f t="shared" si="4"/>
        <v>3.594737908253467</v>
      </c>
      <c r="T24" s="97">
        <f t="shared" si="5"/>
        <v>96.405262091746536</v>
      </c>
      <c r="U24" s="98" t="str">
        <f t="shared" si="0"/>
        <v>ALTO</v>
      </c>
      <c r="AA24" s="132">
        <f>'FM-029 Sin depurar'!P24-'FM-029 Depurada18Ago2020'!P24</f>
        <v>7762.07</v>
      </c>
    </row>
    <row r="25" spans="2:27" ht="62.5" thickBot="1">
      <c r="B25" s="108">
        <v>16</v>
      </c>
      <c r="C25" s="125" t="s">
        <v>105</v>
      </c>
      <c r="D25" s="129" t="s">
        <v>131</v>
      </c>
      <c r="E25" s="129">
        <v>30</v>
      </c>
      <c r="F25" s="113"/>
      <c r="G25" s="114">
        <v>15200</v>
      </c>
      <c r="H25" s="114">
        <f>1.19*11220</f>
        <v>13351.8</v>
      </c>
      <c r="I25" s="114">
        <v>18907.563025210085</v>
      </c>
      <c r="J25" s="107"/>
      <c r="K25" s="107"/>
      <c r="L25" s="107"/>
      <c r="M25" s="107">
        <v>24828</v>
      </c>
      <c r="N25" s="107">
        <v>24828</v>
      </c>
      <c r="O25" s="92">
        <f t="shared" si="1"/>
        <v>5</v>
      </c>
      <c r="P25" s="93">
        <f t="shared" si="2"/>
        <v>19423.07</v>
      </c>
      <c r="Q25" s="94">
        <f t="shared" si="3"/>
        <v>582692.1</v>
      </c>
      <c r="R25" s="95">
        <f t="shared" si="6"/>
        <v>4762.0777752704344</v>
      </c>
      <c r="S25" s="96">
        <f t="shared" si="4"/>
        <v>24.517636888866871</v>
      </c>
      <c r="T25" s="97">
        <f t="shared" si="5"/>
        <v>75.482363111133125</v>
      </c>
      <c r="U25" s="98" t="str">
        <f t="shared" si="0"/>
        <v>ALTO</v>
      </c>
      <c r="AA25" s="132">
        <f>'FM-029 Sin depurar'!P25-'FM-029 Depurada18Ago2020'!P25</f>
        <v>13262.82</v>
      </c>
    </row>
    <row r="26" spans="2:27" ht="78" thickBot="1">
      <c r="B26" s="108">
        <v>17</v>
      </c>
      <c r="C26" s="125" t="s">
        <v>106</v>
      </c>
      <c r="D26" s="129" t="s">
        <v>70</v>
      </c>
      <c r="E26" s="129">
        <v>100</v>
      </c>
      <c r="F26" s="113"/>
      <c r="G26" s="114">
        <v>1820</v>
      </c>
      <c r="H26" s="114">
        <f>1.19*1513</f>
        <v>1800.47</v>
      </c>
      <c r="I26" s="114">
        <v>1575.6302521008404</v>
      </c>
      <c r="J26" s="107"/>
      <c r="K26" s="107"/>
      <c r="L26" s="107"/>
      <c r="M26" s="107">
        <v>2848</v>
      </c>
      <c r="N26" s="107">
        <v>2848</v>
      </c>
      <c r="O26" s="92">
        <f t="shared" si="1"/>
        <v>5</v>
      </c>
      <c r="P26" s="93">
        <f t="shared" si="2"/>
        <v>2178.42</v>
      </c>
      <c r="Q26" s="94">
        <f t="shared" si="3"/>
        <v>217842</v>
      </c>
      <c r="R26" s="95">
        <f>STDEVP(F26:N26)</f>
        <v>553.41509409706464</v>
      </c>
      <c r="S26" s="96">
        <f t="shared" si="4"/>
        <v>25.404425872745595</v>
      </c>
      <c r="T26" s="97">
        <f t="shared" si="5"/>
        <v>74.595574127254409</v>
      </c>
      <c r="U26" s="98" t="str">
        <f t="shared" si="0"/>
        <v>ALTO</v>
      </c>
      <c r="AA26" s="132">
        <f>'FM-029 Sin depurar'!P26-'FM-029 Depurada18Ago2020'!P26</f>
        <v>-196.40000000000009</v>
      </c>
    </row>
    <row r="27" spans="2:27" ht="93.5" thickBot="1">
      <c r="B27" s="108">
        <v>18</v>
      </c>
      <c r="C27" s="125" t="s">
        <v>107</v>
      </c>
      <c r="D27" s="128" t="s">
        <v>132</v>
      </c>
      <c r="E27" s="128">
        <v>8</v>
      </c>
      <c r="F27" s="113"/>
      <c r="G27" s="114">
        <v>90500</v>
      </c>
      <c r="H27" s="114">
        <f>1.19*77520</f>
        <v>92248.8</v>
      </c>
      <c r="I27" s="114">
        <v>84033.613445378156</v>
      </c>
      <c r="J27" s="107"/>
      <c r="K27" s="107"/>
      <c r="L27" s="107"/>
      <c r="M27" s="107"/>
      <c r="N27" s="107"/>
      <c r="O27" s="92">
        <f t="shared" si="1"/>
        <v>3</v>
      </c>
      <c r="P27" s="93">
        <f t="shared" si="2"/>
        <v>88927.47</v>
      </c>
      <c r="Q27" s="94">
        <f t="shared" si="3"/>
        <v>711419.76</v>
      </c>
      <c r="R27" s="95">
        <f>STDEVP(G27:I27)</f>
        <v>3533.3607961359417</v>
      </c>
      <c r="S27" s="96">
        <f t="shared" si="4"/>
        <v>3.9733063317059862</v>
      </c>
      <c r="T27" s="97">
        <f t="shared" si="5"/>
        <v>96.026693668294016</v>
      </c>
      <c r="U27" s="98" t="str">
        <f t="shared" si="0"/>
        <v>ALTO</v>
      </c>
      <c r="AA27" s="132">
        <f>'FM-029 Sin depurar'!P27-'FM-029 Depurada18Ago2020'!P27</f>
        <v>-35119.19</v>
      </c>
    </row>
    <row r="28" spans="2:27" ht="124.5" thickBot="1">
      <c r="B28" s="108">
        <v>19</v>
      </c>
      <c r="C28" s="125" t="s">
        <v>108</v>
      </c>
      <c r="D28" s="129" t="s">
        <v>70</v>
      </c>
      <c r="E28" s="129">
        <v>20</v>
      </c>
      <c r="F28" s="113"/>
      <c r="G28" s="114"/>
      <c r="H28" s="114">
        <f>1.19*14880</f>
        <v>17707.2</v>
      </c>
      <c r="I28" s="114">
        <v>17226.89075630252</v>
      </c>
      <c r="J28" s="107"/>
      <c r="K28" s="107"/>
      <c r="L28" s="107"/>
      <c r="M28" s="107">
        <v>34771</v>
      </c>
      <c r="N28" s="107"/>
      <c r="O28" s="92">
        <f t="shared" si="1"/>
        <v>3</v>
      </c>
      <c r="P28" s="93">
        <f t="shared" si="2"/>
        <v>23235.03</v>
      </c>
      <c r="Q28" s="94">
        <f t="shared" si="3"/>
        <v>464700.6</v>
      </c>
      <c r="R28" s="95">
        <f>STDEVP(H28:I28)</f>
        <v>240.15462184874013</v>
      </c>
      <c r="S28" s="96">
        <f t="shared" si="4"/>
        <v>1.0335886024194509</v>
      </c>
      <c r="T28" s="97">
        <f t="shared" si="5"/>
        <v>98.966411397580544</v>
      </c>
      <c r="U28" s="98" t="str">
        <f t="shared" si="0"/>
        <v>ALTO</v>
      </c>
      <c r="AA28" s="132">
        <f>'FM-029 Sin depurar'!P28-'FM-029 Depurada18Ago2020'!P28</f>
        <v>16060.190000000002</v>
      </c>
    </row>
    <row r="29" spans="2:27" ht="62.5" thickBot="1">
      <c r="B29" s="108">
        <v>20</v>
      </c>
      <c r="C29" s="125" t="s">
        <v>109</v>
      </c>
      <c r="D29" s="129" t="s">
        <v>131</v>
      </c>
      <c r="E29" s="129">
        <v>200</v>
      </c>
      <c r="F29" s="113"/>
      <c r="G29" s="114">
        <v>6950</v>
      </c>
      <c r="H29" s="114">
        <f>1.19*5426</f>
        <v>6456.94</v>
      </c>
      <c r="I29" s="114">
        <v>5630.2521008403364</v>
      </c>
      <c r="J29" s="107"/>
      <c r="K29" s="107"/>
      <c r="L29" s="107">
        <v>5000</v>
      </c>
      <c r="M29" s="107">
        <v>10785</v>
      </c>
      <c r="N29" s="107"/>
      <c r="O29" s="92">
        <f t="shared" si="1"/>
        <v>5</v>
      </c>
      <c r="P29" s="93">
        <f t="shared" si="2"/>
        <v>6964.44</v>
      </c>
      <c r="Q29" s="94">
        <f t="shared" si="3"/>
        <v>1392888</v>
      </c>
      <c r="R29" s="95">
        <f t="shared" si="6"/>
        <v>2024.5258872660347</v>
      </c>
      <c r="S29" s="96">
        <f t="shared" si="4"/>
        <v>29.069471303737771</v>
      </c>
      <c r="T29" s="97">
        <f t="shared" si="5"/>
        <v>70.930528696262229</v>
      </c>
      <c r="U29" s="98" t="str">
        <f t="shared" si="0"/>
        <v>ALTO</v>
      </c>
      <c r="AA29" s="132">
        <f>'FM-029 Sin depurar'!P29-'FM-029 Depurada18Ago2020'!P29</f>
        <v>2550.87</v>
      </c>
    </row>
    <row r="30" spans="2:27" ht="78" thickBot="1">
      <c r="B30" s="108">
        <v>21</v>
      </c>
      <c r="C30" s="125" t="s">
        <v>110</v>
      </c>
      <c r="D30" s="129" t="s">
        <v>131</v>
      </c>
      <c r="E30" s="129">
        <v>150</v>
      </c>
      <c r="F30" s="113">
        <v>19000</v>
      </c>
      <c r="G30" s="114"/>
      <c r="H30" s="114">
        <f>1.19*8561</f>
        <v>10187.59</v>
      </c>
      <c r="I30" s="114">
        <v>8907.5630252100837</v>
      </c>
      <c r="J30" s="107"/>
      <c r="K30" s="107">
        <v>13454</v>
      </c>
      <c r="L30" s="107"/>
      <c r="M30" s="107">
        <v>18231</v>
      </c>
      <c r="N30" s="107">
        <v>18231</v>
      </c>
      <c r="O30" s="92">
        <f t="shared" si="1"/>
        <v>6</v>
      </c>
      <c r="P30" s="93">
        <f t="shared" si="2"/>
        <v>14668.53</v>
      </c>
      <c r="Q30" s="94">
        <f t="shared" si="3"/>
        <v>2200279.5</v>
      </c>
      <c r="R30" s="95">
        <f t="shared" si="6"/>
        <v>4059.6934254468674</v>
      </c>
      <c r="S30" s="96">
        <f t="shared" si="4"/>
        <v>27.676211763870455</v>
      </c>
      <c r="T30" s="97">
        <f t="shared" si="5"/>
        <v>72.323788236129545</v>
      </c>
      <c r="U30" s="98" t="str">
        <f t="shared" si="0"/>
        <v>ALTO</v>
      </c>
      <c r="AA30" s="132">
        <f>'FM-029 Sin depurar'!P30-'FM-029 Depurada18Ago2020'!P30</f>
        <v>-1059.7900000000009</v>
      </c>
    </row>
    <row r="31" spans="2:27" ht="155.5" thickBot="1">
      <c r="B31" s="108">
        <v>22</v>
      </c>
      <c r="C31" s="125" t="s">
        <v>111</v>
      </c>
      <c r="D31" s="129" t="s">
        <v>131</v>
      </c>
      <c r="E31" s="129">
        <v>108</v>
      </c>
      <c r="F31" s="113">
        <v>32000</v>
      </c>
      <c r="G31" s="114">
        <v>18020</v>
      </c>
      <c r="H31" s="114">
        <v>19117</v>
      </c>
      <c r="I31" s="114">
        <v>18907.563025210085</v>
      </c>
      <c r="J31" s="107"/>
      <c r="K31" s="107"/>
      <c r="L31" s="107"/>
      <c r="M31" s="107">
        <v>20583</v>
      </c>
      <c r="N31" s="107">
        <v>20583</v>
      </c>
      <c r="O31" s="92">
        <f t="shared" si="1"/>
        <v>6</v>
      </c>
      <c r="P31" s="93">
        <f t="shared" si="2"/>
        <v>21535.09</v>
      </c>
      <c r="Q31" s="94">
        <f t="shared" si="3"/>
        <v>2325789.7200000002</v>
      </c>
      <c r="R31" s="95">
        <f t="shared" si="6"/>
        <v>4768.5463718632473</v>
      </c>
      <c r="S31" s="96">
        <f t="shared" si="4"/>
        <v>22.143145776791492</v>
      </c>
      <c r="T31" s="97">
        <f t="shared" si="5"/>
        <v>77.856854223208501</v>
      </c>
      <c r="U31" s="98" t="str">
        <f t="shared" si="0"/>
        <v>ALTO</v>
      </c>
      <c r="AA31" s="132">
        <f>'FM-029 Sin depurar'!P31-'FM-029 Depurada18Ago2020'!P31</f>
        <v>5852.130000000001</v>
      </c>
    </row>
    <row r="32" spans="2:27" ht="130.5" customHeight="1" thickBot="1">
      <c r="B32" s="108">
        <v>23</v>
      </c>
      <c r="C32" s="125" t="s">
        <v>112</v>
      </c>
      <c r="D32" s="129" t="s">
        <v>133</v>
      </c>
      <c r="E32" s="129">
        <v>300</v>
      </c>
      <c r="F32" s="113"/>
      <c r="G32" s="114">
        <v>4600</v>
      </c>
      <c r="H32" s="114">
        <f>1.19*5084</f>
        <v>6049.96</v>
      </c>
      <c r="I32" s="114">
        <v>5147.0588235294117</v>
      </c>
      <c r="J32" s="107">
        <v>7027</v>
      </c>
      <c r="K32" s="107"/>
      <c r="L32" s="107"/>
      <c r="M32" s="107">
        <v>7949</v>
      </c>
      <c r="N32" s="107">
        <v>7949</v>
      </c>
      <c r="O32" s="92">
        <f t="shared" si="1"/>
        <v>6</v>
      </c>
      <c r="P32" s="93">
        <f t="shared" si="2"/>
        <v>6453.67</v>
      </c>
      <c r="Q32" s="94">
        <f t="shared" si="3"/>
        <v>1936101</v>
      </c>
      <c r="R32" s="95">
        <f t="shared" si="6"/>
        <v>1297.8853253258831</v>
      </c>
      <c r="S32" s="96">
        <f t="shared" si="4"/>
        <v>20.110810210715503</v>
      </c>
      <c r="T32" s="97">
        <f t="shared" si="5"/>
        <v>79.889189789284501</v>
      </c>
      <c r="U32" s="98" t="str">
        <f t="shared" si="0"/>
        <v>ALTO</v>
      </c>
      <c r="AA32" s="132">
        <f>'FM-029 Sin depurar'!P32-'FM-029 Depurada18Ago2020'!P32</f>
        <v>1779.58</v>
      </c>
    </row>
    <row r="33" spans="2:27" ht="93.5" thickBot="1">
      <c r="B33" s="108">
        <v>24</v>
      </c>
      <c r="C33" s="125" t="s">
        <v>113</v>
      </c>
      <c r="D33" s="129" t="s">
        <v>133</v>
      </c>
      <c r="E33" s="129">
        <v>500</v>
      </c>
      <c r="F33" s="113"/>
      <c r="G33" s="114"/>
      <c r="H33" s="114">
        <f>1.19*1920</f>
        <v>2284.7999999999997</v>
      </c>
      <c r="I33" s="114">
        <v>2000</v>
      </c>
      <c r="J33" s="107"/>
      <c r="K33" s="107"/>
      <c r="L33" s="107"/>
      <c r="M33" s="107">
        <v>32315</v>
      </c>
      <c r="N33" s="107"/>
      <c r="O33" s="92">
        <f t="shared" si="1"/>
        <v>3</v>
      </c>
      <c r="P33" s="93">
        <f t="shared" si="2"/>
        <v>12199.93</v>
      </c>
      <c r="Q33" s="94">
        <f t="shared" si="3"/>
        <v>6099965</v>
      </c>
      <c r="R33" s="95">
        <f>STDEVP(H33:I33)</f>
        <v>142.39999999999986</v>
      </c>
      <c r="S33" s="96">
        <f t="shared" si="4"/>
        <v>1.1672198119169526</v>
      </c>
      <c r="T33" s="97">
        <f t="shared" si="5"/>
        <v>98.832780188083049</v>
      </c>
      <c r="U33" s="98" t="str">
        <f t="shared" si="0"/>
        <v>ALTO</v>
      </c>
      <c r="AA33" s="132">
        <f>'FM-029 Sin depurar'!P33-'FM-029 Depurada18Ago2020'!P33</f>
        <v>4785.869999999999</v>
      </c>
    </row>
    <row r="34" spans="2:27" ht="62.5" thickBot="1">
      <c r="B34" s="108">
        <v>25</v>
      </c>
      <c r="C34" s="125" t="s">
        <v>114</v>
      </c>
      <c r="D34" s="129" t="s">
        <v>131</v>
      </c>
      <c r="E34" s="129">
        <v>10</v>
      </c>
      <c r="F34" s="113"/>
      <c r="G34" s="114">
        <v>22228</v>
      </c>
      <c r="H34" s="114">
        <f>1.19*12753</f>
        <v>15176.07</v>
      </c>
      <c r="I34" s="114">
        <v>11764.705882352942</v>
      </c>
      <c r="J34" s="107"/>
      <c r="K34" s="107"/>
      <c r="L34" s="107"/>
      <c r="M34" s="107">
        <v>30299</v>
      </c>
      <c r="N34" s="107"/>
      <c r="O34" s="92">
        <f t="shared" si="1"/>
        <v>4</v>
      </c>
      <c r="P34" s="93">
        <f t="shared" si="2"/>
        <v>19866.939999999999</v>
      </c>
      <c r="Q34" s="94">
        <f t="shared" si="3"/>
        <v>198669.4</v>
      </c>
      <c r="R34" s="95">
        <f>STDEVP(G34:I34)</f>
        <v>4356.9567062401247</v>
      </c>
      <c r="S34" s="96">
        <f t="shared" si="4"/>
        <v>21.930688401133366</v>
      </c>
      <c r="T34" s="97">
        <f t="shared" si="5"/>
        <v>78.069311598866634</v>
      </c>
      <c r="U34" s="98" t="str">
        <f t="shared" si="0"/>
        <v>ALTO</v>
      </c>
      <c r="AA34" s="132">
        <f>'FM-029 Sin depurar'!P34-'FM-029 Depurada18Ago2020'!P34</f>
        <v>3594.1900000000023</v>
      </c>
    </row>
    <row r="35" spans="2:27" ht="78" thickBot="1">
      <c r="B35" s="108">
        <v>26</v>
      </c>
      <c r="C35" s="125" t="s">
        <v>115</v>
      </c>
      <c r="D35" s="128" t="s">
        <v>133</v>
      </c>
      <c r="E35" s="128">
        <v>300</v>
      </c>
      <c r="F35" s="113"/>
      <c r="G35" s="114"/>
      <c r="H35" s="114">
        <f>1.19*4637</f>
        <v>5518.03</v>
      </c>
      <c r="I35" s="114">
        <v>5042.0168067226896</v>
      </c>
      <c r="J35" s="107"/>
      <c r="K35" s="107"/>
      <c r="L35" s="107"/>
      <c r="M35" s="107"/>
      <c r="N35" s="107"/>
      <c r="O35" s="92">
        <f t="shared" si="1"/>
        <v>2</v>
      </c>
      <c r="P35" s="93">
        <f t="shared" si="2"/>
        <v>5280.02</v>
      </c>
      <c r="Q35" s="94">
        <f t="shared" si="3"/>
        <v>1584006</v>
      </c>
      <c r="R35" s="95">
        <f t="shared" si="6"/>
        <v>238.00659663865508</v>
      </c>
      <c r="S35" s="96">
        <f t="shared" si="4"/>
        <v>4.5076836193547578</v>
      </c>
      <c r="T35" s="97">
        <f t="shared" si="5"/>
        <v>95.492316380645235</v>
      </c>
      <c r="U35" s="98" t="str">
        <f t="shared" si="0"/>
        <v>ALTO</v>
      </c>
      <c r="AA35" s="132">
        <f>'FM-029 Sin depurar'!P35-'FM-029 Depurada18Ago2020'!P35</f>
        <v>702.48999999999978</v>
      </c>
    </row>
    <row r="36" spans="2:27" ht="93.5" thickBot="1">
      <c r="B36" s="108">
        <v>27</v>
      </c>
      <c r="C36" s="125" t="s">
        <v>116</v>
      </c>
      <c r="D36" s="128" t="s">
        <v>70</v>
      </c>
      <c r="E36" s="128">
        <v>5</v>
      </c>
      <c r="F36" s="113">
        <v>30000</v>
      </c>
      <c r="G36" s="114">
        <v>18700</v>
      </c>
      <c r="H36" s="114">
        <f>1.19*14847</f>
        <v>17667.93</v>
      </c>
      <c r="I36" s="114"/>
      <c r="J36" s="107"/>
      <c r="K36" s="107"/>
      <c r="L36" s="107"/>
      <c r="M36" s="107">
        <v>29735</v>
      </c>
      <c r="N36" s="107">
        <v>29735</v>
      </c>
      <c r="O36" s="92">
        <f t="shared" si="1"/>
        <v>5</v>
      </c>
      <c r="P36" s="93">
        <f t="shared" si="2"/>
        <v>25167.59</v>
      </c>
      <c r="Q36" s="94">
        <f t="shared" si="3"/>
        <v>125837.95</v>
      </c>
      <c r="R36" s="95">
        <f t="shared" si="6"/>
        <v>5712.2548113318653</v>
      </c>
      <c r="S36" s="96">
        <f t="shared" si="4"/>
        <v>22.696868517533325</v>
      </c>
      <c r="T36" s="97">
        <f t="shared" si="5"/>
        <v>77.303131482466682</v>
      </c>
      <c r="U36" s="98" t="str">
        <f t="shared" si="0"/>
        <v>ALTO</v>
      </c>
      <c r="AA36" s="132">
        <f>'FM-029 Sin depurar'!P36-'FM-029 Depurada18Ago2020'!P36</f>
        <v>-2794.0400000000009</v>
      </c>
    </row>
    <row r="37" spans="2:27" ht="107.25" customHeight="1" thickBot="1">
      <c r="B37" s="108">
        <v>28</v>
      </c>
      <c r="C37" s="125" t="s">
        <v>117</v>
      </c>
      <c r="D37" s="128" t="s">
        <v>70</v>
      </c>
      <c r="E37" s="128">
        <v>10</v>
      </c>
      <c r="F37" s="113">
        <v>73000</v>
      </c>
      <c r="G37" s="114">
        <v>86666</v>
      </c>
      <c r="H37" s="114">
        <f>1.19*92974</f>
        <v>110639.06</v>
      </c>
      <c r="I37" s="114"/>
      <c r="J37" s="107"/>
      <c r="K37" s="107"/>
      <c r="L37" s="107"/>
      <c r="M37" s="107"/>
      <c r="N37" s="107"/>
      <c r="O37" s="92">
        <f t="shared" si="1"/>
        <v>3</v>
      </c>
      <c r="P37" s="93">
        <f t="shared" si="2"/>
        <v>90101.69</v>
      </c>
      <c r="Q37" s="94">
        <f t="shared" si="3"/>
        <v>901016.9</v>
      </c>
      <c r="R37" s="95">
        <f>STDEVP(F37:H37)</f>
        <v>15556.941999731966</v>
      </c>
      <c r="S37" s="96">
        <f t="shared" si="4"/>
        <v>17.265982469065747</v>
      </c>
      <c r="T37" s="97">
        <f t="shared" si="5"/>
        <v>82.734017530934253</v>
      </c>
      <c r="U37" s="98" t="str">
        <f t="shared" si="0"/>
        <v>ALTO</v>
      </c>
      <c r="AA37" s="132">
        <f>'FM-029 Sin depurar'!P37-'FM-029 Depurada18Ago2020'!P37</f>
        <v>-7819.5400000000081</v>
      </c>
    </row>
    <row r="38" spans="2:27" ht="158.25" customHeight="1" thickBot="1">
      <c r="B38" s="108">
        <v>29</v>
      </c>
      <c r="C38" s="125" t="s">
        <v>118</v>
      </c>
      <c r="D38" s="129" t="s">
        <v>70</v>
      </c>
      <c r="E38" s="129">
        <v>30</v>
      </c>
      <c r="F38" s="113">
        <v>13000</v>
      </c>
      <c r="G38" s="114">
        <v>19500</v>
      </c>
      <c r="H38" s="114">
        <f>1.19*17780</f>
        <v>21158.2</v>
      </c>
      <c r="I38" s="114">
        <v>25210.084033613446</v>
      </c>
      <c r="J38" s="107">
        <v>22382</v>
      </c>
      <c r="K38" s="107"/>
      <c r="L38" s="107"/>
      <c r="M38" s="107">
        <v>27518</v>
      </c>
      <c r="N38" s="107">
        <v>27518</v>
      </c>
      <c r="O38" s="92">
        <f t="shared" si="1"/>
        <v>7</v>
      </c>
      <c r="P38" s="93">
        <f t="shared" si="2"/>
        <v>22326.61</v>
      </c>
      <c r="Q38" s="94">
        <f t="shared" si="3"/>
        <v>669798.30000000005</v>
      </c>
      <c r="R38" s="95">
        <f t="shared" si="6"/>
        <v>4759.3383533412352</v>
      </c>
      <c r="S38" s="96">
        <f t="shared" si="4"/>
        <v>21.316887576489378</v>
      </c>
      <c r="T38" s="97">
        <f t="shared" si="5"/>
        <v>78.683112423510622</v>
      </c>
      <c r="U38" s="98" t="str">
        <f t="shared" si="0"/>
        <v>ALTO</v>
      </c>
      <c r="AA38" s="132">
        <f>'FM-029 Sin depurar'!P38-'FM-029 Depurada18Ago2020'!P38</f>
        <v>0</v>
      </c>
    </row>
    <row r="39" spans="2:27" ht="197.25" customHeight="1" thickBot="1">
      <c r="B39" s="108">
        <v>30</v>
      </c>
      <c r="C39" s="125" t="s">
        <v>119</v>
      </c>
      <c r="D39" s="128" t="s">
        <v>70</v>
      </c>
      <c r="E39" s="128">
        <v>2</v>
      </c>
      <c r="F39" s="113">
        <v>35000</v>
      </c>
      <c r="G39" s="114">
        <v>34760</v>
      </c>
      <c r="H39" s="114"/>
      <c r="I39" s="114"/>
      <c r="J39" s="107"/>
      <c r="K39" s="107"/>
      <c r="L39" s="107"/>
      <c r="M39" s="107"/>
      <c r="N39" s="107"/>
      <c r="O39" s="92">
        <f t="shared" si="1"/>
        <v>2</v>
      </c>
      <c r="P39" s="93">
        <f t="shared" si="2"/>
        <v>34880</v>
      </c>
      <c r="Q39" s="94">
        <f t="shared" si="3"/>
        <v>69760</v>
      </c>
      <c r="R39" s="95">
        <f>STDEVP(F39:I39)</f>
        <v>120</v>
      </c>
      <c r="S39" s="96">
        <f t="shared" si="4"/>
        <v>0.34403669724770647</v>
      </c>
      <c r="T39" s="97">
        <f t="shared" si="5"/>
        <v>99.655963302752298</v>
      </c>
      <c r="U39" s="98" t="str">
        <f t="shared" si="0"/>
        <v>ALTO</v>
      </c>
      <c r="AA39" s="132">
        <f>'FM-029 Sin depurar'!P39-'FM-029 Depurada18Ago2020'!P39</f>
        <v>43572.710000000006</v>
      </c>
    </row>
    <row r="40" spans="2:27" ht="124.5" thickBot="1">
      <c r="B40" s="108">
        <v>31</v>
      </c>
      <c r="C40" s="125" t="s">
        <v>120</v>
      </c>
      <c r="D40" s="128" t="s">
        <v>131</v>
      </c>
      <c r="E40" s="128">
        <v>2</v>
      </c>
      <c r="F40" s="113">
        <v>121000</v>
      </c>
      <c r="G40" s="114"/>
      <c r="H40" s="114">
        <f>1.19*84405</f>
        <v>100441.95</v>
      </c>
      <c r="I40" s="114">
        <v>57143</v>
      </c>
      <c r="J40" s="107"/>
      <c r="K40" s="107"/>
      <c r="L40" s="107"/>
      <c r="M40" s="107"/>
      <c r="N40" s="107"/>
      <c r="O40" s="92">
        <f t="shared" si="1"/>
        <v>3</v>
      </c>
      <c r="P40" s="93">
        <f t="shared" si="2"/>
        <v>92861.65</v>
      </c>
      <c r="Q40" s="94">
        <f t="shared" si="3"/>
        <v>185723.3</v>
      </c>
      <c r="R40" s="95">
        <f>STDEVP(F40:I40)</f>
        <v>26614.843268591056</v>
      </c>
      <c r="S40" s="96">
        <f t="shared" si="4"/>
        <v>28.660747756033906</v>
      </c>
      <c r="T40" s="97">
        <f t="shared" si="5"/>
        <v>71.339252243966087</v>
      </c>
      <c r="U40" s="98" t="str">
        <f t="shared" si="0"/>
        <v>ALTO</v>
      </c>
      <c r="AA40" s="132">
        <f>'FM-029 Sin depurar'!P40-'FM-029 Depurada18Ago2020'!P40</f>
        <v>-4.9999999988358468E-2</v>
      </c>
    </row>
    <row r="41" spans="2:27" ht="78" thickBot="1">
      <c r="B41" s="108">
        <v>32</v>
      </c>
      <c r="C41" s="125" t="s">
        <v>121</v>
      </c>
      <c r="D41" s="129" t="s">
        <v>70</v>
      </c>
      <c r="E41" s="129">
        <v>80</v>
      </c>
      <c r="F41" s="113"/>
      <c r="G41" s="114"/>
      <c r="H41" s="114">
        <f>1.19*8203</f>
        <v>9761.57</v>
      </c>
      <c r="I41" s="114">
        <v>10819.327731092437</v>
      </c>
      <c r="J41" s="107"/>
      <c r="K41" s="107">
        <v>12968</v>
      </c>
      <c r="L41" s="107"/>
      <c r="M41" s="107">
        <v>21926</v>
      </c>
      <c r="N41" s="107"/>
      <c r="O41" s="92">
        <f t="shared" si="1"/>
        <v>4</v>
      </c>
      <c r="P41" s="93">
        <f t="shared" si="2"/>
        <v>13868.72</v>
      </c>
      <c r="Q41" s="94">
        <f t="shared" si="3"/>
        <v>1109497.6000000001</v>
      </c>
      <c r="R41" s="95">
        <f>STDEVP(H41:K41)</f>
        <v>1334.0347022705248</v>
      </c>
      <c r="S41" s="96">
        <f t="shared" si="4"/>
        <v>9.619018209831367</v>
      </c>
      <c r="T41" s="97">
        <f t="shared" si="5"/>
        <v>90.380981790168633</v>
      </c>
      <c r="U41" s="98" t="str">
        <f t="shared" si="0"/>
        <v>ALTO</v>
      </c>
      <c r="AA41" s="132">
        <f>'FM-029 Sin depurar'!P41-'FM-029 Depurada18Ago2020'!P41</f>
        <v>8198.1</v>
      </c>
    </row>
    <row r="42" spans="2:27" ht="93.5" thickBot="1">
      <c r="B42" s="108">
        <v>33</v>
      </c>
      <c r="C42" s="125" t="s">
        <v>122</v>
      </c>
      <c r="D42" s="129" t="s">
        <v>134</v>
      </c>
      <c r="E42" s="129">
        <v>150</v>
      </c>
      <c r="F42" s="113"/>
      <c r="G42" s="114">
        <v>36450</v>
      </c>
      <c r="H42" s="114">
        <f>1.19*32560</f>
        <v>38746.400000000001</v>
      </c>
      <c r="I42" s="114">
        <v>30420.168067226892</v>
      </c>
      <c r="J42" s="107"/>
      <c r="K42" s="107">
        <v>44310</v>
      </c>
      <c r="L42" s="107"/>
      <c r="M42" s="107">
        <v>45649</v>
      </c>
      <c r="N42" s="107">
        <v>45649</v>
      </c>
      <c r="O42" s="92">
        <f t="shared" si="1"/>
        <v>6</v>
      </c>
      <c r="P42" s="93">
        <f t="shared" si="2"/>
        <v>40204.089999999997</v>
      </c>
      <c r="Q42" s="94">
        <f t="shared" si="3"/>
        <v>6030613.5</v>
      </c>
      <c r="R42" s="95">
        <f t="shared" si="6"/>
        <v>5599.044070121362</v>
      </c>
      <c r="S42" s="96">
        <f t="shared" si="4"/>
        <v>13.926553418125772</v>
      </c>
      <c r="T42" s="97">
        <f t="shared" si="5"/>
        <v>86.073446581874222</v>
      </c>
      <c r="U42" s="98" t="str">
        <f t="shared" si="0"/>
        <v>ALTO</v>
      </c>
      <c r="AA42" s="132">
        <f>'FM-029 Sin depurar'!P42-'FM-029 Depurada18Ago2020'!P42</f>
        <v>4542.2800000000061</v>
      </c>
    </row>
    <row r="43" spans="2:27" ht="140" thickBot="1">
      <c r="B43" s="108">
        <v>34</v>
      </c>
      <c r="C43" s="125" t="s">
        <v>123</v>
      </c>
      <c r="D43" s="128" t="s">
        <v>70</v>
      </c>
      <c r="E43" s="128">
        <v>5</v>
      </c>
      <c r="F43" s="113"/>
      <c r="G43" s="114"/>
      <c r="H43" s="114">
        <v>34361</v>
      </c>
      <c r="I43" s="114">
        <v>9139</v>
      </c>
      <c r="J43" s="107"/>
      <c r="K43" s="107"/>
      <c r="L43" s="107"/>
      <c r="M43" s="107">
        <v>65757</v>
      </c>
      <c r="N43" s="107">
        <v>65757</v>
      </c>
      <c r="O43" s="92">
        <f t="shared" si="1"/>
        <v>4</v>
      </c>
      <c r="P43" s="93">
        <f t="shared" si="2"/>
        <v>43753.5</v>
      </c>
      <c r="Q43" s="94">
        <f>ROUND(+P43*E43,2)</f>
        <v>218767.5</v>
      </c>
      <c r="R43" s="95">
        <f>STDEVP(H43:N43)</f>
        <v>23741.791692077495</v>
      </c>
      <c r="S43" s="96">
        <f t="shared" si="4"/>
        <v>54.262611430119868</v>
      </c>
      <c r="T43" s="97">
        <f t="shared" si="5"/>
        <v>45.737388569880132</v>
      </c>
      <c r="U43" s="98" t="str">
        <f t="shared" si="0"/>
        <v>BAJO</v>
      </c>
      <c r="AA43" s="132">
        <f>'FM-029 Sin depurar'!P43-'FM-029 Depurada18Ago2020'!P43</f>
        <v>91849.279999999999</v>
      </c>
    </row>
    <row r="44" spans="2:27" ht="93" customHeight="1" thickBot="1">
      <c r="B44" s="108">
        <v>35</v>
      </c>
      <c r="C44" s="125" t="s">
        <v>124</v>
      </c>
      <c r="D44" s="129" t="s">
        <v>70</v>
      </c>
      <c r="E44" s="129">
        <v>10</v>
      </c>
      <c r="F44" s="113">
        <v>144000</v>
      </c>
      <c r="G44" s="114"/>
      <c r="H44" s="114"/>
      <c r="I44" s="114"/>
      <c r="J44" s="107"/>
      <c r="K44" s="107"/>
      <c r="L44" s="107"/>
      <c r="M44" s="107">
        <v>25780</v>
      </c>
      <c r="N44" s="107">
        <v>25000</v>
      </c>
      <c r="O44" s="92">
        <f t="shared" si="1"/>
        <v>3</v>
      </c>
      <c r="P44" s="93">
        <f t="shared" si="2"/>
        <v>64926.67</v>
      </c>
      <c r="Q44" s="94">
        <f t="shared" si="3"/>
        <v>649266.69999999995</v>
      </c>
      <c r="R44" s="95">
        <f>STDEVP(F44:N44)</f>
        <v>55914.19696483374</v>
      </c>
      <c r="S44" s="96">
        <f t="shared" si="4"/>
        <v>86.118996962009206</v>
      </c>
      <c r="T44" s="97">
        <f t="shared" si="5"/>
        <v>13.881003037990794</v>
      </c>
      <c r="U44" s="98" t="str">
        <f t="shared" si="0"/>
        <v>BAJO</v>
      </c>
      <c r="AA44" s="132">
        <f>'FM-029 Sin depurar'!P44-'FM-029 Depurada18Ago2020'!P44</f>
        <v>-14986.25</v>
      </c>
    </row>
    <row r="45" spans="2:27" ht="124.5" thickBot="1">
      <c r="B45" s="108">
        <v>36</v>
      </c>
      <c r="C45" s="125" t="s">
        <v>125</v>
      </c>
      <c r="D45" s="129" t="s">
        <v>135</v>
      </c>
      <c r="E45" s="129">
        <v>4</v>
      </c>
      <c r="F45" s="113">
        <v>1200000</v>
      </c>
      <c r="G45" s="114"/>
      <c r="H45" s="114">
        <f>1.19*261500</f>
        <v>311185</v>
      </c>
      <c r="I45" s="114">
        <v>605042</v>
      </c>
      <c r="J45" s="107"/>
      <c r="K45" s="107"/>
      <c r="L45" s="107"/>
      <c r="M45" s="107"/>
      <c r="N45" s="107"/>
      <c r="O45" s="92">
        <f t="shared" si="1"/>
        <v>3</v>
      </c>
      <c r="P45" s="93">
        <f t="shared" si="2"/>
        <v>705409</v>
      </c>
      <c r="Q45" s="94">
        <f t="shared" si="3"/>
        <v>2821636</v>
      </c>
      <c r="R45" s="95">
        <f>STDEVP(F45:I45)</f>
        <v>369732.49525659316</v>
      </c>
      <c r="S45" s="96">
        <f t="shared" si="4"/>
        <v>52.413918061237261</v>
      </c>
      <c r="T45" s="97">
        <f t="shared" si="5"/>
        <v>47.586081938762739</v>
      </c>
      <c r="U45" s="98" t="str">
        <f t="shared" si="0"/>
        <v>BAJO</v>
      </c>
      <c r="AA45" s="132">
        <f>'FM-029 Sin depurar'!P45-'FM-029 Depurada18Ago2020'!P45</f>
        <v>1.0000000009313226E-2</v>
      </c>
    </row>
    <row r="46" spans="2:27" ht="31.5" thickBot="1">
      <c r="B46" s="108">
        <v>37</v>
      </c>
      <c r="C46" s="125" t="s">
        <v>126</v>
      </c>
      <c r="D46" s="129" t="s">
        <v>70</v>
      </c>
      <c r="E46" s="129">
        <v>10</v>
      </c>
      <c r="F46" s="113"/>
      <c r="G46" s="114"/>
      <c r="H46" s="114">
        <f>1.19*250000</f>
        <v>297500</v>
      </c>
      <c r="I46" s="114">
        <v>290000</v>
      </c>
      <c r="J46" s="107">
        <v>391262</v>
      </c>
      <c r="K46" s="107">
        <v>335000</v>
      </c>
      <c r="L46" s="107"/>
      <c r="M46" s="107"/>
      <c r="N46" s="107"/>
      <c r="O46" s="92">
        <f t="shared" si="1"/>
        <v>4</v>
      </c>
      <c r="P46" s="93">
        <f t="shared" si="2"/>
        <v>328440.5</v>
      </c>
      <c r="Q46" s="94">
        <f t="shared" si="3"/>
        <v>3284405</v>
      </c>
      <c r="R46" s="95">
        <f>STDEVP(H46:K46)</f>
        <v>40076.659301269108</v>
      </c>
      <c r="S46" s="96">
        <f t="shared" si="4"/>
        <v>12.202106409309787</v>
      </c>
      <c r="T46" s="97">
        <f t="shared" si="5"/>
        <v>87.797893590690208</v>
      </c>
      <c r="U46" s="98" t="str">
        <f t="shared" si="0"/>
        <v>ALTO</v>
      </c>
      <c r="AA46" s="132">
        <f>'FM-029 Sin depurar'!P46-'FM-029 Depurada18Ago2020'!P46</f>
        <v>-15688.099999999977</v>
      </c>
    </row>
    <row r="47" spans="2:27" ht="47" thickBot="1">
      <c r="B47" s="108">
        <v>38</v>
      </c>
      <c r="C47" s="125" t="s">
        <v>127</v>
      </c>
      <c r="D47" s="129" t="s">
        <v>136</v>
      </c>
      <c r="E47" s="129">
        <v>20</v>
      </c>
      <c r="F47" s="113">
        <v>45000</v>
      </c>
      <c r="G47" s="114"/>
      <c r="H47" s="114">
        <f>1.19*40336</f>
        <v>47999.839999999997</v>
      </c>
      <c r="I47" s="114"/>
      <c r="J47" s="107"/>
      <c r="K47" s="107"/>
      <c r="L47" s="107"/>
      <c r="M47" s="107"/>
      <c r="N47" s="107"/>
      <c r="O47" s="92">
        <f t="shared" si="1"/>
        <v>2</v>
      </c>
      <c r="P47" s="93">
        <f t="shared" si="2"/>
        <v>46499.92</v>
      </c>
      <c r="Q47" s="94">
        <f t="shared" si="3"/>
        <v>929998.4</v>
      </c>
      <c r="R47" s="95">
        <f t="shared" si="6"/>
        <v>1499.9199999999983</v>
      </c>
      <c r="S47" s="96">
        <f t="shared" si="4"/>
        <v>3.2256399580902468</v>
      </c>
      <c r="T47" s="97">
        <f t="shared" si="5"/>
        <v>96.774360041909759</v>
      </c>
      <c r="U47" s="98" t="str">
        <f t="shared" si="0"/>
        <v>ALTO</v>
      </c>
      <c r="AA47" s="132">
        <f>'FM-029 Sin depurar'!P47-'FM-029 Depurada18Ago2020'!P47</f>
        <v>16166.690000000002</v>
      </c>
    </row>
    <row r="48" spans="2:27" ht="35.25" customHeight="1" thickBot="1">
      <c r="B48" s="108">
        <v>39</v>
      </c>
      <c r="C48" s="125" t="s">
        <v>128</v>
      </c>
      <c r="D48" s="129" t="s">
        <v>70</v>
      </c>
      <c r="E48" s="129">
        <v>50</v>
      </c>
      <c r="F48" s="113"/>
      <c r="G48" s="114"/>
      <c r="H48" s="114">
        <f>1.19*3850</f>
        <v>4581.5</v>
      </c>
      <c r="I48" s="114">
        <v>4621.8487394957983</v>
      </c>
      <c r="J48" s="107"/>
      <c r="K48" s="107"/>
      <c r="L48" s="107"/>
      <c r="M48" s="107"/>
      <c r="N48" s="107"/>
      <c r="O48" s="92">
        <f t="shared" si="1"/>
        <v>2</v>
      </c>
      <c r="P48" s="93">
        <f t="shared" si="2"/>
        <v>4601.67</v>
      </c>
      <c r="Q48" s="94">
        <f t="shared" si="3"/>
        <v>230083.5</v>
      </c>
      <c r="R48" s="95">
        <f t="shared" si="6"/>
        <v>20.174369747899163</v>
      </c>
      <c r="S48" s="96">
        <f t="shared" si="4"/>
        <v>0.43841409201222953</v>
      </c>
      <c r="T48" s="97">
        <f t="shared" si="5"/>
        <v>99.561585907987777</v>
      </c>
      <c r="U48" s="98" t="str">
        <f t="shared" si="0"/>
        <v>ALTO</v>
      </c>
      <c r="AA48" s="132">
        <f>'FM-029 Sin depurar'!P48-'FM-029 Depurada18Ago2020'!P48</f>
        <v>-4601.67</v>
      </c>
    </row>
    <row r="49" spans="2:29" ht="62.5" thickBot="1">
      <c r="B49" s="108">
        <v>40</v>
      </c>
      <c r="C49" s="125" t="s">
        <v>129</v>
      </c>
      <c r="D49" s="129" t="s">
        <v>137</v>
      </c>
      <c r="E49" s="129">
        <v>400</v>
      </c>
      <c r="F49" s="113"/>
      <c r="G49" s="114"/>
      <c r="H49" s="114">
        <v>5236</v>
      </c>
      <c r="I49" s="114">
        <v>17350</v>
      </c>
      <c r="J49" s="107"/>
      <c r="K49" s="107"/>
      <c r="L49" s="107"/>
      <c r="M49" s="107"/>
      <c r="N49" s="107"/>
      <c r="O49" s="92">
        <f t="shared" si="1"/>
        <v>2</v>
      </c>
      <c r="P49" s="93">
        <f t="shared" si="2"/>
        <v>11293</v>
      </c>
      <c r="Q49" s="94">
        <f t="shared" si="3"/>
        <v>4517200</v>
      </c>
      <c r="R49" s="95">
        <f>STDEVP(H49:I49)</f>
        <v>6057</v>
      </c>
      <c r="S49" s="96">
        <f t="shared" si="4"/>
        <v>53.634995129726384</v>
      </c>
      <c r="T49" s="97">
        <f t="shared" si="5"/>
        <v>46.365004870273616</v>
      </c>
      <c r="U49" s="98" t="str">
        <f t="shared" si="0"/>
        <v>BAJO</v>
      </c>
      <c r="AA49" s="132">
        <f>'FM-029 Sin depurar'!P49-'FM-029 Depurada18Ago2020'!P49</f>
        <v>-11293</v>
      </c>
    </row>
    <row r="50" spans="2:29" ht="31.5" thickBot="1">
      <c r="B50" s="108">
        <v>41</v>
      </c>
      <c r="C50" s="126" t="s">
        <v>130</v>
      </c>
      <c r="D50" s="130" t="s">
        <v>138</v>
      </c>
      <c r="E50" s="130">
        <v>80</v>
      </c>
      <c r="F50" s="113"/>
      <c r="G50" s="114"/>
      <c r="H50" s="114">
        <v>7746</v>
      </c>
      <c r="I50" s="114"/>
      <c r="J50" s="107">
        <v>8749</v>
      </c>
      <c r="K50" s="107"/>
      <c r="L50" s="107"/>
      <c r="M50" s="107"/>
      <c r="N50" s="107"/>
      <c r="O50" s="92">
        <f t="shared" si="1"/>
        <v>2</v>
      </c>
      <c r="P50" s="93">
        <f t="shared" si="2"/>
        <v>8247.5</v>
      </c>
      <c r="Q50" s="94">
        <f t="shared" si="3"/>
        <v>659800</v>
      </c>
      <c r="R50" s="95">
        <f>STDEVP(H50:J50)</f>
        <v>501.5</v>
      </c>
      <c r="S50" s="96">
        <f t="shared" si="4"/>
        <v>6.0806304940891174</v>
      </c>
      <c r="T50" s="97">
        <f t="shared" si="5"/>
        <v>93.919369505910879</v>
      </c>
      <c r="U50" s="98" t="str">
        <f t="shared" si="0"/>
        <v>ALTO</v>
      </c>
      <c r="V50" s="47"/>
      <c r="AA50" s="132">
        <f>'FM-029 Sin depurar'!P50-'FM-029 Depurada18Ago2020'!P50</f>
        <v>500457.47</v>
      </c>
    </row>
    <row r="51" spans="2:29">
      <c r="B51" s="80"/>
      <c r="C51" s="82"/>
      <c r="D51" s="81"/>
      <c r="E51" s="81"/>
      <c r="F51" s="86"/>
      <c r="G51" s="86"/>
      <c r="H51" s="86"/>
      <c r="I51" s="86"/>
      <c r="J51" s="107"/>
      <c r="K51" s="107"/>
      <c r="L51" s="107"/>
      <c r="M51" s="107"/>
      <c r="N51" s="107"/>
      <c r="O51" s="247" t="s">
        <v>73</v>
      </c>
      <c r="P51" s="248"/>
      <c r="Q51" s="71">
        <f>SUM(Q10:Q50)</f>
        <v>74056126</v>
      </c>
      <c r="R51" s="61"/>
      <c r="S51" s="62"/>
      <c r="T51" s="63"/>
      <c r="U51" s="64"/>
    </row>
    <row r="52" spans="2:29" s="42" customFormat="1" ht="9.75" customHeight="1" thickBot="1">
      <c r="B52" s="49"/>
      <c r="C52" s="50"/>
      <c r="D52" s="51"/>
      <c r="E52" s="83"/>
      <c r="F52" s="70"/>
      <c r="G52" s="54"/>
      <c r="H52" s="54"/>
      <c r="I52" s="54"/>
      <c r="J52" s="53"/>
      <c r="K52" s="53"/>
      <c r="L52" s="53"/>
      <c r="M52" s="69"/>
      <c r="N52" s="69"/>
      <c r="O52" s="49"/>
      <c r="P52" s="55"/>
      <c r="Q52" s="56"/>
      <c r="R52" s="57"/>
      <c r="S52" s="58"/>
      <c r="T52" s="59"/>
      <c r="U52" s="60"/>
    </row>
    <row r="53" spans="2:29" s="87" customFormat="1" ht="39" customHeight="1">
      <c r="B53" s="249" t="s">
        <v>81</v>
      </c>
      <c r="C53" s="249"/>
      <c r="D53" s="249"/>
      <c r="E53" s="249"/>
      <c r="F53" s="249"/>
      <c r="G53" s="249"/>
      <c r="H53" s="249"/>
      <c r="I53" s="249"/>
      <c r="J53" s="249"/>
      <c r="K53" s="249"/>
      <c r="L53" s="249"/>
      <c r="M53" s="249"/>
      <c r="N53" s="249"/>
      <c r="O53" s="249"/>
      <c r="P53" s="249"/>
      <c r="Q53" s="249"/>
      <c r="R53" s="249"/>
      <c r="S53" s="249"/>
      <c r="T53" s="249"/>
      <c r="U53" s="249"/>
      <c r="V53" s="91"/>
      <c r="W53" s="91"/>
      <c r="X53" s="91"/>
      <c r="Y53" s="91"/>
      <c r="AB53" s="88"/>
      <c r="AC53" s="88"/>
    </row>
    <row r="54" spans="2:29" s="87" customFormat="1" ht="19.5" customHeight="1">
      <c r="B54" s="250" t="s">
        <v>83</v>
      </c>
      <c r="C54" s="250"/>
      <c r="D54" s="250"/>
      <c r="E54" s="250"/>
      <c r="F54" s="250"/>
      <c r="G54" s="250"/>
      <c r="H54" s="250"/>
      <c r="I54" s="250"/>
      <c r="J54" s="111"/>
      <c r="K54" s="111"/>
      <c r="L54" s="111"/>
      <c r="M54" s="111"/>
      <c r="N54" s="111"/>
      <c r="O54" s="111"/>
      <c r="P54" s="111"/>
      <c r="Q54" s="111"/>
      <c r="R54" s="111"/>
      <c r="S54" s="111"/>
      <c r="T54" s="111"/>
      <c r="U54" s="111"/>
      <c r="V54" s="111"/>
      <c r="W54" s="111"/>
      <c r="X54" s="111"/>
      <c r="Y54" s="111"/>
      <c r="AB54" s="88"/>
      <c r="AC54" s="88"/>
    </row>
    <row r="55" spans="2:29" s="87" customFormat="1" ht="15.5">
      <c r="B55" s="77" t="s">
        <v>86</v>
      </c>
      <c r="E55" s="89"/>
      <c r="J55" s="90"/>
      <c r="K55" s="90"/>
      <c r="L55" s="90"/>
      <c r="M55" s="90"/>
      <c r="N55" s="90"/>
      <c r="O55" s="90"/>
      <c r="P55" s="90"/>
      <c r="AB55" s="88"/>
      <c r="AC55" s="88"/>
    </row>
    <row r="56" spans="2:29" s="42" customFormat="1">
      <c r="B56" s="48"/>
      <c r="C56" s="43"/>
      <c r="D56" s="48"/>
      <c r="E56" s="48"/>
      <c r="F56" s="45"/>
      <c r="G56" s="45"/>
      <c r="H56" s="45"/>
      <c r="I56" s="45"/>
      <c r="J56" s="48"/>
      <c r="K56" s="48"/>
      <c r="L56" s="48"/>
      <c r="M56" s="48"/>
      <c r="N56" s="48"/>
      <c r="O56" s="48"/>
      <c r="P56" s="48"/>
      <c r="Q56" s="48"/>
      <c r="R56" s="48"/>
      <c r="S56" s="48"/>
      <c r="T56" s="48"/>
      <c r="U56" s="48"/>
    </row>
    <row r="57" spans="2:29" s="42" customFormat="1">
      <c r="B57" s="48"/>
      <c r="C57" s="43"/>
      <c r="D57" s="48"/>
      <c r="E57" s="48"/>
      <c r="F57" s="45"/>
      <c r="G57" s="45"/>
      <c r="H57" s="45"/>
      <c r="I57" s="45"/>
      <c r="J57" s="48"/>
      <c r="K57" s="48"/>
      <c r="L57" s="48"/>
      <c r="M57" s="48"/>
      <c r="N57" s="48"/>
      <c r="O57" s="48"/>
      <c r="P57" s="48"/>
      <c r="Q57" s="48"/>
      <c r="R57" s="48"/>
      <c r="S57" s="48"/>
      <c r="T57" s="48"/>
      <c r="U57" s="48"/>
    </row>
    <row r="58" spans="2:29" s="100" customFormat="1" ht="28.5">
      <c r="C58" s="101"/>
      <c r="F58" s="105"/>
      <c r="G58" s="105">
        <f>1137500*1.19</f>
        <v>1353625</v>
      </c>
      <c r="H58" s="105"/>
      <c r="I58" s="103"/>
    </row>
    <row r="59" spans="2:29" s="100" customFormat="1" ht="28.5">
      <c r="C59" s="101"/>
      <c r="F59" s="104"/>
      <c r="G59" s="103"/>
      <c r="H59" s="103"/>
      <c r="I59" s="103"/>
    </row>
    <row r="60" spans="2:29" s="100" customFormat="1" ht="28.5">
      <c r="C60" s="101"/>
      <c r="F60" s="102"/>
      <c r="G60" s="103"/>
      <c r="H60" s="103"/>
      <c r="I60" s="103"/>
    </row>
    <row r="61" spans="2:29" s="42" customFormat="1">
      <c r="B61" s="48"/>
      <c r="C61" s="43"/>
      <c r="D61" s="48"/>
      <c r="E61" s="48"/>
      <c r="F61" s="99"/>
      <c r="G61" s="45"/>
      <c r="H61" s="45"/>
      <c r="I61" s="45"/>
      <c r="J61" s="48">
        <v>493660571</v>
      </c>
      <c r="K61" s="48"/>
      <c r="L61" s="48"/>
      <c r="M61" s="48"/>
      <c r="N61" s="48"/>
      <c r="O61" s="48"/>
      <c r="P61" s="48"/>
      <c r="Q61" s="48"/>
      <c r="R61" s="48"/>
      <c r="S61" s="48"/>
      <c r="T61" s="48"/>
      <c r="U61" s="48"/>
    </row>
    <row r="62" spans="2:29" s="42" customFormat="1">
      <c r="B62" s="48"/>
      <c r="C62" s="43"/>
      <c r="D62" s="48"/>
      <c r="E62" s="48"/>
      <c r="F62" s="99"/>
      <c r="G62" s="45"/>
      <c r="H62" s="45"/>
      <c r="I62" s="45"/>
      <c r="J62" s="112">
        <f>SUM(F10:F50)</f>
        <v>1766000</v>
      </c>
      <c r="K62" s="112"/>
      <c r="L62" s="112"/>
      <c r="M62" s="48"/>
      <c r="N62" s="48"/>
      <c r="O62" s="48"/>
      <c r="P62" s="48"/>
      <c r="Q62" s="48"/>
      <c r="R62" s="48"/>
      <c r="S62" s="48"/>
      <c r="T62" s="48"/>
      <c r="U62" s="48"/>
    </row>
    <row r="63" spans="2:29" s="42" customFormat="1" ht="21.5" thickBot="1">
      <c r="B63" s="48"/>
      <c r="C63" s="43"/>
      <c r="D63" s="48"/>
      <c r="E63" s="48"/>
      <c r="F63" s="99"/>
      <c r="G63" s="45"/>
      <c r="H63" s="45"/>
      <c r="I63" s="45"/>
      <c r="J63" s="112">
        <f>J61-J62</f>
        <v>491894571</v>
      </c>
      <c r="K63" s="112"/>
      <c r="L63" s="112"/>
      <c r="M63" s="48"/>
      <c r="N63" s="48"/>
      <c r="O63" s="48"/>
      <c r="P63" s="48"/>
      <c r="Q63" s="48"/>
      <c r="R63" s="48"/>
      <c r="S63" s="48"/>
      <c r="T63" s="48"/>
      <c r="U63" s="48"/>
    </row>
    <row r="64" spans="2:29" s="42" customFormat="1" ht="36" customHeight="1" thickBot="1">
      <c r="B64" s="48"/>
      <c r="C64" s="43"/>
      <c r="D64" s="48"/>
      <c r="E64" s="48"/>
      <c r="F64" s="46"/>
      <c r="G64" s="44">
        <v>26950000</v>
      </c>
      <c r="H64" s="44"/>
      <c r="I64" s="44"/>
      <c r="J64" s="48"/>
      <c r="K64" s="48"/>
      <c r="L64" s="48"/>
      <c r="M64" s="48"/>
      <c r="N64" s="48"/>
      <c r="O64" s="48"/>
      <c r="P64" s="48"/>
      <c r="Q64" s="48"/>
      <c r="R64" s="48"/>
      <c r="S64" s="48"/>
      <c r="T64" s="48"/>
      <c r="U64" s="48"/>
    </row>
    <row r="65" spans="3:36" ht="33.75" customHeight="1">
      <c r="C65" s="52"/>
      <c r="F65" s="46"/>
    </row>
    <row r="66" spans="3:36">
      <c r="C66" s="65" t="s">
        <v>71</v>
      </c>
      <c r="D66" s="65"/>
      <c r="E66" s="66" t="s">
        <v>72</v>
      </c>
      <c r="F66" s="67"/>
    </row>
    <row r="67" spans="3:36">
      <c r="C67" s="65">
        <v>2002</v>
      </c>
      <c r="D67" s="65"/>
      <c r="E67" s="68">
        <v>6.99</v>
      </c>
      <c r="F67" s="67">
        <v>1.0699000000000001</v>
      </c>
      <c r="T67" s="10"/>
    </row>
    <row r="68" spans="3:36" ht="14.5">
      <c r="C68" s="65">
        <v>2003</v>
      </c>
      <c r="D68" s="65"/>
      <c r="E68" s="68">
        <v>6.49</v>
      </c>
      <c r="F68" s="67">
        <v>1.0649</v>
      </c>
      <c r="G68" s="78">
        <f>29999000/1.19</f>
        <v>25209243.697478991</v>
      </c>
      <c r="H68" s="78"/>
      <c r="I68" s="78"/>
      <c r="P68" s="117"/>
      <c r="Q68" s="117"/>
      <c r="R68" s="118"/>
      <c r="T68" s="119"/>
      <c r="U68" s="119"/>
      <c r="V68" s="119"/>
      <c r="W68" s="119"/>
      <c r="X68" s="119"/>
      <c r="Y68" s="119"/>
      <c r="Z68" s="119"/>
      <c r="AA68" s="119"/>
      <c r="AB68" s="119"/>
    </row>
    <row r="69" spans="3:36" ht="14.5">
      <c r="C69" s="65">
        <v>2004</v>
      </c>
      <c r="D69" s="65"/>
      <c r="E69" s="68">
        <v>5.5</v>
      </c>
      <c r="F69" s="67">
        <v>1.0549999999999999</v>
      </c>
      <c r="G69" s="48" t="s">
        <v>80</v>
      </c>
      <c r="P69" s="120"/>
      <c r="Q69" s="120"/>
      <c r="R69" s="121"/>
      <c r="T69" s="240"/>
      <c r="U69" s="239"/>
      <c r="V69" s="240"/>
      <c r="W69" s="122"/>
      <c r="X69" s="240"/>
      <c r="Y69" s="242"/>
      <c r="Z69" s="240"/>
      <c r="AA69" s="240"/>
      <c r="AB69" s="241"/>
    </row>
    <row r="70" spans="3:36" ht="14.5">
      <c r="C70" s="65">
        <v>2005</v>
      </c>
      <c r="D70" s="65"/>
      <c r="E70" s="68">
        <v>4.8499999999999996</v>
      </c>
      <c r="F70" s="67">
        <v>1.0485</v>
      </c>
      <c r="G70" s="79" t="s">
        <v>80</v>
      </c>
      <c r="H70" s="79"/>
      <c r="I70" s="79"/>
      <c r="P70" s="120"/>
      <c r="Q70" s="120"/>
      <c r="R70" s="121"/>
      <c r="T70" s="240"/>
      <c r="U70" s="239"/>
      <c r="V70" s="240"/>
      <c r="W70" s="122"/>
      <c r="X70" s="240"/>
      <c r="Y70" s="240"/>
      <c r="Z70" s="240"/>
      <c r="AA70" s="240"/>
      <c r="AB70" s="241"/>
    </row>
    <row r="71" spans="3:36" ht="14.5">
      <c r="C71" s="65">
        <v>2006</v>
      </c>
      <c r="D71" s="65"/>
      <c r="E71" s="68">
        <v>4.4800000000000004</v>
      </c>
      <c r="F71" s="67">
        <v>1.0448</v>
      </c>
      <c r="P71" s="120"/>
      <c r="Q71" s="120"/>
      <c r="R71" s="121"/>
      <c r="T71" s="240"/>
      <c r="U71" s="239"/>
      <c r="V71" s="240"/>
      <c r="W71" s="122"/>
      <c r="X71" s="240"/>
      <c r="Y71" s="240"/>
      <c r="Z71" s="240"/>
      <c r="AA71" s="240"/>
      <c r="AB71" s="241"/>
      <c r="AF71" s="120"/>
      <c r="AG71" s="121"/>
    </row>
    <row r="72" spans="3:36" ht="14.5">
      <c r="C72" s="65">
        <v>2007</v>
      </c>
      <c r="D72" s="65"/>
      <c r="E72" s="68">
        <v>5.69</v>
      </c>
      <c r="F72" s="67">
        <v>1.0569</v>
      </c>
      <c r="P72" s="120"/>
      <c r="Q72" s="120"/>
      <c r="R72" s="121"/>
      <c r="T72" s="240"/>
      <c r="U72" s="239"/>
      <c r="V72" s="240"/>
      <c r="W72" s="122"/>
      <c r="X72" s="240"/>
      <c r="Y72" s="240"/>
      <c r="Z72" s="240"/>
      <c r="AA72" s="240"/>
      <c r="AB72" s="241"/>
      <c r="AF72" s="120"/>
      <c r="AG72" s="121"/>
      <c r="AI72" s="120"/>
      <c r="AJ72" s="121"/>
    </row>
    <row r="73" spans="3:36" ht="14.5">
      <c r="C73" s="65">
        <v>2008</v>
      </c>
      <c r="D73" s="65"/>
      <c r="E73" s="68">
        <v>7.67</v>
      </c>
      <c r="F73" s="67">
        <v>1.0767</v>
      </c>
      <c r="T73" s="239"/>
      <c r="U73" s="239"/>
      <c r="V73" s="240"/>
      <c r="W73" s="122"/>
      <c r="X73" s="240"/>
      <c r="Y73" s="242"/>
      <c r="Z73" s="240"/>
      <c r="AA73" s="240"/>
      <c r="AB73" s="241"/>
      <c r="AF73" s="120"/>
      <c r="AG73" s="121"/>
      <c r="AI73" s="120"/>
      <c r="AJ73" s="121"/>
    </row>
    <row r="74" spans="3:36" ht="14.5">
      <c r="C74" s="65">
        <v>2009</v>
      </c>
      <c r="D74" s="65"/>
      <c r="E74" s="68">
        <v>2</v>
      </c>
      <c r="F74" s="67">
        <v>1.02</v>
      </c>
      <c r="T74" s="239"/>
      <c r="U74" s="239"/>
      <c r="V74" s="240"/>
      <c r="W74" s="122"/>
      <c r="X74" s="240"/>
      <c r="Y74" s="240"/>
      <c r="Z74" s="240"/>
      <c r="AA74" s="240"/>
      <c r="AB74" s="241"/>
      <c r="AF74" s="120"/>
      <c r="AG74" s="121"/>
      <c r="AI74" s="120"/>
      <c r="AJ74" s="121"/>
    </row>
    <row r="75" spans="3:36" ht="14.5">
      <c r="C75" s="76">
        <v>2010</v>
      </c>
      <c r="D75" s="65"/>
      <c r="E75" s="68">
        <v>3.17</v>
      </c>
      <c r="F75" s="67">
        <v>1.0317000000000001</v>
      </c>
      <c r="R75" s="123"/>
      <c r="T75" s="239"/>
      <c r="U75" s="239"/>
      <c r="V75" s="240"/>
      <c r="W75" s="122"/>
      <c r="X75" s="240"/>
      <c r="Y75" s="240"/>
      <c r="Z75" s="240"/>
      <c r="AA75" s="240"/>
      <c r="AB75" s="241"/>
      <c r="AF75" s="240"/>
      <c r="AG75" s="242"/>
      <c r="AI75" s="240"/>
      <c r="AJ75" s="242"/>
    </row>
    <row r="76" spans="3:36" ht="14.5">
      <c r="C76" s="76">
        <v>2011</v>
      </c>
      <c r="D76" s="65"/>
      <c r="E76" s="68">
        <v>3.73</v>
      </c>
      <c r="F76" s="67">
        <v>1.0373000000000001</v>
      </c>
      <c r="T76" s="239"/>
      <c r="U76" s="239"/>
      <c r="V76" s="240"/>
      <c r="W76" s="122"/>
      <c r="X76" s="240"/>
      <c r="Y76" s="240"/>
      <c r="Z76" s="240"/>
      <c r="AA76" s="240"/>
      <c r="AB76" s="241"/>
      <c r="AF76" s="240"/>
      <c r="AG76" s="240"/>
      <c r="AI76" s="240"/>
      <c r="AJ76" s="240"/>
    </row>
    <row r="77" spans="3:36" ht="14.5">
      <c r="C77" s="76">
        <v>2012</v>
      </c>
      <c r="D77" s="65"/>
      <c r="E77" s="68">
        <v>2.44</v>
      </c>
      <c r="F77" s="67">
        <v>1.0244</v>
      </c>
      <c r="T77" s="239"/>
      <c r="U77" s="239"/>
      <c r="V77" s="240"/>
      <c r="W77" s="122"/>
      <c r="X77" s="240"/>
      <c r="Y77" s="240"/>
      <c r="Z77" s="240"/>
      <c r="AA77" s="240"/>
      <c r="AB77" s="241"/>
      <c r="AF77" s="240"/>
      <c r="AG77" s="240"/>
      <c r="AI77" s="240"/>
      <c r="AJ77" s="240"/>
    </row>
    <row r="78" spans="3:36">
      <c r="C78" s="67">
        <v>2013</v>
      </c>
      <c r="D78" s="41"/>
      <c r="E78" s="40">
        <v>1.94</v>
      </c>
      <c r="F78" s="67">
        <v>1.0194000000000001</v>
      </c>
      <c r="P78" s="42"/>
      <c r="T78" s="239"/>
      <c r="U78" s="239"/>
      <c r="V78" s="240"/>
      <c r="W78" s="122"/>
      <c r="X78" s="240"/>
      <c r="Y78" s="242"/>
      <c r="Z78" s="240"/>
      <c r="AA78" s="240"/>
      <c r="AB78" s="243"/>
      <c r="AF78" s="240"/>
      <c r="AG78" s="240"/>
      <c r="AI78" s="240"/>
      <c r="AJ78" s="240"/>
    </row>
    <row r="79" spans="3:36" ht="14.5">
      <c r="C79" s="67">
        <v>2014</v>
      </c>
      <c r="D79" s="40"/>
      <c r="E79" s="40">
        <v>3.66</v>
      </c>
      <c r="F79" s="67">
        <v>1.0366</v>
      </c>
      <c r="P79" s="117"/>
      <c r="Q79" s="117"/>
      <c r="R79" s="118"/>
      <c r="T79" s="239"/>
      <c r="U79" s="239"/>
      <c r="V79" s="240"/>
      <c r="W79" s="122"/>
      <c r="X79" s="240"/>
      <c r="Y79" s="240"/>
      <c r="Z79" s="240"/>
      <c r="AA79" s="240"/>
      <c r="AB79" s="243"/>
      <c r="AF79" s="239"/>
      <c r="AG79" s="242"/>
      <c r="AI79" s="239"/>
      <c r="AJ79" s="242"/>
    </row>
    <row r="80" spans="3:36" ht="14.5">
      <c r="C80" s="67">
        <v>2015</v>
      </c>
      <c r="D80" s="40"/>
      <c r="E80" s="40">
        <v>6.77</v>
      </c>
      <c r="F80" s="67">
        <v>1.0677000000000001</v>
      </c>
      <c r="P80" s="120"/>
      <c r="Q80" s="120"/>
      <c r="R80" s="121"/>
      <c r="T80" s="239"/>
      <c r="U80" s="239"/>
      <c r="V80" s="240"/>
      <c r="W80" s="122"/>
      <c r="X80" s="240"/>
      <c r="Y80" s="240"/>
      <c r="Z80" s="240"/>
      <c r="AA80" s="240"/>
      <c r="AB80" s="241"/>
      <c r="AF80" s="239"/>
      <c r="AG80" s="240"/>
      <c r="AI80" s="239"/>
      <c r="AJ80" s="240"/>
    </row>
    <row r="81" spans="3:36" ht="14.5">
      <c r="C81" s="67">
        <v>2016</v>
      </c>
      <c r="D81" s="40"/>
      <c r="E81" s="40">
        <v>5.75</v>
      </c>
      <c r="F81" s="67">
        <v>1.0575000000000001</v>
      </c>
      <c r="P81" s="120"/>
      <c r="Q81" s="120"/>
      <c r="R81" s="121"/>
      <c r="T81" s="239"/>
      <c r="U81" s="239"/>
      <c r="V81" s="240"/>
      <c r="W81" s="122"/>
      <c r="X81" s="240"/>
      <c r="Y81" s="240"/>
      <c r="Z81" s="240"/>
      <c r="AA81" s="240"/>
      <c r="AB81" s="241"/>
      <c r="AF81" s="239"/>
      <c r="AG81" s="240"/>
      <c r="AI81" s="239"/>
      <c r="AJ81" s="240"/>
    </row>
    <row r="82" spans="3:36" ht="14.5">
      <c r="C82" s="67">
        <v>2017</v>
      </c>
      <c r="D82" s="40"/>
      <c r="E82" s="40">
        <v>4.09</v>
      </c>
      <c r="F82" s="67">
        <v>1.0408999999999999</v>
      </c>
      <c r="P82" s="120"/>
      <c r="Q82" s="120"/>
      <c r="R82" s="121"/>
      <c r="T82" s="239"/>
      <c r="U82" s="239"/>
      <c r="V82" s="240"/>
      <c r="W82" s="122"/>
      <c r="X82" s="240"/>
      <c r="Y82" s="240"/>
      <c r="Z82" s="240"/>
      <c r="AA82" s="240"/>
      <c r="AB82" s="241"/>
      <c r="AF82" s="239"/>
      <c r="AG82" s="240"/>
      <c r="AI82" s="239"/>
      <c r="AJ82" s="240"/>
    </row>
    <row r="83" spans="3:36" ht="14.5">
      <c r="C83" s="67">
        <v>2018</v>
      </c>
      <c r="D83" s="40"/>
      <c r="E83" s="40">
        <v>3.18</v>
      </c>
      <c r="F83" s="67">
        <v>1.0318000000000001</v>
      </c>
      <c r="T83" s="239"/>
      <c r="U83" s="239"/>
      <c r="V83" s="240"/>
      <c r="W83" s="122"/>
      <c r="X83" s="240"/>
      <c r="Y83" s="240"/>
      <c r="Z83" s="240"/>
      <c r="AA83" s="240"/>
      <c r="AB83" s="241"/>
      <c r="AF83" s="239"/>
      <c r="AG83" s="240"/>
      <c r="AI83" s="239"/>
      <c r="AJ83" s="240"/>
    </row>
    <row r="84" spans="3:36" ht="14.5">
      <c r="C84" s="48">
        <v>2019</v>
      </c>
      <c r="E84" s="106">
        <v>3.7999999999999999E-2</v>
      </c>
      <c r="T84" s="239"/>
      <c r="U84" s="239"/>
      <c r="V84" s="240"/>
      <c r="W84" s="122"/>
      <c r="X84" s="240"/>
      <c r="Y84" s="240"/>
      <c r="Z84" s="240"/>
      <c r="AA84" s="240"/>
      <c r="AB84" s="241"/>
      <c r="AF84" s="239"/>
      <c r="AG84" s="242"/>
      <c r="AI84" s="239"/>
      <c r="AJ84" s="242"/>
    </row>
    <row r="85" spans="3:36" ht="14.5">
      <c r="C85" s="48">
        <v>2020</v>
      </c>
      <c r="E85" s="45" t="s">
        <v>87</v>
      </c>
      <c r="T85" s="239"/>
      <c r="U85" s="239"/>
      <c r="V85" s="240"/>
      <c r="W85" s="122"/>
      <c r="X85" s="240"/>
      <c r="Y85" s="240"/>
      <c r="Z85" s="240"/>
      <c r="AA85" s="240"/>
      <c r="AB85" s="241"/>
      <c r="AF85" s="239"/>
      <c r="AG85" s="240"/>
      <c r="AI85" s="239"/>
      <c r="AJ85" s="240"/>
    </row>
    <row r="86" spans="3:36" ht="22.5" customHeight="1">
      <c r="R86" s="123"/>
      <c r="T86" s="239"/>
      <c r="U86" s="239"/>
      <c r="V86" s="240"/>
      <c r="W86" s="122"/>
      <c r="X86" s="240"/>
      <c r="Y86" s="240"/>
      <c r="Z86" s="240"/>
      <c r="AA86" s="240"/>
      <c r="AB86" s="241"/>
      <c r="AF86" s="239"/>
      <c r="AG86" s="240"/>
      <c r="AI86" s="239"/>
      <c r="AJ86" s="240"/>
    </row>
    <row r="87" spans="3:36" ht="14.5">
      <c r="T87" s="239"/>
      <c r="U87" s="239"/>
      <c r="V87" s="240"/>
      <c r="W87" s="122"/>
      <c r="X87" s="240"/>
      <c r="Y87" s="240"/>
      <c r="Z87" s="240"/>
      <c r="AA87" s="240"/>
      <c r="AB87" s="241"/>
      <c r="AF87" s="239"/>
      <c r="AG87" s="240"/>
      <c r="AI87" s="239"/>
      <c r="AJ87" s="240"/>
    </row>
    <row r="88" spans="3:36">
      <c r="P88" s="42"/>
      <c r="T88" s="239"/>
      <c r="U88" s="239"/>
      <c r="V88" s="240"/>
      <c r="W88" s="122"/>
      <c r="X88" s="240"/>
      <c r="Y88" s="240"/>
      <c r="Z88" s="240"/>
      <c r="AA88" s="240"/>
      <c r="AB88" s="241"/>
      <c r="AF88" s="239"/>
      <c r="AG88" s="240"/>
      <c r="AI88" s="239"/>
      <c r="AJ88" s="240"/>
    </row>
    <row r="89" spans="3:36">
      <c r="P89" s="42"/>
      <c r="T89" s="239"/>
      <c r="U89" s="239"/>
      <c r="V89" s="240"/>
      <c r="W89" s="122"/>
      <c r="X89" s="240"/>
      <c r="Y89" s="240"/>
      <c r="Z89" s="240"/>
      <c r="AA89" s="240"/>
      <c r="AB89" s="241"/>
      <c r="AF89" s="239"/>
      <c r="AG89" s="240"/>
      <c r="AI89" s="239"/>
      <c r="AJ89" s="240"/>
    </row>
    <row r="90" spans="3:36">
      <c r="P90" s="42"/>
      <c r="V90" s="48"/>
      <c r="AF90" s="239"/>
      <c r="AG90" s="240"/>
      <c r="AI90" s="239"/>
      <c r="AJ90" s="240"/>
    </row>
    <row r="91" spans="3:36">
      <c r="P91" s="42"/>
      <c r="V91" s="48"/>
      <c r="AF91" s="239"/>
      <c r="AG91" s="240"/>
    </row>
    <row r="92" spans="3:36">
      <c r="P92" s="42"/>
      <c r="V92" s="48"/>
      <c r="AF92" s="239"/>
      <c r="AG92" s="240"/>
    </row>
    <row r="93" spans="3:36">
      <c r="P93" s="42"/>
      <c r="V93" s="48"/>
      <c r="AF93" s="239"/>
      <c r="AG93" s="240"/>
    </row>
    <row r="94" spans="3:36">
      <c r="X94" s="123"/>
      <c r="AF94" s="239"/>
      <c r="AG94" s="240"/>
    </row>
    <row r="95" spans="3:36">
      <c r="X95" s="124"/>
      <c r="AF95" s="239"/>
      <c r="AG95" s="240"/>
    </row>
  </sheetData>
  <mergeCells count="74">
    <mergeCell ref="AG86:AG90"/>
    <mergeCell ref="AI86:AI90"/>
    <mergeCell ref="AJ86:AJ90"/>
    <mergeCell ref="AF91:AF95"/>
    <mergeCell ref="AG91:AG95"/>
    <mergeCell ref="AJ84:AJ85"/>
    <mergeCell ref="T85:T89"/>
    <mergeCell ref="U85:U89"/>
    <mergeCell ref="V85:V89"/>
    <mergeCell ref="X85:X89"/>
    <mergeCell ref="Y85:Y89"/>
    <mergeCell ref="Z85:Z89"/>
    <mergeCell ref="AA85:AA89"/>
    <mergeCell ref="AB85:AB89"/>
    <mergeCell ref="T80:T84"/>
    <mergeCell ref="U80:U84"/>
    <mergeCell ref="V80:V84"/>
    <mergeCell ref="X80:X84"/>
    <mergeCell ref="Y80:Y84"/>
    <mergeCell ref="Z80:Z84"/>
    <mergeCell ref="AF86:AF90"/>
    <mergeCell ref="AI79:AI83"/>
    <mergeCell ref="AF75:AF78"/>
    <mergeCell ref="AG75:AG78"/>
    <mergeCell ref="AI75:AI78"/>
    <mergeCell ref="AI84:AI85"/>
    <mergeCell ref="AJ75:AJ78"/>
    <mergeCell ref="T78:T79"/>
    <mergeCell ref="U78:U79"/>
    <mergeCell ref="V78:V79"/>
    <mergeCell ref="X78:X79"/>
    <mergeCell ref="Y78:Y79"/>
    <mergeCell ref="Z78:Z79"/>
    <mergeCell ref="AJ79:AJ83"/>
    <mergeCell ref="AA80:AA84"/>
    <mergeCell ref="AB80:AB84"/>
    <mergeCell ref="AF84:AF85"/>
    <mergeCell ref="AG84:AG85"/>
    <mergeCell ref="AA78:AA79"/>
    <mergeCell ref="AB78:AB79"/>
    <mergeCell ref="AF79:AF83"/>
    <mergeCell ref="AG79:AG83"/>
    <mergeCell ref="AA69:AA72"/>
    <mergeCell ref="AB69:AB72"/>
    <mergeCell ref="T73:T77"/>
    <mergeCell ref="U73:U77"/>
    <mergeCell ref="V73:V77"/>
    <mergeCell ref="X73:X77"/>
    <mergeCell ref="Y73:Y77"/>
    <mergeCell ref="Z73:Z77"/>
    <mergeCell ref="AA73:AA77"/>
    <mergeCell ref="AB73:AB77"/>
    <mergeCell ref="T69:T72"/>
    <mergeCell ref="U69:U72"/>
    <mergeCell ref="V69:V72"/>
    <mergeCell ref="X69:X72"/>
    <mergeCell ref="Y69:Y72"/>
    <mergeCell ref="Z69:Z72"/>
    <mergeCell ref="B54:I54"/>
    <mergeCell ref="B2:C4"/>
    <mergeCell ref="D2:U2"/>
    <mergeCell ref="D3:J3"/>
    <mergeCell ref="M3:U3"/>
    <mergeCell ref="D4:U4"/>
    <mergeCell ref="B6:E8"/>
    <mergeCell ref="F6:I7"/>
    <mergeCell ref="J6:L7"/>
    <mergeCell ref="M6:M7"/>
    <mergeCell ref="N6:N7"/>
    <mergeCell ref="O6:U8"/>
    <mergeCell ref="F9:I9"/>
    <mergeCell ref="J9:L9"/>
    <mergeCell ref="O51:P51"/>
    <mergeCell ref="B53:U53"/>
  </mergeCells>
  <conditionalFormatting sqref="U10:U52">
    <cfRule type="cellIs" dxfId="2" priority="3" operator="equal">
      <formula>"BAJO"</formula>
    </cfRule>
  </conditionalFormatting>
  <dataValidations disablePrompts="1" count="2">
    <dataValidation type="list" allowBlank="1" showInputMessage="1" showErrorMessage="1" sqref="E32 E35" xr:uid="{00000000-0002-0000-0300-000000000000}">
      <formula1>#REF!</formula1>
    </dataValidation>
    <dataValidation type="list" allowBlank="1" showInputMessage="1" showErrorMessage="1" sqref="E33" xr:uid="{00000000-0002-0000-0300-000001000000}">
      <formula1>$J$27:$J$28</formula1>
    </dataValidation>
  </dataValidations>
  <printOptions horizontalCentered="1" verticalCentered="1"/>
  <pageMargins left="0.59055118110236227" right="0.39370078740157483" top="0.39370078740157483" bottom="0.39370078740157483" header="0.31496062992125984" footer="0.59055118110236227"/>
  <pageSetup scale="31"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sheetPr>
  <dimension ref="A2:AI95"/>
  <sheetViews>
    <sheetView showGridLines="0" view="pageBreakPreview" topLeftCell="B43" zoomScale="60" zoomScaleNormal="80" zoomScalePageLayoutView="25" workbookViewId="0">
      <selection activeCell="H1" sqref="H1:H1048576"/>
    </sheetView>
  </sheetViews>
  <sheetFormatPr baseColWidth="10" defaultColWidth="11.453125" defaultRowHeight="21"/>
  <cols>
    <col min="1" max="1" width="4.81640625" style="48" hidden="1" customWidth="1"/>
    <col min="2" max="2" width="7.26953125" style="48" customWidth="1"/>
    <col min="3" max="3" width="56" style="48" customWidth="1"/>
    <col min="4" max="4" width="8.7265625" style="48" customWidth="1"/>
    <col min="5" max="5" width="8.1796875" style="48" customWidth="1"/>
    <col min="6" max="6" width="19.1796875" style="48" customWidth="1"/>
    <col min="7" max="7" width="22.26953125" style="48" bestFit="1" customWidth="1"/>
    <col min="8" max="8" width="21" style="48" bestFit="1" customWidth="1"/>
    <col min="9" max="9" width="23.453125" style="48" bestFit="1" customWidth="1"/>
    <col min="10" max="10" width="23.453125" style="48" customWidth="1"/>
    <col min="11" max="11" width="23.453125" style="48" bestFit="1" customWidth="1"/>
    <col min="12" max="12" width="20.26953125" style="48" hidden="1" customWidth="1"/>
    <col min="13" max="13" width="20.26953125" style="48" customWidth="1"/>
    <col min="14" max="14" width="15.453125" style="48" customWidth="1"/>
    <col min="15" max="15" width="19.453125" style="48" customWidth="1"/>
    <col min="16" max="16" width="24.1796875" style="48" customWidth="1"/>
    <col min="17" max="17" width="21.453125" style="48" customWidth="1"/>
    <col min="18" max="18" width="17.453125" style="48" customWidth="1"/>
    <col min="19" max="19" width="19.1796875" style="48" customWidth="1"/>
    <col min="20" max="20" width="25.453125" style="48" customWidth="1"/>
    <col min="21" max="21" width="2.453125" style="42" customWidth="1"/>
    <col min="22" max="16384" width="11.453125" style="48"/>
  </cols>
  <sheetData>
    <row r="2" spans="2:22" ht="39.75" customHeight="1">
      <c r="B2" s="272"/>
      <c r="C2" s="273"/>
      <c r="D2" s="278" t="s">
        <v>75</v>
      </c>
      <c r="E2" s="279"/>
      <c r="F2" s="279"/>
      <c r="G2" s="279"/>
      <c r="H2" s="279"/>
      <c r="I2" s="279"/>
      <c r="J2" s="279"/>
      <c r="K2" s="279"/>
      <c r="L2" s="279"/>
      <c r="M2" s="279"/>
      <c r="N2" s="279"/>
      <c r="O2" s="279"/>
      <c r="P2" s="279"/>
      <c r="Q2" s="279"/>
      <c r="R2" s="279"/>
      <c r="S2" s="279"/>
      <c r="T2" s="280"/>
      <c r="U2" s="74"/>
      <c r="V2" s="74"/>
    </row>
    <row r="3" spans="2:22" ht="17.25" customHeight="1">
      <c r="B3" s="274"/>
      <c r="C3" s="275"/>
      <c r="D3" s="281" t="s">
        <v>77</v>
      </c>
      <c r="E3" s="282"/>
      <c r="F3" s="282"/>
      <c r="G3" s="282"/>
      <c r="H3" s="282"/>
      <c r="I3" s="282"/>
      <c r="J3" s="1"/>
      <c r="K3" s="1"/>
      <c r="L3" s="281" t="s">
        <v>76</v>
      </c>
      <c r="M3" s="282"/>
      <c r="N3" s="282"/>
      <c r="O3" s="282"/>
      <c r="P3" s="282"/>
      <c r="Q3" s="282"/>
      <c r="R3" s="282"/>
      <c r="S3" s="282"/>
      <c r="T3" s="283"/>
      <c r="U3" s="75"/>
      <c r="V3" s="75"/>
    </row>
    <row r="4" spans="2:22" ht="17.25" customHeight="1">
      <c r="B4" s="276"/>
      <c r="C4" s="277"/>
      <c r="D4" s="281" t="s">
        <v>78</v>
      </c>
      <c r="E4" s="282"/>
      <c r="F4" s="282"/>
      <c r="G4" s="282"/>
      <c r="H4" s="282"/>
      <c r="I4" s="282"/>
      <c r="J4" s="282"/>
      <c r="K4" s="282"/>
      <c r="L4" s="282"/>
      <c r="M4" s="282"/>
      <c r="N4" s="282"/>
      <c r="O4" s="282"/>
      <c r="P4" s="282"/>
      <c r="Q4" s="282"/>
      <c r="R4" s="282"/>
      <c r="S4" s="282"/>
      <c r="T4" s="283"/>
      <c r="U4" s="75"/>
      <c r="V4" s="75"/>
    </row>
    <row r="5" spans="2:22" ht="15.75" customHeight="1" thickBot="1"/>
    <row r="6" spans="2:22" ht="65.25" customHeight="1">
      <c r="B6" s="251" t="s">
        <v>90</v>
      </c>
      <c r="C6" s="252"/>
      <c r="D6" s="252"/>
      <c r="E6" s="253"/>
      <c r="F6" s="257" t="s">
        <v>74</v>
      </c>
      <c r="G6" s="258"/>
      <c r="H6" s="258"/>
      <c r="I6" s="257" t="s">
        <v>85</v>
      </c>
      <c r="J6" s="258"/>
      <c r="K6" s="258"/>
      <c r="L6" s="261" t="s">
        <v>88</v>
      </c>
      <c r="M6" s="261" t="s">
        <v>88</v>
      </c>
      <c r="N6" s="263" t="s">
        <v>142</v>
      </c>
      <c r="O6" s="264"/>
      <c r="P6" s="264"/>
      <c r="Q6" s="264"/>
      <c r="R6" s="264"/>
      <c r="S6" s="264"/>
      <c r="T6" s="265"/>
    </row>
    <row r="7" spans="2:22" ht="59.25" customHeight="1" thickBot="1">
      <c r="B7" s="254"/>
      <c r="C7" s="255"/>
      <c r="D7" s="255"/>
      <c r="E7" s="256"/>
      <c r="F7" s="259"/>
      <c r="G7" s="260"/>
      <c r="H7" s="260"/>
      <c r="I7" s="259"/>
      <c r="J7" s="260"/>
      <c r="K7" s="260"/>
      <c r="L7" s="284"/>
      <c r="M7" s="284"/>
      <c r="N7" s="266"/>
      <c r="O7" s="267"/>
      <c r="P7" s="267"/>
      <c r="Q7" s="267"/>
      <c r="R7" s="267"/>
      <c r="S7" s="267"/>
      <c r="T7" s="268"/>
    </row>
    <row r="8" spans="2:22" ht="81" customHeight="1" thickBot="1">
      <c r="B8" s="254"/>
      <c r="C8" s="255"/>
      <c r="D8" s="255"/>
      <c r="E8" s="256"/>
      <c r="F8" s="115" t="s">
        <v>139</v>
      </c>
      <c r="G8" s="115" t="s">
        <v>140</v>
      </c>
      <c r="H8" s="115" t="s">
        <v>141</v>
      </c>
      <c r="I8" s="115" t="s">
        <v>144</v>
      </c>
      <c r="J8" s="116" t="s">
        <v>146</v>
      </c>
      <c r="K8" s="116" t="s">
        <v>145</v>
      </c>
      <c r="L8" s="116">
        <v>2019</v>
      </c>
      <c r="M8" s="116" t="s">
        <v>147</v>
      </c>
      <c r="N8" s="269"/>
      <c r="O8" s="270"/>
      <c r="P8" s="270"/>
      <c r="Q8" s="270"/>
      <c r="R8" s="270"/>
      <c r="S8" s="270"/>
      <c r="T8" s="271"/>
    </row>
    <row r="9" spans="2:22" ht="72" customHeight="1" thickBot="1">
      <c r="B9" s="110" t="s">
        <v>64</v>
      </c>
      <c r="C9" s="109" t="s">
        <v>65</v>
      </c>
      <c r="D9" s="84" t="s">
        <v>70</v>
      </c>
      <c r="E9" s="85" t="s">
        <v>79</v>
      </c>
      <c r="F9" s="244" t="s">
        <v>84</v>
      </c>
      <c r="G9" s="245"/>
      <c r="H9" s="245"/>
      <c r="I9" s="244" t="s">
        <v>82</v>
      </c>
      <c r="J9" s="245"/>
      <c r="K9" s="246"/>
      <c r="L9" s="72"/>
      <c r="M9" s="72" t="s">
        <v>148</v>
      </c>
      <c r="N9" s="73" t="s">
        <v>66</v>
      </c>
      <c r="O9" s="73" t="s">
        <v>67</v>
      </c>
      <c r="P9" s="73" t="s">
        <v>68</v>
      </c>
      <c r="Q9" s="73" t="s">
        <v>0</v>
      </c>
      <c r="R9" s="73" t="s">
        <v>69</v>
      </c>
      <c r="S9" s="73" t="s">
        <v>1</v>
      </c>
      <c r="T9" s="73" t="s">
        <v>2</v>
      </c>
    </row>
    <row r="10" spans="2:22" ht="124.5" thickBot="1">
      <c r="B10" s="108">
        <v>1</v>
      </c>
      <c r="C10" s="125" t="s">
        <v>91</v>
      </c>
      <c r="D10" s="127" t="s">
        <v>70</v>
      </c>
      <c r="E10" s="127">
        <v>40</v>
      </c>
      <c r="F10" s="113">
        <v>33000</v>
      </c>
      <c r="G10" s="114">
        <v>20400</v>
      </c>
      <c r="H10" s="114">
        <v>18907.563025210085</v>
      </c>
      <c r="I10" s="107"/>
      <c r="J10" s="107">
        <v>16363</v>
      </c>
      <c r="K10" s="107">
        <v>27500</v>
      </c>
      <c r="L10" s="107">
        <v>28661</v>
      </c>
      <c r="M10" s="107">
        <f>L10*(1+($E$84+$E$85))</f>
        <v>30071.121199999998</v>
      </c>
      <c r="N10" s="92">
        <f t="shared" ref="N10:N50" si="0">COUNT(F10:M10)</f>
        <v>7</v>
      </c>
      <c r="O10" s="93">
        <f t="shared" ref="O10:O50" si="1">ROUND(AVERAGE(F10:M10),2)</f>
        <v>24986.1</v>
      </c>
      <c r="P10" s="94">
        <f t="shared" ref="P10:P50" si="2">ROUND(+O10*E10,2)</f>
        <v>999444</v>
      </c>
      <c r="Q10" s="95">
        <f t="shared" ref="Q10:Q50" si="3">STDEVP(F10:K10)</f>
        <v>6124.2757258867841</v>
      </c>
      <c r="R10" s="96">
        <f>Q10/O10*100</f>
        <v>24.510730869910809</v>
      </c>
      <c r="S10" s="97">
        <f t="shared" ref="S10:S50" si="4">100-R10</f>
        <v>75.489269130089184</v>
      </c>
      <c r="T10" s="98" t="str">
        <f t="shared" ref="T10:T50" si="5">IF(S10&gt;70,"ALTO","BAJO")</f>
        <v>ALTO</v>
      </c>
    </row>
    <row r="11" spans="2:22" ht="124.5" thickBot="1">
      <c r="B11" s="108">
        <v>2</v>
      </c>
      <c r="C11" s="125" t="s">
        <v>92</v>
      </c>
      <c r="D11" s="128" t="s">
        <v>70</v>
      </c>
      <c r="E11" s="128">
        <v>10</v>
      </c>
      <c r="F11" s="113"/>
      <c r="G11" s="114">
        <v>20400</v>
      </c>
      <c r="H11" s="114">
        <v>18907.563025210085</v>
      </c>
      <c r="I11" s="107"/>
      <c r="J11" s="107">
        <v>16363</v>
      </c>
      <c r="K11" s="107">
        <v>25000</v>
      </c>
      <c r="L11" s="107"/>
      <c r="M11" s="107"/>
      <c r="N11" s="92">
        <f t="shared" si="0"/>
        <v>4</v>
      </c>
      <c r="O11" s="93">
        <f t="shared" si="1"/>
        <v>20167.64</v>
      </c>
      <c r="P11" s="94">
        <f t="shared" si="2"/>
        <v>201676.4</v>
      </c>
      <c r="Q11" s="95">
        <f t="shared" si="3"/>
        <v>3141.2089174071848</v>
      </c>
      <c r="R11" s="96">
        <f t="shared" ref="R11:R50" si="6">Q11/O11*100</f>
        <v>15.575490822957891</v>
      </c>
      <c r="S11" s="97">
        <f t="shared" si="4"/>
        <v>84.424509177042111</v>
      </c>
      <c r="T11" s="98" t="str">
        <f t="shared" si="5"/>
        <v>ALTO</v>
      </c>
    </row>
    <row r="12" spans="2:22" ht="124.5" thickBot="1">
      <c r="B12" s="108">
        <v>3</v>
      </c>
      <c r="C12" s="125" t="s">
        <v>93</v>
      </c>
      <c r="D12" s="128" t="s">
        <v>70</v>
      </c>
      <c r="E12" s="128">
        <v>5</v>
      </c>
      <c r="F12" s="113">
        <v>33000</v>
      </c>
      <c r="G12" s="114">
        <v>20400</v>
      </c>
      <c r="H12" s="114">
        <v>18907.563025210085</v>
      </c>
      <c r="I12" s="107"/>
      <c r="J12" s="107">
        <v>16363</v>
      </c>
      <c r="K12" s="107"/>
      <c r="L12" s="107"/>
      <c r="M12" s="107"/>
      <c r="N12" s="92">
        <f t="shared" si="0"/>
        <v>4</v>
      </c>
      <c r="O12" s="93">
        <f t="shared" si="1"/>
        <v>22167.64</v>
      </c>
      <c r="P12" s="94">
        <f t="shared" si="2"/>
        <v>110838.2</v>
      </c>
      <c r="Q12" s="95">
        <f t="shared" si="3"/>
        <v>6418.4601297810004</v>
      </c>
      <c r="R12" s="96">
        <f t="shared" si="6"/>
        <v>28.954187860236818</v>
      </c>
      <c r="S12" s="97">
        <f t="shared" si="4"/>
        <v>71.045812139763186</v>
      </c>
      <c r="T12" s="98" t="str">
        <f t="shared" si="5"/>
        <v>ALTO</v>
      </c>
    </row>
    <row r="13" spans="2:22" ht="162" customHeight="1" thickBot="1">
      <c r="B13" s="108">
        <v>4</v>
      </c>
      <c r="C13" s="125" t="s">
        <v>94</v>
      </c>
      <c r="D13" s="129" t="s">
        <v>70</v>
      </c>
      <c r="E13" s="129">
        <v>100</v>
      </c>
      <c r="F13" s="113">
        <v>12000</v>
      </c>
      <c r="G13" s="114">
        <v>7480</v>
      </c>
      <c r="H13" s="114">
        <v>5600</v>
      </c>
      <c r="I13" s="107"/>
      <c r="J13" s="107">
        <v>6395</v>
      </c>
      <c r="K13" s="107"/>
      <c r="L13" s="107">
        <v>10468</v>
      </c>
      <c r="M13" s="107">
        <v>10468</v>
      </c>
      <c r="N13" s="92">
        <f t="shared" si="0"/>
        <v>6</v>
      </c>
      <c r="O13" s="93">
        <f t="shared" si="1"/>
        <v>8735.17</v>
      </c>
      <c r="P13" s="94">
        <f t="shared" si="2"/>
        <v>873517</v>
      </c>
      <c r="Q13" s="95">
        <f t="shared" si="3"/>
        <v>2476.7679922633042</v>
      </c>
      <c r="R13" s="96">
        <f t="shared" si="6"/>
        <v>28.353975850078523</v>
      </c>
      <c r="S13" s="97">
        <f t="shared" si="4"/>
        <v>71.646024149921473</v>
      </c>
      <c r="T13" s="98" t="str">
        <f t="shared" si="5"/>
        <v>ALTO</v>
      </c>
    </row>
    <row r="14" spans="2:22" ht="155.5" thickBot="1">
      <c r="B14" s="108">
        <v>5</v>
      </c>
      <c r="C14" s="125" t="s">
        <v>143</v>
      </c>
      <c r="D14" s="128" t="s">
        <v>70</v>
      </c>
      <c r="E14" s="128">
        <v>150</v>
      </c>
      <c r="F14" s="113"/>
      <c r="G14" s="114">
        <v>5440</v>
      </c>
      <c r="H14" s="114">
        <v>6500</v>
      </c>
      <c r="I14" s="107"/>
      <c r="J14" s="107">
        <v>6422</v>
      </c>
      <c r="K14" s="107"/>
      <c r="L14" s="107"/>
      <c r="M14" s="107"/>
      <c r="N14" s="92">
        <f t="shared" si="0"/>
        <v>3</v>
      </c>
      <c r="O14" s="93">
        <f t="shared" si="1"/>
        <v>6120.67</v>
      </c>
      <c r="P14" s="94">
        <f t="shared" si="2"/>
        <v>918100.5</v>
      </c>
      <c r="Q14" s="95">
        <f t="shared" si="3"/>
        <v>482.35625377469256</v>
      </c>
      <c r="R14" s="96">
        <f t="shared" si="6"/>
        <v>7.8807753689496831</v>
      </c>
      <c r="S14" s="97">
        <f t="shared" si="4"/>
        <v>92.119224631050315</v>
      </c>
      <c r="T14" s="98" t="str">
        <f t="shared" si="5"/>
        <v>ALTO</v>
      </c>
    </row>
    <row r="15" spans="2:22" ht="93.5" thickBot="1">
      <c r="B15" s="108">
        <v>6</v>
      </c>
      <c r="C15" s="125" t="s">
        <v>95</v>
      </c>
      <c r="D15" s="128" t="s">
        <v>70</v>
      </c>
      <c r="E15" s="128">
        <v>20</v>
      </c>
      <c r="F15" s="113"/>
      <c r="G15" s="114"/>
      <c r="H15" s="114">
        <v>10500</v>
      </c>
      <c r="I15" s="107"/>
      <c r="J15" s="107">
        <v>10342</v>
      </c>
      <c r="K15" s="107"/>
      <c r="L15" s="107">
        <v>11069</v>
      </c>
      <c r="M15" s="107">
        <v>11069</v>
      </c>
      <c r="N15" s="92">
        <f t="shared" si="0"/>
        <v>4</v>
      </c>
      <c r="O15" s="93">
        <f t="shared" si="1"/>
        <v>10745</v>
      </c>
      <c r="P15" s="94">
        <f t="shared" si="2"/>
        <v>214900</v>
      </c>
      <c r="Q15" s="95">
        <f t="shared" si="3"/>
        <v>79</v>
      </c>
      <c r="R15" s="96">
        <f t="shared" si="6"/>
        <v>0.73522568636575147</v>
      </c>
      <c r="S15" s="97">
        <f t="shared" si="4"/>
        <v>99.264774313634248</v>
      </c>
      <c r="T15" s="98" t="str">
        <f t="shared" si="5"/>
        <v>ALTO</v>
      </c>
    </row>
    <row r="16" spans="2:22" ht="96" customHeight="1" thickBot="1">
      <c r="B16" s="108">
        <v>7</v>
      </c>
      <c r="C16" s="125" t="s">
        <v>96</v>
      </c>
      <c r="D16" s="129" t="s">
        <v>70</v>
      </c>
      <c r="E16" s="129">
        <v>10</v>
      </c>
      <c r="F16" s="113"/>
      <c r="G16" s="114">
        <v>24500</v>
      </c>
      <c r="H16" s="114">
        <v>28000</v>
      </c>
      <c r="I16" s="107"/>
      <c r="J16" s="107"/>
      <c r="K16" s="107"/>
      <c r="L16" s="107">
        <v>33297</v>
      </c>
      <c r="M16" s="107">
        <v>33297</v>
      </c>
      <c r="N16" s="92">
        <f t="shared" si="0"/>
        <v>4</v>
      </c>
      <c r="O16" s="93">
        <f t="shared" si="1"/>
        <v>29773.5</v>
      </c>
      <c r="P16" s="94">
        <f t="shared" si="2"/>
        <v>297735</v>
      </c>
      <c r="Q16" s="95">
        <f t="shared" si="3"/>
        <v>1750</v>
      </c>
      <c r="R16" s="96">
        <f t="shared" si="6"/>
        <v>5.8777100441667924</v>
      </c>
      <c r="S16" s="97">
        <f t="shared" si="4"/>
        <v>94.12228995583321</v>
      </c>
      <c r="T16" s="98" t="str">
        <f t="shared" si="5"/>
        <v>ALTO</v>
      </c>
    </row>
    <row r="17" spans="2:20" ht="186" customHeight="1" thickBot="1">
      <c r="B17" s="108">
        <v>8</v>
      </c>
      <c r="C17" s="125" t="s">
        <v>97</v>
      </c>
      <c r="D17" s="129" t="s">
        <v>70</v>
      </c>
      <c r="E17" s="129">
        <v>750</v>
      </c>
      <c r="F17" s="113"/>
      <c r="G17" s="114"/>
      <c r="H17" s="114">
        <v>14300</v>
      </c>
      <c r="I17" s="107"/>
      <c r="J17" s="107"/>
      <c r="K17" s="107"/>
      <c r="L17" s="107">
        <v>6412</v>
      </c>
      <c r="M17" s="107">
        <v>6412</v>
      </c>
      <c r="N17" s="92">
        <f t="shared" si="0"/>
        <v>3</v>
      </c>
      <c r="O17" s="93">
        <f t="shared" si="1"/>
        <v>9041.33</v>
      </c>
      <c r="P17" s="94">
        <f t="shared" si="2"/>
        <v>6780997.5</v>
      </c>
      <c r="Q17" s="95">
        <f t="shared" si="3"/>
        <v>0</v>
      </c>
      <c r="R17" s="96">
        <f t="shared" si="6"/>
        <v>0</v>
      </c>
      <c r="S17" s="97">
        <f t="shared" si="4"/>
        <v>100</v>
      </c>
      <c r="T17" s="98" t="str">
        <f t="shared" si="5"/>
        <v>ALTO</v>
      </c>
    </row>
    <row r="18" spans="2:20" ht="173.25" customHeight="1" thickBot="1">
      <c r="B18" s="108">
        <v>9</v>
      </c>
      <c r="C18" s="125" t="s">
        <v>98</v>
      </c>
      <c r="D18" s="129" t="s">
        <v>70</v>
      </c>
      <c r="E18" s="129">
        <v>750</v>
      </c>
      <c r="F18" s="113"/>
      <c r="G18" s="114"/>
      <c r="H18" s="114">
        <v>14300</v>
      </c>
      <c r="I18" s="107"/>
      <c r="J18" s="107"/>
      <c r="K18" s="107"/>
      <c r="L18" s="107">
        <v>6412</v>
      </c>
      <c r="M18" s="107">
        <v>6412</v>
      </c>
      <c r="N18" s="92">
        <f t="shared" si="0"/>
        <v>3</v>
      </c>
      <c r="O18" s="93">
        <f t="shared" si="1"/>
        <v>9041.33</v>
      </c>
      <c r="P18" s="94">
        <f t="shared" si="2"/>
        <v>6780997.5</v>
      </c>
      <c r="Q18" s="95">
        <f t="shared" si="3"/>
        <v>0</v>
      </c>
      <c r="R18" s="96">
        <f t="shared" si="6"/>
        <v>0</v>
      </c>
      <c r="S18" s="97">
        <f t="shared" si="4"/>
        <v>100</v>
      </c>
      <c r="T18" s="98" t="str">
        <f t="shared" si="5"/>
        <v>ALTO</v>
      </c>
    </row>
    <row r="19" spans="2:20" ht="140" thickBot="1">
      <c r="B19" s="108">
        <v>10</v>
      </c>
      <c r="C19" s="125" t="s">
        <v>99</v>
      </c>
      <c r="D19" s="129" t="s">
        <v>70</v>
      </c>
      <c r="E19" s="129">
        <v>550</v>
      </c>
      <c r="F19" s="113"/>
      <c r="G19" s="114"/>
      <c r="H19" s="114">
        <v>14500</v>
      </c>
      <c r="I19" s="107"/>
      <c r="J19" s="107"/>
      <c r="K19" s="107"/>
      <c r="L19" s="107">
        <v>16277</v>
      </c>
      <c r="M19" s="107">
        <v>16277</v>
      </c>
      <c r="N19" s="92">
        <f t="shared" si="0"/>
        <v>3</v>
      </c>
      <c r="O19" s="93">
        <f t="shared" si="1"/>
        <v>15684.67</v>
      </c>
      <c r="P19" s="94">
        <f t="shared" si="2"/>
        <v>8626568.5</v>
      </c>
      <c r="Q19" s="95">
        <f t="shared" si="3"/>
        <v>0</v>
      </c>
      <c r="R19" s="96">
        <f t="shared" si="6"/>
        <v>0</v>
      </c>
      <c r="S19" s="97">
        <f t="shared" si="4"/>
        <v>100</v>
      </c>
      <c r="T19" s="98" t="str">
        <f t="shared" si="5"/>
        <v>ALTO</v>
      </c>
    </row>
    <row r="20" spans="2:20" ht="113.25" customHeight="1" thickBot="1">
      <c r="B20" s="108">
        <v>11</v>
      </c>
      <c r="C20" s="125" t="s">
        <v>100</v>
      </c>
      <c r="D20" s="129" t="s">
        <v>70</v>
      </c>
      <c r="E20" s="129">
        <v>2</v>
      </c>
      <c r="F20" s="113"/>
      <c r="G20" s="114">
        <v>479000</v>
      </c>
      <c r="H20" s="114">
        <v>378151.26050420169</v>
      </c>
      <c r="I20" s="107"/>
      <c r="J20" s="107"/>
      <c r="K20" s="107"/>
      <c r="L20" s="107">
        <v>397253</v>
      </c>
      <c r="M20" s="107">
        <v>397253</v>
      </c>
      <c r="N20" s="92">
        <f t="shared" si="0"/>
        <v>4</v>
      </c>
      <c r="O20" s="93">
        <f t="shared" si="1"/>
        <v>412914.32</v>
      </c>
      <c r="P20" s="94">
        <f t="shared" si="2"/>
        <v>825828.64</v>
      </c>
      <c r="Q20" s="95">
        <f t="shared" si="3"/>
        <v>50424.369747899073</v>
      </c>
      <c r="R20" s="96">
        <f t="shared" si="6"/>
        <v>12.211823931875037</v>
      </c>
      <c r="S20" s="97">
        <f t="shared" si="4"/>
        <v>87.788176068124969</v>
      </c>
      <c r="T20" s="98" t="str">
        <f t="shared" si="5"/>
        <v>ALTO</v>
      </c>
    </row>
    <row r="21" spans="2:20" ht="130.5" customHeight="1" thickBot="1">
      <c r="B21" s="108">
        <v>12</v>
      </c>
      <c r="C21" s="125" t="s">
        <v>101</v>
      </c>
      <c r="D21" s="129" t="s">
        <v>70</v>
      </c>
      <c r="E21" s="129">
        <v>8</v>
      </c>
      <c r="F21" s="113"/>
      <c r="G21" s="114">
        <v>53000</v>
      </c>
      <c r="H21" s="114">
        <v>47058.823529411769</v>
      </c>
      <c r="I21" s="107"/>
      <c r="J21" s="107">
        <v>52182</v>
      </c>
      <c r="K21" s="107"/>
      <c r="L21" s="107">
        <v>63431</v>
      </c>
      <c r="M21" s="107">
        <v>63431</v>
      </c>
      <c r="N21" s="92">
        <f t="shared" si="0"/>
        <v>5</v>
      </c>
      <c r="O21" s="93">
        <f t="shared" si="1"/>
        <v>55820.56</v>
      </c>
      <c r="P21" s="94">
        <f t="shared" si="2"/>
        <v>446564.48</v>
      </c>
      <c r="Q21" s="95">
        <f t="shared" si="3"/>
        <v>2629.1874326376983</v>
      </c>
      <c r="R21" s="96">
        <f t="shared" si="6"/>
        <v>4.7100699681939746</v>
      </c>
      <c r="S21" s="97">
        <f t="shared" si="4"/>
        <v>95.289930031806023</v>
      </c>
      <c r="T21" s="98" t="str">
        <f t="shared" si="5"/>
        <v>ALTO</v>
      </c>
    </row>
    <row r="22" spans="2:20" ht="126.75" customHeight="1" thickBot="1">
      <c r="B22" s="108">
        <v>13</v>
      </c>
      <c r="C22" s="125" t="s">
        <v>102</v>
      </c>
      <c r="D22" s="128" t="s">
        <v>131</v>
      </c>
      <c r="E22" s="128">
        <v>30</v>
      </c>
      <c r="F22" s="113">
        <v>54000</v>
      </c>
      <c r="G22" s="114">
        <v>48500</v>
      </c>
      <c r="H22" s="114">
        <v>36134.45378151261</v>
      </c>
      <c r="I22" s="107"/>
      <c r="J22" s="107"/>
      <c r="K22" s="107"/>
      <c r="L22" s="107">
        <v>60163</v>
      </c>
      <c r="M22" s="107">
        <v>60163</v>
      </c>
      <c r="N22" s="92">
        <f t="shared" si="0"/>
        <v>5</v>
      </c>
      <c r="O22" s="93">
        <f t="shared" si="1"/>
        <v>51792.09</v>
      </c>
      <c r="P22" s="94">
        <f t="shared" si="2"/>
        <v>1553762.7</v>
      </c>
      <c r="Q22" s="95">
        <f t="shared" si="3"/>
        <v>7470.9398112245071</v>
      </c>
      <c r="R22" s="96">
        <f t="shared" si="6"/>
        <v>14.424866444324813</v>
      </c>
      <c r="S22" s="97">
        <f t="shared" si="4"/>
        <v>85.575133555675194</v>
      </c>
      <c r="T22" s="98" t="str">
        <f t="shared" si="5"/>
        <v>ALTO</v>
      </c>
    </row>
    <row r="23" spans="2:20" ht="124.5" thickBot="1">
      <c r="B23" s="108">
        <v>14</v>
      </c>
      <c r="C23" s="125" t="s">
        <v>103</v>
      </c>
      <c r="D23" s="129" t="s">
        <v>131</v>
      </c>
      <c r="E23" s="129">
        <v>30</v>
      </c>
      <c r="F23" s="113"/>
      <c r="G23" s="114">
        <v>9220</v>
      </c>
      <c r="H23" s="114">
        <v>10756.302521008403</v>
      </c>
      <c r="I23" s="107"/>
      <c r="J23" s="107"/>
      <c r="K23" s="107"/>
      <c r="L23" s="131">
        <v>33505</v>
      </c>
      <c r="M23" s="131">
        <v>33505</v>
      </c>
      <c r="N23" s="92">
        <f t="shared" si="0"/>
        <v>4</v>
      </c>
      <c r="O23" s="93">
        <f t="shared" si="1"/>
        <v>21746.58</v>
      </c>
      <c r="P23" s="94">
        <f t="shared" si="2"/>
        <v>652397.4</v>
      </c>
      <c r="Q23" s="95">
        <f t="shared" si="3"/>
        <v>768.15126050420167</v>
      </c>
      <c r="R23" s="96">
        <f t="shared" si="6"/>
        <v>3.5322853547739537</v>
      </c>
      <c r="S23" s="97">
        <f t="shared" si="4"/>
        <v>96.467714645226053</v>
      </c>
      <c r="T23" s="98" t="str">
        <f t="shared" si="5"/>
        <v>ALTO</v>
      </c>
    </row>
    <row r="24" spans="2:20" ht="93.5" thickBot="1">
      <c r="B24" s="108">
        <v>15</v>
      </c>
      <c r="C24" s="125" t="s">
        <v>104</v>
      </c>
      <c r="D24" s="129" t="s">
        <v>131</v>
      </c>
      <c r="E24" s="129">
        <v>30</v>
      </c>
      <c r="F24" s="113"/>
      <c r="G24" s="114">
        <v>39750</v>
      </c>
      <c r="H24" s="114">
        <v>36134.45378151261</v>
      </c>
      <c r="I24" s="107"/>
      <c r="J24" s="107"/>
      <c r="K24" s="107"/>
      <c r="L24" s="131">
        <v>36563</v>
      </c>
      <c r="M24" s="131">
        <v>36563</v>
      </c>
      <c r="N24" s="92">
        <f t="shared" si="0"/>
        <v>4</v>
      </c>
      <c r="O24" s="93">
        <f t="shared" si="1"/>
        <v>37252.61</v>
      </c>
      <c r="P24" s="94">
        <f t="shared" si="2"/>
        <v>1117578.3</v>
      </c>
      <c r="Q24" s="95">
        <f t="shared" si="3"/>
        <v>1807.7731092436952</v>
      </c>
      <c r="R24" s="96">
        <f t="shared" si="6"/>
        <v>4.8527421548280651</v>
      </c>
      <c r="S24" s="97">
        <f t="shared" si="4"/>
        <v>95.147257845171936</v>
      </c>
      <c r="T24" s="98" t="str">
        <f t="shared" si="5"/>
        <v>ALTO</v>
      </c>
    </row>
    <row r="25" spans="2:20" ht="62.5" thickBot="1">
      <c r="B25" s="108">
        <v>16</v>
      </c>
      <c r="C25" s="125" t="s">
        <v>105</v>
      </c>
      <c r="D25" s="129" t="s">
        <v>131</v>
      </c>
      <c r="E25" s="129">
        <v>30</v>
      </c>
      <c r="F25" s="113"/>
      <c r="G25" s="114">
        <v>15200</v>
      </c>
      <c r="H25" s="114">
        <v>18907.563025210085</v>
      </c>
      <c r="I25" s="107"/>
      <c r="J25" s="107"/>
      <c r="K25" s="107"/>
      <c r="L25" s="107">
        <v>24828</v>
      </c>
      <c r="M25" s="107">
        <v>24828</v>
      </c>
      <c r="N25" s="92">
        <f t="shared" si="0"/>
        <v>4</v>
      </c>
      <c r="O25" s="93">
        <f t="shared" si="1"/>
        <v>20940.89</v>
      </c>
      <c r="P25" s="94">
        <f t="shared" si="2"/>
        <v>628226.69999999995</v>
      </c>
      <c r="Q25" s="95">
        <f t="shared" si="3"/>
        <v>1853.7815126050666</v>
      </c>
      <c r="R25" s="96">
        <f t="shared" si="6"/>
        <v>8.8524485473399963</v>
      </c>
      <c r="S25" s="97">
        <f t="shared" si="4"/>
        <v>91.147551452659997</v>
      </c>
      <c r="T25" s="98" t="str">
        <f t="shared" si="5"/>
        <v>ALTO</v>
      </c>
    </row>
    <row r="26" spans="2:20" ht="78" thickBot="1">
      <c r="B26" s="108">
        <v>17</v>
      </c>
      <c r="C26" s="125" t="s">
        <v>106</v>
      </c>
      <c r="D26" s="129" t="s">
        <v>70</v>
      </c>
      <c r="E26" s="129">
        <v>100</v>
      </c>
      <c r="F26" s="113">
        <v>1000</v>
      </c>
      <c r="G26" s="114">
        <v>1820</v>
      </c>
      <c r="H26" s="114">
        <v>1575.6302521008404</v>
      </c>
      <c r="I26" s="107"/>
      <c r="J26" s="107"/>
      <c r="K26" s="107"/>
      <c r="L26" s="107">
        <v>2848</v>
      </c>
      <c r="M26" s="107">
        <v>2848</v>
      </c>
      <c r="N26" s="92">
        <f t="shared" si="0"/>
        <v>5</v>
      </c>
      <c r="O26" s="93">
        <f t="shared" si="1"/>
        <v>2018.33</v>
      </c>
      <c r="P26" s="94">
        <f t="shared" si="2"/>
        <v>201833</v>
      </c>
      <c r="Q26" s="95">
        <f t="shared" si="3"/>
        <v>343.74841588677026</v>
      </c>
      <c r="R26" s="96">
        <f t="shared" si="6"/>
        <v>17.0313286671045</v>
      </c>
      <c r="S26" s="97">
        <f t="shared" si="4"/>
        <v>82.968671332895497</v>
      </c>
      <c r="T26" s="98" t="str">
        <f t="shared" si="5"/>
        <v>ALTO</v>
      </c>
    </row>
    <row r="27" spans="2:20" ht="93.5" thickBot="1">
      <c r="B27" s="108">
        <v>18</v>
      </c>
      <c r="C27" s="125" t="s">
        <v>107</v>
      </c>
      <c r="D27" s="128" t="s">
        <v>132</v>
      </c>
      <c r="E27" s="128">
        <v>8</v>
      </c>
      <c r="F27" s="113"/>
      <c r="G27" s="114">
        <v>90500</v>
      </c>
      <c r="H27" s="114">
        <v>84033.613445378156</v>
      </c>
      <c r="I27" s="107"/>
      <c r="J27" s="107"/>
      <c r="K27" s="107"/>
      <c r="L27" s="107"/>
      <c r="M27" s="107"/>
      <c r="N27" s="92">
        <f t="shared" si="0"/>
        <v>2</v>
      </c>
      <c r="O27" s="93">
        <f t="shared" si="1"/>
        <v>87266.81</v>
      </c>
      <c r="P27" s="94">
        <f t="shared" si="2"/>
        <v>698134.48</v>
      </c>
      <c r="Q27" s="95">
        <f t="shared" si="3"/>
        <v>3233.193277310922</v>
      </c>
      <c r="R27" s="96">
        <f t="shared" si="6"/>
        <v>3.7049518337050733</v>
      </c>
      <c r="S27" s="97">
        <f t="shared" si="4"/>
        <v>96.295048166294933</v>
      </c>
      <c r="T27" s="98" t="str">
        <f t="shared" si="5"/>
        <v>ALTO</v>
      </c>
    </row>
    <row r="28" spans="2:20" ht="124.5" thickBot="1">
      <c r="B28" s="108">
        <v>19</v>
      </c>
      <c r="C28" s="125" t="s">
        <v>108</v>
      </c>
      <c r="D28" s="129" t="s">
        <v>70</v>
      </c>
      <c r="E28" s="129">
        <v>20</v>
      </c>
      <c r="F28" s="113">
        <v>92000</v>
      </c>
      <c r="G28" s="114"/>
      <c r="H28" s="114"/>
      <c r="I28" s="107"/>
      <c r="J28" s="107"/>
      <c r="K28" s="107"/>
      <c r="L28" s="107">
        <v>34771</v>
      </c>
      <c r="M28" s="107">
        <v>34771</v>
      </c>
      <c r="N28" s="92">
        <f t="shared" si="0"/>
        <v>3</v>
      </c>
      <c r="O28" s="93">
        <f t="shared" si="1"/>
        <v>53847.33</v>
      </c>
      <c r="P28" s="94">
        <f t="shared" si="2"/>
        <v>1076946.6000000001</v>
      </c>
      <c r="Q28" s="95">
        <f t="shared" si="3"/>
        <v>0</v>
      </c>
      <c r="R28" s="96">
        <f t="shared" si="6"/>
        <v>0</v>
      </c>
      <c r="S28" s="97">
        <f t="shared" si="4"/>
        <v>100</v>
      </c>
      <c r="T28" s="98" t="str">
        <f t="shared" si="5"/>
        <v>ALTO</v>
      </c>
    </row>
    <row r="29" spans="2:20" ht="62.5" thickBot="1">
      <c r="B29" s="108">
        <v>20</v>
      </c>
      <c r="C29" s="125" t="s">
        <v>109</v>
      </c>
      <c r="D29" s="129" t="s">
        <v>131</v>
      </c>
      <c r="E29" s="129">
        <v>200</v>
      </c>
      <c r="F29" s="113"/>
      <c r="G29" s="114">
        <v>6950</v>
      </c>
      <c r="H29" s="114">
        <v>5630.2521008403364</v>
      </c>
      <c r="I29" s="107"/>
      <c r="J29" s="107"/>
      <c r="K29" s="107">
        <v>5000</v>
      </c>
      <c r="L29" s="107">
        <v>10785</v>
      </c>
      <c r="M29" s="107">
        <v>10785</v>
      </c>
      <c r="N29" s="92">
        <f t="shared" si="0"/>
        <v>5</v>
      </c>
      <c r="O29" s="93">
        <f t="shared" si="1"/>
        <v>7830.05</v>
      </c>
      <c r="P29" s="94">
        <f t="shared" si="2"/>
        <v>1566010</v>
      </c>
      <c r="Q29" s="95">
        <f t="shared" si="3"/>
        <v>812.50314378537746</v>
      </c>
      <c r="R29" s="96">
        <f t="shared" si="6"/>
        <v>10.376729954283528</v>
      </c>
      <c r="S29" s="97">
        <f t="shared" si="4"/>
        <v>89.623270045716467</v>
      </c>
      <c r="T29" s="98" t="str">
        <f t="shared" si="5"/>
        <v>ALTO</v>
      </c>
    </row>
    <row r="30" spans="2:20" ht="78" thickBot="1">
      <c r="B30" s="108">
        <v>21</v>
      </c>
      <c r="C30" s="125" t="s">
        <v>110</v>
      </c>
      <c r="D30" s="129" t="s">
        <v>131</v>
      </c>
      <c r="E30" s="129">
        <v>150</v>
      </c>
      <c r="F30" s="113"/>
      <c r="G30" s="114">
        <v>7250</v>
      </c>
      <c r="H30" s="114">
        <v>8907.5630252100837</v>
      </c>
      <c r="I30" s="107"/>
      <c r="J30" s="107">
        <v>13454</v>
      </c>
      <c r="K30" s="107"/>
      <c r="L30" s="107">
        <v>18231</v>
      </c>
      <c r="M30" s="107">
        <v>18231</v>
      </c>
      <c r="N30" s="92">
        <f t="shared" si="0"/>
        <v>5</v>
      </c>
      <c r="O30" s="93">
        <f t="shared" si="1"/>
        <v>13214.71</v>
      </c>
      <c r="P30" s="94">
        <f t="shared" si="2"/>
        <v>1982206.5</v>
      </c>
      <c r="Q30" s="95">
        <f t="shared" si="3"/>
        <v>2622.7047181674593</v>
      </c>
      <c r="R30" s="96">
        <f t="shared" si="6"/>
        <v>19.846857919450819</v>
      </c>
      <c r="S30" s="97">
        <f t="shared" si="4"/>
        <v>80.153142080549173</v>
      </c>
      <c r="T30" s="98" t="str">
        <f t="shared" si="5"/>
        <v>ALTO</v>
      </c>
    </row>
    <row r="31" spans="2:20" ht="155.5" thickBot="1">
      <c r="B31" s="108">
        <v>22</v>
      </c>
      <c r="C31" s="125" t="s">
        <v>111</v>
      </c>
      <c r="D31" s="129" t="s">
        <v>131</v>
      </c>
      <c r="E31" s="129">
        <v>108</v>
      </c>
      <c r="F31" s="113">
        <v>32000</v>
      </c>
      <c r="G31" s="114">
        <v>18020</v>
      </c>
      <c r="H31" s="114">
        <v>18907.563025210085</v>
      </c>
      <c r="I31" s="107"/>
      <c r="J31" s="107"/>
      <c r="K31" s="107"/>
      <c r="L31" s="107">
        <v>20583</v>
      </c>
      <c r="M31" s="107">
        <v>20583</v>
      </c>
      <c r="N31" s="92">
        <f t="shared" si="0"/>
        <v>5</v>
      </c>
      <c r="O31" s="93">
        <f t="shared" si="1"/>
        <v>22018.71</v>
      </c>
      <c r="P31" s="94">
        <f t="shared" si="2"/>
        <v>2378020.6800000002</v>
      </c>
      <c r="Q31" s="95">
        <f t="shared" si="3"/>
        <v>6391.3141933457609</v>
      </c>
      <c r="R31" s="96">
        <f t="shared" si="6"/>
        <v>29.026742226705203</v>
      </c>
      <c r="S31" s="97">
        <f t="shared" si="4"/>
        <v>70.97325777329479</v>
      </c>
      <c r="T31" s="98" t="str">
        <f t="shared" si="5"/>
        <v>ALTO</v>
      </c>
    </row>
    <row r="32" spans="2:20" ht="130.5" customHeight="1" thickBot="1">
      <c r="B32" s="108">
        <v>23</v>
      </c>
      <c r="C32" s="125" t="s">
        <v>112</v>
      </c>
      <c r="D32" s="129" t="s">
        <v>133</v>
      </c>
      <c r="E32" s="129">
        <v>300</v>
      </c>
      <c r="F32" s="113"/>
      <c r="G32" s="114">
        <v>4600</v>
      </c>
      <c r="H32" s="114">
        <v>5147.0588235294117</v>
      </c>
      <c r="I32" s="107">
        <v>7027</v>
      </c>
      <c r="J32" s="107"/>
      <c r="K32" s="107"/>
      <c r="L32" s="107">
        <v>7949</v>
      </c>
      <c r="M32" s="107">
        <v>7949</v>
      </c>
      <c r="N32" s="92">
        <f t="shared" si="0"/>
        <v>5</v>
      </c>
      <c r="O32" s="93">
        <f t="shared" si="1"/>
        <v>6534.41</v>
      </c>
      <c r="P32" s="94">
        <f t="shared" si="2"/>
        <v>1960323</v>
      </c>
      <c r="Q32" s="95">
        <f t="shared" si="3"/>
        <v>1039.4326007432546</v>
      </c>
      <c r="R32" s="96">
        <f t="shared" si="6"/>
        <v>15.907061245671064</v>
      </c>
      <c r="S32" s="97">
        <f t="shared" si="4"/>
        <v>84.092938754328941</v>
      </c>
      <c r="T32" s="98" t="str">
        <f t="shared" si="5"/>
        <v>ALTO</v>
      </c>
    </row>
    <row r="33" spans="2:20" ht="93.5" thickBot="1">
      <c r="B33" s="108">
        <v>24</v>
      </c>
      <c r="C33" s="125" t="s">
        <v>113</v>
      </c>
      <c r="D33" s="129" t="s">
        <v>133</v>
      </c>
      <c r="E33" s="129">
        <v>500</v>
      </c>
      <c r="F33" s="113"/>
      <c r="G33" s="114">
        <v>1000</v>
      </c>
      <c r="H33" s="114">
        <v>2000</v>
      </c>
      <c r="I33" s="107"/>
      <c r="J33" s="107"/>
      <c r="K33" s="107"/>
      <c r="L33" s="107">
        <v>32315</v>
      </c>
      <c r="M33" s="107"/>
      <c r="N33" s="92">
        <f t="shared" si="0"/>
        <v>3</v>
      </c>
      <c r="O33" s="93">
        <f t="shared" si="1"/>
        <v>11771.67</v>
      </c>
      <c r="P33" s="94">
        <f t="shared" si="2"/>
        <v>5885835</v>
      </c>
      <c r="Q33" s="95">
        <f t="shared" si="3"/>
        <v>500</v>
      </c>
      <c r="R33" s="96">
        <f t="shared" si="6"/>
        <v>4.2474857008393885</v>
      </c>
      <c r="S33" s="97">
        <f t="shared" si="4"/>
        <v>95.752514299160609</v>
      </c>
      <c r="T33" s="98" t="str">
        <f t="shared" si="5"/>
        <v>ALTO</v>
      </c>
    </row>
    <row r="34" spans="2:20" ht="62.5" thickBot="1">
      <c r="B34" s="108">
        <v>25</v>
      </c>
      <c r="C34" s="125" t="s">
        <v>114</v>
      </c>
      <c r="D34" s="129" t="s">
        <v>131</v>
      </c>
      <c r="E34" s="129">
        <v>10</v>
      </c>
      <c r="F34" s="113">
        <v>31000</v>
      </c>
      <c r="G34" s="114">
        <v>22228</v>
      </c>
      <c r="H34" s="114"/>
      <c r="I34" s="107"/>
      <c r="J34" s="107"/>
      <c r="K34" s="107"/>
      <c r="L34" s="107">
        <v>30299</v>
      </c>
      <c r="M34" s="107">
        <v>30299</v>
      </c>
      <c r="N34" s="92">
        <f t="shared" si="0"/>
        <v>4</v>
      </c>
      <c r="O34" s="93">
        <f t="shared" si="1"/>
        <v>28456.5</v>
      </c>
      <c r="P34" s="94">
        <f t="shared" si="2"/>
        <v>284565</v>
      </c>
      <c r="Q34" s="95">
        <f t="shared" si="3"/>
        <v>4386</v>
      </c>
      <c r="R34" s="96">
        <f t="shared" si="6"/>
        <v>15.412998787623215</v>
      </c>
      <c r="S34" s="97">
        <f t="shared" si="4"/>
        <v>84.587001212376791</v>
      </c>
      <c r="T34" s="98" t="str">
        <f t="shared" si="5"/>
        <v>ALTO</v>
      </c>
    </row>
    <row r="35" spans="2:20" ht="78" thickBot="1">
      <c r="B35" s="108">
        <v>26</v>
      </c>
      <c r="C35" s="125" t="s">
        <v>115</v>
      </c>
      <c r="D35" s="128" t="s">
        <v>133</v>
      </c>
      <c r="E35" s="128">
        <v>300</v>
      </c>
      <c r="F35" s="113">
        <v>11000</v>
      </c>
      <c r="G35" s="114"/>
      <c r="H35" s="114"/>
      <c r="I35" s="107"/>
      <c r="J35" s="107"/>
      <c r="K35" s="107"/>
      <c r="L35" s="107"/>
      <c r="M35" s="107"/>
      <c r="N35" s="92">
        <f t="shared" si="0"/>
        <v>1</v>
      </c>
      <c r="O35" s="93">
        <f t="shared" si="1"/>
        <v>11000</v>
      </c>
      <c r="P35" s="94">
        <f t="shared" si="2"/>
        <v>3300000</v>
      </c>
      <c r="Q35" s="95">
        <f t="shared" si="3"/>
        <v>0</v>
      </c>
      <c r="R35" s="96">
        <f t="shared" si="6"/>
        <v>0</v>
      </c>
      <c r="S35" s="97">
        <f t="shared" si="4"/>
        <v>100</v>
      </c>
      <c r="T35" s="98" t="str">
        <f t="shared" si="5"/>
        <v>ALTO</v>
      </c>
    </row>
    <row r="36" spans="2:20" ht="93.5" thickBot="1">
      <c r="B36" s="108">
        <v>27</v>
      </c>
      <c r="C36" s="125" t="s">
        <v>116</v>
      </c>
      <c r="D36" s="128" t="s">
        <v>70</v>
      </c>
      <c r="E36" s="128">
        <v>5</v>
      </c>
      <c r="F36" s="113">
        <v>30000</v>
      </c>
      <c r="G36" s="114">
        <v>18700</v>
      </c>
      <c r="H36" s="114"/>
      <c r="I36" s="107"/>
      <c r="J36" s="107"/>
      <c r="K36" s="107"/>
      <c r="L36" s="107">
        <v>29735</v>
      </c>
      <c r="M36" s="107">
        <v>29735</v>
      </c>
      <c r="N36" s="92">
        <f t="shared" si="0"/>
        <v>4</v>
      </c>
      <c r="O36" s="93">
        <f t="shared" si="1"/>
        <v>27042.5</v>
      </c>
      <c r="P36" s="94">
        <f t="shared" si="2"/>
        <v>135212.5</v>
      </c>
      <c r="Q36" s="95">
        <f t="shared" si="3"/>
        <v>5650</v>
      </c>
      <c r="R36" s="96">
        <f t="shared" si="6"/>
        <v>20.893038735324026</v>
      </c>
      <c r="S36" s="97">
        <f t="shared" si="4"/>
        <v>79.106961264675974</v>
      </c>
      <c r="T36" s="98" t="str">
        <f t="shared" si="5"/>
        <v>ALTO</v>
      </c>
    </row>
    <row r="37" spans="2:20" ht="107.25" customHeight="1" thickBot="1">
      <c r="B37" s="108">
        <v>28</v>
      </c>
      <c r="C37" s="125" t="s">
        <v>117</v>
      </c>
      <c r="D37" s="128" t="s">
        <v>70</v>
      </c>
      <c r="E37" s="128">
        <v>10</v>
      </c>
      <c r="F37" s="113">
        <v>73000</v>
      </c>
      <c r="G37" s="114">
        <v>86666</v>
      </c>
      <c r="H37" s="114">
        <v>58823.529411764706</v>
      </c>
      <c r="I37" s="107"/>
      <c r="J37" s="107"/>
      <c r="K37" s="107"/>
      <c r="L37" s="107"/>
      <c r="M37" s="107"/>
      <c r="N37" s="92">
        <f t="shared" si="0"/>
        <v>3</v>
      </c>
      <c r="O37" s="93">
        <f t="shared" si="1"/>
        <v>72829.84</v>
      </c>
      <c r="P37" s="94">
        <f t="shared" si="2"/>
        <v>728298.4</v>
      </c>
      <c r="Q37" s="95">
        <f t="shared" si="3"/>
        <v>11367.277807597291</v>
      </c>
      <c r="R37" s="96">
        <f t="shared" si="6"/>
        <v>15.607995030055388</v>
      </c>
      <c r="S37" s="97">
        <f t="shared" si="4"/>
        <v>84.392004969944608</v>
      </c>
      <c r="T37" s="98" t="str">
        <f t="shared" si="5"/>
        <v>ALTO</v>
      </c>
    </row>
    <row r="38" spans="2:20" ht="158.25" customHeight="1" thickBot="1">
      <c r="B38" s="108">
        <v>29</v>
      </c>
      <c r="C38" s="125" t="s">
        <v>118</v>
      </c>
      <c r="D38" s="129" t="s">
        <v>70</v>
      </c>
      <c r="E38" s="129">
        <v>30</v>
      </c>
      <c r="F38" s="113">
        <v>13000</v>
      </c>
      <c r="G38" s="114">
        <v>19500</v>
      </c>
      <c r="H38" s="114">
        <v>25210.084033613446</v>
      </c>
      <c r="I38" s="107">
        <v>22382</v>
      </c>
      <c r="J38" s="107"/>
      <c r="K38" s="107"/>
      <c r="L38" s="107">
        <v>27518</v>
      </c>
      <c r="M38" s="107">
        <v>27518</v>
      </c>
      <c r="N38" s="92">
        <f t="shared" si="0"/>
        <v>6</v>
      </c>
      <c r="O38" s="93">
        <f t="shared" si="1"/>
        <v>22521.35</v>
      </c>
      <c r="P38" s="94">
        <f t="shared" si="2"/>
        <v>675640.5</v>
      </c>
      <c r="Q38" s="95">
        <f t="shared" si="3"/>
        <v>4529.5358418386086</v>
      </c>
      <c r="R38" s="96">
        <f t="shared" si="6"/>
        <v>20.112186178175858</v>
      </c>
      <c r="S38" s="97">
        <f t="shared" si="4"/>
        <v>79.887813821824139</v>
      </c>
      <c r="T38" s="98" t="str">
        <f t="shared" si="5"/>
        <v>ALTO</v>
      </c>
    </row>
    <row r="39" spans="2:20" ht="197.25" customHeight="1" thickBot="1">
      <c r="B39" s="108">
        <v>30</v>
      </c>
      <c r="C39" s="125" t="s">
        <v>119</v>
      </c>
      <c r="D39" s="128" t="s">
        <v>70</v>
      </c>
      <c r="E39" s="128">
        <v>2</v>
      </c>
      <c r="F39" s="113">
        <v>35000</v>
      </c>
      <c r="G39" s="114">
        <v>34760</v>
      </c>
      <c r="H39" s="114"/>
      <c r="I39" s="107"/>
      <c r="J39" s="107"/>
      <c r="K39" s="107"/>
      <c r="L39" s="107"/>
      <c r="M39" s="107"/>
      <c r="N39" s="92">
        <f t="shared" si="0"/>
        <v>2</v>
      </c>
      <c r="O39" s="93">
        <f t="shared" si="1"/>
        <v>34880</v>
      </c>
      <c r="P39" s="94">
        <f t="shared" si="2"/>
        <v>69760</v>
      </c>
      <c r="Q39" s="95">
        <f t="shared" si="3"/>
        <v>120</v>
      </c>
      <c r="R39" s="96">
        <f t="shared" si="6"/>
        <v>0.34403669724770647</v>
      </c>
      <c r="S39" s="97">
        <f t="shared" si="4"/>
        <v>99.655963302752298</v>
      </c>
      <c r="T39" s="98" t="str">
        <f t="shared" si="5"/>
        <v>ALTO</v>
      </c>
    </row>
    <row r="40" spans="2:20" ht="124.5" thickBot="1">
      <c r="B40" s="108">
        <v>31</v>
      </c>
      <c r="C40" s="125" t="s">
        <v>120</v>
      </c>
      <c r="D40" s="128" t="s">
        <v>131</v>
      </c>
      <c r="E40" s="128">
        <v>2</v>
      </c>
      <c r="F40" s="113">
        <v>121000</v>
      </c>
      <c r="G40" s="114"/>
      <c r="H40" s="114"/>
      <c r="I40" s="107"/>
      <c r="J40" s="107"/>
      <c r="K40" s="107"/>
      <c r="L40" s="107"/>
      <c r="M40" s="107"/>
      <c r="N40" s="92">
        <f t="shared" si="0"/>
        <v>1</v>
      </c>
      <c r="O40" s="93">
        <f t="shared" si="1"/>
        <v>121000</v>
      </c>
      <c r="P40" s="94">
        <f t="shared" si="2"/>
        <v>242000</v>
      </c>
      <c r="Q40" s="95">
        <f t="shared" si="3"/>
        <v>0</v>
      </c>
      <c r="R40" s="96">
        <f t="shared" si="6"/>
        <v>0</v>
      </c>
      <c r="S40" s="97">
        <f t="shared" si="4"/>
        <v>100</v>
      </c>
      <c r="T40" s="98" t="str">
        <f t="shared" si="5"/>
        <v>ALTO</v>
      </c>
    </row>
    <row r="41" spans="2:20" ht="78" thickBot="1">
      <c r="B41" s="108">
        <v>32</v>
      </c>
      <c r="C41" s="125" t="s">
        <v>121</v>
      </c>
      <c r="D41" s="129" t="s">
        <v>70</v>
      </c>
      <c r="E41" s="129">
        <v>80</v>
      </c>
      <c r="F41" s="113"/>
      <c r="G41" s="114"/>
      <c r="H41" s="114">
        <v>10819.327731092437</v>
      </c>
      <c r="I41" s="107"/>
      <c r="J41" s="107">
        <v>12968</v>
      </c>
      <c r="K41" s="107"/>
      <c r="L41" s="107">
        <v>21926</v>
      </c>
      <c r="M41" s="107">
        <v>21926</v>
      </c>
      <c r="N41" s="92">
        <f t="shared" si="0"/>
        <v>4</v>
      </c>
      <c r="O41" s="93">
        <f t="shared" si="1"/>
        <v>16909.830000000002</v>
      </c>
      <c r="P41" s="94">
        <f t="shared" si="2"/>
        <v>1352786.4</v>
      </c>
      <c r="Q41" s="95">
        <f t="shared" si="3"/>
        <v>1074.3361344537816</v>
      </c>
      <c r="R41" s="96">
        <f t="shared" si="6"/>
        <v>6.3533230934538167</v>
      </c>
      <c r="S41" s="97">
        <f t="shared" si="4"/>
        <v>93.64667690654619</v>
      </c>
      <c r="T41" s="98" t="str">
        <f t="shared" si="5"/>
        <v>ALTO</v>
      </c>
    </row>
    <row r="42" spans="2:20" ht="93.5" thickBot="1">
      <c r="B42" s="108">
        <v>33</v>
      </c>
      <c r="C42" s="125" t="s">
        <v>122</v>
      </c>
      <c r="D42" s="129" t="s">
        <v>134</v>
      </c>
      <c r="E42" s="129">
        <v>150</v>
      </c>
      <c r="F42" s="113"/>
      <c r="G42" s="114">
        <v>36450</v>
      </c>
      <c r="H42" s="114">
        <v>30420.168067226892</v>
      </c>
      <c r="I42" s="107"/>
      <c r="J42" s="107">
        <v>44310</v>
      </c>
      <c r="K42" s="107"/>
      <c r="L42" s="107">
        <v>45649</v>
      </c>
      <c r="M42" s="107">
        <v>45649</v>
      </c>
      <c r="N42" s="92">
        <f t="shared" si="0"/>
        <v>5</v>
      </c>
      <c r="O42" s="93">
        <f t="shared" si="1"/>
        <v>40495.629999999997</v>
      </c>
      <c r="P42" s="94">
        <f t="shared" si="2"/>
        <v>6074344.5</v>
      </c>
      <c r="Q42" s="95">
        <f t="shared" si="3"/>
        <v>5686.8845626305883</v>
      </c>
      <c r="R42" s="96">
        <f t="shared" si="6"/>
        <v>14.043205557317146</v>
      </c>
      <c r="S42" s="97">
        <f t="shared" si="4"/>
        <v>85.956794442682849</v>
      </c>
      <c r="T42" s="98" t="str">
        <f t="shared" si="5"/>
        <v>ALTO</v>
      </c>
    </row>
    <row r="43" spans="2:20" ht="140" thickBot="1">
      <c r="B43" s="108">
        <v>34</v>
      </c>
      <c r="C43" s="125" t="s">
        <v>123</v>
      </c>
      <c r="D43" s="128" t="s">
        <v>70</v>
      </c>
      <c r="E43" s="128">
        <v>5</v>
      </c>
      <c r="F43" s="113"/>
      <c r="G43" s="114"/>
      <c r="H43" s="114">
        <v>9138.6554621848736</v>
      </c>
      <c r="I43" s="107"/>
      <c r="J43" s="107"/>
      <c r="K43" s="107"/>
      <c r="L43" s="107">
        <v>65757</v>
      </c>
      <c r="M43" s="107">
        <v>65757</v>
      </c>
      <c r="N43" s="92">
        <f t="shared" si="0"/>
        <v>3</v>
      </c>
      <c r="O43" s="93">
        <f t="shared" si="1"/>
        <v>46884.22</v>
      </c>
      <c r="P43" s="94">
        <f t="shared" si="2"/>
        <v>234421.1</v>
      </c>
      <c r="Q43" s="95">
        <f t="shared" si="3"/>
        <v>0</v>
      </c>
      <c r="R43" s="96">
        <f t="shared" si="6"/>
        <v>0</v>
      </c>
      <c r="S43" s="97">
        <f t="shared" si="4"/>
        <v>100</v>
      </c>
      <c r="T43" s="98" t="str">
        <f t="shared" si="5"/>
        <v>ALTO</v>
      </c>
    </row>
    <row r="44" spans="2:20" ht="93" customHeight="1" thickBot="1">
      <c r="B44" s="108">
        <v>35</v>
      </c>
      <c r="C44" s="125" t="s">
        <v>124</v>
      </c>
      <c r="D44" s="129" t="s">
        <v>70</v>
      </c>
      <c r="E44" s="129">
        <v>10</v>
      </c>
      <c r="F44" s="113">
        <v>144000</v>
      </c>
      <c r="G44" s="114"/>
      <c r="H44" s="114"/>
      <c r="I44" s="107"/>
      <c r="J44" s="107"/>
      <c r="K44" s="107"/>
      <c r="L44" s="107">
        <v>25780</v>
      </c>
      <c r="M44" s="107">
        <v>25780</v>
      </c>
      <c r="N44" s="92">
        <f t="shared" si="0"/>
        <v>3</v>
      </c>
      <c r="O44" s="93">
        <f t="shared" si="1"/>
        <v>65186.67</v>
      </c>
      <c r="P44" s="94">
        <f t="shared" si="2"/>
        <v>651866.69999999995</v>
      </c>
      <c r="Q44" s="95">
        <f t="shared" si="3"/>
        <v>0</v>
      </c>
      <c r="R44" s="96">
        <f t="shared" si="6"/>
        <v>0</v>
      </c>
      <c r="S44" s="97">
        <f t="shared" si="4"/>
        <v>100</v>
      </c>
      <c r="T44" s="98" t="str">
        <f t="shared" si="5"/>
        <v>ALTO</v>
      </c>
    </row>
    <row r="45" spans="2:20" ht="124.5" thickBot="1">
      <c r="B45" s="108">
        <v>36</v>
      </c>
      <c r="C45" s="125" t="s">
        <v>125</v>
      </c>
      <c r="D45" s="129" t="s">
        <v>135</v>
      </c>
      <c r="E45" s="129">
        <v>4</v>
      </c>
      <c r="F45" s="113"/>
      <c r="G45" s="114"/>
      <c r="H45" s="114">
        <v>605042.01680672274</v>
      </c>
      <c r="I45" s="107"/>
      <c r="J45" s="107"/>
      <c r="K45" s="107"/>
      <c r="L45" s="107"/>
      <c r="M45" s="107"/>
      <c r="N45" s="92">
        <f t="shared" si="0"/>
        <v>1</v>
      </c>
      <c r="O45" s="93">
        <f t="shared" si="1"/>
        <v>605042.02</v>
      </c>
      <c r="P45" s="94">
        <f t="shared" si="2"/>
        <v>2420168.08</v>
      </c>
      <c r="Q45" s="95">
        <f t="shared" si="3"/>
        <v>0</v>
      </c>
      <c r="R45" s="96">
        <f t="shared" si="6"/>
        <v>0</v>
      </c>
      <c r="S45" s="97">
        <f t="shared" si="4"/>
        <v>100</v>
      </c>
      <c r="T45" s="98" t="str">
        <f t="shared" si="5"/>
        <v>ALTO</v>
      </c>
    </row>
    <row r="46" spans="2:20" ht="31.5" thickBot="1">
      <c r="B46" s="108">
        <v>37</v>
      </c>
      <c r="C46" s="125" t="s">
        <v>126</v>
      </c>
      <c r="D46" s="129" t="s">
        <v>70</v>
      </c>
      <c r="E46" s="129">
        <v>10</v>
      </c>
      <c r="F46" s="113">
        <v>250000</v>
      </c>
      <c r="G46" s="114"/>
      <c r="H46" s="114">
        <v>290000</v>
      </c>
      <c r="I46" s="107">
        <v>391262</v>
      </c>
      <c r="J46" s="107">
        <v>335000</v>
      </c>
      <c r="K46" s="107"/>
      <c r="L46" s="107"/>
      <c r="M46" s="107"/>
      <c r="N46" s="92">
        <f t="shared" si="0"/>
        <v>4</v>
      </c>
      <c r="O46" s="93">
        <f t="shared" si="1"/>
        <v>316565.5</v>
      </c>
      <c r="P46" s="94">
        <f t="shared" si="2"/>
        <v>3165655</v>
      </c>
      <c r="Q46" s="95">
        <f t="shared" si="3"/>
        <v>52573.970467808496</v>
      </c>
      <c r="R46" s="96">
        <f t="shared" si="6"/>
        <v>16.607612158560709</v>
      </c>
      <c r="S46" s="97">
        <f t="shared" si="4"/>
        <v>83.392387841439287</v>
      </c>
      <c r="T46" s="98" t="str">
        <f t="shared" si="5"/>
        <v>ALTO</v>
      </c>
    </row>
    <row r="47" spans="2:20" ht="47" thickBot="1">
      <c r="B47" s="108">
        <v>38</v>
      </c>
      <c r="C47" s="125" t="s">
        <v>127</v>
      </c>
      <c r="D47" s="129" t="s">
        <v>136</v>
      </c>
      <c r="E47" s="129">
        <v>20</v>
      </c>
      <c r="F47" s="113">
        <v>45000</v>
      </c>
      <c r="G47" s="114"/>
      <c r="H47" s="114"/>
      <c r="I47" s="107"/>
      <c r="J47" s="107"/>
      <c r="K47" s="107"/>
      <c r="L47" s="107"/>
      <c r="M47" s="107"/>
      <c r="N47" s="92">
        <f t="shared" si="0"/>
        <v>1</v>
      </c>
      <c r="O47" s="93">
        <f t="shared" si="1"/>
        <v>45000</v>
      </c>
      <c r="P47" s="94">
        <f t="shared" si="2"/>
        <v>900000</v>
      </c>
      <c r="Q47" s="95">
        <f t="shared" si="3"/>
        <v>0</v>
      </c>
      <c r="R47" s="96">
        <f t="shared" si="6"/>
        <v>0</v>
      </c>
      <c r="S47" s="97">
        <f t="shared" si="4"/>
        <v>100</v>
      </c>
      <c r="T47" s="98" t="str">
        <f t="shared" si="5"/>
        <v>ALTO</v>
      </c>
    </row>
    <row r="48" spans="2:20" ht="35.25" customHeight="1" thickBot="1">
      <c r="B48" s="108">
        <v>39</v>
      </c>
      <c r="C48" s="125" t="s">
        <v>128</v>
      </c>
      <c r="D48" s="129" t="s">
        <v>70</v>
      </c>
      <c r="E48" s="129">
        <v>50</v>
      </c>
      <c r="F48" s="113">
        <v>8000</v>
      </c>
      <c r="G48" s="114"/>
      <c r="H48" s="114">
        <v>4621.8487394957983</v>
      </c>
      <c r="I48" s="107"/>
      <c r="J48" s="107"/>
      <c r="K48" s="107"/>
      <c r="L48" s="107"/>
      <c r="M48" s="107"/>
      <c r="N48" s="92">
        <f t="shared" si="0"/>
        <v>2</v>
      </c>
      <c r="O48" s="93">
        <f t="shared" si="1"/>
        <v>6310.92</v>
      </c>
      <c r="P48" s="94">
        <f t="shared" si="2"/>
        <v>315546</v>
      </c>
      <c r="Q48" s="95">
        <f t="shared" si="3"/>
        <v>1689.0756302520974</v>
      </c>
      <c r="R48" s="96">
        <f t="shared" si="6"/>
        <v>26.764332779564587</v>
      </c>
      <c r="S48" s="97">
        <f t="shared" si="4"/>
        <v>73.235667220435417</v>
      </c>
      <c r="T48" s="98" t="str">
        <f t="shared" si="5"/>
        <v>ALTO</v>
      </c>
    </row>
    <row r="49" spans="2:28" ht="62.5" thickBot="1">
      <c r="B49" s="108">
        <v>40</v>
      </c>
      <c r="C49" s="125" t="s">
        <v>129</v>
      </c>
      <c r="D49" s="129" t="s">
        <v>137</v>
      </c>
      <c r="E49" s="129">
        <v>400</v>
      </c>
      <c r="F49" s="113">
        <v>28000</v>
      </c>
      <c r="G49" s="114"/>
      <c r="H49" s="114">
        <v>17350</v>
      </c>
      <c r="I49" s="107"/>
      <c r="J49" s="107"/>
      <c r="K49" s="107"/>
      <c r="L49" s="107"/>
      <c r="M49" s="107"/>
      <c r="N49" s="92">
        <f t="shared" si="0"/>
        <v>2</v>
      </c>
      <c r="O49" s="93">
        <f t="shared" si="1"/>
        <v>22675</v>
      </c>
      <c r="P49" s="94">
        <f t="shared" si="2"/>
        <v>9070000</v>
      </c>
      <c r="Q49" s="95">
        <f t="shared" si="3"/>
        <v>5325</v>
      </c>
      <c r="R49" s="96">
        <f t="shared" si="6"/>
        <v>23.484013230429991</v>
      </c>
      <c r="S49" s="97">
        <f t="shared" si="4"/>
        <v>76.515986769570006</v>
      </c>
      <c r="T49" s="98" t="str">
        <f t="shared" si="5"/>
        <v>ALTO</v>
      </c>
    </row>
    <row r="50" spans="2:28" ht="31.5" thickBot="1">
      <c r="B50" s="108">
        <v>41</v>
      </c>
      <c r="C50" s="126" t="s">
        <v>130</v>
      </c>
      <c r="D50" s="130" t="s">
        <v>138</v>
      </c>
      <c r="E50" s="130">
        <v>80</v>
      </c>
      <c r="F50" s="113">
        <v>34000</v>
      </c>
      <c r="G50" s="114"/>
      <c r="H50" s="114">
        <v>28000</v>
      </c>
      <c r="I50" s="107"/>
      <c r="J50" s="107"/>
      <c r="K50" s="107"/>
      <c r="L50" s="107"/>
      <c r="M50" s="107"/>
      <c r="N50" s="92">
        <f t="shared" si="0"/>
        <v>2</v>
      </c>
      <c r="O50" s="93">
        <f t="shared" si="1"/>
        <v>31000</v>
      </c>
      <c r="P50" s="94">
        <f t="shared" si="2"/>
        <v>2480000</v>
      </c>
      <c r="Q50" s="95">
        <f t="shared" si="3"/>
        <v>3000</v>
      </c>
      <c r="R50" s="96">
        <f t="shared" si="6"/>
        <v>9.67741935483871</v>
      </c>
      <c r="S50" s="97">
        <f t="shared" si="4"/>
        <v>90.322580645161295</v>
      </c>
      <c r="T50" s="98" t="str">
        <f t="shared" si="5"/>
        <v>ALTO</v>
      </c>
      <c r="U50" s="47"/>
    </row>
    <row r="51" spans="2:28">
      <c r="B51" s="80"/>
      <c r="C51" s="82"/>
      <c r="D51" s="81"/>
      <c r="E51" s="81"/>
      <c r="F51" s="86"/>
      <c r="G51" s="86"/>
      <c r="H51" s="86"/>
      <c r="I51" s="107"/>
      <c r="J51" s="107"/>
      <c r="K51" s="107"/>
      <c r="L51" s="107"/>
      <c r="M51" s="107"/>
      <c r="N51" s="247" t="s">
        <v>73</v>
      </c>
      <c r="O51" s="248"/>
      <c r="P51" s="71">
        <f>SUM(P10:P50)</f>
        <v>78878706.260000005</v>
      </c>
      <c r="Q51" s="61"/>
      <c r="R51" s="62"/>
      <c r="S51" s="63"/>
      <c r="T51" s="64"/>
    </row>
    <row r="52" spans="2:28" s="42" customFormat="1" ht="9.75" customHeight="1" thickBot="1">
      <c r="B52" s="49"/>
      <c r="C52" s="50"/>
      <c r="D52" s="51"/>
      <c r="E52" s="83"/>
      <c r="F52" s="70"/>
      <c r="G52" s="54"/>
      <c r="H52" s="54"/>
      <c r="I52" s="53"/>
      <c r="J52" s="53"/>
      <c r="K52" s="53"/>
      <c r="L52" s="69"/>
      <c r="M52" s="69"/>
      <c r="N52" s="49"/>
      <c r="O52" s="55"/>
      <c r="P52" s="56"/>
      <c r="Q52" s="57"/>
      <c r="R52" s="58"/>
      <c r="S52" s="59"/>
      <c r="T52" s="60"/>
    </row>
    <row r="53" spans="2:28" s="87" customFormat="1" ht="39" customHeight="1">
      <c r="B53" s="249" t="s">
        <v>81</v>
      </c>
      <c r="C53" s="249"/>
      <c r="D53" s="249"/>
      <c r="E53" s="249"/>
      <c r="F53" s="249"/>
      <c r="G53" s="249"/>
      <c r="H53" s="249"/>
      <c r="I53" s="249"/>
      <c r="J53" s="249"/>
      <c r="K53" s="249"/>
      <c r="L53" s="249"/>
      <c r="M53" s="249"/>
      <c r="N53" s="249"/>
      <c r="O53" s="249"/>
      <c r="P53" s="249"/>
      <c r="Q53" s="249"/>
      <c r="R53" s="249"/>
      <c r="S53" s="249"/>
      <c r="T53" s="249"/>
      <c r="U53" s="91"/>
      <c r="V53" s="91"/>
      <c r="W53" s="91"/>
      <c r="X53" s="91"/>
      <c r="AA53" s="88"/>
      <c r="AB53" s="88"/>
    </row>
    <row r="54" spans="2:28" s="87" customFormat="1" ht="19.5" customHeight="1">
      <c r="B54" s="250" t="s">
        <v>83</v>
      </c>
      <c r="C54" s="250"/>
      <c r="D54" s="250"/>
      <c r="E54" s="250"/>
      <c r="F54" s="250"/>
      <c r="G54" s="250"/>
      <c r="H54" s="250"/>
      <c r="I54" s="111"/>
      <c r="J54" s="111"/>
      <c r="K54" s="111"/>
      <c r="L54" s="111"/>
      <c r="M54" s="111"/>
      <c r="N54" s="111"/>
      <c r="O54" s="111"/>
      <c r="P54" s="111"/>
      <c r="Q54" s="111"/>
      <c r="R54" s="111"/>
      <c r="S54" s="111"/>
      <c r="T54" s="111"/>
      <c r="U54" s="111"/>
      <c r="V54" s="111"/>
      <c r="W54" s="111"/>
      <c r="X54" s="111"/>
      <c r="AA54" s="88"/>
      <c r="AB54" s="88"/>
    </row>
    <row r="55" spans="2:28" s="87" customFormat="1" ht="15.5">
      <c r="B55" s="77" t="s">
        <v>86</v>
      </c>
      <c r="E55" s="89"/>
      <c r="I55" s="90"/>
      <c r="J55" s="90"/>
      <c r="K55" s="90"/>
      <c r="L55" s="90"/>
      <c r="M55" s="90"/>
      <c r="N55" s="90"/>
      <c r="O55" s="90"/>
      <c r="AA55" s="88"/>
      <c r="AB55" s="88"/>
    </row>
    <row r="56" spans="2:28" s="42" customFormat="1">
      <c r="B56" s="48"/>
      <c r="C56" s="43"/>
      <c r="D56" s="48"/>
      <c r="E56" s="48"/>
      <c r="F56" s="45"/>
      <c r="G56" s="45"/>
      <c r="H56" s="45"/>
      <c r="I56" s="48"/>
      <c r="J56" s="48"/>
      <c r="K56" s="48"/>
      <c r="L56" s="48"/>
      <c r="M56" s="48"/>
      <c r="N56" s="48"/>
      <c r="O56" s="48"/>
      <c r="P56" s="48"/>
      <c r="Q56" s="48"/>
      <c r="R56" s="48"/>
      <c r="S56" s="48"/>
      <c r="T56" s="48"/>
    </row>
    <row r="57" spans="2:28" s="42" customFormat="1">
      <c r="B57" s="48"/>
      <c r="C57" s="43"/>
      <c r="D57" s="48"/>
      <c r="E57" s="48"/>
      <c r="F57" s="45"/>
      <c r="G57" s="45"/>
      <c r="H57" s="45"/>
      <c r="I57" s="48"/>
      <c r="J57" s="48"/>
      <c r="K57" s="48"/>
      <c r="L57" s="48"/>
      <c r="M57" s="48"/>
      <c r="N57" s="48"/>
      <c r="O57" s="48"/>
      <c r="P57" s="48"/>
      <c r="Q57" s="48"/>
      <c r="R57" s="48"/>
      <c r="S57" s="48"/>
      <c r="T57" s="48"/>
    </row>
    <row r="58" spans="2:28" s="100" customFormat="1" ht="28.5">
      <c r="C58" s="101"/>
      <c r="F58" s="105"/>
      <c r="G58" s="105">
        <f>1137500*1.19</f>
        <v>1353625</v>
      </c>
      <c r="H58" s="103"/>
    </row>
    <row r="59" spans="2:28" s="100" customFormat="1" ht="28.5">
      <c r="C59" s="101"/>
      <c r="F59" s="104"/>
      <c r="G59" s="103"/>
      <c r="H59" s="103"/>
    </row>
    <row r="60" spans="2:28" s="100" customFormat="1" ht="28.5">
      <c r="C60" s="101"/>
      <c r="F60" s="102"/>
      <c r="G60" s="103"/>
      <c r="H60" s="103"/>
    </row>
    <row r="61" spans="2:28" s="42" customFormat="1">
      <c r="B61" s="48"/>
      <c r="C61" s="43"/>
      <c r="D61" s="48"/>
      <c r="E61" s="48"/>
      <c r="F61" s="99"/>
      <c r="G61" s="45"/>
      <c r="H61" s="45"/>
      <c r="I61" s="48">
        <v>493660571</v>
      </c>
      <c r="J61" s="48"/>
      <c r="K61" s="48"/>
      <c r="L61" s="48"/>
      <c r="M61" s="48"/>
      <c r="N61" s="48"/>
      <c r="O61" s="48"/>
      <c r="P61" s="48"/>
      <c r="Q61" s="48"/>
      <c r="R61" s="48"/>
      <c r="S61" s="48"/>
      <c r="T61" s="48"/>
    </row>
    <row r="62" spans="2:28" s="42" customFormat="1">
      <c r="B62" s="48"/>
      <c r="C62" s="43"/>
      <c r="D62" s="48"/>
      <c r="E62" s="48"/>
      <c r="F62" s="99"/>
      <c r="G62" s="45"/>
      <c r="H62" s="45"/>
      <c r="I62" s="112">
        <f>SUM(F10:F50)</f>
        <v>1080000</v>
      </c>
      <c r="J62" s="112"/>
      <c r="K62" s="112"/>
      <c r="L62" s="48"/>
      <c r="M62" s="48"/>
      <c r="N62" s="48"/>
      <c r="O62" s="48"/>
      <c r="P62" s="48"/>
      <c r="Q62" s="48"/>
      <c r="R62" s="48"/>
      <c r="S62" s="48"/>
      <c r="T62" s="48"/>
    </row>
    <row r="63" spans="2:28" s="42" customFormat="1" ht="21.5" thickBot="1">
      <c r="B63" s="48"/>
      <c r="C63" s="43"/>
      <c r="D63" s="48"/>
      <c r="E63" s="48"/>
      <c r="F63" s="99"/>
      <c r="G63" s="45"/>
      <c r="H63" s="45"/>
      <c r="I63" s="112">
        <f>I61-I62</f>
        <v>492580571</v>
      </c>
      <c r="J63" s="112"/>
      <c r="K63" s="112"/>
      <c r="L63" s="48"/>
      <c r="M63" s="48"/>
      <c r="N63" s="48"/>
      <c r="O63" s="48"/>
      <c r="P63" s="48"/>
      <c r="Q63" s="48"/>
      <c r="R63" s="48"/>
      <c r="S63" s="48"/>
      <c r="T63" s="48"/>
    </row>
    <row r="64" spans="2:28" s="42" customFormat="1" ht="36" customHeight="1" thickBot="1">
      <c r="B64" s="48"/>
      <c r="C64" s="43"/>
      <c r="D64" s="48"/>
      <c r="E64" s="48"/>
      <c r="F64" s="46"/>
      <c r="G64" s="44">
        <v>26950000</v>
      </c>
      <c r="H64" s="44"/>
      <c r="I64" s="48"/>
      <c r="J64" s="48"/>
      <c r="K64" s="48"/>
      <c r="L64" s="48"/>
      <c r="M64" s="48"/>
      <c r="N64" s="48"/>
      <c r="O64" s="48"/>
      <c r="P64" s="48"/>
      <c r="Q64" s="48"/>
      <c r="R64" s="48"/>
      <c r="S64" s="48"/>
      <c r="T64" s="48"/>
    </row>
    <row r="65" spans="3:35" ht="33.75" customHeight="1">
      <c r="C65" s="52"/>
      <c r="F65" s="46"/>
    </row>
    <row r="66" spans="3:35">
      <c r="C66" s="65" t="s">
        <v>71</v>
      </c>
      <c r="D66" s="65"/>
      <c r="E66" s="66" t="s">
        <v>72</v>
      </c>
      <c r="F66" s="67"/>
    </row>
    <row r="67" spans="3:35">
      <c r="C67" s="65">
        <v>2002</v>
      </c>
      <c r="D67" s="65"/>
      <c r="E67" s="68">
        <v>6.99</v>
      </c>
      <c r="F67" s="67">
        <v>1.0699000000000001</v>
      </c>
      <c r="S67" s="10"/>
    </row>
    <row r="68" spans="3:35" ht="14.5">
      <c r="C68" s="65">
        <v>2003</v>
      </c>
      <c r="D68" s="65"/>
      <c r="E68" s="68">
        <v>6.49</v>
      </c>
      <c r="F68" s="67">
        <v>1.0649</v>
      </c>
      <c r="G68" s="78">
        <f>29999000/1.19</f>
        <v>25209243.697478991</v>
      </c>
      <c r="H68" s="78"/>
      <c r="O68" s="117"/>
      <c r="P68" s="117"/>
      <c r="Q68" s="118"/>
      <c r="S68" s="119"/>
      <c r="T68" s="119"/>
      <c r="U68" s="119"/>
      <c r="V68" s="119"/>
      <c r="W68" s="119"/>
      <c r="X68" s="119"/>
      <c r="Y68" s="119"/>
      <c r="Z68" s="119"/>
      <c r="AA68" s="119"/>
    </row>
    <row r="69" spans="3:35" ht="14.5">
      <c r="C69" s="65">
        <v>2004</v>
      </c>
      <c r="D69" s="65"/>
      <c r="E69" s="68">
        <v>5.5</v>
      </c>
      <c r="F69" s="67">
        <v>1.0549999999999999</v>
      </c>
      <c r="G69" s="48" t="s">
        <v>80</v>
      </c>
      <c r="O69" s="120"/>
      <c r="P69" s="120"/>
      <c r="Q69" s="121"/>
      <c r="S69" s="240"/>
      <c r="T69" s="239"/>
      <c r="U69" s="240"/>
      <c r="V69" s="122"/>
      <c r="W69" s="240"/>
      <c r="X69" s="242"/>
      <c r="Y69" s="240"/>
      <c r="Z69" s="240"/>
      <c r="AA69" s="241"/>
    </row>
    <row r="70" spans="3:35" ht="14.5">
      <c r="C70" s="65">
        <v>2005</v>
      </c>
      <c r="D70" s="65"/>
      <c r="E70" s="68">
        <v>4.8499999999999996</v>
      </c>
      <c r="F70" s="67">
        <v>1.0485</v>
      </c>
      <c r="G70" s="79" t="s">
        <v>80</v>
      </c>
      <c r="H70" s="79"/>
      <c r="O70" s="120"/>
      <c r="P70" s="120"/>
      <c r="Q70" s="121"/>
      <c r="S70" s="240"/>
      <c r="T70" s="239"/>
      <c r="U70" s="240"/>
      <c r="V70" s="122"/>
      <c r="W70" s="240"/>
      <c r="X70" s="240"/>
      <c r="Y70" s="240"/>
      <c r="Z70" s="240"/>
      <c r="AA70" s="241"/>
    </row>
    <row r="71" spans="3:35" ht="14.5">
      <c r="C71" s="65">
        <v>2006</v>
      </c>
      <c r="D71" s="65"/>
      <c r="E71" s="68">
        <v>4.4800000000000004</v>
      </c>
      <c r="F71" s="67">
        <v>1.0448</v>
      </c>
      <c r="O71" s="120"/>
      <c r="P71" s="120"/>
      <c r="Q71" s="121"/>
      <c r="S71" s="240"/>
      <c r="T71" s="239"/>
      <c r="U71" s="240"/>
      <c r="V71" s="122"/>
      <c r="W71" s="240"/>
      <c r="X71" s="240"/>
      <c r="Y71" s="240"/>
      <c r="Z71" s="240"/>
      <c r="AA71" s="241"/>
      <c r="AE71" s="120"/>
      <c r="AF71" s="121"/>
    </row>
    <row r="72" spans="3:35" ht="14.5">
      <c r="C72" s="65">
        <v>2007</v>
      </c>
      <c r="D72" s="65"/>
      <c r="E72" s="68">
        <v>5.69</v>
      </c>
      <c r="F72" s="67">
        <v>1.0569</v>
      </c>
      <c r="O72" s="120"/>
      <c r="P72" s="120"/>
      <c r="Q72" s="121"/>
      <c r="S72" s="240"/>
      <c r="T72" s="239"/>
      <c r="U72" s="240"/>
      <c r="V72" s="122"/>
      <c r="W72" s="240"/>
      <c r="X72" s="240"/>
      <c r="Y72" s="240"/>
      <c r="Z72" s="240"/>
      <c r="AA72" s="241"/>
      <c r="AE72" s="120"/>
      <c r="AF72" s="121"/>
      <c r="AH72" s="120"/>
      <c r="AI72" s="121"/>
    </row>
    <row r="73" spans="3:35" ht="14.5">
      <c r="C73" s="65">
        <v>2008</v>
      </c>
      <c r="D73" s="65"/>
      <c r="E73" s="68">
        <v>7.67</v>
      </c>
      <c r="F73" s="67">
        <v>1.0767</v>
      </c>
      <c r="S73" s="239"/>
      <c r="T73" s="239"/>
      <c r="U73" s="240"/>
      <c r="V73" s="122"/>
      <c r="W73" s="240"/>
      <c r="X73" s="242"/>
      <c r="Y73" s="240"/>
      <c r="Z73" s="240"/>
      <c r="AA73" s="241"/>
      <c r="AE73" s="120"/>
      <c r="AF73" s="121"/>
      <c r="AH73" s="120"/>
      <c r="AI73" s="121"/>
    </row>
    <row r="74" spans="3:35" ht="14.5">
      <c r="C74" s="65">
        <v>2009</v>
      </c>
      <c r="D74" s="65"/>
      <c r="E74" s="68">
        <v>2</v>
      </c>
      <c r="F74" s="67">
        <v>1.02</v>
      </c>
      <c r="S74" s="239"/>
      <c r="T74" s="239"/>
      <c r="U74" s="240"/>
      <c r="V74" s="122"/>
      <c r="W74" s="240"/>
      <c r="X74" s="240"/>
      <c r="Y74" s="240"/>
      <c r="Z74" s="240"/>
      <c r="AA74" s="241"/>
      <c r="AE74" s="120"/>
      <c r="AF74" s="121"/>
      <c r="AH74" s="120"/>
      <c r="AI74" s="121"/>
    </row>
    <row r="75" spans="3:35" ht="14.5">
      <c r="C75" s="76">
        <v>2010</v>
      </c>
      <c r="D75" s="65"/>
      <c r="E75" s="68">
        <v>3.17</v>
      </c>
      <c r="F75" s="67">
        <v>1.0317000000000001</v>
      </c>
      <c r="Q75" s="123"/>
      <c r="S75" s="239"/>
      <c r="T75" s="239"/>
      <c r="U75" s="240"/>
      <c r="V75" s="122"/>
      <c r="W75" s="240"/>
      <c r="X75" s="240"/>
      <c r="Y75" s="240"/>
      <c r="Z75" s="240"/>
      <c r="AA75" s="241"/>
      <c r="AE75" s="240"/>
      <c r="AF75" s="242"/>
      <c r="AH75" s="240"/>
      <c r="AI75" s="242"/>
    </row>
    <row r="76" spans="3:35" ht="14.5">
      <c r="C76" s="76">
        <v>2011</v>
      </c>
      <c r="D76" s="65"/>
      <c r="E76" s="68">
        <v>3.73</v>
      </c>
      <c r="F76" s="67">
        <v>1.0373000000000001</v>
      </c>
      <c r="S76" s="239"/>
      <c r="T76" s="239"/>
      <c r="U76" s="240"/>
      <c r="V76" s="122"/>
      <c r="W76" s="240"/>
      <c r="X76" s="240"/>
      <c r="Y76" s="240"/>
      <c r="Z76" s="240"/>
      <c r="AA76" s="241"/>
      <c r="AE76" s="240"/>
      <c r="AF76" s="240"/>
      <c r="AH76" s="240"/>
      <c r="AI76" s="240"/>
    </row>
    <row r="77" spans="3:35" ht="14.5">
      <c r="C77" s="76">
        <v>2012</v>
      </c>
      <c r="D77" s="65"/>
      <c r="E77" s="68">
        <v>2.44</v>
      </c>
      <c r="F77" s="67">
        <v>1.0244</v>
      </c>
      <c r="S77" s="239"/>
      <c r="T77" s="239"/>
      <c r="U77" s="240"/>
      <c r="V77" s="122"/>
      <c r="W77" s="240"/>
      <c r="X77" s="240"/>
      <c r="Y77" s="240"/>
      <c r="Z77" s="240"/>
      <c r="AA77" s="241"/>
      <c r="AE77" s="240"/>
      <c r="AF77" s="240"/>
      <c r="AH77" s="240"/>
      <c r="AI77" s="240"/>
    </row>
    <row r="78" spans="3:35">
      <c r="C78" s="67">
        <v>2013</v>
      </c>
      <c r="D78" s="41"/>
      <c r="E78" s="40">
        <v>1.94</v>
      </c>
      <c r="F78" s="67">
        <v>1.0194000000000001</v>
      </c>
      <c r="O78" s="42"/>
      <c r="S78" s="239"/>
      <c r="T78" s="239"/>
      <c r="U78" s="240"/>
      <c r="V78" s="122"/>
      <c r="W78" s="240"/>
      <c r="X78" s="242"/>
      <c r="Y78" s="240"/>
      <c r="Z78" s="240"/>
      <c r="AA78" s="243"/>
      <c r="AE78" s="240"/>
      <c r="AF78" s="240"/>
      <c r="AH78" s="240"/>
      <c r="AI78" s="240"/>
    </row>
    <row r="79" spans="3:35" ht="14.5">
      <c r="C79" s="67">
        <v>2014</v>
      </c>
      <c r="D79" s="40"/>
      <c r="E79" s="40">
        <v>3.66</v>
      </c>
      <c r="F79" s="67">
        <v>1.0366</v>
      </c>
      <c r="O79" s="117"/>
      <c r="P79" s="117"/>
      <c r="Q79" s="118"/>
      <c r="S79" s="239"/>
      <c r="T79" s="239"/>
      <c r="U79" s="240"/>
      <c r="V79" s="122"/>
      <c r="W79" s="240"/>
      <c r="X79" s="240"/>
      <c r="Y79" s="240"/>
      <c r="Z79" s="240"/>
      <c r="AA79" s="243"/>
      <c r="AE79" s="239"/>
      <c r="AF79" s="242"/>
      <c r="AH79" s="239"/>
      <c r="AI79" s="242"/>
    </row>
    <row r="80" spans="3:35" ht="14.5">
      <c r="C80" s="67">
        <v>2015</v>
      </c>
      <c r="D80" s="40"/>
      <c r="E80" s="40">
        <v>6.77</v>
      </c>
      <c r="F80" s="67">
        <v>1.0677000000000001</v>
      </c>
      <c r="O80" s="120"/>
      <c r="P80" s="120"/>
      <c r="Q80" s="121"/>
      <c r="S80" s="239"/>
      <c r="T80" s="239"/>
      <c r="U80" s="240"/>
      <c r="V80" s="122"/>
      <c r="W80" s="240"/>
      <c r="X80" s="240"/>
      <c r="Y80" s="240"/>
      <c r="Z80" s="240"/>
      <c r="AA80" s="241"/>
      <c r="AE80" s="239"/>
      <c r="AF80" s="240"/>
      <c r="AH80" s="239"/>
      <c r="AI80" s="240"/>
    </row>
    <row r="81" spans="3:35" ht="14.5">
      <c r="C81" s="67">
        <v>2016</v>
      </c>
      <c r="D81" s="40"/>
      <c r="E81" s="40">
        <v>5.75</v>
      </c>
      <c r="F81" s="67">
        <v>1.0575000000000001</v>
      </c>
      <c r="O81" s="120"/>
      <c r="P81" s="120"/>
      <c r="Q81" s="121"/>
      <c r="S81" s="239"/>
      <c r="T81" s="239"/>
      <c r="U81" s="240"/>
      <c r="V81" s="122"/>
      <c r="W81" s="240"/>
      <c r="X81" s="240"/>
      <c r="Y81" s="240"/>
      <c r="Z81" s="240"/>
      <c r="AA81" s="241"/>
      <c r="AE81" s="239"/>
      <c r="AF81" s="240"/>
      <c r="AH81" s="239"/>
      <c r="AI81" s="240"/>
    </row>
    <row r="82" spans="3:35" ht="14.5">
      <c r="C82" s="67">
        <v>2017</v>
      </c>
      <c r="D82" s="40"/>
      <c r="E82" s="40">
        <v>4.09</v>
      </c>
      <c r="F82" s="67">
        <v>1.0408999999999999</v>
      </c>
      <c r="O82" s="120"/>
      <c r="P82" s="120"/>
      <c r="Q82" s="121"/>
      <c r="S82" s="239"/>
      <c r="T82" s="239"/>
      <c r="U82" s="240"/>
      <c r="V82" s="122"/>
      <c r="W82" s="240"/>
      <c r="X82" s="240"/>
      <c r="Y82" s="240"/>
      <c r="Z82" s="240"/>
      <c r="AA82" s="241"/>
      <c r="AE82" s="239"/>
      <c r="AF82" s="240"/>
      <c r="AH82" s="239"/>
      <c r="AI82" s="240"/>
    </row>
    <row r="83" spans="3:35" ht="14.5">
      <c r="C83" s="67">
        <v>2018</v>
      </c>
      <c r="D83" s="40"/>
      <c r="E83" s="40">
        <v>3.18</v>
      </c>
      <c r="F83" s="67">
        <v>1.0318000000000001</v>
      </c>
      <c r="S83" s="239"/>
      <c r="T83" s="239"/>
      <c r="U83" s="240"/>
      <c r="V83" s="122"/>
      <c r="W83" s="240"/>
      <c r="X83" s="240"/>
      <c r="Y83" s="240"/>
      <c r="Z83" s="240"/>
      <c r="AA83" s="241"/>
      <c r="AE83" s="239"/>
      <c r="AF83" s="240"/>
      <c r="AH83" s="239"/>
      <c r="AI83" s="240"/>
    </row>
    <row r="84" spans="3:35" ht="14.5">
      <c r="C84" s="48">
        <v>2019</v>
      </c>
      <c r="E84" s="106">
        <v>3.7999999999999999E-2</v>
      </c>
      <c r="S84" s="239"/>
      <c r="T84" s="239"/>
      <c r="U84" s="240"/>
      <c r="V84" s="122"/>
      <c r="W84" s="240"/>
      <c r="X84" s="240"/>
      <c r="Y84" s="240"/>
      <c r="Z84" s="240"/>
      <c r="AA84" s="241"/>
      <c r="AE84" s="239"/>
      <c r="AF84" s="242"/>
      <c r="AH84" s="239"/>
      <c r="AI84" s="242"/>
    </row>
    <row r="85" spans="3:35" ht="14.5">
      <c r="C85" s="48">
        <v>2020</v>
      </c>
      <c r="E85" s="45" t="s">
        <v>87</v>
      </c>
      <c r="S85" s="239"/>
      <c r="T85" s="239"/>
      <c r="U85" s="240"/>
      <c r="V85" s="122"/>
      <c r="W85" s="240"/>
      <c r="X85" s="240"/>
      <c r="Y85" s="240"/>
      <c r="Z85" s="240"/>
      <c r="AA85" s="241"/>
      <c r="AE85" s="239"/>
      <c r="AF85" s="240"/>
      <c r="AH85" s="239"/>
      <c r="AI85" s="240"/>
    </row>
    <row r="86" spans="3:35" ht="22.5" customHeight="1">
      <c r="Q86" s="123"/>
      <c r="S86" s="239"/>
      <c r="T86" s="239"/>
      <c r="U86" s="240"/>
      <c r="V86" s="122"/>
      <c r="W86" s="240"/>
      <c r="X86" s="240"/>
      <c r="Y86" s="240"/>
      <c r="Z86" s="240"/>
      <c r="AA86" s="241"/>
      <c r="AE86" s="239"/>
      <c r="AF86" s="240"/>
      <c r="AH86" s="239"/>
      <c r="AI86" s="240"/>
    </row>
    <row r="87" spans="3:35" ht="14.5">
      <c r="S87" s="239"/>
      <c r="T87" s="239"/>
      <c r="U87" s="240"/>
      <c r="V87" s="122"/>
      <c r="W87" s="240"/>
      <c r="X87" s="240"/>
      <c r="Y87" s="240"/>
      <c r="Z87" s="240"/>
      <c r="AA87" s="241"/>
      <c r="AE87" s="239"/>
      <c r="AF87" s="240"/>
      <c r="AH87" s="239"/>
      <c r="AI87" s="240"/>
    </row>
    <row r="88" spans="3:35">
      <c r="O88" s="42"/>
      <c r="S88" s="239"/>
      <c r="T88" s="239"/>
      <c r="U88" s="240"/>
      <c r="V88" s="122"/>
      <c r="W88" s="240"/>
      <c r="X88" s="240"/>
      <c r="Y88" s="240"/>
      <c r="Z88" s="240"/>
      <c r="AA88" s="241"/>
      <c r="AE88" s="239"/>
      <c r="AF88" s="240"/>
      <c r="AH88" s="239"/>
      <c r="AI88" s="240"/>
    </row>
    <row r="89" spans="3:35">
      <c r="O89" s="42"/>
      <c r="S89" s="239"/>
      <c r="T89" s="239"/>
      <c r="U89" s="240"/>
      <c r="V89" s="122"/>
      <c r="W89" s="240"/>
      <c r="X89" s="240"/>
      <c r="Y89" s="240"/>
      <c r="Z89" s="240"/>
      <c r="AA89" s="241"/>
      <c r="AE89" s="239"/>
      <c r="AF89" s="240"/>
      <c r="AH89" s="239"/>
      <c r="AI89" s="240"/>
    </row>
    <row r="90" spans="3:35">
      <c r="O90" s="42"/>
      <c r="U90" s="48"/>
      <c r="AE90" s="239"/>
      <c r="AF90" s="240"/>
      <c r="AH90" s="239"/>
      <c r="AI90" s="240"/>
    </row>
    <row r="91" spans="3:35">
      <c r="O91" s="42"/>
      <c r="U91" s="48"/>
      <c r="AE91" s="239"/>
      <c r="AF91" s="240"/>
    </row>
    <row r="92" spans="3:35">
      <c r="O92" s="42"/>
      <c r="U92" s="48"/>
      <c r="AE92" s="239"/>
      <c r="AF92" s="240"/>
    </row>
    <row r="93" spans="3:35">
      <c r="O93" s="42"/>
      <c r="U93" s="48"/>
      <c r="AE93" s="239"/>
      <c r="AF93" s="240"/>
    </row>
    <row r="94" spans="3:35">
      <c r="W94" s="123"/>
      <c r="AE94" s="239"/>
      <c r="AF94" s="240"/>
    </row>
    <row r="95" spans="3:35">
      <c r="W95" s="124"/>
      <c r="AE95" s="239"/>
      <c r="AF95" s="240"/>
    </row>
  </sheetData>
  <mergeCells count="74">
    <mergeCell ref="AF86:AF90"/>
    <mergeCell ref="AH86:AH90"/>
    <mergeCell ref="AI86:AI90"/>
    <mergeCell ref="AE91:AE95"/>
    <mergeCell ref="AF91:AF95"/>
    <mergeCell ref="AI84:AI85"/>
    <mergeCell ref="S85:S89"/>
    <mergeCell ref="T85:T89"/>
    <mergeCell ref="U85:U89"/>
    <mergeCell ref="W85:W89"/>
    <mergeCell ref="X85:X89"/>
    <mergeCell ref="Y85:Y89"/>
    <mergeCell ref="Z85:Z89"/>
    <mergeCell ref="AA85:AA89"/>
    <mergeCell ref="S80:S84"/>
    <mergeCell ref="T80:T84"/>
    <mergeCell ref="U80:U84"/>
    <mergeCell ref="W80:W84"/>
    <mergeCell ref="X80:X84"/>
    <mergeCell ref="Y80:Y84"/>
    <mergeCell ref="AE86:AE90"/>
    <mergeCell ref="AH79:AH83"/>
    <mergeCell ref="AE75:AE78"/>
    <mergeCell ref="AF75:AF78"/>
    <mergeCell ref="AH75:AH78"/>
    <mergeCell ref="AH84:AH85"/>
    <mergeCell ref="AI75:AI78"/>
    <mergeCell ref="S78:S79"/>
    <mergeCell ref="T78:T79"/>
    <mergeCell ref="U78:U79"/>
    <mergeCell ref="W78:W79"/>
    <mergeCell ref="X78:X79"/>
    <mergeCell ref="Y78:Y79"/>
    <mergeCell ref="AI79:AI83"/>
    <mergeCell ref="Z80:Z84"/>
    <mergeCell ref="AA80:AA84"/>
    <mergeCell ref="AE84:AE85"/>
    <mergeCell ref="AF84:AF85"/>
    <mergeCell ref="Z78:Z79"/>
    <mergeCell ref="AA78:AA79"/>
    <mergeCell ref="AE79:AE83"/>
    <mergeCell ref="AF79:AF83"/>
    <mergeCell ref="Z69:Z72"/>
    <mergeCell ref="AA69:AA72"/>
    <mergeCell ref="S73:S77"/>
    <mergeCell ref="T73:T77"/>
    <mergeCell ref="U73:U77"/>
    <mergeCell ref="W73:W77"/>
    <mergeCell ref="X73:X77"/>
    <mergeCell ref="Y73:Y77"/>
    <mergeCell ref="Z73:Z77"/>
    <mergeCell ref="AA73:AA77"/>
    <mergeCell ref="S69:S72"/>
    <mergeCell ref="T69:T72"/>
    <mergeCell ref="U69:U72"/>
    <mergeCell ref="W69:W72"/>
    <mergeCell ref="X69:X72"/>
    <mergeCell ref="Y69:Y72"/>
    <mergeCell ref="B54:H54"/>
    <mergeCell ref="B2:C4"/>
    <mergeCell ref="D2:T2"/>
    <mergeCell ref="D3:I3"/>
    <mergeCell ref="L3:T3"/>
    <mergeCell ref="D4:T4"/>
    <mergeCell ref="B6:E8"/>
    <mergeCell ref="F6:H7"/>
    <mergeCell ref="I6:K7"/>
    <mergeCell ref="L6:L7"/>
    <mergeCell ref="M6:M7"/>
    <mergeCell ref="N6:T8"/>
    <mergeCell ref="F9:H9"/>
    <mergeCell ref="I9:K9"/>
    <mergeCell ref="N51:O51"/>
    <mergeCell ref="B53:T53"/>
  </mergeCells>
  <conditionalFormatting sqref="T10:T52">
    <cfRule type="cellIs" dxfId="1" priority="1" operator="equal">
      <formula>"BAJO"</formula>
    </cfRule>
  </conditionalFormatting>
  <dataValidations disablePrompts="1" count="2">
    <dataValidation type="list" allowBlank="1" showInputMessage="1" showErrorMessage="1" sqref="E32 E35" xr:uid="{00000000-0002-0000-0400-000000000000}">
      <formula1>#REF!</formula1>
    </dataValidation>
    <dataValidation type="list" allowBlank="1" showInputMessage="1" showErrorMessage="1" sqref="E33" xr:uid="{00000000-0002-0000-0400-000001000000}">
      <formula1>$I$27:$I$28</formula1>
    </dataValidation>
  </dataValidations>
  <printOptions horizontalCentered="1" verticalCentered="1"/>
  <pageMargins left="0.59055118110236227" right="0.39370078740157483" top="0.39370078740157483" bottom="0.39370078740157483" header="0.31496062992125984" footer="0.59055118110236227"/>
  <pageSetup scale="31"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249977111117893"/>
  </sheetPr>
  <dimension ref="A2:AJ95"/>
  <sheetViews>
    <sheetView showGridLines="0" view="pageBreakPreview" topLeftCell="B43" zoomScale="60" zoomScaleNormal="80" zoomScalePageLayoutView="25" workbookViewId="0">
      <selection activeCell="G43" sqref="G43"/>
    </sheetView>
  </sheetViews>
  <sheetFormatPr baseColWidth="10" defaultColWidth="11.453125" defaultRowHeight="21"/>
  <cols>
    <col min="1" max="1" width="4.81640625" style="48" hidden="1" customWidth="1"/>
    <col min="2" max="2" width="7.26953125" style="48" customWidth="1"/>
    <col min="3" max="3" width="56" style="48" customWidth="1"/>
    <col min="4" max="4" width="8.7265625" style="48" customWidth="1"/>
    <col min="5" max="5" width="8.1796875" style="48" customWidth="1"/>
    <col min="6" max="6" width="19.1796875" style="48" customWidth="1"/>
    <col min="7" max="7" width="22.26953125" style="48" bestFit="1" customWidth="1"/>
    <col min="8" max="8" width="22.26953125" style="48" customWidth="1"/>
    <col min="9" max="9" width="21" style="48" bestFit="1" customWidth="1"/>
    <col min="10" max="10" width="23.453125" style="48" bestFit="1" customWidth="1"/>
    <col min="11" max="11" width="23.453125" style="48" customWidth="1"/>
    <col min="12" max="12" width="23.453125" style="48" bestFit="1" customWidth="1"/>
    <col min="13" max="13" width="20.26953125" style="48" hidden="1" customWidth="1"/>
    <col min="14" max="14" width="20.26953125" style="48" customWidth="1"/>
    <col min="15" max="15" width="15.453125" style="48" customWidth="1"/>
    <col min="16" max="16" width="19.453125" style="48" customWidth="1"/>
    <col min="17" max="17" width="24.1796875" style="48" customWidth="1"/>
    <col min="18" max="18" width="21.453125" style="48" customWidth="1"/>
    <col min="19" max="19" width="17.453125" style="48" customWidth="1"/>
    <col min="20" max="20" width="19.1796875" style="48" customWidth="1"/>
    <col min="21" max="21" width="25.453125" style="48" customWidth="1"/>
    <col min="22" max="22" width="2.453125" style="42" customWidth="1"/>
    <col min="23" max="16384" width="11.453125" style="48"/>
  </cols>
  <sheetData>
    <row r="2" spans="2:23" ht="39.75" customHeight="1">
      <c r="B2" s="272"/>
      <c r="C2" s="273"/>
      <c r="D2" s="278" t="s">
        <v>75</v>
      </c>
      <c r="E2" s="279"/>
      <c r="F2" s="279"/>
      <c r="G2" s="279"/>
      <c r="H2" s="279"/>
      <c r="I2" s="279"/>
      <c r="J2" s="279"/>
      <c r="K2" s="279"/>
      <c r="L2" s="279"/>
      <c r="M2" s="279"/>
      <c r="N2" s="279"/>
      <c r="O2" s="279"/>
      <c r="P2" s="279"/>
      <c r="Q2" s="279"/>
      <c r="R2" s="279"/>
      <c r="S2" s="279"/>
      <c r="T2" s="279"/>
      <c r="U2" s="280"/>
      <c r="V2" s="74"/>
      <c r="W2" s="74"/>
    </row>
    <row r="3" spans="2:23" ht="17.25" customHeight="1">
      <c r="B3" s="274"/>
      <c r="C3" s="275"/>
      <c r="D3" s="281" t="s">
        <v>77</v>
      </c>
      <c r="E3" s="282"/>
      <c r="F3" s="282"/>
      <c r="G3" s="282"/>
      <c r="H3" s="282"/>
      <c r="I3" s="282"/>
      <c r="J3" s="282"/>
      <c r="K3" s="1"/>
      <c r="L3" s="1"/>
      <c r="M3" s="281" t="s">
        <v>76</v>
      </c>
      <c r="N3" s="282"/>
      <c r="O3" s="282"/>
      <c r="P3" s="282"/>
      <c r="Q3" s="282"/>
      <c r="R3" s="282"/>
      <c r="S3" s="282"/>
      <c r="T3" s="282"/>
      <c r="U3" s="283"/>
      <c r="V3" s="75"/>
      <c r="W3" s="75"/>
    </row>
    <row r="4" spans="2:23" ht="17.25" customHeight="1">
      <c r="B4" s="276"/>
      <c r="C4" s="277"/>
      <c r="D4" s="281" t="s">
        <v>78</v>
      </c>
      <c r="E4" s="282"/>
      <c r="F4" s="282"/>
      <c r="G4" s="282"/>
      <c r="H4" s="282"/>
      <c r="I4" s="282"/>
      <c r="J4" s="282"/>
      <c r="K4" s="282"/>
      <c r="L4" s="282"/>
      <c r="M4" s="282"/>
      <c r="N4" s="282"/>
      <c r="O4" s="282"/>
      <c r="P4" s="282"/>
      <c r="Q4" s="282"/>
      <c r="R4" s="282"/>
      <c r="S4" s="282"/>
      <c r="T4" s="282"/>
      <c r="U4" s="283"/>
      <c r="V4" s="75"/>
      <c r="W4" s="75"/>
    </row>
    <row r="5" spans="2:23" ht="15.75" customHeight="1" thickBot="1"/>
    <row r="6" spans="2:23" ht="65.25" customHeight="1">
      <c r="B6" s="251" t="s">
        <v>89</v>
      </c>
      <c r="C6" s="252"/>
      <c r="D6" s="252"/>
      <c r="E6" s="253"/>
      <c r="F6" s="257" t="s">
        <v>74</v>
      </c>
      <c r="G6" s="258"/>
      <c r="H6" s="258"/>
      <c r="I6" s="258"/>
      <c r="J6" s="257" t="s">
        <v>85</v>
      </c>
      <c r="K6" s="258"/>
      <c r="L6" s="258"/>
      <c r="M6" s="261" t="s">
        <v>88</v>
      </c>
      <c r="N6" s="261" t="s">
        <v>88</v>
      </c>
      <c r="O6" s="263" t="s">
        <v>142</v>
      </c>
      <c r="P6" s="264"/>
      <c r="Q6" s="264"/>
      <c r="R6" s="264"/>
      <c r="S6" s="264"/>
      <c r="T6" s="264"/>
      <c r="U6" s="265"/>
    </row>
    <row r="7" spans="2:23" ht="59.25" customHeight="1" thickBot="1">
      <c r="B7" s="254"/>
      <c r="C7" s="255"/>
      <c r="D7" s="255"/>
      <c r="E7" s="256"/>
      <c r="F7" s="259"/>
      <c r="G7" s="260"/>
      <c r="H7" s="260"/>
      <c r="I7" s="260"/>
      <c r="J7" s="259"/>
      <c r="K7" s="260"/>
      <c r="L7" s="260"/>
      <c r="M7" s="284"/>
      <c r="N7" s="284"/>
      <c r="O7" s="266"/>
      <c r="P7" s="267"/>
      <c r="Q7" s="267"/>
      <c r="R7" s="267"/>
      <c r="S7" s="267"/>
      <c r="T7" s="267"/>
      <c r="U7" s="268"/>
    </row>
    <row r="8" spans="2:23" ht="81" customHeight="1" thickBot="1">
      <c r="B8" s="254"/>
      <c r="C8" s="255"/>
      <c r="D8" s="255"/>
      <c r="E8" s="256"/>
      <c r="F8" s="115" t="s">
        <v>139</v>
      </c>
      <c r="G8" s="115" t="s">
        <v>140</v>
      </c>
      <c r="H8" s="115" t="s">
        <v>149</v>
      </c>
      <c r="I8" s="115" t="s">
        <v>141</v>
      </c>
      <c r="J8" s="115" t="s">
        <v>144</v>
      </c>
      <c r="K8" s="116" t="s">
        <v>146</v>
      </c>
      <c r="L8" s="116" t="s">
        <v>145</v>
      </c>
      <c r="M8" s="116">
        <v>2019</v>
      </c>
      <c r="N8" s="116">
        <v>2019</v>
      </c>
      <c r="O8" s="269"/>
      <c r="P8" s="270"/>
      <c r="Q8" s="270"/>
      <c r="R8" s="270"/>
      <c r="S8" s="270"/>
      <c r="T8" s="270"/>
      <c r="U8" s="271"/>
    </row>
    <row r="9" spans="2:23" ht="72" customHeight="1" thickBot="1">
      <c r="B9" s="110" t="s">
        <v>64</v>
      </c>
      <c r="C9" s="109" t="s">
        <v>65</v>
      </c>
      <c r="D9" s="84" t="s">
        <v>70</v>
      </c>
      <c r="E9" s="85" t="s">
        <v>79</v>
      </c>
      <c r="F9" s="244" t="s">
        <v>84</v>
      </c>
      <c r="G9" s="245"/>
      <c r="H9" s="245"/>
      <c r="I9" s="245"/>
      <c r="J9" s="244" t="s">
        <v>82</v>
      </c>
      <c r="K9" s="245"/>
      <c r="L9" s="246"/>
      <c r="M9" s="72"/>
      <c r="N9" s="72"/>
      <c r="O9" s="73" t="s">
        <v>66</v>
      </c>
      <c r="P9" s="73" t="s">
        <v>67</v>
      </c>
      <c r="Q9" s="73" t="s">
        <v>68</v>
      </c>
      <c r="R9" s="73" t="s">
        <v>0</v>
      </c>
      <c r="S9" s="73" t="s">
        <v>69</v>
      </c>
      <c r="T9" s="73" t="s">
        <v>1</v>
      </c>
      <c r="U9" s="73" t="s">
        <v>2</v>
      </c>
    </row>
    <row r="10" spans="2:23" ht="124.5" thickBot="1">
      <c r="B10" s="108">
        <v>1</v>
      </c>
      <c r="C10" s="125" t="s">
        <v>91</v>
      </c>
      <c r="D10" s="127" t="s">
        <v>70</v>
      </c>
      <c r="E10" s="127">
        <v>40</v>
      </c>
      <c r="F10" s="113">
        <v>33000</v>
      </c>
      <c r="G10" s="114">
        <v>20400</v>
      </c>
      <c r="H10" s="114">
        <f>1.19*14252</f>
        <v>16959.88</v>
      </c>
      <c r="I10" s="114">
        <v>18907.563025210085</v>
      </c>
      <c r="J10" s="107"/>
      <c r="K10" s="107">
        <v>16363</v>
      </c>
      <c r="L10" s="107">
        <v>27500</v>
      </c>
      <c r="M10" s="107">
        <v>28661</v>
      </c>
      <c r="N10" s="107">
        <f>M10*(1+($E$84+$E$85))</f>
        <v>30071.121199999998</v>
      </c>
      <c r="O10" s="92">
        <f>COUNT(F10:N10)</f>
        <v>8</v>
      </c>
      <c r="P10" s="93">
        <f>ROUND(AVERAGE(F10:N10),2)</f>
        <v>23982.82</v>
      </c>
      <c r="Q10" s="94">
        <f>ROUND(+P10*E10,2)</f>
        <v>959312.8</v>
      </c>
      <c r="R10" s="95">
        <f>STDEVP(F10:L10)</f>
        <v>6059.9609663929859</v>
      </c>
      <c r="S10" s="96">
        <f>R10/P10*100</f>
        <v>25.267924982937728</v>
      </c>
      <c r="T10" s="97">
        <f t="shared" ref="T10:T42" si="0">100-S10</f>
        <v>74.732075017062272</v>
      </c>
      <c r="U10" s="98" t="str">
        <f t="shared" ref="U10:U42" si="1">IF(T10&gt;70,"ALTO","BAJO")</f>
        <v>ALTO</v>
      </c>
    </row>
    <row r="11" spans="2:23" ht="124.5" thickBot="1">
      <c r="B11" s="108">
        <v>2</v>
      </c>
      <c r="C11" s="125" t="s">
        <v>92</v>
      </c>
      <c r="D11" s="128" t="s">
        <v>70</v>
      </c>
      <c r="E11" s="128">
        <v>10</v>
      </c>
      <c r="F11" s="113">
        <v>42000</v>
      </c>
      <c r="G11" s="114">
        <v>20400</v>
      </c>
      <c r="H11" s="114">
        <f>1.19*14252</f>
        <v>16959.88</v>
      </c>
      <c r="I11" s="114">
        <v>18907.563025210085</v>
      </c>
      <c r="J11" s="107"/>
      <c r="K11" s="107">
        <v>16363</v>
      </c>
      <c r="L11" s="107">
        <v>25000</v>
      </c>
      <c r="M11" s="107"/>
      <c r="N11" s="107"/>
      <c r="O11" s="92">
        <f t="shared" ref="O11:O47" si="2">COUNT(F11:N11)</f>
        <v>6</v>
      </c>
      <c r="P11" s="93">
        <f t="shared" ref="P11:P47" si="3">ROUND(AVERAGE(F11:N11),2)</f>
        <v>23271.74</v>
      </c>
      <c r="Q11" s="94">
        <f t="shared" ref="Q11:Q47" si="4">ROUND(+P11*E11,2)</f>
        <v>232717.4</v>
      </c>
      <c r="R11" s="95">
        <f t="shared" ref="R11:R47" si="5">STDEVP(F11:L11)</f>
        <v>8837.3997080333247</v>
      </c>
      <c r="S11" s="96">
        <f t="shared" ref="S11:S42" si="6">R11/P11*100</f>
        <v>37.974812833218849</v>
      </c>
      <c r="T11" s="97">
        <f t="shared" si="0"/>
        <v>62.025187166781151</v>
      </c>
      <c r="U11" s="98" t="str">
        <f t="shared" si="1"/>
        <v>BAJO</v>
      </c>
    </row>
    <row r="12" spans="2:23" ht="124.5" thickBot="1">
      <c r="B12" s="108">
        <v>3</v>
      </c>
      <c r="C12" s="125" t="s">
        <v>93</v>
      </c>
      <c r="D12" s="128" t="s">
        <v>70</v>
      </c>
      <c r="E12" s="128">
        <v>5</v>
      </c>
      <c r="F12" s="113">
        <v>33000</v>
      </c>
      <c r="G12" s="114">
        <v>20400</v>
      </c>
      <c r="H12" s="114">
        <f>1.19*14252</f>
        <v>16959.88</v>
      </c>
      <c r="I12" s="114">
        <v>18907.563025210085</v>
      </c>
      <c r="J12" s="107"/>
      <c r="K12" s="107">
        <v>16363</v>
      </c>
      <c r="L12" s="107"/>
      <c r="M12" s="107"/>
      <c r="N12" s="107"/>
      <c r="O12" s="92">
        <f t="shared" si="2"/>
        <v>5</v>
      </c>
      <c r="P12" s="93">
        <f t="shared" si="3"/>
        <v>21126.09</v>
      </c>
      <c r="Q12" s="94">
        <f t="shared" si="4"/>
        <v>105630.45</v>
      </c>
      <c r="R12" s="95">
        <f t="shared" si="5"/>
        <v>6107.096518416266</v>
      </c>
      <c r="S12" s="96">
        <f t="shared" si="6"/>
        <v>28.907841055378757</v>
      </c>
      <c r="T12" s="97">
        <f t="shared" si="0"/>
        <v>71.092158944621247</v>
      </c>
      <c r="U12" s="98" t="str">
        <f t="shared" si="1"/>
        <v>ALTO</v>
      </c>
    </row>
    <row r="13" spans="2:23" ht="162" customHeight="1" thickBot="1">
      <c r="B13" s="108">
        <v>4</v>
      </c>
      <c r="C13" s="125" t="s">
        <v>94</v>
      </c>
      <c r="D13" s="129" t="s">
        <v>70</v>
      </c>
      <c r="E13" s="129">
        <v>100</v>
      </c>
      <c r="F13" s="113">
        <v>12000</v>
      </c>
      <c r="G13" s="114">
        <v>7480</v>
      </c>
      <c r="H13" s="114">
        <f>1.19*5310</f>
        <v>6318.9</v>
      </c>
      <c r="I13" s="114">
        <v>5600</v>
      </c>
      <c r="J13" s="107"/>
      <c r="K13" s="107">
        <v>6395</v>
      </c>
      <c r="L13" s="107"/>
      <c r="M13" s="107">
        <v>10468</v>
      </c>
      <c r="N13" s="107">
        <v>10468</v>
      </c>
      <c r="O13" s="92">
        <f t="shared" si="2"/>
        <v>7</v>
      </c>
      <c r="P13" s="93">
        <f t="shared" si="3"/>
        <v>8389.99</v>
      </c>
      <c r="Q13" s="94">
        <f t="shared" si="4"/>
        <v>838999</v>
      </c>
      <c r="R13" s="95">
        <f t="shared" si="5"/>
        <v>2300.3976511898973</v>
      </c>
      <c r="S13" s="96">
        <f t="shared" si="6"/>
        <v>27.418359869200049</v>
      </c>
      <c r="T13" s="97">
        <f t="shared" si="0"/>
        <v>72.581640130799954</v>
      </c>
      <c r="U13" s="98" t="str">
        <f t="shared" si="1"/>
        <v>ALTO</v>
      </c>
    </row>
    <row r="14" spans="2:23" ht="155.5" thickBot="1">
      <c r="B14" s="108">
        <v>5</v>
      </c>
      <c r="C14" s="125" t="s">
        <v>143</v>
      </c>
      <c r="D14" s="128" t="s">
        <v>70</v>
      </c>
      <c r="E14" s="128">
        <v>150</v>
      </c>
      <c r="F14" s="113">
        <v>15000</v>
      </c>
      <c r="G14" s="114">
        <v>5440</v>
      </c>
      <c r="H14" s="114">
        <f>1.19*6300</f>
        <v>7497</v>
      </c>
      <c r="I14" s="114">
        <v>6500</v>
      </c>
      <c r="J14" s="107"/>
      <c r="K14" s="107">
        <v>6422</v>
      </c>
      <c r="L14" s="107"/>
      <c r="M14" s="107"/>
      <c r="N14" s="107"/>
      <c r="O14" s="92">
        <f t="shared" si="2"/>
        <v>5</v>
      </c>
      <c r="P14" s="93">
        <f t="shared" si="3"/>
        <v>8171.8</v>
      </c>
      <c r="Q14" s="94">
        <f t="shared" si="4"/>
        <v>1225770</v>
      </c>
      <c r="R14" s="95">
        <f t="shared" si="5"/>
        <v>3475.6040280791481</v>
      </c>
      <c r="S14" s="96">
        <f t="shared" si="6"/>
        <v>42.531682469947235</v>
      </c>
      <c r="T14" s="97">
        <f t="shared" si="0"/>
        <v>57.468317530052765</v>
      </c>
      <c r="U14" s="98" t="str">
        <f t="shared" si="1"/>
        <v>BAJO</v>
      </c>
    </row>
    <row r="15" spans="2:23" ht="93.5" thickBot="1">
      <c r="B15" s="108">
        <v>6</v>
      </c>
      <c r="C15" s="125" t="s">
        <v>95</v>
      </c>
      <c r="D15" s="128" t="s">
        <v>70</v>
      </c>
      <c r="E15" s="128">
        <v>20</v>
      </c>
      <c r="F15" s="113">
        <v>42000</v>
      </c>
      <c r="G15" s="114">
        <v>33507</v>
      </c>
      <c r="H15" s="114">
        <f>1.19*7600</f>
        <v>9044</v>
      </c>
      <c r="I15" s="114">
        <v>10500</v>
      </c>
      <c r="J15" s="107"/>
      <c r="K15" s="107">
        <v>10342</v>
      </c>
      <c r="L15" s="107"/>
      <c r="M15" s="107">
        <v>11069</v>
      </c>
      <c r="N15" s="107">
        <v>11069</v>
      </c>
      <c r="O15" s="92">
        <f t="shared" si="2"/>
        <v>7</v>
      </c>
      <c r="P15" s="93">
        <f t="shared" si="3"/>
        <v>18218.71</v>
      </c>
      <c r="Q15" s="94">
        <f t="shared" si="4"/>
        <v>364374.2</v>
      </c>
      <c r="R15" s="95">
        <f t="shared" si="5"/>
        <v>13886.562275811822</v>
      </c>
      <c r="S15" s="96">
        <f t="shared" si="6"/>
        <v>76.22143541343938</v>
      </c>
      <c r="T15" s="97">
        <f t="shared" si="0"/>
        <v>23.77856458656062</v>
      </c>
      <c r="U15" s="98" t="str">
        <f t="shared" si="1"/>
        <v>BAJO</v>
      </c>
    </row>
    <row r="16" spans="2:23" ht="96" customHeight="1" thickBot="1">
      <c r="B16" s="108">
        <v>7</v>
      </c>
      <c r="C16" s="125" t="s">
        <v>96</v>
      </c>
      <c r="D16" s="129" t="s">
        <v>70</v>
      </c>
      <c r="E16" s="129">
        <v>10</v>
      </c>
      <c r="F16" s="113">
        <v>85000</v>
      </c>
      <c r="G16" s="114">
        <v>24500</v>
      </c>
      <c r="H16" s="114">
        <f>1.19*25900</f>
        <v>30821</v>
      </c>
      <c r="I16" s="114">
        <v>28000</v>
      </c>
      <c r="J16" s="107"/>
      <c r="K16" s="107"/>
      <c r="L16" s="107"/>
      <c r="M16" s="107">
        <v>33297</v>
      </c>
      <c r="N16" s="107">
        <v>33297</v>
      </c>
      <c r="O16" s="92">
        <f t="shared" si="2"/>
        <v>6</v>
      </c>
      <c r="P16" s="93">
        <f t="shared" si="3"/>
        <v>39152.5</v>
      </c>
      <c r="Q16" s="94">
        <f t="shared" si="4"/>
        <v>391525</v>
      </c>
      <c r="R16" s="95">
        <f t="shared" si="5"/>
        <v>24880.686690433206</v>
      </c>
      <c r="S16" s="96">
        <f t="shared" si="6"/>
        <v>63.548143006023125</v>
      </c>
      <c r="T16" s="97">
        <f t="shared" si="0"/>
        <v>36.451856993976875</v>
      </c>
      <c r="U16" s="98" t="str">
        <f t="shared" si="1"/>
        <v>BAJO</v>
      </c>
    </row>
    <row r="17" spans="2:21" ht="186" customHeight="1" thickBot="1">
      <c r="B17" s="108">
        <v>8</v>
      </c>
      <c r="C17" s="125" t="s">
        <v>97</v>
      </c>
      <c r="D17" s="129" t="s">
        <v>70</v>
      </c>
      <c r="E17" s="129">
        <v>750</v>
      </c>
      <c r="F17" s="113">
        <v>53000</v>
      </c>
      <c r="G17" s="114"/>
      <c r="H17" s="114">
        <f>1.19*12000</f>
        <v>14280</v>
      </c>
      <c r="I17" s="114">
        <v>14300</v>
      </c>
      <c r="J17" s="107"/>
      <c r="K17" s="107"/>
      <c r="L17" s="107"/>
      <c r="M17" s="107">
        <v>6412</v>
      </c>
      <c r="N17" s="107">
        <v>6412</v>
      </c>
      <c r="O17" s="92">
        <f t="shared" si="2"/>
        <v>5</v>
      </c>
      <c r="P17" s="93">
        <f t="shared" si="3"/>
        <v>18880.8</v>
      </c>
      <c r="Q17" s="94">
        <f t="shared" si="4"/>
        <v>14160600</v>
      </c>
      <c r="R17" s="95">
        <f t="shared" si="5"/>
        <v>18248.070826498042</v>
      </c>
      <c r="S17" s="96">
        <f t="shared" si="6"/>
        <v>96.648822224153861</v>
      </c>
      <c r="T17" s="97">
        <f t="shared" si="0"/>
        <v>3.3511777758461392</v>
      </c>
      <c r="U17" s="98" t="str">
        <f t="shared" si="1"/>
        <v>BAJO</v>
      </c>
    </row>
    <row r="18" spans="2:21" ht="173.25" customHeight="1" thickBot="1">
      <c r="B18" s="108">
        <v>9</v>
      </c>
      <c r="C18" s="125" t="s">
        <v>98</v>
      </c>
      <c r="D18" s="129" t="s">
        <v>70</v>
      </c>
      <c r="E18" s="129">
        <v>750</v>
      </c>
      <c r="F18" s="113">
        <v>53000</v>
      </c>
      <c r="G18" s="114"/>
      <c r="H18" s="114">
        <f>1.19*12000</f>
        <v>14280</v>
      </c>
      <c r="I18" s="114">
        <v>14300</v>
      </c>
      <c r="J18" s="107"/>
      <c r="K18" s="107"/>
      <c r="L18" s="107"/>
      <c r="M18" s="107">
        <v>6412</v>
      </c>
      <c r="N18" s="107">
        <v>6412</v>
      </c>
      <c r="O18" s="92">
        <f t="shared" si="2"/>
        <v>5</v>
      </c>
      <c r="P18" s="93">
        <f t="shared" si="3"/>
        <v>18880.8</v>
      </c>
      <c r="Q18" s="94">
        <f t="shared" si="4"/>
        <v>14160600</v>
      </c>
      <c r="R18" s="95">
        <f t="shared" si="5"/>
        <v>18248.070826498042</v>
      </c>
      <c r="S18" s="96">
        <f t="shared" si="6"/>
        <v>96.648822224153861</v>
      </c>
      <c r="T18" s="97">
        <f t="shared" si="0"/>
        <v>3.3511777758461392</v>
      </c>
      <c r="U18" s="98" t="str">
        <f t="shared" si="1"/>
        <v>BAJO</v>
      </c>
    </row>
    <row r="19" spans="2:21" ht="140" thickBot="1">
      <c r="B19" s="108">
        <v>10</v>
      </c>
      <c r="C19" s="125" t="s">
        <v>99</v>
      </c>
      <c r="D19" s="129" t="s">
        <v>70</v>
      </c>
      <c r="E19" s="129">
        <v>550</v>
      </c>
      <c r="F19" s="113">
        <v>32000</v>
      </c>
      <c r="G19" s="114"/>
      <c r="H19" s="114">
        <f>1.19*12000</f>
        <v>14280</v>
      </c>
      <c r="I19" s="114">
        <v>14500</v>
      </c>
      <c r="J19" s="107"/>
      <c r="K19" s="107"/>
      <c r="L19" s="107"/>
      <c r="M19" s="107">
        <v>16277</v>
      </c>
      <c r="N19" s="107">
        <v>16277</v>
      </c>
      <c r="O19" s="92">
        <f t="shared" si="2"/>
        <v>5</v>
      </c>
      <c r="P19" s="93">
        <f t="shared" si="3"/>
        <v>18666.8</v>
      </c>
      <c r="Q19" s="94">
        <f t="shared" si="4"/>
        <v>10266740</v>
      </c>
      <c r="R19" s="95">
        <f t="shared" si="5"/>
        <v>8301.9194567682152</v>
      </c>
      <c r="S19" s="96">
        <f t="shared" si="6"/>
        <v>44.474250845180826</v>
      </c>
      <c r="T19" s="97">
        <f t="shared" si="0"/>
        <v>55.525749154819174</v>
      </c>
      <c r="U19" s="98" t="str">
        <f t="shared" si="1"/>
        <v>BAJO</v>
      </c>
    </row>
    <row r="20" spans="2:21" ht="113.25" customHeight="1" thickBot="1">
      <c r="B20" s="108">
        <v>11</v>
      </c>
      <c r="C20" s="125" t="s">
        <v>100</v>
      </c>
      <c r="D20" s="129" t="s">
        <v>70</v>
      </c>
      <c r="E20" s="129">
        <v>2</v>
      </c>
      <c r="F20" s="113">
        <v>132000</v>
      </c>
      <c r="G20" s="114">
        <v>479000</v>
      </c>
      <c r="H20" s="114">
        <f>1.19*430000</f>
        <v>511700</v>
      </c>
      <c r="I20" s="114">
        <v>378151.26050420169</v>
      </c>
      <c r="J20" s="107"/>
      <c r="K20" s="107"/>
      <c r="L20" s="107"/>
      <c r="M20" s="107">
        <v>397253</v>
      </c>
      <c r="N20" s="107">
        <v>397253</v>
      </c>
      <c r="O20" s="92">
        <f t="shared" si="2"/>
        <v>6</v>
      </c>
      <c r="P20" s="93">
        <f t="shared" si="3"/>
        <v>382559.54</v>
      </c>
      <c r="Q20" s="94">
        <f t="shared" si="4"/>
        <v>765119.08</v>
      </c>
      <c r="R20" s="95">
        <f t="shared" si="5"/>
        <v>148796.53833477932</v>
      </c>
      <c r="S20" s="96">
        <f t="shared" si="6"/>
        <v>38.895001372800515</v>
      </c>
      <c r="T20" s="97">
        <f t="shared" si="0"/>
        <v>61.104998627199485</v>
      </c>
      <c r="U20" s="98" t="str">
        <f t="shared" si="1"/>
        <v>BAJO</v>
      </c>
    </row>
    <row r="21" spans="2:21" ht="130.5" customHeight="1" thickBot="1">
      <c r="B21" s="108">
        <v>12</v>
      </c>
      <c r="C21" s="125" t="s">
        <v>101</v>
      </c>
      <c r="D21" s="129" t="s">
        <v>70</v>
      </c>
      <c r="E21" s="129">
        <v>8</v>
      </c>
      <c r="F21" s="113">
        <v>112000</v>
      </c>
      <c r="G21" s="114">
        <v>53000</v>
      </c>
      <c r="H21" s="114">
        <f>1.19*41430</f>
        <v>49301.7</v>
      </c>
      <c r="I21" s="114">
        <v>47058.823529411769</v>
      </c>
      <c r="J21" s="107"/>
      <c r="K21" s="107">
        <v>52182</v>
      </c>
      <c r="L21" s="107"/>
      <c r="M21" s="107">
        <v>63431</v>
      </c>
      <c r="N21" s="107">
        <v>63431</v>
      </c>
      <c r="O21" s="92">
        <f t="shared" si="2"/>
        <v>7</v>
      </c>
      <c r="P21" s="93">
        <f t="shared" si="3"/>
        <v>62914.93</v>
      </c>
      <c r="Q21" s="94">
        <f t="shared" si="4"/>
        <v>503319.44</v>
      </c>
      <c r="R21" s="95">
        <f t="shared" si="5"/>
        <v>24736.082174119547</v>
      </c>
      <c r="S21" s="96">
        <f t="shared" si="6"/>
        <v>39.316712542030238</v>
      </c>
      <c r="T21" s="97">
        <f t="shared" si="0"/>
        <v>60.683287457969762</v>
      </c>
      <c r="U21" s="98" t="str">
        <f t="shared" si="1"/>
        <v>BAJO</v>
      </c>
    </row>
    <row r="22" spans="2:21" ht="126.75" customHeight="1" thickBot="1">
      <c r="B22" s="108">
        <v>13</v>
      </c>
      <c r="C22" s="125" t="s">
        <v>102</v>
      </c>
      <c r="D22" s="128" t="s">
        <v>131</v>
      </c>
      <c r="E22" s="128">
        <v>30</v>
      </c>
      <c r="F22" s="113">
        <v>54000</v>
      </c>
      <c r="G22" s="114">
        <v>48500</v>
      </c>
      <c r="H22" s="114">
        <f>1.19*35071</f>
        <v>41734.49</v>
      </c>
      <c r="I22" s="114">
        <v>36134.45378151261</v>
      </c>
      <c r="J22" s="107"/>
      <c r="K22" s="107"/>
      <c r="L22" s="107"/>
      <c r="M22" s="107">
        <v>60163</v>
      </c>
      <c r="N22" s="107">
        <v>60163</v>
      </c>
      <c r="O22" s="92">
        <f t="shared" si="2"/>
        <v>6</v>
      </c>
      <c r="P22" s="93">
        <f t="shared" si="3"/>
        <v>50115.82</v>
      </c>
      <c r="Q22" s="94">
        <f t="shared" si="4"/>
        <v>1503474.6</v>
      </c>
      <c r="R22" s="95">
        <f t="shared" si="5"/>
        <v>6754.2104541122326</v>
      </c>
      <c r="S22" s="96">
        <f t="shared" si="6"/>
        <v>13.47720231677788</v>
      </c>
      <c r="T22" s="97">
        <f t="shared" si="0"/>
        <v>86.522797683222123</v>
      </c>
      <c r="U22" s="98" t="str">
        <f t="shared" si="1"/>
        <v>ALTO</v>
      </c>
    </row>
    <row r="23" spans="2:21" ht="124.5" thickBot="1">
      <c r="B23" s="108">
        <v>14</v>
      </c>
      <c r="C23" s="125" t="s">
        <v>103</v>
      </c>
      <c r="D23" s="129" t="s">
        <v>131</v>
      </c>
      <c r="E23" s="129">
        <v>30</v>
      </c>
      <c r="F23" s="113">
        <v>36000</v>
      </c>
      <c r="G23" s="114">
        <v>9220</v>
      </c>
      <c r="H23" s="114">
        <f>1.19*12760</f>
        <v>15184.4</v>
      </c>
      <c r="I23" s="114">
        <v>10756.302521008403</v>
      </c>
      <c r="J23" s="107"/>
      <c r="K23" s="107"/>
      <c r="L23" s="107"/>
      <c r="M23" s="131">
        <v>33505</v>
      </c>
      <c r="N23" s="131">
        <v>33505</v>
      </c>
      <c r="O23" s="92">
        <f t="shared" si="2"/>
        <v>6</v>
      </c>
      <c r="P23" s="93">
        <f t="shared" si="3"/>
        <v>23028.45</v>
      </c>
      <c r="Q23" s="94">
        <f t="shared" si="4"/>
        <v>690853.5</v>
      </c>
      <c r="R23" s="95">
        <f t="shared" si="5"/>
        <v>10739.076443793809</v>
      </c>
      <c r="S23" s="96">
        <f t="shared" si="6"/>
        <v>46.633952540417653</v>
      </c>
      <c r="T23" s="97">
        <f t="shared" si="0"/>
        <v>53.366047459582347</v>
      </c>
      <c r="U23" s="98" t="str">
        <f t="shared" si="1"/>
        <v>BAJO</v>
      </c>
    </row>
    <row r="24" spans="2:21" ht="93.5" thickBot="1">
      <c r="B24" s="108">
        <v>15</v>
      </c>
      <c r="C24" s="125" t="s">
        <v>104</v>
      </c>
      <c r="D24" s="129" t="s">
        <v>131</v>
      </c>
      <c r="E24" s="129">
        <v>30</v>
      </c>
      <c r="F24" s="113">
        <v>84000</v>
      </c>
      <c r="G24" s="114">
        <v>39750</v>
      </c>
      <c r="H24" s="114">
        <f>1.19*32040</f>
        <v>38127.599999999999</v>
      </c>
      <c r="I24" s="114">
        <v>36134.45378151261</v>
      </c>
      <c r="J24" s="107"/>
      <c r="K24" s="107"/>
      <c r="L24" s="107"/>
      <c r="M24" s="131">
        <v>36563</v>
      </c>
      <c r="N24" s="131">
        <v>36563</v>
      </c>
      <c r="O24" s="92">
        <f t="shared" si="2"/>
        <v>6</v>
      </c>
      <c r="P24" s="93">
        <f t="shared" si="3"/>
        <v>45189.68</v>
      </c>
      <c r="Q24" s="94">
        <f t="shared" si="4"/>
        <v>1355690.4</v>
      </c>
      <c r="R24" s="95">
        <f t="shared" si="5"/>
        <v>19957.96690018244</v>
      </c>
      <c r="S24" s="96">
        <f t="shared" si="6"/>
        <v>44.164877689291984</v>
      </c>
      <c r="T24" s="97">
        <f t="shared" si="0"/>
        <v>55.835122310708016</v>
      </c>
      <c r="U24" s="98" t="str">
        <f t="shared" si="1"/>
        <v>BAJO</v>
      </c>
    </row>
    <row r="25" spans="2:21" ht="62.5" thickBot="1">
      <c r="B25" s="108">
        <v>16</v>
      </c>
      <c r="C25" s="125" t="s">
        <v>105</v>
      </c>
      <c r="D25" s="129" t="s">
        <v>131</v>
      </c>
      <c r="E25" s="129">
        <v>30</v>
      </c>
      <c r="F25" s="113">
        <v>99000</v>
      </c>
      <c r="G25" s="114">
        <v>15200</v>
      </c>
      <c r="H25" s="114">
        <f>1.19*11220</f>
        <v>13351.8</v>
      </c>
      <c r="I25" s="114">
        <v>18907.563025210085</v>
      </c>
      <c r="J25" s="107"/>
      <c r="K25" s="107"/>
      <c r="L25" s="107"/>
      <c r="M25" s="107">
        <v>24828</v>
      </c>
      <c r="N25" s="107">
        <v>24828</v>
      </c>
      <c r="O25" s="92">
        <f t="shared" si="2"/>
        <v>6</v>
      </c>
      <c r="P25" s="93">
        <f t="shared" si="3"/>
        <v>32685.89</v>
      </c>
      <c r="Q25" s="94">
        <f t="shared" si="4"/>
        <v>980576.7</v>
      </c>
      <c r="R25" s="95">
        <f t="shared" si="5"/>
        <v>36073.606169728591</v>
      </c>
      <c r="S25" s="96">
        <f t="shared" si="6"/>
        <v>110.36446053550506</v>
      </c>
      <c r="T25" s="97">
        <f t="shared" si="0"/>
        <v>-10.36446053550506</v>
      </c>
      <c r="U25" s="98" t="str">
        <f t="shared" si="1"/>
        <v>BAJO</v>
      </c>
    </row>
    <row r="26" spans="2:21" ht="78" thickBot="1">
      <c r="B26" s="108">
        <v>17</v>
      </c>
      <c r="C26" s="125" t="s">
        <v>106</v>
      </c>
      <c r="D26" s="129" t="s">
        <v>70</v>
      </c>
      <c r="E26" s="129">
        <v>100</v>
      </c>
      <c r="F26" s="113">
        <v>1000</v>
      </c>
      <c r="G26" s="114">
        <v>1820</v>
      </c>
      <c r="H26" s="114">
        <f>1.19*1513</f>
        <v>1800.47</v>
      </c>
      <c r="I26" s="114">
        <v>1575.6302521008404</v>
      </c>
      <c r="J26" s="107"/>
      <c r="K26" s="107"/>
      <c r="L26" s="107"/>
      <c r="M26" s="107">
        <v>2848</v>
      </c>
      <c r="N26" s="107">
        <v>2848</v>
      </c>
      <c r="O26" s="92">
        <f t="shared" si="2"/>
        <v>6</v>
      </c>
      <c r="P26" s="93">
        <f t="shared" si="3"/>
        <v>1982.02</v>
      </c>
      <c r="Q26" s="94">
        <f t="shared" si="4"/>
        <v>198202</v>
      </c>
      <c r="R26" s="95">
        <f t="shared" si="5"/>
        <v>331.2054984123647</v>
      </c>
      <c r="S26" s="96">
        <f t="shared" si="6"/>
        <v>16.71050233662449</v>
      </c>
      <c r="T26" s="97">
        <f t="shared" si="0"/>
        <v>83.289497663375514</v>
      </c>
      <c r="U26" s="98" t="str">
        <f t="shared" si="1"/>
        <v>ALTO</v>
      </c>
    </row>
    <row r="27" spans="2:21" ht="93.5" thickBot="1">
      <c r="B27" s="108">
        <v>18</v>
      </c>
      <c r="C27" s="125" t="s">
        <v>107</v>
      </c>
      <c r="D27" s="128" t="s">
        <v>132</v>
      </c>
      <c r="E27" s="128">
        <v>8</v>
      </c>
      <c r="F27" s="113">
        <v>800</v>
      </c>
      <c r="G27" s="114">
        <v>90500</v>
      </c>
      <c r="H27" s="114">
        <f>1.19*77520</f>
        <v>92248.8</v>
      </c>
      <c r="I27" s="114">
        <v>84033.613445378156</v>
      </c>
      <c r="J27" s="107">
        <v>1459</v>
      </c>
      <c r="K27" s="107"/>
      <c r="L27" s="107"/>
      <c r="M27" s="107"/>
      <c r="N27" s="107"/>
      <c r="O27" s="92">
        <f t="shared" si="2"/>
        <v>5</v>
      </c>
      <c r="P27" s="93">
        <f t="shared" si="3"/>
        <v>53808.28</v>
      </c>
      <c r="Q27" s="94">
        <f t="shared" si="4"/>
        <v>430466.24</v>
      </c>
      <c r="R27" s="95">
        <f t="shared" si="5"/>
        <v>43099.53953672792</v>
      </c>
      <c r="S27" s="96">
        <f t="shared" si="6"/>
        <v>80.098340881232261</v>
      </c>
      <c r="T27" s="97">
        <f t="shared" si="0"/>
        <v>19.901659118767739</v>
      </c>
      <c r="U27" s="98" t="str">
        <f t="shared" si="1"/>
        <v>BAJO</v>
      </c>
    </row>
    <row r="28" spans="2:21" ht="124.5" thickBot="1">
      <c r="B28" s="108">
        <v>19</v>
      </c>
      <c r="C28" s="125" t="s">
        <v>108</v>
      </c>
      <c r="D28" s="129" t="s">
        <v>70</v>
      </c>
      <c r="E28" s="129">
        <v>20</v>
      </c>
      <c r="F28" s="113">
        <v>92000</v>
      </c>
      <c r="G28" s="114"/>
      <c r="H28" s="114">
        <f>1.19*14880</f>
        <v>17707.2</v>
      </c>
      <c r="I28" s="114">
        <v>17226.89075630252</v>
      </c>
      <c r="J28" s="107"/>
      <c r="K28" s="107"/>
      <c r="L28" s="107"/>
      <c r="M28" s="107">
        <v>34771</v>
      </c>
      <c r="N28" s="107">
        <v>34771</v>
      </c>
      <c r="O28" s="92">
        <f t="shared" si="2"/>
        <v>5</v>
      </c>
      <c r="P28" s="93">
        <f t="shared" si="3"/>
        <v>39295.22</v>
      </c>
      <c r="Q28" s="94">
        <f t="shared" si="4"/>
        <v>785904.4</v>
      </c>
      <c r="R28" s="95">
        <f t="shared" si="5"/>
        <v>35135.718917710918</v>
      </c>
      <c r="S28" s="96">
        <f t="shared" si="6"/>
        <v>89.414740311190315</v>
      </c>
      <c r="T28" s="97">
        <f t="shared" si="0"/>
        <v>10.585259688809685</v>
      </c>
      <c r="U28" s="98" t="str">
        <f t="shared" si="1"/>
        <v>BAJO</v>
      </c>
    </row>
    <row r="29" spans="2:21" ht="62.5" thickBot="1">
      <c r="B29" s="108">
        <v>20</v>
      </c>
      <c r="C29" s="125" t="s">
        <v>109</v>
      </c>
      <c r="D29" s="129" t="s">
        <v>131</v>
      </c>
      <c r="E29" s="129">
        <v>200</v>
      </c>
      <c r="F29" s="113">
        <v>21000</v>
      </c>
      <c r="G29" s="114">
        <v>6950</v>
      </c>
      <c r="H29" s="114">
        <f>1.19*5426</f>
        <v>6456.94</v>
      </c>
      <c r="I29" s="114">
        <v>5630.2521008403364</v>
      </c>
      <c r="J29" s="107"/>
      <c r="K29" s="107"/>
      <c r="L29" s="107">
        <v>5000</v>
      </c>
      <c r="M29" s="107">
        <v>10785</v>
      </c>
      <c r="N29" s="107">
        <v>10785</v>
      </c>
      <c r="O29" s="92">
        <f t="shared" si="2"/>
        <v>7</v>
      </c>
      <c r="P29" s="93">
        <f t="shared" si="3"/>
        <v>9515.31</v>
      </c>
      <c r="Q29" s="94">
        <f t="shared" si="4"/>
        <v>1903062</v>
      </c>
      <c r="R29" s="95">
        <f t="shared" si="5"/>
        <v>6033.6486211415713</v>
      </c>
      <c r="S29" s="96">
        <f t="shared" si="6"/>
        <v>63.409900687855384</v>
      </c>
      <c r="T29" s="97">
        <f t="shared" si="0"/>
        <v>36.590099312144616</v>
      </c>
      <c r="U29" s="98" t="str">
        <f t="shared" si="1"/>
        <v>BAJO</v>
      </c>
    </row>
    <row r="30" spans="2:21" ht="78" thickBot="1">
      <c r="B30" s="108">
        <v>21</v>
      </c>
      <c r="C30" s="125" t="s">
        <v>110</v>
      </c>
      <c r="D30" s="129" t="s">
        <v>131</v>
      </c>
      <c r="E30" s="129">
        <v>150</v>
      </c>
      <c r="F30" s="113">
        <v>19000</v>
      </c>
      <c r="G30" s="114">
        <v>7250</v>
      </c>
      <c r="H30" s="114">
        <f>1.19*8561</f>
        <v>10187.59</v>
      </c>
      <c r="I30" s="114">
        <v>8907.5630252100837</v>
      </c>
      <c r="J30" s="107"/>
      <c r="K30" s="107">
        <v>13454</v>
      </c>
      <c r="L30" s="107"/>
      <c r="M30" s="107">
        <v>18231</v>
      </c>
      <c r="N30" s="107">
        <v>18231</v>
      </c>
      <c r="O30" s="92">
        <f t="shared" si="2"/>
        <v>7</v>
      </c>
      <c r="P30" s="93">
        <f t="shared" si="3"/>
        <v>13608.74</v>
      </c>
      <c r="Q30" s="94">
        <f t="shared" si="4"/>
        <v>2041311</v>
      </c>
      <c r="R30" s="95">
        <f t="shared" si="5"/>
        <v>4152.9797919030534</v>
      </c>
      <c r="S30" s="96">
        <f t="shared" si="6"/>
        <v>30.51700445377789</v>
      </c>
      <c r="T30" s="97">
        <f t="shared" si="0"/>
        <v>69.482995546222114</v>
      </c>
      <c r="U30" s="98" t="str">
        <f t="shared" si="1"/>
        <v>BAJO</v>
      </c>
    </row>
    <row r="31" spans="2:21" ht="155.5" thickBot="1">
      <c r="B31" s="108">
        <v>22</v>
      </c>
      <c r="C31" s="125" t="s">
        <v>111</v>
      </c>
      <c r="D31" s="129" t="s">
        <v>131</v>
      </c>
      <c r="E31" s="129">
        <v>108</v>
      </c>
      <c r="F31" s="113">
        <v>32000</v>
      </c>
      <c r="G31" s="114">
        <v>18020</v>
      </c>
      <c r="H31" s="114">
        <v>19117</v>
      </c>
      <c r="I31" s="114">
        <v>18907.563025210085</v>
      </c>
      <c r="J31" s="107"/>
      <c r="K31" s="107"/>
      <c r="L31" s="107">
        <v>62500</v>
      </c>
      <c r="M31" s="107">
        <v>20583</v>
      </c>
      <c r="N31" s="107">
        <v>20583</v>
      </c>
      <c r="O31" s="92">
        <f t="shared" si="2"/>
        <v>7</v>
      </c>
      <c r="P31" s="93">
        <f t="shared" si="3"/>
        <v>27387.22</v>
      </c>
      <c r="Q31" s="94">
        <f t="shared" si="4"/>
        <v>2957819.76</v>
      </c>
      <c r="R31" s="95">
        <f t="shared" si="5"/>
        <v>17001.134887189161</v>
      </c>
      <c r="S31" s="96">
        <f t="shared" si="6"/>
        <v>62.076891656725877</v>
      </c>
      <c r="T31" s="97">
        <f t="shared" si="0"/>
        <v>37.923108343274123</v>
      </c>
      <c r="U31" s="98" t="str">
        <f t="shared" si="1"/>
        <v>BAJO</v>
      </c>
    </row>
    <row r="32" spans="2:21" ht="130.5" customHeight="1" thickBot="1">
      <c r="B32" s="108">
        <v>23</v>
      </c>
      <c r="C32" s="125" t="s">
        <v>112</v>
      </c>
      <c r="D32" s="129" t="s">
        <v>133</v>
      </c>
      <c r="E32" s="129">
        <v>300</v>
      </c>
      <c r="F32" s="113">
        <v>15000</v>
      </c>
      <c r="G32" s="114">
        <v>4600</v>
      </c>
      <c r="H32" s="114">
        <f>1.19*5084</f>
        <v>6049.96</v>
      </c>
      <c r="I32" s="114">
        <v>5147.0588235294117</v>
      </c>
      <c r="J32" s="107">
        <v>7027</v>
      </c>
      <c r="K32" s="107">
        <v>12144</v>
      </c>
      <c r="L32" s="107"/>
      <c r="M32" s="107">
        <v>7949</v>
      </c>
      <c r="N32" s="107">
        <v>7949</v>
      </c>
      <c r="O32" s="92">
        <f t="shared" si="2"/>
        <v>8</v>
      </c>
      <c r="P32" s="93">
        <f t="shared" si="3"/>
        <v>8233.25</v>
      </c>
      <c r="Q32" s="94">
        <f t="shared" si="4"/>
        <v>2469975</v>
      </c>
      <c r="R32" s="95">
        <f t="shared" si="5"/>
        <v>3872.4642888326948</v>
      </c>
      <c r="S32" s="96">
        <f t="shared" si="6"/>
        <v>47.03445527383105</v>
      </c>
      <c r="T32" s="97">
        <f t="shared" si="0"/>
        <v>52.96554472616895</v>
      </c>
      <c r="U32" s="98" t="str">
        <f t="shared" si="1"/>
        <v>BAJO</v>
      </c>
    </row>
    <row r="33" spans="2:21" ht="93.5" thickBot="1">
      <c r="B33" s="108">
        <v>24</v>
      </c>
      <c r="C33" s="125" t="s">
        <v>113</v>
      </c>
      <c r="D33" s="129" t="s">
        <v>133</v>
      </c>
      <c r="E33" s="129">
        <v>500</v>
      </c>
      <c r="F33" s="113">
        <v>32000</v>
      </c>
      <c r="G33" s="114">
        <v>1000</v>
      </c>
      <c r="H33" s="114">
        <f>1.19*1920</f>
        <v>2284.7999999999997</v>
      </c>
      <c r="I33" s="114">
        <v>2000</v>
      </c>
      <c r="J33" s="107"/>
      <c r="K33" s="107"/>
      <c r="L33" s="107"/>
      <c r="M33" s="107">
        <v>32315</v>
      </c>
      <c r="N33" s="107">
        <v>32315</v>
      </c>
      <c r="O33" s="92">
        <f t="shared" si="2"/>
        <v>6</v>
      </c>
      <c r="P33" s="93">
        <f t="shared" si="3"/>
        <v>16985.8</v>
      </c>
      <c r="Q33" s="94">
        <f t="shared" si="4"/>
        <v>8492900</v>
      </c>
      <c r="R33" s="95">
        <f t="shared" si="5"/>
        <v>13102.301642078006</v>
      </c>
      <c r="S33" s="96">
        <f t="shared" si="6"/>
        <v>77.136794511168191</v>
      </c>
      <c r="T33" s="97">
        <f t="shared" si="0"/>
        <v>22.863205488831809</v>
      </c>
      <c r="U33" s="98" t="str">
        <f t="shared" si="1"/>
        <v>BAJO</v>
      </c>
    </row>
    <row r="34" spans="2:21" ht="62.5" thickBot="1">
      <c r="B34" s="108">
        <v>25</v>
      </c>
      <c r="C34" s="125" t="s">
        <v>114</v>
      </c>
      <c r="D34" s="129" t="s">
        <v>131</v>
      </c>
      <c r="E34" s="129">
        <v>10</v>
      </c>
      <c r="F34" s="113">
        <v>31000</v>
      </c>
      <c r="G34" s="114">
        <v>22228</v>
      </c>
      <c r="H34" s="114">
        <f>1.19*12753</f>
        <v>15176.07</v>
      </c>
      <c r="I34" s="114">
        <v>11764.705882352942</v>
      </c>
      <c r="J34" s="107"/>
      <c r="K34" s="107"/>
      <c r="L34" s="107"/>
      <c r="M34" s="107">
        <v>30299</v>
      </c>
      <c r="N34" s="107">
        <v>30299</v>
      </c>
      <c r="O34" s="92">
        <f t="shared" si="2"/>
        <v>6</v>
      </c>
      <c r="P34" s="93">
        <f t="shared" si="3"/>
        <v>23461.13</v>
      </c>
      <c r="Q34" s="94">
        <f t="shared" si="4"/>
        <v>234611.3</v>
      </c>
      <c r="R34" s="95">
        <f t="shared" si="5"/>
        <v>7366.2614758851087</v>
      </c>
      <c r="S34" s="96">
        <f t="shared" si="6"/>
        <v>31.397726690424154</v>
      </c>
      <c r="T34" s="97">
        <f t="shared" si="0"/>
        <v>68.60227330957585</v>
      </c>
      <c r="U34" s="98" t="str">
        <f t="shared" si="1"/>
        <v>BAJO</v>
      </c>
    </row>
    <row r="35" spans="2:21" ht="78" thickBot="1">
      <c r="B35" s="108">
        <v>26</v>
      </c>
      <c r="C35" s="125" t="s">
        <v>115</v>
      </c>
      <c r="D35" s="128" t="s">
        <v>133</v>
      </c>
      <c r="E35" s="128">
        <v>300</v>
      </c>
      <c r="F35" s="113">
        <v>11000</v>
      </c>
      <c r="G35" s="114"/>
      <c r="H35" s="114">
        <f>1.19*4637</f>
        <v>5518.03</v>
      </c>
      <c r="I35" s="114">
        <v>5042.0168067226896</v>
      </c>
      <c r="J35" s="107"/>
      <c r="K35" s="107">
        <v>2370</v>
      </c>
      <c r="L35" s="107"/>
      <c r="M35" s="107"/>
      <c r="N35" s="107"/>
      <c r="O35" s="92">
        <f t="shared" si="2"/>
        <v>4</v>
      </c>
      <c r="P35" s="93">
        <f t="shared" si="3"/>
        <v>5982.51</v>
      </c>
      <c r="Q35" s="94">
        <f t="shared" si="4"/>
        <v>1794753</v>
      </c>
      <c r="R35" s="95">
        <f t="shared" si="5"/>
        <v>3135.5104655059508</v>
      </c>
      <c r="S35" s="96">
        <f t="shared" si="6"/>
        <v>52.411286659043618</v>
      </c>
      <c r="T35" s="97">
        <f t="shared" si="0"/>
        <v>47.588713340956382</v>
      </c>
      <c r="U35" s="98" t="str">
        <f t="shared" si="1"/>
        <v>BAJO</v>
      </c>
    </row>
    <row r="36" spans="2:21" ht="93.5" thickBot="1">
      <c r="B36" s="108">
        <v>27</v>
      </c>
      <c r="C36" s="125" t="s">
        <v>116</v>
      </c>
      <c r="D36" s="128" t="s">
        <v>70</v>
      </c>
      <c r="E36" s="128">
        <v>5</v>
      </c>
      <c r="F36" s="113">
        <v>30000</v>
      </c>
      <c r="G36" s="114">
        <v>18700</v>
      </c>
      <c r="H36" s="114">
        <f>1.19*14847</f>
        <v>17667.93</v>
      </c>
      <c r="I36" s="114">
        <v>8403.361344537816</v>
      </c>
      <c r="J36" s="107"/>
      <c r="K36" s="107"/>
      <c r="L36" s="107"/>
      <c r="M36" s="107">
        <v>29735</v>
      </c>
      <c r="N36" s="107">
        <v>29735</v>
      </c>
      <c r="O36" s="92">
        <f t="shared" si="2"/>
        <v>6</v>
      </c>
      <c r="P36" s="93">
        <f t="shared" si="3"/>
        <v>22373.55</v>
      </c>
      <c r="Q36" s="94">
        <f t="shared" si="4"/>
        <v>111867.75</v>
      </c>
      <c r="R36" s="95">
        <f t="shared" si="5"/>
        <v>7661.196545568675</v>
      </c>
      <c r="S36" s="96">
        <f t="shared" si="6"/>
        <v>34.24220360903243</v>
      </c>
      <c r="T36" s="97">
        <f t="shared" si="0"/>
        <v>65.75779639096757</v>
      </c>
      <c r="U36" s="98" t="str">
        <f t="shared" si="1"/>
        <v>BAJO</v>
      </c>
    </row>
    <row r="37" spans="2:21" ht="107.25" customHeight="1" thickBot="1">
      <c r="B37" s="108">
        <v>28</v>
      </c>
      <c r="C37" s="125" t="s">
        <v>117</v>
      </c>
      <c r="D37" s="128" t="s">
        <v>70</v>
      </c>
      <c r="E37" s="128">
        <v>10</v>
      </c>
      <c r="F37" s="113">
        <v>73000</v>
      </c>
      <c r="G37" s="114">
        <v>86666</v>
      </c>
      <c r="H37" s="114">
        <f>1.19*92974</f>
        <v>110639.06</v>
      </c>
      <c r="I37" s="114">
        <v>58823.529411764706</v>
      </c>
      <c r="J37" s="107"/>
      <c r="K37" s="107"/>
      <c r="L37" s="107"/>
      <c r="M37" s="107"/>
      <c r="N37" s="107"/>
      <c r="O37" s="92">
        <f t="shared" si="2"/>
        <v>4</v>
      </c>
      <c r="P37" s="93">
        <f t="shared" si="3"/>
        <v>82282.149999999994</v>
      </c>
      <c r="Q37" s="94">
        <f t="shared" si="4"/>
        <v>822821.5</v>
      </c>
      <c r="R37" s="95">
        <f t="shared" si="5"/>
        <v>19103.64935094766</v>
      </c>
      <c r="S37" s="96">
        <f t="shared" si="6"/>
        <v>23.217246208257393</v>
      </c>
      <c r="T37" s="97">
        <f t="shared" si="0"/>
        <v>76.782753791742607</v>
      </c>
      <c r="U37" s="98" t="str">
        <f t="shared" si="1"/>
        <v>ALTO</v>
      </c>
    </row>
    <row r="38" spans="2:21" ht="158.25" customHeight="1" thickBot="1">
      <c r="B38" s="108">
        <v>29</v>
      </c>
      <c r="C38" s="125" t="s">
        <v>118</v>
      </c>
      <c r="D38" s="129" t="s">
        <v>70</v>
      </c>
      <c r="E38" s="129">
        <v>30</v>
      </c>
      <c r="F38" s="113">
        <v>13000</v>
      </c>
      <c r="G38" s="114">
        <v>19500</v>
      </c>
      <c r="H38" s="114">
        <f>1.19*17780</f>
        <v>21158.2</v>
      </c>
      <c r="I38" s="114">
        <v>25210.084033613446</v>
      </c>
      <c r="J38" s="107">
        <v>22382</v>
      </c>
      <c r="K38" s="107"/>
      <c r="L38" s="107"/>
      <c r="M38" s="107">
        <v>27518</v>
      </c>
      <c r="N38" s="107">
        <v>27518</v>
      </c>
      <c r="O38" s="92">
        <f t="shared" si="2"/>
        <v>7</v>
      </c>
      <c r="P38" s="93">
        <f t="shared" si="3"/>
        <v>22326.61</v>
      </c>
      <c r="Q38" s="94">
        <f t="shared" si="4"/>
        <v>669798.30000000005</v>
      </c>
      <c r="R38" s="95">
        <f t="shared" si="5"/>
        <v>4076.7066326723234</v>
      </c>
      <c r="S38" s="96">
        <f t="shared" si="6"/>
        <v>18.259407194698717</v>
      </c>
      <c r="T38" s="97">
        <f t="shared" si="0"/>
        <v>81.740592805301276</v>
      </c>
      <c r="U38" s="98" t="str">
        <f t="shared" si="1"/>
        <v>ALTO</v>
      </c>
    </row>
    <row r="39" spans="2:21" ht="197.25" customHeight="1" thickBot="1">
      <c r="B39" s="108">
        <v>30</v>
      </c>
      <c r="C39" s="125" t="s">
        <v>119</v>
      </c>
      <c r="D39" s="128" t="s">
        <v>70</v>
      </c>
      <c r="E39" s="128">
        <v>2</v>
      </c>
      <c r="F39" s="113">
        <v>35000</v>
      </c>
      <c r="G39" s="114">
        <v>34760</v>
      </c>
      <c r="H39" s="114">
        <f>1.19*99160</f>
        <v>118000.4</v>
      </c>
      <c r="I39" s="114">
        <v>126050.42016806723</v>
      </c>
      <c r="J39" s="107"/>
      <c r="K39" s="107"/>
      <c r="L39" s="107"/>
      <c r="M39" s="107"/>
      <c r="N39" s="107"/>
      <c r="O39" s="92">
        <f t="shared" si="2"/>
        <v>4</v>
      </c>
      <c r="P39" s="93">
        <f t="shared" si="3"/>
        <v>78452.710000000006</v>
      </c>
      <c r="Q39" s="94">
        <f t="shared" si="4"/>
        <v>156905.42000000001</v>
      </c>
      <c r="R39" s="95">
        <f t="shared" si="5"/>
        <v>43665.640700290678</v>
      </c>
      <c r="S39" s="96">
        <f t="shared" si="6"/>
        <v>55.658549845238838</v>
      </c>
      <c r="T39" s="97">
        <f t="shared" si="0"/>
        <v>44.341450154761162</v>
      </c>
      <c r="U39" s="98" t="str">
        <f t="shared" si="1"/>
        <v>BAJO</v>
      </c>
    </row>
    <row r="40" spans="2:21" ht="124.5" thickBot="1">
      <c r="B40" s="108">
        <v>31</v>
      </c>
      <c r="C40" s="125" t="s">
        <v>120</v>
      </c>
      <c r="D40" s="128" t="s">
        <v>131</v>
      </c>
      <c r="E40" s="128">
        <v>2</v>
      </c>
      <c r="F40" s="113">
        <v>121000</v>
      </c>
      <c r="G40" s="114"/>
      <c r="H40" s="114">
        <f>1.19*84405</f>
        <v>100441.95</v>
      </c>
      <c r="I40" s="114">
        <v>57142.857142857145</v>
      </c>
      <c r="J40" s="107"/>
      <c r="K40" s="107"/>
      <c r="L40" s="107"/>
      <c r="M40" s="107"/>
      <c r="N40" s="107"/>
      <c r="O40" s="92">
        <f t="shared" si="2"/>
        <v>3</v>
      </c>
      <c r="P40" s="93">
        <f t="shared" si="3"/>
        <v>92861.6</v>
      </c>
      <c r="Q40" s="94">
        <f t="shared" si="4"/>
        <v>185723.2</v>
      </c>
      <c r="R40" s="95">
        <f t="shared" si="5"/>
        <v>26614.907176099434</v>
      </c>
      <c r="S40" s="96">
        <f t="shared" si="6"/>
        <v>28.66083200817069</v>
      </c>
      <c r="T40" s="97">
        <f t="shared" si="0"/>
        <v>71.339167991829314</v>
      </c>
      <c r="U40" s="98" t="str">
        <f t="shared" si="1"/>
        <v>ALTO</v>
      </c>
    </row>
    <row r="41" spans="2:21" ht="78" thickBot="1">
      <c r="B41" s="108">
        <v>32</v>
      </c>
      <c r="C41" s="125" t="s">
        <v>121</v>
      </c>
      <c r="D41" s="129" t="s">
        <v>70</v>
      </c>
      <c r="E41" s="129">
        <v>80</v>
      </c>
      <c r="F41" s="113">
        <v>55000</v>
      </c>
      <c r="G41" s="114"/>
      <c r="H41" s="114">
        <f>1.19*8203</f>
        <v>9761.57</v>
      </c>
      <c r="I41" s="114">
        <v>10819.327731092437</v>
      </c>
      <c r="J41" s="107"/>
      <c r="K41" s="107">
        <v>12968</v>
      </c>
      <c r="L41" s="107"/>
      <c r="M41" s="107">
        <v>21926</v>
      </c>
      <c r="N41" s="107">
        <v>21926</v>
      </c>
      <c r="O41" s="92">
        <f t="shared" si="2"/>
        <v>6</v>
      </c>
      <c r="P41" s="93">
        <f t="shared" si="3"/>
        <v>22066.82</v>
      </c>
      <c r="Q41" s="94">
        <f t="shared" si="4"/>
        <v>1765345.6</v>
      </c>
      <c r="R41" s="95">
        <f t="shared" si="5"/>
        <v>19008.47378848325</v>
      </c>
      <c r="S41" s="96">
        <f t="shared" si="6"/>
        <v>86.140521327872577</v>
      </c>
      <c r="T41" s="97">
        <f t="shared" si="0"/>
        <v>13.859478672127423</v>
      </c>
      <c r="U41" s="98" t="str">
        <f t="shared" si="1"/>
        <v>BAJO</v>
      </c>
    </row>
    <row r="42" spans="2:21" ht="93.5" thickBot="1">
      <c r="B42" s="108">
        <v>33</v>
      </c>
      <c r="C42" s="125" t="s">
        <v>122</v>
      </c>
      <c r="D42" s="129" t="s">
        <v>134</v>
      </c>
      <c r="E42" s="129">
        <v>150</v>
      </c>
      <c r="F42" s="113">
        <v>72000</v>
      </c>
      <c r="G42" s="114">
        <v>36450</v>
      </c>
      <c r="H42" s="114">
        <f>1.19*32560</f>
        <v>38746.400000000001</v>
      </c>
      <c r="I42" s="114">
        <v>30420.168067226892</v>
      </c>
      <c r="J42" s="107"/>
      <c r="K42" s="107">
        <v>44310</v>
      </c>
      <c r="L42" s="107"/>
      <c r="M42" s="107">
        <v>45649</v>
      </c>
      <c r="N42" s="107">
        <v>45649</v>
      </c>
      <c r="O42" s="92">
        <f t="shared" si="2"/>
        <v>7</v>
      </c>
      <c r="P42" s="93">
        <f t="shared" si="3"/>
        <v>44746.37</v>
      </c>
      <c r="Q42" s="94">
        <f t="shared" si="4"/>
        <v>6711955.5</v>
      </c>
      <c r="R42" s="95">
        <f t="shared" si="5"/>
        <v>14507.711159096276</v>
      </c>
      <c r="S42" s="96">
        <f t="shared" si="6"/>
        <v>32.422096270817669</v>
      </c>
      <c r="T42" s="97">
        <f t="shared" si="0"/>
        <v>67.577903729182339</v>
      </c>
      <c r="U42" s="98" t="str">
        <f t="shared" si="1"/>
        <v>BAJO</v>
      </c>
    </row>
    <row r="43" spans="2:21" ht="140" thickBot="1">
      <c r="B43" s="108">
        <v>34</v>
      </c>
      <c r="C43" s="125" t="s">
        <v>123</v>
      </c>
      <c r="D43" s="128" t="s">
        <v>70</v>
      </c>
      <c r="E43" s="128">
        <v>5</v>
      </c>
      <c r="F43" s="113"/>
      <c r="G43" s="114">
        <v>503000</v>
      </c>
      <c r="H43" s="114">
        <f>1.19*28875</f>
        <v>34361.25</v>
      </c>
      <c r="I43" s="114">
        <v>9138.6554621848736</v>
      </c>
      <c r="J43" s="107"/>
      <c r="K43" s="107"/>
      <c r="L43" s="107"/>
      <c r="M43" s="107">
        <v>65757</v>
      </c>
      <c r="N43" s="107">
        <v>65757</v>
      </c>
      <c r="O43" s="92">
        <f t="shared" si="2"/>
        <v>5</v>
      </c>
      <c r="P43" s="93">
        <f t="shared" si="3"/>
        <v>135602.78</v>
      </c>
      <c r="Q43" s="94">
        <f t="shared" si="4"/>
        <v>678013.9</v>
      </c>
      <c r="R43" s="95">
        <f t="shared" si="5"/>
        <v>227097.01424366343</v>
      </c>
      <c r="S43" s="96">
        <f t="shared" ref="S43:S50" si="7">R43/P43*100</f>
        <v>167.47224079304527</v>
      </c>
      <c r="T43" s="97">
        <f t="shared" ref="T43:T47" si="8">100-S43</f>
        <v>-67.472240793045273</v>
      </c>
      <c r="U43" s="98" t="str">
        <f t="shared" ref="U43:U47" si="9">IF(T43&gt;70,"ALTO","BAJO")</f>
        <v>BAJO</v>
      </c>
    </row>
    <row r="44" spans="2:21" ht="93" customHeight="1" thickBot="1">
      <c r="B44" s="108">
        <v>35</v>
      </c>
      <c r="C44" s="125" t="s">
        <v>124</v>
      </c>
      <c r="D44" s="129" t="s">
        <v>70</v>
      </c>
      <c r="E44" s="129">
        <v>10</v>
      </c>
      <c r="F44" s="113">
        <v>144000</v>
      </c>
      <c r="G44" s="114"/>
      <c r="H44" s="114"/>
      <c r="I44" s="114">
        <v>4201.680672268908</v>
      </c>
      <c r="J44" s="107"/>
      <c r="K44" s="107"/>
      <c r="L44" s="107"/>
      <c r="M44" s="107">
        <v>25780</v>
      </c>
      <c r="N44" s="107">
        <v>25780</v>
      </c>
      <c r="O44" s="92">
        <f t="shared" si="2"/>
        <v>4</v>
      </c>
      <c r="P44" s="93">
        <f t="shared" si="3"/>
        <v>49940.42</v>
      </c>
      <c r="Q44" s="94">
        <f t="shared" si="4"/>
        <v>499404.2</v>
      </c>
      <c r="R44" s="95">
        <f t="shared" si="5"/>
        <v>69899.159663865546</v>
      </c>
      <c r="S44" s="96">
        <f t="shared" si="7"/>
        <v>139.96510174296802</v>
      </c>
      <c r="T44" s="97">
        <f t="shared" si="8"/>
        <v>-39.965101742968017</v>
      </c>
      <c r="U44" s="98" t="str">
        <f t="shared" si="9"/>
        <v>BAJO</v>
      </c>
    </row>
    <row r="45" spans="2:21" ht="124.5" thickBot="1">
      <c r="B45" s="108">
        <v>36</v>
      </c>
      <c r="C45" s="125" t="s">
        <v>125</v>
      </c>
      <c r="D45" s="129" t="s">
        <v>135</v>
      </c>
      <c r="E45" s="129">
        <v>4</v>
      </c>
      <c r="F45" s="113">
        <v>1200000</v>
      </c>
      <c r="G45" s="114"/>
      <c r="H45" s="114">
        <f>1.19*261500</f>
        <v>311185</v>
      </c>
      <c r="I45" s="114">
        <v>605042.01680672274</v>
      </c>
      <c r="J45" s="107"/>
      <c r="K45" s="107"/>
      <c r="L45" s="107"/>
      <c r="M45" s="107"/>
      <c r="N45" s="107"/>
      <c r="O45" s="92">
        <f t="shared" si="2"/>
        <v>3</v>
      </c>
      <c r="P45" s="93">
        <f t="shared" si="3"/>
        <v>705409.01</v>
      </c>
      <c r="Q45" s="94">
        <f t="shared" si="4"/>
        <v>2821636.04</v>
      </c>
      <c r="R45" s="95">
        <f t="shared" si="5"/>
        <v>369732.49373581778</v>
      </c>
      <c r="S45" s="96">
        <f t="shared" si="7"/>
        <v>52.413917102620758</v>
      </c>
      <c r="T45" s="97">
        <f t="shared" si="8"/>
        <v>47.586082897379242</v>
      </c>
      <c r="U45" s="98" t="str">
        <f t="shared" si="9"/>
        <v>BAJO</v>
      </c>
    </row>
    <row r="46" spans="2:21" ht="31.5" thickBot="1">
      <c r="B46" s="108">
        <v>37</v>
      </c>
      <c r="C46" s="125" t="s">
        <v>126</v>
      </c>
      <c r="D46" s="129" t="s">
        <v>70</v>
      </c>
      <c r="E46" s="129">
        <v>10</v>
      </c>
      <c r="F46" s="113">
        <v>250000</v>
      </c>
      <c r="G46" s="114"/>
      <c r="H46" s="114">
        <f>1.19*250000</f>
        <v>297500</v>
      </c>
      <c r="I46" s="114">
        <v>290000</v>
      </c>
      <c r="J46" s="107">
        <v>391262</v>
      </c>
      <c r="K46" s="107">
        <v>335000</v>
      </c>
      <c r="L46" s="107"/>
      <c r="M46" s="107"/>
      <c r="N46" s="107"/>
      <c r="O46" s="92">
        <f t="shared" si="2"/>
        <v>5</v>
      </c>
      <c r="P46" s="93">
        <f t="shared" si="3"/>
        <v>312752.40000000002</v>
      </c>
      <c r="Q46" s="94">
        <f t="shared" si="4"/>
        <v>3127524</v>
      </c>
      <c r="R46" s="95">
        <f t="shared" si="5"/>
        <v>47637.976689191994</v>
      </c>
      <c r="S46" s="96">
        <f t="shared" si="7"/>
        <v>15.231850079868927</v>
      </c>
      <c r="T46" s="97">
        <f t="shared" si="8"/>
        <v>84.768149920131066</v>
      </c>
      <c r="U46" s="98" t="str">
        <f t="shared" si="9"/>
        <v>ALTO</v>
      </c>
    </row>
    <row r="47" spans="2:21" ht="47" thickBot="1">
      <c r="B47" s="108">
        <v>38</v>
      </c>
      <c r="C47" s="125" t="s">
        <v>127</v>
      </c>
      <c r="D47" s="129" t="s">
        <v>136</v>
      </c>
      <c r="E47" s="129">
        <v>20</v>
      </c>
      <c r="F47" s="113">
        <v>45000</v>
      </c>
      <c r="G47" s="114"/>
      <c r="H47" s="114">
        <f>1.19*40336</f>
        <v>47999.839999999997</v>
      </c>
      <c r="I47" s="114">
        <v>95000</v>
      </c>
      <c r="J47" s="107"/>
      <c r="K47" s="107"/>
      <c r="L47" s="107"/>
      <c r="M47" s="107"/>
      <c r="N47" s="107"/>
      <c r="O47" s="92">
        <f t="shared" si="2"/>
        <v>3</v>
      </c>
      <c r="P47" s="93">
        <f t="shared" si="3"/>
        <v>62666.61</v>
      </c>
      <c r="Q47" s="94">
        <f t="shared" si="4"/>
        <v>1253332.2</v>
      </c>
      <c r="R47" s="95">
        <f t="shared" si="5"/>
        <v>22895.933845824147</v>
      </c>
      <c r="S47" s="96">
        <f t="shared" si="7"/>
        <v>36.536097685552399</v>
      </c>
      <c r="T47" s="97">
        <f t="shared" si="8"/>
        <v>63.463902314447601</v>
      </c>
      <c r="U47" s="98" t="str">
        <f t="shared" si="9"/>
        <v>BAJO</v>
      </c>
    </row>
    <row r="48" spans="2:21" ht="35.25" customHeight="1" thickBot="1">
      <c r="B48" s="108">
        <v>39</v>
      </c>
      <c r="C48" s="125" t="s">
        <v>128</v>
      </c>
      <c r="D48" s="129" t="s">
        <v>70</v>
      </c>
      <c r="E48" s="129">
        <v>50</v>
      </c>
      <c r="F48" s="113">
        <v>8000</v>
      </c>
      <c r="G48" s="114"/>
      <c r="H48" s="114">
        <f>1.19*3850</f>
        <v>4581.5</v>
      </c>
      <c r="I48" s="114">
        <v>4621.8487394957983</v>
      </c>
      <c r="J48" s="107"/>
      <c r="K48" s="107"/>
      <c r="L48" s="107"/>
      <c r="M48" s="107"/>
      <c r="N48" s="107"/>
      <c r="O48" s="92"/>
      <c r="P48" s="93"/>
      <c r="Q48" s="94"/>
      <c r="R48" s="95"/>
      <c r="S48" s="96"/>
      <c r="T48" s="97"/>
      <c r="U48" s="98"/>
    </row>
    <row r="49" spans="2:29" ht="62.5" thickBot="1">
      <c r="B49" s="108">
        <v>40</v>
      </c>
      <c r="C49" s="125" t="s">
        <v>129</v>
      </c>
      <c r="D49" s="129" t="s">
        <v>137</v>
      </c>
      <c r="E49" s="129">
        <v>400</v>
      </c>
      <c r="F49" s="113">
        <v>28000</v>
      </c>
      <c r="G49" s="114"/>
      <c r="H49" s="114">
        <f>1.19*4400</f>
        <v>5236</v>
      </c>
      <c r="I49" s="114">
        <v>17350</v>
      </c>
      <c r="J49" s="107"/>
      <c r="K49" s="107"/>
      <c r="L49" s="107"/>
      <c r="M49" s="107"/>
      <c r="N49" s="107"/>
      <c r="O49" s="92"/>
      <c r="P49" s="93"/>
      <c r="Q49" s="94"/>
      <c r="R49" s="95"/>
      <c r="S49" s="96"/>
      <c r="T49" s="97"/>
      <c r="U49" s="98"/>
    </row>
    <row r="50" spans="2:29" ht="31.5" thickBot="1">
      <c r="B50" s="108">
        <v>41</v>
      </c>
      <c r="C50" s="126" t="s">
        <v>130</v>
      </c>
      <c r="D50" s="130" t="s">
        <v>138</v>
      </c>
      <c r="E50" s="130">
        <v>80</v>
      </c>
      <c r="F50" s="113">
        <v>34000</v>
      </c>
      <c r="G50" s="114">
        <v>2465330</v>
      </c>
      <c r="H50" s="114">
        <f>1.19*6257</f>
        <v>7445.83</v>
      </c>
      <c r="I50" s="114">
        <v>28000</v>
      </c>
      <c r="J50" s="107">
        <v>8749</v>
      </c>
      <c r="K50" s="107"/>
      <c r="L50" s="107"/>
      <c r="M50" s="107"/>
      <c r="N50" s="107"/>
      <c r="O50" s="92">
        <f>COUNT(F50:M50)</f>
        <v>5</v>
      </c>
      <c r="P50" s="93">
        <f>ROUND(AVERAGE(F50:M50),2)</f>
        <v>508704.97</v>
      </c>
      <c r="Q50" s="94">
        <f>ROUND(+P50*E50,2)</f>
        <v>40696397.600000001</v>
      </c>
      <c r="R50" s="95">
        <f>STDEVP(F50:I50)</f>
        <v>1057541.4084323533</v>
      </c>
      <c r="S50" s="96">
        <f t="shared" si="7"/>
        <v>207.88894758239795</v>
      </c>
      <c r="T50" s="97">
        <f t="shared" ref="T50" si="10">100-S50</f>
        <v>-107.88894758239795</v>
      </c>
      <c r="U50" s="98" t="str">
        <f t="shared" ref="U50" si="11">IF(T50&gt;70,"ALTO","BAJO")</f>
        <v>BAJO</v>
      </c>
      <c r="V50" s="47"/>
    </row>
    <row r="51" spans="2:29">
      <c r="B51" s="80"/>
      <c r="C51" s="82"/>
      <c r="D51" s="81"/>
      <c r="E51" s="81"/>
      <c r="F51" s="86"/>
      <c r="G51" s="86"/>
      <c r="H51" s="86"/>
      <c r="I51" s="86"/>
      <c r="J51" s="107"/>
      <c r="K51" s="107"/>
      <c r="L51" s="107"/>
      <c r="M51" s="107"/>
      <c r="N51" s="107"/>
      <c r="O51" s="247" t="s">
        <v>73</v>
      </c>
      <c r="P51" s="248"/>
      <c r="Q51" s="71">
        <f>SUM(Q10:Q50)</f>
        <v>129315032.48000002</v>
      </c>
      <c r="R51" s="61"/>
      <c r="S51" s="62"/>
      <c r="T51" s="63"/>
      <c r="U51" s="64"/>
    </row>
    <row r="52" spans="2:29" s="42" customFormat="1" ht="9.75" customHeight="1" thickBot="1">
      <c r="B52" s="49"/>
      <c r="C52" s="50"/>
      <c r="D52" s="51"/>
      <c r="E52" s="83"/>
      <c r="F52" s="70"/>
      <c r="G52" s="54"/>
      <c r="H52" s="54"/>
      <c r="I52" s="54"/>
      <c r="J52" s="53"/>
      <c r="K52" s="53"/>
      <c r="L52" s="53"/>
      <c r="M52" s="69"/>
      <c r="N52" s="69"/>
      <c r="O52" s="49"/>
      <c r="P52" s="55"/>
      <c r="Q52" s="56"/>
      <c r="R52" s="57"/>
      <c r="S52" s="58"/>
      <c r="T52" s="59"/>
      <c r="U52" s="60"/>
    </row>
    <row r="53" spans="2:29" s="87" customFormat="1" ht="39" customHeight="1">
      <c r="B53" s="249" t="s">
        <v>81</v>
      </c>
      <c r="C53" s="249"/>
      <c r="D53" s="249"/>
      <c r="E53" s="249"/>
      <c r="F53" s="249"/>
      <c r="G53" s="249"/>
      <c r="H53" s="249"/>
      <c r="I53" s="249"/>
      <c r="J53" s="249"/>
      <c r="K53" s="249"/>
      <c r="L53" s="249"/>
      <c r="M53" s="249"/>
      <c r="N53" s="249"/>
      <c r="O53" s="249"/>
      <c r="P53" s="249"/>
      <c r="Q53" s="249"/>
      <c r="R53" s="249"/>
      <c r="S53" s="249"/>
      <c r="T53" s="249"/>
      <c r="U53" s="249"/>
      <c r="V53" s="91"/>
      <c r="W53" s="91"/>
      <c r="X53" s="91"/>
      <c r="Y53" s="91"/>
      <c r="AB53" s="88"/>
      <c r="AC53" s="88"/>
    </row>
    <row r="54" spans="2:29" s="87" customFormat="1" ht="19.5" customHeight="1">
      <c r="B54" s="250" t="s">
        <v>83</v>
      </c>
      <c r="C54" s="250"/>
      <c r="D54" s="250"/>
      <c r="E54" s="250"/>
      <c r="F54" s="250"/>
      <c r="G54" s="250"/>
      <c r="H54" s="250"/>
      <c r="I54" s="250"/>
      <c r="J54" s="111"/>
      <c r="K54" s="111"/>
      <c r="L54" s="111"/>
      <c r="M54" s="111"/>
      <c r="N54" s="111"/>
      <c r="O54" s="111"/>
      <c r="P54" s="111"/>
      <c r="Q54" s="111"/>
      <c r="R54" s="111"/>
      <c r="S54" s="111"/>
      <c r="T54" s="111"/>
      <c r="U54" s="111"/>
      <c r="V54" s="111"/>
      <c r="W54" s="111"/>
      <c r="X54" s="111"/>
      <c r="Y54" s="111"/>
      <c r="AB54" s="88"/>
      <c r="AC54" s="88"/>
    </row>
    <row r="55" spans="2:29" s="87" customFormat="1" ht="15.5">
      <c r="B55" s="77" t="s">
        <v>86</v>
      </c>
      <c r="E55" s="89"/>
      <c r="J55" s="90"/>
      <c r="K55" s="90"/>
      <c r="L55" s="90"/>
      <c r="M55" s="90"/>
      <c r="N55" s="90"/>
      <c r="O55" s="90"/>
      <c r="P55" s="90"/>
      <c r="AB55" s="88"/>
      <c r="AC55" s="88"/>
    </row>
    <row r="56" spans="2:29" s="42" customFormat="1">
      <c r="B56" s="48"/>
      <c r="C56" s="43"/>
      <c r="D56" s="48"/>
      <c r="E56" s="48"/>
      <c r="F56" s="45"/>
      <c r="G56" s="45"/>
      <c r="H56" s="45"/>
      <c r="I56" s="45"/>
      <c r="J56" s="48"/>
      <c r="K56" s="48"/>
      <c r="L56" s="48"/>
      <c r="M56" s="48"/>
      <c r="N56" s="48"/>
      <c r="O56" s="48"/>
      <c r="P56" s="48"/>
      <c r="Q56" s="48"/>
      <c r="R56" s="48"/>
      <c r="S56" s="48"/>
      <c r="T56" s="48"/>
      <c r="U56" s="48"/>
    </row>
    <row r="57" spans="2:29" s="42" customFormat="1">
      <c r="B57" s="48"/>
      <c r="C57" s="43"/>
      <c r="D57" s="48"/>
      <c r="E57" s="48"/>
      <c r="F57" s="45"/>
      <c r="G57" s="45"/>
      <c r="H57" s="45"/>
      <c r="I57" s="45"/>
      <c r="J57" s="48"/>
      <c r="K57" s="48"/>
      <c r="L57" s="48"/>
      <c r="M57" s="48"/>
      <c r="N57" s="48"/>
      <c r="O57" s="48"/>
      <c r="P57" s="48"/>
      <c r="Q57" s="48"/>
      <c r="R57" s="48"/>
      <c r="S57" s="48"/>
      <c r="T57" s="48"/>
      <c r="U57" s="48"/>
    </row>
    <row r="58" spans="2:29" s="100" customFormat="1" ht="28.5">
      <c r="C58" s="101"/>
      <c r="F58" s="105"/>
      <c r="G58" s="105">
        <f>1137500*1.19</f>
        <v>1353625</v>
      </c>
      <c r="H58" s="105"/>
      <c r="I58" s="103"/>
    </row>
    <row r="59" spans="2:29" s="100" customFormat="1" ht="28.5">
      <c r="C59" s="101"/>
      <c r="F59" s="104"/>
      <c r="G59" s="103"/>
      <c r="H59" s="103"/>
      <c r="I59" s="103"/>
    </row>
    <row r="60" spans="2:29" s="100" customFormat="1" ht="28.5">
      <c r="C60" s="101"/>
      <c r="F60" s="102"/>
      <c r="G60" s="103"/>
      <c r="H60" s="103"/>
      <c r="I60" s="103"/>
    </row>
    <row r="61" spans="2:29" s="42" customFormat="1">
      <c r="B61" s="48"/>
      <c r="C61" s="43"/>
      <c r="D61" s="48"/>
      <c r="E61" s="48"/>
      <c r="F61" s="99"/>
      <c r="G61" s="45"/>
      <c r="H61" s="45"/>
      <c r="I61" s="45"/>
      <c r="J61" s="48">
        <v>493660571</v>
      </c>
      <c r="K61" s="48"/>
      <c r="L61" s="48"/>
      <c r="M61" s="48"/>
      <c r="N61" s="48"/>
      <c r="O61" s="48"/>
      <c r="P61" s="48"/>
      <c r="Q61" s="48"/>
      <c r="R61" s="48"/>
      <c r="S61" s="48"/>
      <c r="T61" s="48"/>
      <c r="U61" s="48"/>
    </row>
    <row r="62" spans="2:29" s="42" customFormat="1">
      <c r="B62" s="48"/>
      <c r="C62" s="43"/>
      <c r="D62" s="48"/>
      <c r="E62" s="48"/>
      <c r="F62" s="99"/>
      <c r="G62" s="45"/>
      <c r="H62" s="45"/>
      <c r="I62" s="45"/>
      <c r="J62" s="112">
        <f>SUM(F10:F50)</f>
        <v>3279800</v>
      </c>
      <c r="K62" s="112"/>
      <c r="L62" s="112"/>
      <c r="M62" s="48"/>
      <c r="N62" s="48"/>
      <c r="O62" s="48"/>
      <c r="P62" s="48"/>
      <c r="Q62" s="48"/>
      <c r="R62" s="48"/>
      <c r="S62" s="48"/>
      <c r="T62" s="48"/>
      <c r="U62" s="48"/>
    </row>
    <row r="63" spans="2:29" s="42" customFormat="1" ht="21.5" thickBot="1">
      <c r="B63" s="48"/>
      <c r="C63" s="43"/>
      <c r="D63" s="48"/>
      <c r="E63" s="48"/>
      <c r="F63" s="99"/>
      <c r="G63" s="45"/>
      <c r="H63" s="45"/>
      <c r="I63" s="45"/>
      <c r="J63" s="112">
        <f>J61-J62</f>
        <v>490380771</v>
      </c>
      <c r="K63" s="112"/>
      <c r="L63" s="112"/>
      <c r="M63" s="48"/>
      <c r="N63" s="48"/>
      <c r="O63" s="48"/>
      <c r="P63" s="48"/>
      <c r="Q63" s="48"/>
      <c r="R63" s="48"/>
      <c r="S63" s="48"/>
      <c r="T63" s="48"/>
      <c r="U63" s="48"/>
    </row>
    <row r="64" spans="2:29" s="42" customFormat="1" ht="36" customHeight="1" thickBot="1">
      <c r="B64" s="48"/>
      <c r="C64" s="43"/>
      <c r="D64" s="48"/>
      <c r="E64" s="48"/>
      <c r="F64" s="46"/>
      <c r="G64" s="44">
        <v>26950000</v>
      </c>
      <c r="H64" s="44"/>
      <c r="I64" s="44"/>
      <c r="J64" s="48"/>
      <c r="K64" s="48"/>
      <c r="L64" s="48"/>
      <c r="M64" s="48"/>
      <c r="N64" s="48"/>
      <c r="O64" s="48"/>
      <c r="P64" s="48"/>
      <c r="Q64" s="48"/>
      <c r="R64" s="48"/>
      <c r="S64" s="48"/>
      <c r="T64" s="48"/>
      <c r="U64" s="48"/>
    </row>
    <row r="65" spans="3:36" ht="33.75" customHeight="1">
      <c r="C65" s="52"/>
      <c r="F65" s="46"/>
    </row>
    <row r="66" spans="3:36">
      <c r="C66" s="65" t="s">
        <v>71</v>
      </c>
      <c r="D66" s="65"/>
      <c r="E66" s="66" t="s">
        <v>72</v>
      </c>
      <c r="F66" s="67"/>
    </row>
    <row r="67" spans="3:36">
      <c r="C67" s="65">
        <v>2002</v>
      </c>
      <c r="D67" s="65"/>
      <c r="E67" s="68">
        <v>6.99</v>
      </c>
      <c r="F67" s="67">
        <v>1.0699000000000001</v>
      </c>
      <c r="T67" s="10"/>
    </row>
    <row r="68" spans="3:36" ht="14.5">
      <c r="C68" s="65">
        <v>2003</v>
      </c>
      <c r="D68" s="65"/>
      <c r="E68" s="68">
        <v>6.49</v>
      </c>
      <c r="F68" s="67">
        <v>1.0649</v>
      </c>
      <c r="G68" s="78">
        <f>29999000/1.19</f>
        <v>25209243.697478991</v>
      </c>
      <c r="H68" s="78"/>
      <c r="I68" s="78"/>
      <c r="P68" s="117"/>
      <c r="Q68" s="117"/>
      <c r="R68" s="118"/>
      <c r="T68" s="119"/>
      <c r="U68" s="119"/>
      <c r="V68" s="119"/>
      <c r="W68" s="119"/>
      <c r="X68" s="119"/>
      <c r="Y68" s="119"/>
      <c r="Z68" s="119"/>
      <c r="AA68" s="119"/>
      <c r="AB68" s="119"/>
    </row>
    <row r="69" spans="3:36" ht="14.5">
      <c r="C69" s="65">
        <v>2004</v>
      </c>
      <c r="D69" s="65"/>
      <c r="E69" s="68">
        <v>5.5</v>
      </c>
      <c r="F69" s="67">
        <v>1.0549999999999999</v>
      </c>
      <c r="G69" s="48" t="s">
        <v>80</v>
      </c>
      <c r="P69" s="120"/>
      <c r="Q69" s="120"/>
      <c r="R69" s="121"/>
      <c r="T69" s="240"/>
      <c r="U69" s="239"/>
      <c r="V69" s="240"/>
      <c r="W69" s="122"/>
      <c r="X69" s="240"/>
      <c r="Y69" s="242"/>
      <c r="Z69" s="240"/>
      <c r="AA69" s="240"/>
      <c r="AB69" s="241"/>
    </row>
    <row r="70" spans="3:36" ht="14.5">
      <c r="C70" s="65">
        <v>2005</v>
      </c>
      <c r="D70" s="65"/>
      <c r="E70" s="68">
        <v>4.8499999999999996</v>
      </c>
      <c r="F70" s="67">
        <v>1.0485</v>
      </c>
      <c r="G70" s="79" t="s">
        <v>80</v>
      </c>
      <c r="H70" s="79"/>
      <c r="I70" s="79"/>
      <c r="P70" s="120"/>
      <c r="Q70" s="120"/>
      <c r="R70" s="121"/>
      <c r="T70" s="240"/>
      <c r="U70" s="239"/>
      <c r="V70" s="240"/>
      <c r="W70" s="122"/>
      <c r="X70" s="240"/>
      <c r="Y70" s="240"/>
      <c r="Z70" s="240"/>
      <c r="AA70" s="240"/>
      <c r="AB70" s="241"/>
    </row>
    <row r="71" spans="3:36" ht="14.5">
      <c r="C71" s="65">
        <v>2006</v>
      </c>
      <c r="D71" s="65"/>
      <c r="E71" s="68">
        <v>4.4800000000000004</v>
      </c>
      <c r="F71" s="67">
        <v>1.0448</v>
      </c>
      <c r="P71" s="120"/>
      <c r="Q71" s="120"/>
      <c r="R71" s="121"/>
      <c r="T71" s="240"/>
      <c r="U71" s="239"/>
      <c r="V71" s="240"/>
      <c r="W71" s="122"/>
      <c r="X71" s="240"/>
      <c r="Y71" s="240"/>
      <c r="Z71" s="240"/>
      <c r="AA71" s="240"/>
      <c r="AB71" s="241"/>
      <c r="AF71" s="120"/>
      <c r="AG71" s="121"/>
    </row>
    <row r="72" spans="3:36" ht="14.5">
      <c r="C72" s="65">
        <v>2007</v>
      </c>
      <c r="D72" s="65"/>
      <c r="E72" s="68">
        <v>5.69</v>
      </c>
      <c r="F72" s="67">
        <v>1.0569</v>
      </c>
      <c r="P72" s="120"/>
      <c r="Q72" s="120"/>
      <c r="R72" s="121"/>
      <c r="T72" s="240"/>
      <c r="U72" s="239"/>
      <c r="V72" s="240"/>
      <c r="W72" s="122"/>
      <c r="X72" s="240"/>
      <c r="Y72" s="240"/>
      <c r="Z72" s="240"/>
      <c r="AA72" s="240"/>
      <c r="AB72" s="241"/>
      <c r="AF72" s="120"/>
      <c r="AG72" s="121"/>
      <c r="AI72" s="120"/>
      <c r="AJ72" s="121"/>
    </row>
    <row r="73" spans="3:36" ht="14.5">
      <c r="C73" s="65">
        <v>2008</v>
      </c>
      <c r="D73" s="65"/>
      <c r="E73" s="68">
        <v>7.67</v>
      </c>
      <c r="F73" s="67">
        <v>1.0767</v>
      </c>
      <c r="T73" s="239"/>
      <c r="U73" s="239"/>
      <c r="V73" s="240"/>
      <c r="W73" s="122"/>
      <c r="X73" s="240"/>
      <c r="Y73" s="242"/>
      <c r="Z73" s="240"/>
      <c r="AA73" s="240"/>
      <c r="AB73" s="241"/>
      <c r="AF73" s="120"/>
      <c r="AG73" s="121"/>
      <c r="AI73" s="120"/>
      <c r="AJ73" s="121"/>
    </row>
    <row r="74" spans="3:36" ht="14.5">
      <c r="C74" s="65">
        <v>2009</v>
      </c>
      <c r="D74" s="65"/>
      <c r="E74" s="68">
        <v>2</v>
      </c>
      <c r="F74" s="67">
        <v>1.02</v>
      </c>
      <c r="T74" s="239"/>
      <c r="U74" s="239"/>
      <c r="V74" s="240"/>
      <c r="W74" s="122"/>
      <c r="X74" s="240"/>
      <c r="Y74" s="240"/>
      <c r="Z74" s="240"/>
      <c r="AA74" s="240"/>
      <c r="AB74" s="241"/>
      <c r="AF74" s="120"/>
      <c r="AG74" s="121"/>
      <c r="AI74" s="120"/>
      <c r="AJ74" s="121"/>
    </row>
    <row r="75" spans="3:36" ht="14.5">
      <c r="C75" s="76">
        <v>2010</v>
      </c>
      <c r="D75" s="65"/>
      <c r="E75" s="68">
        <v>3.17</v>
      </c>
      <c r="F75" s="67">
        <v>1.0317000000000001</v>
      </c>
      <c r="R75" s="123"/>
      <c r="T75" s="239"/>
      <c r="U75" s="239"/>
      <c r="V75" s="240"/>
      <c r="W75" s="122"/>
      <c r="X75" s="240"/>
      <c r="Y75" s="240"/>
      <c r="Z75" s="240"/>
      <c r="AA75" s="240"/>
      <c r="AB75" s="241"/>
      <c r="AF75" s="240"/>
      <c r="AG75" s="242"/>
      <c r="AI75" s="240"/>
      <c r="AJ75" s="242"/>
    </row>
    <row r="76" spans="3:36" ht="14.5">
      <c r="C76" s="76">
        <v>2011</v>
      </c>
      <c r="D76" s="65"/>
      <c r="E76" s="68">
        <v>3.73</v>
      </c>
      <c r="F76" s="67">
        <v>1.0373000000000001</v>
      </c>
      <c r="T76" s="239"/>
      <c r="U76" s="239"/>
      <c r="V76" s="240"/>
      <c r="W76" s="122"/>
      <c r="X76" s="240"/>
      <c r="Y76" s="240"/>
      <c r="Z76" s="240"/>
      <c r="AA76" s="240"/>
      <c r="AB76" s="241"/>
      <c r="AF76" s="240"/>
      <c r="AG76" s="240"/>
      <c r="AI76" s="240"/>
      <c r="AJ76" s="240"/>
    </row>
    <row r="77" spans="3:36" ht="14.5">
      <c r="C77" s="76">
        <v>2012</v>
      </c>
      <c r="D77" s="65"/>
      <c r="E77" s="68">
        <v>2.44</v>
      </c>
      <c r="F77" s="67">
        <v>1.0244</v>
      </c>
      <c r="T77" s="239"/>
      <c r="U77" s="239"/>
      <c r="V77" s="240"/>
      <c r="W77" s="122"/>
      <c r="X77" s="240"/>
      <c r="Y77" s="240"/>
      <c r="Z77" s="240"/>
      <c r="AA77" s="240"/>
      <c r="AB77" s="241"/>
      <c r="AF77" s="240"/>
      <c r="AG77" s="240"/>
      <c r="AI77" s="240"/>
      <c r="AJ77" s="240"/>
    </row>
    <row r="78" spans="3:36">
      <c r="C78" s="67">
        <v>2013</v>
      </c>
      <c r="D78" s="41"/>
      <c r="E78" s="40">
        <v>1.94</v>
      </c>
      <c r="F78" s="67">
        <v>1.0194000000000001</v>
      </c>
      <c r="P78" s="42"/>
      <c r="T78" s="239"/>
      <c r="U78" s="239"/>
      <c r="V78" s="240"/>
      <c r="W78" s="122"/>
      <c r="X78" s="240"/>
      <c r="Y78" s="242"/>
      <c r="Z78" s="240"/>
      <c r="AA78" s="240"/>
      <c r="AB78" s="243"/>
      <c r="AF78" s="240"/>
      <c r="AG78" s="240"/>
      <c r="AI78" s="240"/>
      <c r="AJ78" s="240"/>
    </row>
    <row r="79" spans="3:36" ht="14.5">
      <c r="C79" s="67">
        <v>2014</v>
      </c>
      <c r="D79" s="40"/>
      <c r="E79" s="40">
        <v>3.66</v>
      </c>
      <c r="F79" s="67">
        <v>1.0366</v>
      </c>
      <c r="P79" s="117"/>
      <c r="Q79" s="117"/>
      <c r="R79" s="118"/>
      <c r="T79" s="239"/>
      <c r="U79" s="239"/>
      <c r="V79" s="240"/>
      <c r="W79" s="122"/>
      <c r="X79" s="240"/>
      <c r="Y79" s="240"/>
      <c r="Z79" s="240"/>
      <c r="AA79" s="240"/>
      <c r="AB79" s="243"/>
      <c r="AF79" s="239"/>
      <c r="AG79" s="242"/>
      <c r="AI79" s="239"/>
      <c r="AJ79" s="242"/>
    </row>
    <row r="80" spans="3:36" ht="14.5">
      <c r="C80" s="67">
        <v>2015</v>
      </c>
      <c r="D80" s="40"/>
      <c r="E80" s="40">
        <v>6.77</v>
      </c>
      <c r="F80" s="67">
        <v>1.0677000000000001</v>
      </c>
      <c r="P80" s="120"/>
      <c r="Q80" s="120"/>
      <c r="R80" s="121"/>
      <c r="T80" s="239"/>
      <c r="U80" s="239"/>
      <c r="V80" s="240"/>
      <c r="W80" s="122"/>
      <c r="X80" s="240"/>
      <c r="Y80" s="240"/>
      <c r="Z80" s="240"/>
      <c r="AA80" s="240"/>
      <c r="AB80" s="241"/>
      <c r="AF80" s="239"/>
      <c r="AG80" s="240"/>
      <c r="AI80" s="239"/>
      <c r="AJ80" s="240"/>
    </row>
    <row r="81" spans="3:36" ht="14.5">
      <c r="C81" s="67">
        <v>2016</v>
      </c>
      <c r="D81" s="40"/>
      <c r="E81" s="40">
        <v>5.75</v>
      </c>
      <c r="F81" s="67">
        <v>1.0575000000000001</v>
      </c>
      <c r="P81" s="120"/>
      <c r="Q81" s="120"/>
      <c r="R81" s="121"/>
      <c r="T81" s="239"/>
      <c r="U81" s="239"/>
      <c r="V81" s="240"/>
      <c r="W81" s="122"/>
      <c r="X81" s="240"/>
      <c r="Y81" s="240"/>
      <c r="Z81" s="240"/>
      <c r="AA81" s="240"/>
      <c r="AB81" s="241"/>
      <c r="AF81" s="239"/>
      <c r="AG81" s="240"/>
      <c r="AI81" s="239"/>
      <c r="AJ81" s="240"/>
    </row>
    <row r="82" spans="3:36" ht="14.5">
      <c r="C82" s="67">
        <v>2017</v>
      </c>
      <c r="D82" s="40"/>
      <c r="E82" s="40">
        <v>4.09</v>
      </c>
      <c r="F82" s="67">
        <v>1.0408999999999999</v>
      </c>
      <c r="P82" s="120"/>
      <c r="Q82" s="120"/>
      <c r="R82" s="121"/>
      <c r="T82" s="239"/>
      <c r="U82" s="239"/>
      <c r="V82" s="240"/>
      <c r="W82" s="122"/>
      <c r="X82" s="240"/>
      <c r="Y82" s="240"/>
      <c r="Z82" s="240"/>
      <c r="AA82" s="240"/>
      <c r="AB82" s="241"/>
      <c r="AF82" s="239"/>
      <c r="AG82" s="240"/>
      <c r="AI82" s="239"/>
      <c r="AJ82" s="240"/>
    </row>
    <row r="83" spans="3:36" ht="14.5">
      <c r="C83" s="67">
        <v>2018</v>
      </c>
      <c r="D83" s="40"/>
      <c r="E83" s="40">
        <v>3.18</v>
      </c>
      <c r="F83" s="67">
        <v>1.0318000000000001</v>
      </c>
      <c r="T83" s="239"/>
      <c r="U83" s="239"/>
      <c r="V83" s="240"/>
      <c r="W83" s="122"/>
      <c r="X83" s="240"/>
      <c r="Y83" s="240"/>
      <c r="Z83" s="240"/>
      <c r="AA83" s="240"/>
      <c r="AB83" s="241"/>
      <c r="AF83" s="239"/>
      <c r="AG83" s="240"/>
      <c r="AI83" s="239"/>
      <c r="AJ83" s="240"/>
    </row>
    <row r="84" spans="3:36" ht="14.5">
      <c r="C84" s="48">
        <v>2019</v>
      </c>
      <c r="E84" s="106">
        <v>3.7999999999999999E-2</v>
      </c>
      <c r="T84" s="239"/>
      <c r="U84" s="239"/>
      <c r="V84" s="240"/>
      <c r="W84" s="122"/>
      <c r="X84" s="240"/>
      <c r="Y84" s="240"/>
      <c r="Z84" s="240"/>
      <c r="AA84" s="240"/>
      <c r="AB84" s="241"/>
      <c r="AF84" s="239"/>
      <c r="AG84" s="242"/>
      <c r="AI84" s="239"/>
      <c r="AJ84" s="242"/>
    </row>
    <row r="85" spans="3:36" ht="14.5">
      <c r="C85" s="48">
        <v>2020</v>
      </c>
      <c r="E85" s="45" t="s">
        <v>87</v>
      </c>
      <c r="T85" s="239"/>
      <c r="U85" s="239"/>
      <c r="V85" s="240"/>
      <c r="W85" s="122"/>
      <c r="X85" s="240"/>
      <c r="Y85" s="240"/>
      <c r="Z85" s="240"/>
      <c r="AA85" s="240"/>
      <c r="AB85" s="241"/>
      <c r="AF85" s="239"/>
      <c r="AG85" s="240"/>
      <c r="AI85" s="239"/>
      <c r="AJ85" s="240"/>
    </row>
    <row r="86" spans="3:36" ht="22.5" customHeight="1">
      <c r="R86" s="123"/>
      <c r="T86" s="239"/>
      <c r="U86" s="239"/>
      <c r="V86" s="240"/>
      <c r="W86" s="122"/>
      <c r="X86" s="240"/>
      <c r="Y86" s="240"/>
      <c r="Z86" s="240"/>
      <c r="AA86" s="240"/>
      <c r="AB86" s="241"/>
      <c r="AF86" s="239"/>
      <c r="AG86" s="240"/>
      <c r="AI86" s="239"/>
      <c r="AJ86" s="240"/>
    </row>
    <row r="87" spans="3:36" ht="14.5">
      <c r="T87" s="239"/>
      <c r="U87" s="239"/>
      <c r="V87" s="240"/>
      <c r="W87" s="122"/>
      <c r="X87" s="240"/>
      <c r="Y87" s="240"/>
      <c r="Z87" s="240"/>
      <c r="AA87" s="240"/>
      <c r="AB87" s="241"/>
      <c r="AF87" s="239"/>
      <c r="AG87" s="240"/>
      <c r="AI87" s="239"/>
      <c r="AJ87" s="240"/>
    </row>
    <row r="88" spans="3:36">
      <c r="P88" s="42"/>
      <c r="T88" s="239"/>
      <c r="U88" s="239"/>
      <c r="V88" s="240"/>
      <c r="W88" s="122"/>
      <c r="X88" s="240"/>
      <c r="Y88" s="240"/>
      <c r="Z88" s="240"/>
      <c r="AA88" s="240"/>
      <c r="AB88" s="241"/>
      <c r="AF88" s="239"/>
      <c r="AG88" s="240"/>
      <c r="AI88" s="239"/>
      <c r="AJ88" s="240"/>
    </row>
    <row r="89" spans="3:36">
      <c r="P89" s="42"/>
      <c r="T89" s="239"/>
      <c r="U89" s="239"/>
      <c r="V89" s="240"/>
      <c r="W89" s="122"/>
      <c r="X89" s="240"/>
      <c r="Y89" s="240"/>
      <c r="Z89" s="240"/>
      <c r="AA89" s="240"/>
      <c r="AB89" s="241"/>
      <c r="AF89" s="239"/>
      <c r="AG89" s="240"/>
      <c r="AI89" s="239"/>
      <c r="AJ89" s="240"/>
    </row>
    <row r="90" spans="3:36">
      <c r="P90" s="42"/>
      <c r="V90" s="48"/>
      <c r="AF90" s="239"/>
      <c r="AG90" s="240"/>
      <c r="AI90" s="239"/>
      <c r="AJ90" s="240"/>
    </row>
    <row r="91" spans="3:36">
      <c r="P91" s="42"/>
      <c r="V91" s="48"/>
      <c r="AF91" s="239"/>
      <c r="AG91" s="240"/>
    </row>
    <row r="92" spans="3:36">
      <c r="P92" s="42"/>
      <c r="V92" s="48"/>
      <c r="AF92" s="239"/>
      <c r="AG92" s="240"/>
    </row>
    <row r="93" spans="3:36">
      <c r="P93" s="42"/>
      <c r="V93" s="48"/>
      <c r="AF93" s="239"/>
      <c r="AG93" s="240"/>
    </row>
    <row r="94" spans="3:36">
      <c r="X94" s="123"/>
      <c r="AF94" s="239"/>
      <c r="AG94" s="240"/>
    </row>
    <row r="95" spans="3:36">
      <c r="X95" s="124"/>
      <c r="AF95" s="239"/>
      <c r="AG95" s="240"/>
    </row>
  </sheetData>
  <mergeCells count="74">
    <mergeCell ref="AF91:AF95"/>
    <mergeCell ref="AG91:AG95"/>
    <mergeCell ref="AA85:AA89"/>
    <mergeCell ref="AB85:AB89"/>
    <mergeCell ref="AF86:AF90"/>
    <mergeCell ref="AG86:AG90"/>
    <mergeCell ref="AI86:AI90"/>
    <mergeCell ref="AJ86:AJ90"/>
    <mergeCell ref="AF84:AF85"/>
    <mergeCell ref="AG84:AG85"/>
    <mergeCell ref="AI84:AI85"/>
    <mergeCell ref="AJ84:AJ85"/>
    <mergeCell ref="T85:T89"/>
    <mergeCell ref="U85:U89"/>
    <mergeCell ref="V85:V89"/>
    <mergeCell ref="X85:X89"/>
    <mergeCell ref="Y85:Y89"/>
    <mergeCell ref="Z85:Z89"/>
    <mergeCell ref="AI79:AI83"/>
    <mergeCell ref="AJ79:AJ83"/>
    <mergeCell ref="T80:T84"/>
    <mergeCell ref="U80:U84"/>
    <mergeCell ref="V80:V84"/>
    <mergeCell ref="X80:X84"/>
    <mergeCell ref="Y80:Y84"/>
    <mergeCell ref="Z80:Z84"/>
    <mergeCell ref="AA80:AA84"/>
    <mergeCell ref="AB80:AB84"/>
    <mergeCell ref="T78:T79"/>
    <mergeCell ref="U78:U79"/>
    <mergeCell ref="V78:V79"/>
    <mergeCell ref="X78:X79"/>
    <mergeCell ref="Y78:Y79"/>
    <mergeCell ref="Z78:Z79"/>
    <mergeCell ref="AA73:AA77"/>
    <mergeCell ref="AB73:AB77"/>
    <mergeCell ref="AF75:AF78"/>
    <mergeCell ref="AG75:AG78"/>
    <mergeCell ref="Z73:Z77"/>
    <mergeCell ref="AI75:AI78"/>
    <mergeCell ref="AJ75:AJ78"/>
    <mergeCell ref="AA78:AA79"/>
    <mergeCell ref="AB78:AB79"/>
    <mergeCell ref="AF79:AF83"/>
    <mergeCell ref="AG79:AG83"/>
    <mergeCell ref="T73:T77"/>
    <mergeCell ref="U73:U77"/>
    <mergeCell ref="V73:V77"/>
    <mergeCell ref="X73:X77"/>
    <mergeCell ref="Y73:Y77"/>
    <mergeCell ref="AB69:AB72"/>
    <mergeCell ref="F9:I9"/>
    <mergeCell ref="O51:P51"/>
    <mergeCell ref="B53:U53"/>
    <mergeCell ref="B54:I54"/>
    <mergeCell ref="T69:T72"/>
    <mergeCell ref="U69:U72"/>
    <mergeCell ref="V69:V72"/>
    <mergeCell ref="X69:X72"/>
    <mergeCell ref="Y69:Y72"/>
    <mergeCell ref="Z69:Z72"/>
    <mergeCell ref="AA69:AA72"/>
    <mergeCell ref="J9:L9"/>
    <mergeCell ref="B6:E8"/>
    <mergeCell ref="F6:I7"/>
    <mergeCell ref="O6:U8"/>
    <mergeCell ref="B2:C4"/>
    <mergeCell ref="D2:U2"/>
    <mergeCell ref="D3:J3"/>
    <mergeCell ref="M3:U3"/>
    <mergeCell ref="D4:U4"/>
    <mergeCell ref="J6:L7"/>
    <mergeCell ref="M6:M7"/>
    <mergeCell ref="N6:N7"/>
  </mergeCells>
  <conditionalFormatting sqref="U10:U52">
    <cfRule type="cellIs" dxfId="0" priority="2" operator="equal">
      <formula>"BAJO"</formula>
    </cfRule>
  </conditionalFormatting>
  <dataValidations count="2">
    <dataValidation type="list" allowBlank="1" showInputMessage="1" showErrorMessage="1" sqref="E33" xr:uid="{00000000-0002-0000-0500-000000000000}">
      <formula1>$J$27:$J$28</formula1>
    </dataValidation>
    <dataValidation type="list" allowBlank="1" showInputMessage="1" showErrorMessage="1" sqref="E32 E35" xr:uid="{00000000-0002-0000-0500-000001000000}">
      <formula1>#REF!</formula1>
    </dataValidation>
  </dataValidations>
  <printOptions horizontalCentered="1" verticalCentered="1"/>
  <pageMargins left="0.59055118110236227" right="0.39370078740157483" top="0.39370078740157483" bottom="0.39370078740157483" header="0.31496062992125984" footer="0.59055118110236227"/>
  <pageSetup scale="31" orientation="landscape" r:id="rId1"/>
  <headerFooter>
    <oddFooter xml:space="preserve">&amp;L&amp;"Arial,Normal"&amp;9Calle 26 No. 57-41 Torre 8, Pisos 7 y 8 CEMSA – C.P. 111321
PBX. 3779555  - Información: Línea 195
&amp;U&amp;K0070C0www.umv.gov.co&amp;C&amp;"Arial,Normal"&amp;9GCON-FM-029
Página &amp;P de &amp;N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3:AN11"/>
  <sheetViews>
    <sheetView workbookViewId="0">
      <selection activeCell="R15" sqref="R15"/>
    </sheetView>
  </sheetViews>
  <sheetFormatPr baseColWidth="10" defaultColWidth="11.453125" defaultRowHeight="14.5"/>
  <cols>
    <col min="4" max="4" width="52.453125" bestFit="1" customWidth="1"/>
    <col min="6" max="6" width="18.453125" customWidth="1"/>
    <col min="11" max="11" width="18" customWidth="1"/>
    <col min="21" max="21" width="16.1796875" customWidth="1"/>
    <col min="38" max="38" width="15.453125" customWidth="1"/>
  </cols>
  <sheetData>
    <row r="3" spans="1:40" ht="15" thickBot="1"/>
    <row r="4" spans="1:40" s="10" customFormat="1" ht="63">
      <c r="A4" s="2" t="s">
        <v>4</v>
      </c>
      <c r="B4" s="2" t="s">
        <v>5</v>
      </c>
      <c r="C4" s="2" t="s">
        <v>6</v>
      </c>
      <c r="D4" s="2" t="s">
        <v>7</v>
      </c>
      <c r="E4" s="3" t="s">
        <v>8</v>
      </c>
      <c r="F4" s="4" t="s">
        <v>9</v>
      </c>
      <c r="G4" s="5" t="s">
        <v>10</v>
      </c>
      <c r="H4" s="5" t="s">
        <v>11</v>
      </c>
      <c r="I4" s="5" t="s">
        <v>12</v>
      </c>
      <c r="J4" s="5" t="s">
        <v>13</v>
      </c>
      <c r="K4" s="5" t="s">
        <v>14</v>
      </c>
      <c r="L4" s="5" t="s">
        <v>15</v>
      </c>
      <c r="M4" s="6" t="s">
        <v>16</v>
      </c>
      <c r="N4" s="5" t="s">
        <v>17</v>
      </c>
      <c r="O4" s="285" t="s">
        <v>18</v>
      </c>
      <c r="P4" s="286"/>
      <c r="Q4" s="286"/>
      <c r="R4" s="286"/>
      <c r="S4" s="286"/>
      <c r="T4" s="286"/>
      <c r="U4" s="286"/>
      <c r="V4" s="286"/>
      <c r="W4" s="286"/>
      <c r="X4" s="286"/>
      <c r="Y4" s="286"/>
      <c r="Z4" s="287"/>
      <c r="AA4" s="7"/>
      <c r="AB4" s="7"/>
      <c r="AC4" s="7"/>
      <c r="AD4" s="7"/>
      <c r="AE4" s="5" t="s">
        <v>19</v>
      </c>
      <c r="AF4" s="5" t="s">
        <v>3</v>
      </c>
      <c r="AG4" s="5" t="s">
        <v>20</v>
      </c>
      <c r="AH4" s="5" t="s">
        <v>21</v>
      </c>
      <c r="AI4" s="5" t="s">
        <v>22</v>
      </c>
      <c r="AJ4" s="5" t="s">
        <v>23</v>
      </c>
      <c r="AK4" s="5" t="s">
        <v>24</v>
      </c>
      <c r="AL4" s="8" t="s">
        <v>25</v>
      </c>
      <c r="AM4" s="9" t="s">
        <v>26</v>
      </c>
    </row>
    <row r="5" spans="1:40" s="10" customFormat="1" ht="10">
      <c r="A5" s="12">
        <v>2011</v>
      </c>
      <c r="B5" s="11">
        <v>340</v>
      </c>
      <c r="C5" s="11" t="s">
        <v>28</v>
      </c>
      <c r="D5" s="11" t="s">
        <v>29</v>
      </c>
      <c r="E5" s="13" t="s">
        <v>42</v>
      </c>
      <c r="F5" s="14">
        <v>40827</v>
      </c>
      <c r="G5" s="11" t="s">
        <v>44</v>
      </c>
      <c r="H5" s="11" t="s">
        <v>27</v>
      </c>
      <c r="I5" s="11" t="s">
        <v>30</v>
      </c>
      <c r="J5" s="11"/>
      <c r="K5" s="15">
        <v>7287250</v>
      </c>
      <c r="L5" s="11"/>
      <c r="M5" s="11" t="s">
        <v>31</v>
      </c>
      <c r="N5" s="11"/>
      <c r="O5" s="11" t="s">
        <v>32</v>
      </c>
      <c r="P5" s="11" t="s">
        <v>33</v>
      </c>
      <c r="Q5" s="11" t="s">
        <v>34</v>
      </c>
      <c r="R5" s="11" t="s">
        <v>35</v>
      </c>
      <c r="S5" s="11" t="s">
        <v>36</v>
      </c>
      <c r="T5" s="11" t="s">
        <v>37</v>
      </c>
      <c r="U5" s="11" t="s">
        <v>38</v>
      </c>
      <c r="V5" s="11" t="s">
        <v>39</v>
      </c>
      <c r="W5" s="11"/>
      <c r="X5" s="11"/>
      <c r="Y5" s="11"/>
      <c r="Z5" s="11"/>
      <c r="AA5" s="11"/>
      <c r="AB5" s="11"/>
      <c r="AC5" s="11"/>
      <c r="AD5" s="11"/>
      <c r="AE5" s="11" t="s">
        <v>37</v>
      </c>
      <c r="AF5" s="11" t="s">
        <v>40</v>
      </c>
      <c r="AG5" s="11"/>
      <c r="AH5" s="11"/>
      <c r="AI5" s="11"/>
      <c r="AJ5" s="11" t="s">
        <v>41</v>
      </c>
      <c r="AK5" s="11"/>
      <c r="AL5" s="16"/>
      <c r="AM5" s="17"/>
    </row>
    <row r="6" spans="1:40" s="10" customFormat="1" ht="17.5">
      <c r="A6" s="31"/>
      <c r="B6" s="23"/>
      <c r="C6" s="23"/>
      <c r="D6" s="23" t="s">
        <v>40</v>
      </c>
      <c r="E6" s="32"/>
      <c r="F6" s="22"/>
      <c r="G6" s="23"/>
      <c r="H6" s="23"/>
      <c r="I6" s="23" t="s">
        <v>43</v>
      </c>
      <c r="J6" s="23"/>
      <c r="K6" s="33">
        <f>2174138*1.16</f>
        <v>2522000.0799999996</v>
      </c>
      <c r="L6" s="23"/>
      <c r="M6" s="23"/>
      <c r="N6" s="23"/>
      <c r="O6" s="23">
        <v>900131147</v>
      </c>
      <c r="P6" s="34" t="s">
        <v>60</v>
      </c>
      <c r="Q6" s="35" t="s">
        <v>58</v>
      </c>
      <c r="R6" s="35" t="s">
        <v>61</v>
      </c>
      <c r="S6" s="35" t="s">
        <v>62</v>
      </c>
      <c r="T6" s="23" t="s">
        <v>40</v>
      </c>
      <c r="U6" s="35">
        <v>830131794</v>
      </c>
      <c r="V6" s="23" t="s">
        <v>63</v>
      </c>
      <c r="W6" s="23"/>
      <c r="X6" s="23"/>
      <c r="Y6" s="23"/>
      <c r="Z6" s="23"/>
      <c r="AA6" s="23"/>
      <c r="AB6" s="23"/>
      <c r="AC6" s="23"/>
      <c r="AD6" s="23"/>
      <c r="AE6" s="23"/>
      <c r="AF6" s="23"/>
      <c r="AG6" s="23"/>
      <c r="AH6" s="23"/>
      <c r="AI6" s="23"/>
      <c r="AJ6" s="23"/>
      <c r="AK6" s="23"/>
      <c r="AL6" s="25">
        <v>90</v>
      </c>
      <c r="AM6" s="10" t="s">
        <v>45</v>
      </c>
      <c r="AN6" s="10">
        <f>45225*1.16</f>
        <v>52461</v>
      </c>
    </row>
    <row r="7" spans="1:40" s="10" customFormat="1" ht="10">
      <c r="A7" s="31"/>
      <c r="B7" s="23"/>
      <c r="C7" s="23"/>
      <c r="D7" s="23"/>
      <c r="E7" s="32"/>
      <c r="F7" s="22"/>
      <c r="G7" s="23"/>
      <c r="H7" s="23"/>
      <c r="I7" s="23"/>
      <c r="J7" s="23"/>
      <c r="K7" s="3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5">
        <v>5</v>
      </c>
      <c r="AM7" s="10" t="s">
        <v>46</v>
      </c>
      <c r="AN7" s="10">
        <f>139000*1.16</f>
        <v>161240</v>
      </c>
    </row>
    <row r="8" spans="1:40" s="10" customFormat="1" ht="10.5" thickBot="1">
      <c r="A8" s="31"/>
      <c r="B8" s="23"/>
      <c r="C8" s="23"/>
      <c r="D8" s="18"/>
      <c r="E8" s="32"/>
      <c r="F8" s="22"/>
      <c r="G8" s="23"/>
      <c r="H8" s="23"/>
      <c r="I8" s="23"/>
      <c r="J8" s="23"/>
      <c r="K8" s="33"/>
      <c r="L8" s="23"/>
      <c r="M8" s="23"/>
      <c r="N8" s="23"/>
      <c r="O8" s="23"/>
      <c r="P8" s="23"/>
      <c r="Q8" s="38"/>
      <c r="R8" s="38"/>
      <c r="S8" s="38"/>
      <c r="T8" s="23"/>
      <c r="U8" s="23"/>
      <c r="V8" s="23"/>
      <c r="W8" s="23"/>
      <c r="X8" s="23"/>
      <c r="Y8" s="23"/>
      <c r="Z8" s="23"/>
      <c r="AA8" s="23"/>
      <c r="AB8" s="23"/>
      <c r="AC8" s="23"/>
      <c r="AD8" s="23"/>
      <c r="AE8" s="23"/>
      <c r="AF8" s="23"/>
      <c r="AG8" s="23"/>
      <c r="AH8" s="23"/>
      <c r="AI8" s="23"/>
      <c r="AJ8" s="23"/>
      <c r="AK8" s="23"/>
      <c r="AL8" s="25">
        <v>97</v>
      </c>
      <c r="AM8" s="10" t="s">
        <v>47</v>
      </c>
      <c r="AN8" s="10">
        <f>22414*1.16</f>
        <v>26000.239999999998</v>
      </c>
    </row>
    <row r="9" spans="1:40" s="10" customFormat="1" ht="10.5" thickBot="1">
      <c r="A9" s="19">
        <v>2012</v>
      </c>
      <c r="B9" s="20">
        <v>234</v>
      </c>
      <c r="C9" s="20" t="s">
        <v>28</v>
      </c>
      <c r="D9" s="23" t="s">
        <v>53</v>
      </c>
      <c r="E9" s="21" t="s">
        <v>42</v>
      </c>
      <c r="F9" s="22" t="s">
        <v>55</v>
      </c>
      <c r="G9" s="11" t="s">
        <v>54</v>
      </c>
      <c r="H9" s="23"/>
      <c r="I9" s="23" t="s">
        <v>48</v>
      </c>
      <c r="J9" s="23"/>
      <c r="K9" s="24">
        <v>8957520</v>
      </c>
      <c r="L9" s="23"/>
      <c r="M9" s="23" t="s">
        <v>56</v>
      </c>
      <c r="N9" s="23"/>
      <c r="O9" s="23" t="s">
        <v>49</v>
      </c>
      <c r="P9" s="36" t="s">
        <v>53</v>
      </c>
      <c r="Q9" s="10" t="s">
        <v>51</v>
      </c>
      <c r="T9" s="37"/>
      <c r="U9" s="23"/>
      <c r="V9" s="23"/>
      <c r="W9" s="23"/>
      <c r="X9" s="23"/>
      <c r="Y9" s="23"/>
      <c r="Z9" s="23"/>
      <c r="AA9" s="23"/>
      <c r="AB9" s="23"/>
      <c r="AC9" s="23"/>
      <c r="AD9" s="23"/>
      <c r="AE9" s="23" t="s">
        <v>53</v>
      </c>
      <c r="AF9" s="18" t="s">
        <v>52</v>
      </c>
      <c r="AG9" s="23"/>
      <c r="AH9" s="23"/>
      <c r="AI9" s="23"/>
      <c r="AJ9" s="11" t="s">
        <v>41</v>
      </c>
      <c r="AK9" s="23"/>
      <c r="AL9" s="25"/>
    </row>
    <row r="10" spans="1:40" s="10" customFormat="1" ht="16" thickBot="1">
      <c r="A10" s="26"/>
      <c r="B10" s="18"/>
      <c r="C10" s="27"/>
      <c r="D10" s="18"/>
      <c r="E10" s="30"/>
      <c r="F10" s="26"/>
      <c r="G10" s="18"/>
      <c r="H10" s="18"/>
      <c r="I10" s="18"/>
      <c r="J10" s="18"/>
      <c r="K10" s="18"/>
      <c r="L10" s="18"/>
      <c r="M10" s="18"/>
      <c r="N10" s="18"/>
      <c r="O10" s="18" t="s">
        <v>50</v>
      </c>
      <c r="P10" s="18" t="s">
        <v>52</v>
      </c>
      <c r="Q10" s="34" t="s">
        <v>59</v>
      </c>
      <c r="R10" s="39"/>
      <c r="S10" s="39"/>
      <c r="T10" s="18"/>
      <c r="U10" s="18"/>
      <c r="V10" s="18"/>
      <c r="W10" s="18"/>
      <c r="X10" s="18"/>
      <c r="Y10" s="18"/>
      <c r="Z10" s="18"/>
      <c r="AA10" s="18"/>
      <c r="AB10" s="18"/>
      <c r="AC10" s="18"/>
      <c r="AD10" s="18"/>
      <c r="AE10" s="18"/>
      <c r="AF10" s="18"/>
      <c r="AG10" s="18"/>
      <c r="AH10" s="18"/>
      <c r="AI10" s="18"/>
      <c r="AJ10" s="18"/>
      <c r="AK10" s="18"/>
      <c r="AL10" s="28">
        <v>550</v>
      </c>
      <c r="AM10" s="29" t="s">
        <v>57</v>
      </c>
      <c r="AN10" s="10">
        <f>14040*1.16</f>
        <v>16286.4</v>
      </c>
    </row>
    <row r="11" spans="1:40">
      <c r="AN11">
        <f>+AN10*AL10</f>
        <v>8957520</v>
      </c>
    </row>
  </sheetData>
  <mergeCells count="1">
    <mergeCell ref="O4:Z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INICIAL</vt:lpstr>
      <vt:lpstr>DEPURADO</vt:lpstr>
      <vt:lpstr>POE</vt:lpstr>
      <vt:lpstr>FM-029 Depurada 4Nov2020</vt:lpstr>
      <vt:lpstr>FM-029 Depurada16Oct2020</vt:lpstr>
      <vt:lpstr>FM-029 Depurada18Ago2020</vt:lpstr>
      <vt:lpstr>FM-029 Depurarada</vt:lpstr>
      <vt:lpstr>FM-029 Sin depurar</vt:lpstr>
      <vt:lpstr>MATRIZ UAERMV OTRAS VIGENCIAS</vt:lpstr>
      <vt:lpstr>DEPURADO!Área_de_impresión</vt:lpstr>
      <vt:lpstr>'FM-029 Depurada 4Nov2020'!Área_de_impresión</vt:lpstr>
      <vt:lpstr>'FM-029 Depurada16Oct2020'!Área_de_impresión</vt:lpstr>
      <vt:lpstr>'FM-029 Depurada18Ago2020'!Área_de_impresión</vt:lpstr>
      <vt:lpstr>'FM-029 Depurarada'!Área_de_impresión</vt:lpstr>
      <vt:lpstr>'FM-029 Sin depurar'!Área_de_impresión</vt:lpstr>
      <vt:lpstr>INICIAL!Área_de_impresión</vt:lpstr>
      <vt:lpstr>POE!Área_de_impresión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GELVEZ</dc:creator>
  <cp:lastModifiedBy>lina osorio</cp:lastModifiedBy>
  <cp:lastPrinted>2021-02-23T16:35:05Z</cp:lastPrinted>
  <dcterms:created xsi:type="dcterms:W3CDTF">2013-12-20T17:02:46Z</dcterms:created>
  <dcterms:modified xsi:type="dcterms:W3CDTF">2026-05-27T20:25:29Z</dcterms:modified>
</cp:coreProperties>
</file>