
<file path=[Content_Types].xml><?xml version="1.0" encoding="utf-8"?>
<Types xmlns="http://schemas.openxmlformats.org/package/2006/content-types">
  <Default Extension="tmp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SEC GOBIERNO-JURIDIC\Desktop\CONTRATO 2026\CONTRATO INTERADMINISTRATIVO\CI-018-2026  ACUEDUCTO  Y ALCANTARILLADO  SAN PEDRO\SECOP II\"/>
    </mc:Choice>
  </mc:AlternateContent>
  <bookViews>
    <workbookView xWindow="0" yWindow="0" windowWidth="24000" windowHeight="8730" tabRatio="720" activeTab="6"/>
  </bookViews>
  <sheets>
    <sheet name="PRESUPUESTO" sheetId="1" r:id="rId1"/>
    <sheet name="APU" sheetId="2" r:id="rId2"/>
    <sheet name="AU" sheetId="3" r:id="rId3"/>
    <sheet name="CRONOGRAMA" sheetId="4" r:id="rId4"/>
    <sheet name="MATERIALES Y EQUIPOS" sheetId="5" r:id="rId5"/>
    <sheet name="MANO DE OBRA" sheetId="6" r:id="rId6"/>
    <sheet name="INTERVENTORÍA" sheetId="7" r:id="rId7"/>
  </sheets>
  <definedNames>
    <definedName name="_xlnm.Print_Titles" localSheetId="0">PRESUPUESTO!$5:$5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G15" i="7" l="1"/>
  <c r="F19" i="7"/>
  <c r="G19" i="7"/>
  <c r="G20" i="7"/>
  <c r="G29" i="7"/>
  <c r="G26" i="7"/>
  <c r="G30" i="7"/>
  <c r="G31" i="7"/>
  <c r="F9" i="2"/>
  <c r="F10" i="2"/>
  <c r="C10" i="6"/>
  <c r="C11" i="6"/>
  <c r="C12" i="6"/>
  <c r="C13" i="6"/>
  <c r="C14" i="6"/>
  <c r="C15" i="6"/>
  <c r="C16" i="6"/>
  <c r="C17" i="6"/>
  <c r="C18" i="6"/>
  <c r="C19" i="6"/>
  <c r="C20" i="6"/>
  <c r="C21" i="6"/>
  <c r="C23" i="6"/>
  <c r="E12" i="2"/>
  <c r="F12" i="2"/>
  <c r="D10" i="6"/>
  <c r="D11" i="6"/>
  <c r="D12" i="6"/>
  <c r="D13" i="6"/>
  <c r="D14" i="6"/>
  <c r="D15" i="6"/>
  <c r="D16" i="6"/>
  <c r="D17" i="6"/>
  <c r="D18" i="6"/>
  <c r="D19" i="6"/>
  <c r="D20" i="6"/>
  <c r="D21" i="6"/>
  <c r="D23" i="6"/>
  <c r="E13" i="2"/>
  <c r="F13" i="2"/>
  <c r="F14" i="2"/>
  <c r="E16" i="2"/>
  <c r="F16" i="2"/>
  <c r="F17" i="2"/>
  <c r="F18" i="2"/>
  <c r="F19" i="2"/>
  <c r="E7" i="1"/>
  <c r="F7" i="1"/>
  <c r="F24" i="2"/>
  <c r="F25" i="2"/>
  <c r="E27" i="2"/>
  <c r="F27" i="2"/>
  <c r="E28" i="2"/>
  <c r="F28" i="2"/>
  <c r="F29" i="2"/>
  <c r="E31" i="2"/>
  <c r="F31" i="2"/>
  <c r="F32" i="2"/>
  <c r="F33" i="2"/>
  <c r="F34" i="2"/>
  <c r="E9" i="1"/>
  <c r="F9" i="1"/>
  <c r="F39" i="2"/>
  <c r="F40" i="2"/>
  <c r="E42" i="2"/>
  <c r="F42" i="2"/>
  <c r="E43" i="2"/>
  <c r="F43" i="2"/>
  <c r="F44" i="2"/>
  <c r="E46" i="2"/>
  <c r="F46" i="2"/>
  <c r="F47" i="2"/>
  <c r="F48" i="2"/>
  <c r="F49" i="2"/>
  <c r="E10" i="1"/>
  <c r="F10" i="1"/>
  <c r="F55" i="2"/>
  <c r="E57" i="2"/>
  <c r="F57" i="2"/>
  <c r="E58" i="2"/>
  <c r="F58" i="2"/>
  <c r="F59" i="2"/>
  <c r="E61" i="2"/>
  <c r="F61" i="2"/>
  <c r="F62" i="2"/>
  <c r="F63" i="2"/>
  <c r="F64" i="2"/>
  <c r="E12" i="1"/>
  <c r="F12" i="1"/>
  <c r="F70" i="2"/>
  <c r="E72" i="2"/>
  <c r="F72" i="2"/>
  <c r="E73" i="2"/>
  <c r="F73" i="2"/>
  <c r="F74" i="2"/>
  <c r="E76" i="2"/>
  <c r="F76" i="2"/>
  <c r="F77" i="2"/>
  <c r="F78" i="2"/>
  <c r="F79" i="2"/>
  <c r="E14" i="1"/>
  <c r="F14" i="1"/>
  <c r="F84" i="2"/>
  <c r="F85" i="2"/>
  <c r="E87" i="2"/>
  <c r="F87" i="2"/>
  <c r="E88" i="2"/>
  <c r="F88" i="2"/>
  <c r="F89" i="2"/>
  <c r="E91" i="2"/>
  <c r="F91" i="2"/>
  <c r="F92" i="2"/>
  <c r="F93" i="2"/>
  <c r="F94" i="2"/>
  <c r="E16" i="1"/>
  <c r="F16" i="1"/>
  <c r="F99" i="2"/>
  <c r="F100" i="2"/>
  <c r="E102" i="2"/>
  <c r="F102" i="2"/>
  <c r="E103" i="2"/>
  <c r="F103" i="2"/>
  <c r="F104" i="2"/>
  <c r="E106" i="2"/>
  <c r="F106" i="2"/>
  <c r="F107" i="2"/>
  <c r="F108" i="2"/>
  <c r="F109" i="2"/>
  <c r="E17" i="1"/>
  <c r="F17" i="1"/>
  <c r="F114" i="2"/>
  <c r="F115" i="2"/>
  <c r="F116" i="2"/>
  <c r="E118" i="2"/>
  <c r="F118" i="2"/>
  <c r="E119" i="2"/>
  <c r="F119" i="2"/>
  <c r="F120" i="2"/>
  <c r="E122" i="2"/>
  <c r="F122" i="2"/>
  <c r="F123" i="2"/>
  <c r="F124" i="2"/>
  <c r="E19" i="1"/>
  <c r="F19" i="1"/>
  <c r="F129" i="2"/>
  <c r="F130" i="2"/>
  <c r="E132" i="2"/>
  <c r="F132" i="2"/>
  <c r="E133" i="2"/>
  <c r="F133" i="2"/>
  <c r="F134" i="2"/>
  <c r="E136" i="2"/>
  <c r="F136" i="2"/>
  <c r="F137" i="2"/>
  <c r="F138" i="2"/>
  <c r="E20" i="1"/>
  <c r="F20" i="1"/>
  <c r="F143" i="2"/>
  <c r="F144" i="2"/>
  <c r="E146" i="2"/>
  <c r="F146" i="2"/>
  <c r="E147" i="2"/>
  <c r="F147" i="2"/>
  <c r="F148" i="2"/>
  <c r="E150" i="2"/>
  <c r="F150" i="2"/>
  <c r="F151" i="2"/>
  <c r="F152" i="2"/>
  <c r="E21" i="1"/>
  <c r="F21" i="1"/>
  <c r="F157" i="2"/>
  <c r="F158" i="2"/>
  <c r="E160" i="2"/>
  <c r="F160" i="2"/>
  <c r="E161" i="2"/>
  <c r="F161" i="2"/>
  <c r="F162" i="2"/>
  <c r="E164" i="2"/>
  <c r="F164" i="2"/>
  <c r="F165" i="2"/>
  <c r="F166" i="2"/>
  <c r="E22" i="1"/>
  <c r="F22" i="1"/>
  <c r="F171" i="2"/>
  <c r="F172" i="2"/>
  <c r="F173" i="2"/>
  <c r="F174" i="2"/>
  <c r="E176" i="2"/>
  <c r="F176" i="2"/>
  <c r="E177" i="2"/>
  <c r="F177" i="2"/>
  <c r="F178" i="2"/>
  <c r="E180" i="2"/>
  <c r="F180" i="2"/>
  <c r="F181" i="2"/>
  <c r="F182" i="2"/>
  <c r="E24" i="1"/>
  <c r="F24" i="1"/>
  <c r="F187" i="2"/>
  <c r="F188" i="2"/>
  <c r="F189" i="2"/>
  <c r="F190" i="2"/>
  <c r="E192" i="2"/>
  <c r="F192" i="2"/>
  <c r="E193" i="2"/>
  <c r="F193" i="2"/>
  <c r="F194" i="2"/>
  <c r="E196" i="2"/>
  <c r="F196" i="2"/>
  <c r="F197" i="2"/>
  <c r="F198" i="2"/>
  <c r="E25" i="1"/>
  <c r="F25" i="1"/>
  <c r="F204" i="2"/>
  <c r="E206" i="2"/>
  <c r="F206" i="2"/>
  <c r="E207" i="2"/>
  <c r="F207" i="2"/>
  <c r="F208" i="2"/>
  <c r="E210" i="2"/>
  <c r="F210" i="2"/>
  <c r="F211" i="2"/>
  <c r="F212" i="2"/>
  <c r="F213" i="2"/>
  <c r="E27" i="1"/>
  <c r="F27" i="1"/>
  <c r="F218" i="2"/>
  <c r="F219" i="2"/>
  <c r="E221" i="2"/>
  <c r="F221" i="2"/>
  <c r="E222" i="2"/>
  <c r="F222" i="2"/>
  <c r="F223" i="2"/>
  <c r="E225" i="2"/>
  <c r="F225" i="2"/>
  <c r="F226" i="2"/>
  <c r="F227" i="2"/>
  <c r="F228" i="2"/>
  <c r="E29" i="1"/>
  <c r="F29" i="1"/>
  <c r="F233" i="2"/>
  <c r="F234" i="2"/>
  <c r="E236" i="2"/>
  <c r="F236" i="2"/>
  <c r="E237" i="2"/>
  <c r="F237" i="2"/>
  <c r="F238" i="2"/>
  <c r="E240" i="2"/>
  <c r="F240" i="2"/>
  <c r="F241" i="2"/>
  <c r="F242" i="2"/>
  <c r="F243" i="2"/>
  <c r="E30" i="1"/>
  <c r="F30" i="1"/>
  <c r="F248" i="2"/>
  <c r="F249" i="2"/>
  <c r="F250" i="2"/>
  <c r="E252" i="2"/>
  <c r="F252" i="2"/>
  <c r="E253" i="2"/>
  <c r="F253" i="2"/>
  <c r="F254" i="2"/>
  <c r="E256" i="2"/>
  <c r="F256" i="2"/>
  <c r="F257" i="2"/>
  <c r="F258" i="2"/>
  <c r="F259" i="2"/>
  <c r="E32" i="1"/>
  <c r="F32" i="1"/>
  <c r="F264" i="2"/>
  <c r="F265" i="2"/>
  <c r="F266" i="2"/>
  <c r="E268" i="2"/>
  <c r="F268" i="2"/>
  <c r="E269" i="2"/>
  <c r="F269" i="2"/>
  <c r="F270" i="2"/>
  <c r="E272" i="2"/>
  <c r="F272" i="2"/>
  <c r="F273" i="2"/>
  <c r="F274" i="2"/>
  <c r="E33" i="1"/>
  <c r="F33" i="1"/>
  <c r="F279" i="2"/>
  <c r="F280" i="2"/>
  <c r="E282" i="2"/>
  <c r="F282" i="2"/>
  <c r="E283" i="2"/>
  <c r="F283" i="2"/>
  <c r="F284" i="2"/>
  <c r="E286" i="2"/>
  <c r="F286" i="2"/>
  <c r="F287" i="2"/>
  <c r="F288" i="2"/>
  <c r="E34" i="1"/>
  <c r="F34" i="1"/>
  <c r="F293" i="2"/>
  <c r="F294" i="2"/>
  <c r="E296" i="2"/>
  <c r="F296" i="2"/>
  <c r="E297" i="2"/>
  <c r="F297" i="2"/>
  <c r="F298" i="2"/>
  <c r="E300" i="2"/>
  <c r="F300" i="2"/>
  <c r="F301" i="2"/>
  <c r="F302" i="2"/>
  <c r="E36" i="1"/>
  <c r="F36" i="1"/>
  <c r="F307" i="2"/>
  <c r="F308" i="2"/>
  <c r="E310" i="2"/>
  <c r="F310" i="2"/>
  <c r="E311" i="2"/>
  <c r="F311" i="2"/>
  <c r="F312" i="2"/>
  <c r="E314" i="2"/>
  <c r="F314" i="2"/>
  <c r="F315" i="2"/>
  <c r="F316" i="2"/>
  <c r="E37" i="1"/>
  <c r="F37" i="1"/>
  <c r="F321" i="2"/>
  <c r="F322" i="2"/>
  <c r="E324" i="2"/>
  <c r="F324" i="2"/>
  <c r="E325" i="2"/>
  <c r="F325" i="2"/>
  <c r="F326" i="2"/>
  <c r="E328" i="2"/>
  <c r="F328" i="2"/>
  <c r="F329" i="2"/>
  <c r="F330" i="2"/>
  <c r="F331" i="2"/>
  <c r="E38" i="1"/>
  <c r="F38" i="1"/>
  <c r="F336" i="2"/>
  <c r="F337" i="2"/>
  <c r="E339" i="2"/>
  <c r="F339" i="2"/>
  <c r="E340" i="2"/>
  <c r="F340" i="2"/>
  <c r="F341" i="2"/>
  <c r="E343" i="2"/>
  <c r="F343" i="2"/>
  <c r="F344" i="2"/>
  <c r="F345" i="2"/>
  <c r="E39" i="1"/>
  <c r="F39" i="1"/>
  <c r="F41" i="1"/>
  <c r="E15" i="3"/>
  <c r="F42" i="1"/>
  <c r="F43" i="1"/>
  <c r="F44" i="1"/>
  <c r="G33" i="7"/>
  <c r="G34" i="7"/>
  <c r="G13" i="2"/>
  <c r="G28" i="2"/>
  <c r="G43" i="2"/>
  <c r="G58" i="2"/>
  <c r="G73" i="2"/>
  <c r="G88" i="2"/>
  <c r="G103" i="2"/>
  <c r="G119" i="2"/>
  <c r="G133" i="2"/>
  <c r="G147" i="2"/>
  <c r="G161" i="2"/>
  <c r="G177" i="2"/>
  <c r="G193" i="2"/>
  <c r="G207" i="2"/>
  <c r="G222" i="2"/>
  <c r="G237" i="2"/>
  <c r="G253" i="2"/>
  <c r="G269" i="2"/>
  <c r="G283" i="2"/>
  <c r="G297" i="2"/>
  <c r="G311" i="2"/>
  <c r="G325" i="2"/>
  <c r="G340" i="2"/>
  <c r="D28" i="6"/>
  <c r="F28" i="6"/>
  <c r="F33" i="6"/>
  <c r="G12" i="2"/>
  <c r="G27" i="2"/>
  <c r="G42" i="2"/>
  <c r="G57" i="2"/>
  <c r="G72" i="2"/>
  <c r="G87" i="2"/>
  <c r="G102" i="2"/>
  <c r="G118" i="2"/>
  <c r="G132" i="2"/>
  <c r="G146" i="2"/>
  <c r="G160" i="2"/>
  <c r="G176" i="2"/>
  <c r="G192" i="2"/>
  <c r="G206" i="2"/>
  <c r="G221" i="2"/>
  <c r="G236" i="2"/>
  <c r="G252" i="2"/>
  <c r="G268" i="2"/>
  <c r="G282" i="2"/>
  <c r="G296" i="2"/>
  <c r="G310" i="2"/>
  <c r="G324" i="2"/>
  <c r="G339" i="2"/>
  <c r="D27" i="6"/>
  <c r="F27" i="6"/>
  <c r="F32" i="6"/>
  <c r="F29" i="6"/>
  <c r="H12" i="2"/>
  <c r="H27" i="2"/>
  <c r="H42" i="2"/>
  <c r="H57" i="2"/>
  <c r="H72" i="2"/>
  <c r="H87" i="2"/>
  <c r="H102" i="2"/>
  <c r="H118" i="2"/>
  <c r="H132" i="2"/>
  <c r="H146" i="2"/>
  <c r="H160" i="2"/>
  <c r="H176" i="2"/>
  <c r="H192" i="2"/>
  <c r="H206" i="2"/>
  <c r="H221" i="2"/>
  <c r="H236" i="2"/>
  <c r="H252" i="2"/>
  <c r="H268" i="2"/>
  <c r="H282" i="2"/>
  <c r="H296" i="2"/>
  <c r="H310" i="2"/>
  <c r="H324" i="2"/>
  <c r="H339" i="2"/>
  <c r="E27" i="6"/>
  <c r="H13" i="2"/>
  <c r="H28" i="2"/>
  <c r="H43" i="2"/>
  <c r="H58" i="2"/>
  <c r="H73" i="2"/>
  <c r="H88" i="2"/>
  <c r="H103" i="2"/>
  <c r="H119" i="2"/>
  <c r="H133" i="2"/>
  <c r="H147" i="2"/>
  <c r="H161" i="2"/>
  <c r="H177" i="2"/>
  <c r="H193" i="2"/>
  <c r="H207" i="2"/>
  <c r="H222" i="2"/>
  <c r="H237" i="2"/>
  <c r="H253" i="2"/>
  <c r="H269" i="2"/>
  <c r="H283" i="2"/>
  <c r="H297" i="2"/>
  <c r="H311" i="2"/>
  <c r="H325" i="2"/>
  <c r="H340" i="2"/>
  <c r="E28" i="6"/>
  <c r="E29" i="6"/>
  <c r="D29" i="6"/>
  <c r="C28" i="6"/>
  <c r="C27" i="6"/>
  <c r="H9" i="2"/>
  <c r="F9" i="5"/>
  <c r="H24" i="2"/>
  <c r="F10" i="5"/>
  <c r="H39" i="2"/>
  <c r="F11" i="5"/>
  <c r="H84" i="2"/>
  <c r="H218" i="2"/>
  <c r="F12" i="5"/>
  <c r="H99" i="2"/>
  <c r="H233" i="2"/>
  <c r="F13" i="5"/>
  <c r="H114" i="2"/>
  <c r="F14" i="5"/>
  <c r="H115" i="2"/>
  <c r="F15" i="5"/>
  <c r="H129" i="2"/>
  <c r="F16" i="5"/>
  <c r="H143" i="2"/>
  <c r="F17" i="5"/>
  <c r="H157" i="2"/>
  <c r="F18" i="5"/>
  <c r="H171" i="2"/>
  <c r="F19" i="5"/>
  <c r="H172" i="2"/>
  <c r="F20" i="5"/>
  <c r="H173" i="2"/>
  <c r="F21" i="5"/>
  <c r="H187" i="2"/>
  <c r="F22" i="5"/>
  <c r="H188" i="2"/>
  <c r="F23" i="5"/>
  <c r="H189" i="2"/>
  <c r="F24" i="5"/>
  <c r="H248" i="2"/>
  <c r="F25" i="5"/>
  <c r="H249" i="2"/>
  <c r="F26" i="5"/>
  <c r="H264" i="2"/>
  <c r="F27" i="5"/>
  <c r="H265" i="2"/>
  <c r="F28" i="5"/>
  <c r="H279" i="2"/>
  <c r="F29" i="5"/>
  <c r="H293" i="2"/>
  <c r="F30" i="5"/>
  <c r="H307" i="2"/>
  <c r="F31" i="5"/>
  <c r="H321" i="2"/>
  <c r="F32" i="5"/>
  <c r="H336" i="2"/>
  <c r="F33" i="5"/>
  <c r="F34" i="5"/>
  <c r="H16" i="2"/>
  <c r="H31" i="2"/>
  <c r="H46" i="2"/>
  <c r="H61" i="2"/>
  <c r="H76" i="2"/>
  <c r="H91" i="2"/>
  <c r="H106" i="2"/>
  <c r="H122" i="2"/>
  <c r="H136" i="2"/>
  <c r="H150" i="2"/>
  <c r="H164" i="2"/>
  <c r="H180" i="2"/>
  <c r="H196" i="2"/>
  <c r="H210" i="2"/>
  <c r="H225" i="2"/>
  <c r="H240" i="2"/>
  <c r="H256" i="2"/>
  <c r="H272" i="2"/>
  <c r="H286" i="2"/>
  <c r="H300" i="2"/>
  <c r="H314" i="2"/>
  <c r="H328" i="2"/>
  <c r="H343" i="2"/>
  <c r="F38" i="5"/>
  <c r="H17" i="2"/>
  <c r="F39" i="5"/>
  <c r="H32" i="2"/>
  <c r="F40" i="5"/>
  <c r="H47" i="2"/>
  <c r="F41" i="5"/>
  <c r="H62" i="2"/>
  <c r="H211" i="2"/>
  <c r="F42" i="5"/>
  <c r="H77" i="2"/>
  <c r="F43" i="5"/>
  <c r="H92" i="2"/>
  <c r="H226" i="2"/>
  <c r="F44" i="5"/>
  <c r="H107" i="2"/>
  <c r="H241" i="2"/>
  <c r="F45" i="5"/>
  <c r="H257" i="2"/>
  <c r="H329" i="2"/>
  <c r="F46" i="5"/>
  <c r="F47" i="5"/>
  <c r="F49" i="5"/>
  <c r="E46" i="5"/>
  <c r="G257" i="2"/>
  <c r="G329" i="2"/>
  <c r="D46" i="5"/>
  <c r="E45" i="5"/>
  <c r="G107" i="2"/>
  <c r="G241" i="2"/>
  <c r="D45" i="5"/>
  <c r="E44" i="5"/>
  <c r="G92" i="2"/>
  <c r="G226" i="2"/>
  <c r="D44" i="5"/>
  <c r="E43" i="5"/>
  <c r="G77" i="2"/>
  <c r="D43" i="5"/>
  <c r="E42" i="5"/>
  <c r="G62" i="2"/>
  <c r="G211" i="2"/>
  <c r="D42" i="5"/>
  <c r="E41" i="5"/>
  <c r="G47" i="2"/>
  <c r="D41" i="5"/>
  <c r="E40" i="5"/>
  <c r="G32" i="2"/>
  <c r="D40" i="5"/>
  <c r="E39" i="5"/>
  <c r="G17" i="2"/>
  <c r="D39" i="5"/>
  <c r="E38" i="5"/>
  <c r="G16" i="2"/>
  <c r="G31" i="2"/>
  <c r="G46" i="2"/>
  <c r="G61" i="2"/>
  <c r="G76" i="2"/>
  <c r="G91" i="2"/>
  <c r="G106" i="2"/>
  <c r="G122" i="2"/>
  <c r="G136" i="2"/>
  <c r="G150" i="2"/>
  <c r="G164" i="2"/>
  <c r="G180" i="2"/>
  <c r="G196" i="2"/>
  <c r="G210" i="2"/>
  <c r="G225" i="2"/>
  <c r="G240" i="2"/>
  <c r="G256" i="2"/>
  <c r="G272" i="2"/>
  <c r="G286" i="2"/>
  <c r="G300" i="2"/>
  <c r="G314" i="2"/>
  <c r="G328" i="2"/>
  <c r="G343" i="2"/>
  <c r="D38" i="5"/>
  <c r="E33" i="5"/>
  <c r="G336" i="2"/>
  <c r="D33" i="5"/>
  <c r="E32" i="5"/>
  <c r="G321" i="2"/>
  <c r="D32" i="5"/>
  <c r="E31" i="5"/>
  <c r="G307" i="2"/>
  <c r="D31" i="5"/>
  <c r="E30" i="5"/>
  <c r="G293" i="2"/>
  <c r="D30" i="5"/>
  <c r="E29" i="5"/>
  <c r="G279" i="2"/>
  <c r="D29" i="5"/>
  <c r="E28" i="5"/>
  <c r="G265" i="2"/>
  <c r="D28" i="5"/>
  <c r="E27" i="5"/>
  <c r="G264" i="2"/>
  <c r="D27" i="5"/>
  <c r="E26" i="5"/>
  <c r="G249" i="2"/>
  <c r="D26" i="5"/>
  <c r="E25" i="5"/>
  <c r="G248" i="2"/>
  <c r="D25" i="5"/>
  <c r="E24" i="5"/>
  <c r="G189" i="2"/>
  <c r="D24" i="5"/>
  <c r="E23" i="5"/>
  <c r="G188" i="2"/>
  <c r="D23" i="5"/>
  <c r="E22" i="5"/>
  <c r="G187" i="2"/>
  <c r="D22" i="5"/>
  <c r="E21" i="5"/>
  <c r="G173" i="2"/>
  <c r="D21" i="5"/>
  <c r="E20" i="5"/>
  <c r="G172" i="2"/>
  <c r="D20" i="5"/>
  <c r="E19" i="5"/>
  <c r="G171" i="2"/>
  <c r="D19" i="5"/>
  <c r="E18" i="5"/>
  <c r="G157" i="2"/>
  <c r="D18" i="5"/>
  <c r="E17" i="5"/>
  <c r="G143" i="2"/>
  <c r="D17" i="5"/>
  <c r="E16" i="5"/>
  <c r="G129" i="2"/>
  <c r="D16" i="5"/>
  <c r="E15" i="5"/>
  <c r="G115" i="2"/>
  <c r="D15" i="5"/>
  <c r="E14" i="5"/>
  <c r="G114" i="2"/>
  <c r="D14" i="5"/>
  <c r="E13" i="5"/>
  <c r="G99" i="2"/>
  <c r="G233" i="2"/>
  <c r="D13" i="5"/>
  <c r="E12" i="5"/>
  <c r="G84" i="2"/>
  <c r="G218" i="2"/>
  <c r="D12" i="5"/>
  <c r="E11" i="5"/>
  <c r="G39" i="2"/>
  <c r="D11" i="5"/>
  <c r="E10" i="5"/>
  <c r="G24" i="2"/>
  <c r="D10" i="5"/>
  <c r="E9" i="5"/>
  <c r="G9" i="2"/>
  <c r="D9" i="5"/>
  <c r="C9" i="4"/>
  <c r="D9" i="4"/>
  <c r="S9" i="4"/>
  <c r="C10" i="4"/>
  <c r="D10" i="4"/>
  <c r="S10" i="4"/>
  <c r="C11" i="4"/>
  <c r="D11" i="4"/>
  <c r="S11" i="4"/>
  <c r="C12" i="4"/>
  <c r="D12" i="4"/>
  <c r="S12" i="4"/>
  <c r="C13" i="4"/>
  <c r="D13" i="4"/>
  <c r="S13" i="4"/>
  <c r="C14" i="4"/>
  <c r="D14" i="4"/>
  <c r="S14" i="4"/>
  <c r="C15" i="4"/>
  <c r="D15" i="4"/>
  <c r="S15" i="4"/>
  <c r="C16" i="4"/>
  <c r="D16" i="4"/>
  <c r="S16" i="4"/>
  <c r="C17" i="4"/>
  <c r="D17" i="4"/>
  <c r="S17" i="4"/>
  <c r="C18" i="4"/>
  <c r="D18" i="4"/>
  <c r="S18" i="4"/>
  <c r="C19" i="4"/>
  <c r="D19" i="4"/>
  <c r="S19" i="4"/>
  <c r="S21" i="4"/>
  <c r="S25" i="4"/>
  <c r="C21" i="4"/>
  <c r="S27" i="4"/>
  <c r="R9" i="4"/>
  <c r="R10" i="4"/>
  <c r="R11" i="4"/>
  <c r="R12" i="4"/>
  <c r="R13" i="4"/>
  <c r="R14" i="4"/>
  <c r="R15" i="4"/>
  <c r="R16" i="4"/>
  <c r="R17" i="4"/>
  <c r="R18" i="4"/>
  <c r="R19" i="4"/>
  <c r="R21" i="4"/>
  <c r="R25" i="4"/>
  <c r="R27" i="4"/>
  <c r="Q9" i="4"/>
  <c r="Q10" i="4"/>
  <c r="Q11" i="4"/>
  <c r="Q12" i="4"/>
  <c r="Q13" i="4"/>
  <c r="Q14" i="4"/>
  <c r="Q15" i="4"/>
  <c r="Q16" i="4"/>
  <c r="Q17" i="4"/>
  <c r="Q18" i="4"/>
  <c r="Q19" i="4"/>
  <c r="Q21" i="4"/>
  <c r="Q25" i="4"/>
  <c r="Q27" i="4"/>
  <c r="S26" i="4"/>
  <c r="R26" i="4"/>
  <c r="Q26" i="4"/>
  <c r="D21" i="4"/>
  <c r="F22" i="3"/>
  <c r="F9" i="3"/>
  <c r="F10" i="3"/>
  <c r="F11" i="3"/>
  <c r="F12" i="3"/>
  <c r="F13" i="3"/>
  <c r="F14" i="3"/>
  <c r="F15" i="3"/>
  <c r="F23" i="3"/>
  <c r="F19" i="3"/>
  <c r="F24" i="3"/>
  <c r="F26" i="3"/>
  <c r="F27" i="3"/>
  <c r="F25" i="3"/>
  <c r="E23" i="3"/>
  <c r="E24" i="3"/>
  <c r="E25" i="3"/>
  <c r="F45" i="1"/>
  <c r="F46" i="1"/>
  <c r="E45" i="1"/>
  <c r="E43" i="1"/>
  <c r="E42" i="1"/>
</calcChain>
</file>

<file path=xl/sharedStrings.xml><?xml version="1.0" encoding="utf-8"?>
<sst xmlns="http://schemas.openxmlformats.org/spreadsheetml/2006/main" count="1415" uniqueCount="277">
  <si>
    <t>PRESUPUESTO OFICIAL DE OBRA - CANTIDADES Y PRECIOS</t>
  </si>
  <si>
    <t>ACUEDUCTO SAN PEDRO, CARRERA 56, ENTRE CALLE 53 Y CALLE 56A</t>
  </si>
  <si>
    <t>MUNICIPIO DE ANDES - ANTIOQUIA</t>
  </si>
  <si>
    <t>Precios vigencia 2026  |  Plazo de ejecución: 3 meses  |  Valores unitarios sustentados en la hoja APU</t>
  </si>
  <si>
    <t>ÍTEM</t>
  </si>
  <si>
    <t>DESCRIPCIÓN</t>
  </si>
  <si>
    <t>UNIDAD</t>
  </si>
  <si>
    <t>CANTIDAD</t>
  </si>
  <si>
    <t>VALOR UNITARIO ($)</t>
  </si>
  <si>
    <t>VALOR TOTAL ($)</t>
  </si>
  <si>
    <t>PRELIMINARES DE ACUEDUCTO</t>
  </si>
  <si>
    <t>1</t>
  </si>
  <si>
    <t>LOCALIZACIÓN TRAZADO Y REPLANTEO. Se utilizará personal experto con equipo de precisión. Se hará con la frecuencia que lo indique la interventoría. Incluye demarcación de línea de trazado.</t>
  </si>
  <si>
    <t>ml</t>
  </si>
  <si>
    <t>DEMOLICIONES PARA REDES DE ACUEDUCTO</t>
  </si>
  <si>
    <t>2.1</t>
  </si>
  <si>
    <t>Corte de pavimento Flexible</t>
  </si>
  <si>
    <t>2.2</t>
  </si>
  <si>
    <t>Demolición pavimento flexible incluye compresor, cargue, retiro y disposición final de material sobrante a cualquier distancia</t>
  </si>
  <si>
    <t>m3</t>
  </si>
  <si>
    <t>MOVIMIENTO DE TIERRA PARA REDES DE ACUEDUCTO</t>
  </si>
  <si>
    <t>3.1</t>
  </si>
  <si>
    <t>EXCAVACIÓN MECÁNICA de material COMÚN DE 0-2 m SECO. Incluye: roca descompuesta, incluye cargue y transporte interno y su medida será en el sitio.</t>
  </si>
  <si>
    <t>CARGUE, TRANSPORTE Y BOTADA DE MATERIAL PARA REDES DE ACUEDUCTO</t>
  </si>
  <si>
    <t>4</t>
  </si>
  <si>
    <t>CARGUE, TRANSPORTE Y BOTADA DE MATERIAL PROVENIENTE DE LAS EXCAVACIONES. Incluye transportes internos, palero y derecho de botadero. Se debe hacer en botaderos o hasta el sitio que indique la interventoría. Su medida será en sitio.</t>
  </si>
  <si>
    <t>LLENOS PARA REDES DE ACUEDUCTO</t>
  </si>
  <si>
    <t>5.1</t>
  </si>
  <si>
    <t>LLENOS EN MATERIAL DE PRÉSTAMO, compactados mecánicamente. Su medida será en sitio ya compactado.</t>
  </si>
  <si>
    <t>5.3</t>
  </si>
  <si>
    <t>LLENO COMPACTADO PARA REMATE Y SOPORTE DE VIA. Se hará para mejorar la transitabilidad una vez hallan finalizado los trabajos. Con e = 0,2 m</t>
  </si>
  <si>
    <t>SUMINISTRO, TRANSPORTE E INSTALACIÓN DE TUBERÍA DE PVC-P</t>
  </si>
  <si>
    <t>6.1</t>
  </si>
  <si>
    <t>Suministro, Transporte e Instalación de Tubería PVC RDE 21 de Ø 3" (75 mm) Unión Platino</t>
  </si>
  <si>
    <t>m</t>
  </si>
  <si>
    <t>6.2</t>
  </si>
  <si>
    <t>Suministro, Transporte e Instalación de UNIÓN RAPIDA en PVC Ø 3" (75 mm)</t>
  </si>
  <si>
    <t>un</t>
  </si>
  <si>
    <t>6.3</t>
  </si>
  <si>
    <t>Suministro, Transporte e Instalación de codo Gran Radio PVC UP de 11.25º Ø3"</t>
  </si>
  <si>
    <t>6.4</t>
  </si>
  <si>
    <t>Suministro, Transporte e Instalación de TAPÓN SOLDADO para PVC- P de Ø 3" (75 mm)</t>
  </si>
  <si>
    <t>SUMINISTRO, TRANSPORTE E INSTALACIÓN DE ACCESORIOS PVC ACUEDUCTO PARA ACOMETIDA DOMICILIARIA</t>
  </si>
  <si>
    <t>8.1</t>
  </si>
  <si>
    <t>Suministro, Transporte e Instalación ACOMETIDAS DE ACUEDUCTO en Ø1/2" PE-AL-PE, para tubería de Ø3" incluye la tubería domiciliar Ø1/2 L=6 m, el collar de derivación, las llaves de corte e incorporación y las uniones</t>
  </si>
  <si>
    <t>8.2</t>
  </si>
  <si>
    <t>Suministro, Transporte e Instalación ACOMETIDAS DE ACUEDUCTO en Ø1/2" PE-AL-PE, para tubería de Ø8" incluye la tubería domiciliar Ø1 L=6 m, el collar de derivación, las llaves de corte e incorporación y las uniones</t>
  </si>
  <si>
    <t>MOVIMIENTO DE TIERRA PARA ACOMETIDAS DE ACUEDUCTO</t>
  </si>
  <si>
    <t>9.1</t>
  </si>
  <si>
    <t>LLENOS PARA ACOMETIDAS DE ACUEDUCTO</t>
  </si>
  <si>
    <t>10.1</t>
  </si>
  <si>
    <t>10.3</t>
  </si>
  <si>
    <t>SUMINISTRO, TRANSPORTE E INSTALACIÓN DE ESTRUCTURAS HIDRÁULICAS DE ACOMETIDAS DE ACUEDUCTO</t>
  </si>
  <si>
    <t>11.1</t>
  </si>
  <si>
    <t>CONSTRUCCIÓN DE ANCLAJES en concreto 210 Kg/cm² para accesorios de acueducto incluye suministro, transporte externo, transporte interno, vaciado de concreto de 210 kg/cm2 instalación de formaletas, mano de obra, equipo refuerzo, herramientas y demás elementos que se requieren para construir estas estructuras</t>
  </si>
  <si>
    <t>11.2</t>
  </si>
  <si>
    <t>Suministro, transporte e instalación de VÁLVULA DE COMPUERTA HD de 3" Extremo liso. Incluye tubo de 6" PVC sanitaria y tapa metálica de 0.2 X 0.2</t>
  </si>
  <si>
    <t>11.3</t>
  </si>
  <si>
    <t>Suministro, transporte e instalación de HIDRANTE DE 3 PULGADAS CON VALVULA DE GUARDA.</t>
  </si>
  <si>
    <t>Obras Varias</t>
  </si>
  <si>
    <t>12.1</t>
  </si>
  <si>
    <t>Reparación domiciliarias de acueducto, incluye tubería Pe-Al-Pe Ø=1/2" incluye accesorios, excavación y lleno</t>
  </si>
  <si>
    <t>12.2</t>
  </si>
  <si>
    <t>Suministro, transporte y colocación de Cinta azul en Polietileno para Señalización de redes de acueducto</t>
  </si>
  <si>
    <t>12.3</t>
  </si>
  <si>
    <t>Reconstrucción de anden en granito</t>
  </si>
  <si>
    <t>m2</t>
  </si>
  <si>
    <t>12.4</t>
  </si>
  <si>
    <t>Señalización permanente en obra Balizas, cinta y señal</t>
  </si>
  <si>
    <t>COSTO DIRECTO TOTAL</t>
  </si>
  <si>
    <t>ADMINISTRACIÓN (A)</t>
  </si>
  <si>
    <t>UTILIDAD (U)</t>
  </si>
  <si>
    <t>SUBTOTAL (COSTO DIRECTO + AU)</t>
  </si>
  <si>
    <t>VALOR TOTAL DEL PROYECTO</t>
  </si>
  <si>
    <t>Nota: los valores unitarios se sustentan en el Análisis de Precios Unitarios (hoja "APU"). El factor de Administración y Utilidad (AU) se desarrolla en la hoja "AU". El valor de Interventoría corresponde al presupuesto de personal y recursos detallado y justificado en la hoja "INTERVENTORÍA" (no a un porcentaje fijo).</t>
  </si>
  <si>
    <t>ANÁLISIS DE PRECIOS UNITARIOS (APU)</t>
  </si>
  <si>
    <t>Precios de referencia julio de 2026. Análisis de Precios Unitarios en Costo Directo (Materiales + Mano de Obra + Equipo). El factor de Administración y Utilidad (AU) se aplica una sola vez, de forma agregada, sobre el Costo Directo Total (ver hoja "AU"), evitando doble conteo.</t>
  </si>
  <si>
    <t>Cant. Contrato →</t>
  </si>
  <si>
    <t>1. MATERIALES</t>
  </si>
  <si>
    <t>Descripción del insumo</t>
  </si>
  <si>
    <t>Unidad</t>
  </si>
  <si>
    <t>Cantidad</t>
  </si>
  <si>
    <t>Vr. Unitario ($)</t>
  </si>
  <si>
    <t>Vr. Parcial ($)</t>
  </si>
  <si>
    <t>Cant. Total Proyecto</t>
  </si>
  <si>
    <t>Vr. Total Proyecto ($)</t>
  </si>
  <si>
    <t>Estacas, pintura en aerosol, piola y varios de localización</t>
  </si>
  <si>
    <t>SUBTOTAL MATERIALES</t>
  </si>
  <si>
    <t>2. MANO DE OBRA</t>
  </si>
  <si>
    <t>Oficial de construcción</t>
  </si>
  <si>
    <t>jornal</t>
  </si>
  <si>
    <t>Ayudante de construcción</t>
  </si>
  <si>
    <t>SUBTOTAL MANO DE OBRA</t>
  </si>
  <si>
    <t>3. EQUIPO Y HERRAMIENTA</t>
  </si>
  <si>
    <t>Herramienta menor (3% de la mano de obra)</t>
  </si>
  <si>
    <t>glb</t>
  </si>
  <si>
    <t>Equipo de topografía (estación total/nivel de precisión)</t>
  </si>
  <si>
    <t>hora</t>
  </si>
  <si>
    <t>SUBTOTAL EQUIPO Y HERRAMIENTA</t>
  </si>
  <si>
    <t>COSTO DIRECTO UNITARIO (Materiales + Mano de Obra + Equipo)</t>
  </si>
  <si>
    <t>El factor de Administración y Utilidad (AU) se aplica de forma agregada sobre el Costo Directo Total del presupuesto (ver hoja "AU"), no dentro de este análisis unitario.</t>
  </si>
  <si>
    <t>Disco de corte diamantado (desgaste)</t>
  </si>
  <si>
    <t>Cortadora de pavimento disco diamantado</t>
  </si>
  <si>
    <t>Varios menores de demolición</t>
  </si>
  <si>
    <t>Compresor neumático 185 PCM con 2 martillos</t>
  </si>
  <si>
    <t>(No aplica material directo en esta actividad)</t>
  </si>
  <si>
    <t>-</t>
  </si>
  <si>
    <t>Retroexcavadora de llantas 420 (incl. operador y combustible)</t>
  </si>
  <si>
    <t>Volqueta sencilla 7 m3 (incl. conductor y combustible)</t>
  </si>
  <si>
    <t>Material de préstamo (recebo compactable) puesto en obra</t>
  </si>
  <si>
    <t>Vibrocompactador tipo canguro (rana)</t>
  </si>
  <si>
    <t>Material granular seleccionado para remate de vía</t>
  </si>
  <si>
    <t>Vibrocompactador de placa</t>
  </si>
  <si>
    <t>Tubería PVC RDE 21 Ø3" (75 mm) unión platino</t>
  </si>
  <si>
    <t>Lubricante y anillo de caucho para unión platino</t>
  </si>
  <si>
    <t>Unión rápida PVC Ø3" (75 mm)</t>
  </si>
  <si>
    <t>Codo gran radio PVC UP 11.25° Ø3"</t>
  </si>
  <si>
    <t>Tapón soldado PVC-P Ø3" (75 mm)</t>
  </si>
  <si>
    <t>Tubería PE-AL-PE Ø1/2" L=6m</t>
  </si>
  <si>
    <t>Collar de derivación Ø3"xØ1/2"</t>
  </si>
  <si>
    <t>Llaves de corte e incorporación y uniones Ø1/2"</t>
  </si>
  <si>
    <t>Tubería PE-AL-PE Ø1" L=6m</t>
  </si>
  <si>
    <t>Collar de derivación Ø8"xØ1"</t>
  </si>
  <si>
    <t>Llaves de corte e incorporación y uniones Ø1"</t>
  </si>
  <si>
    <t>Concreto 210 Kg/cm² (cemento, arena, triturado)</t>
  </si>
  <si>
    <t>Acero de refuerzo y formaleta</t>
  </si>
  <si>
    <t>Mezcladora de concreto 1 bulto</t>
  </si>
  <si>
    <t>Válvula de compuerta HD Ø3" extremo liso</t>
  </si>
  <si>
    <t>Tubo PVC sanitario Ø6" y tapa metálica 0.2x0.2</t>
  </si>
  <si>
    <t>Hidrante Ø3" tipo columna con válvula de guarda</t>
  </si>
  <si>
    <t>Tubería PE-AL-PE Ø1/2" y accesorios de reparación</t>
  </si>
  <si>
    <t>Cinta azul en polietileno para señalización de redes</t>
  </si>
  <si>
    <t>Granito en placa/gránulo, cemento y arena</t>
  </si>
  <si>
    <t>Balizas, cinta reflectiva y señales verticales</t>
  </si>
  <si>
    <t>FACTOR DE ADMINISTRACIÓN Y UTILIDAD (AU)</t>
  </si>
  <si>
    <t>El presente análisis sustenta el porcentaje de Administración (A) y Utilidad (U) aplicado a todos los precios unitarios del proyecto (hoja APU) y al presupuesto general de obra.</t>
  </si>
  <si>
    <t>1. COMPONENTES DE LA ADMINISTRACIÓN (A)</t>
  </si>
  <si>
    <t>Componente</t>
  </si>
  <si>
    <t>% s/Costo Directo</t>
  </si>
  <si>
    <t>Valor ($)</t>
  </si>
  <si>
    <t>Personal administrativo y técnico de apoyo a la obra</t>
  </si>
  <si>
    <t>Campamento, oficina, almacén y servicios públicos</t>
  </si>
  <si>
    <t>Pólizas y seguros (cumplimiento, RCE, calidad, salarios)</t>
  </si>
  <si>
    <t>Gastos financieros, legalización y publicación del contrato</t>
  </si>
  <si>
    <t>Elementos de seguridad industrial, salud en el trabajo y señalización</t>
  </si>
  <si>
    <t>TOTAL ADMINISTRACIÓN (A)</t>
  </si>
  <si>
    <t>2. UTILIDAD DEL CONTRATISTA (U)</t>
  </si>
  <si>
    <t>Utilidad del contratista</t>
  </si>
  <si>
    <t>3. RESUMEN DEL FACTOR AU</t>
  </si>
  <si>
    <t>Costo Directo Total (Base de aplicación)</t>
  </si>
  <si>
    <t>Administración (A)</t>
  </si>
  <si>
    <t>Utilidad (U)</t>
  </si>
  <si>
    <t>FACTOR AU (A + U)</t>
  </si>
  <si>
    <t>Valor AU ($)</t>
  </si>
  <si>
    <t>SUBTOTAL (Costo Directo + AU)</t>
  </si>
  <si>
    <t>Nota: la Administración agrupa los costos indirectos de dirección de obra, campamento, pólizas, impuestos municipales, gastos financieros y SST. La Utilidad corresponde a la retribución razonable del contratista. Ambos porcentajes son insumo directo de la hoja APU para el cálculo de cada valor unitario.</t>
  </si>
  <si>
    <t>CRONOGRAMA DE EJECUCIÓN DE OBRA - PLAZO 3 MESES (12 SEMANAS)</t>
  </si>
  <si>
    <t>Programación por capítulos de obra. El peso porcentual de cada capítulo corresponde a su participación dentro del Costo Directo total del presupuesto.</t>
  </si>
  <si>
    <t>MES 1</t>
  </si>
  <si>
    <t>MES 2</t>
  </si>
  <si>
    <t>MES 3</t>
  </si>
  <si>
    <t>DISTRIBUCIÓN DEL VALOR (%)</t>
  </si>
  <si>
    <t>#</t>
  </si>
  <si>
    <t>CAPÍTULO / ACTIVIDAD</t>
  </si>
  <si>
    <t>VALOR ($)</t>
  </si>
  <si>
    <t>PESO (%)</t>
  </si>
  <si>
    <t>S1</t>
  </si>
  <si>
    <t>S2</t>
  </si>
  <si>
    <t>S3</t>
  </si>
  <si>
    <t>S4</t>
  </si>
  <si>
    <t>S5</t>
  </si>
  <si>
    <t>S6</t>
  </si>
  <si>
    <t>S7</t>
  </si>
  <si>
    <t>S8</t>
  </si>
  <si>
    <t>S9</t>
  </si>
  <si>
    <t>S10</t>
  </si>
  <si>
    <t>S11</t>
  </si>
  <si>
    <t>S12</t>
  </si>
  <si>
    <t>Pruebas hidrostáticas, desinfección de la red, limpieza general y entrega</t>
  </si>
  <si>
    <t>TOTAL</t>
  </si>
  <si>
    <t>AVANCE FINANCIERO PROGRAMADO</t>
  </si>
  <si>
    <t>Concepto</t>
  </si>
  <si>
    <t>% Avance mensual programado</t>
  </si>
  <si>
    <t>% Avance acumulado</t>
  </si>
  <si>
    <t>Valor programado del mes ($)</t>
  </si>
  <si>
    <t>Nota: cada capítulo se distribuye entre los meses según el número de semanas activas dentro de cada mes. El hito final (pruebas, limpieza y entrega) no tiene peso financiero propio; su valor está incluido en los capítulos de obra correspondientes.</t>
  </si>
  <si>
    <t>LISTADO CONSOLIDADO DE MATERIALES Y EQUIPOS</t>
  </si>
  <si>
    <t>Cantidades y valores totales requeridos para la ejecución completa del proyecto, consolidados automáticamente a partir del Análisis de Precios Unitarios (hoja APU).</t>
  </si>
  <si>
    <t>A. MATERIALES</t>
  </si>
  <si>
    <t>No.</t>
  </si>
  <si>
    <t>Descripción</t>
  </si>
  <si>
    <t>Cantidad Total</t>
  </si>
  <si>
    <t>Vr. Total ($)</t>
  </si>
  <si>
    <t>B. EQUIPOS Y HERRAMIENTA</t>
  </si>
  <si>
    <t>Herramienta menor</t>
  </si>
  <si>
    <t>SUBTOTAL EQUIPOS Y HERRAMIENTA</t>
  </si>
  <si>
    <t>TOTAL MATERIALES + EQUIPOS Y HERRAMIENTA</t>
  </si>
  <si>
    <t>Nota: el precio unitario mostrado corresponde al precio de referencia (julio 2026) tomado de la primera aparición del insumo en la hoja APU; la cantidad y el valor total se calculan sumando el consumo de dicho insumo en todas las actividades del proyecto.</t>
  </si>
  <si>
    <t>MANO DE OBRA - CUADRILLAS Y CONSOLIDADO DEL PROYECTO</t>
  </si>
  <si>
    <t>Costo del jornal (día) calculado como costo empresa, incluyendo salario, auxilio de transporte legal y prestaciones sociales completas (año 2026, Decretos 1469 y 1470 de 2025).</t>
  </si>
  <si>
    <t>1. CONFORMACIÓN DEL JORNAL (COSTO EMPRESA POR DÍA) - AÑO 2026</t>
  </si>
  <si>
    <t>Base de cálculo</t>
  </si>
  <si>
    <t>OFICIAL</t>
  </si>
  <si>
    <t>AYUDANTE</t>
  </si>
  <si>
    <t>Salario Básico Mensual</t>
  </si>
  <si>
    <t>Insumo (mercado 2026)</t>
  </si>
  <si>
    <t>Auxilio de Transporte Mensual</t>
  </si>
  <si>
    <t>Ley (aplica si salario ≤ 2 SMMLV)</t>
  </si>
  <si>
    <t>Cesantías (8.333%)</t>
  </si>
  <si>
    <t>8.333% x (Salario + Auxilio)</t>
  </si>
  <si>
    <t>Intereses a las Cesantías (1%)</t>
  </si>
  <si>
    <t>1% x Cesantías</t>
  </si>
  <si>
    <t>Prima de Servicios (8.333%)</t>
  </si>
  <si>
    <t>Vacaciones (4.167%)</t>
  </si>
  <si>
    <t>4.167% x Salario</t>
  </si>
  <si>
    <t>Salud - EPS (8.5%)</t>
  </si>
  <si>
    <t>8.5% x Salario</t>
  </si>
  <si>
    <t>Pensión (12%)</t>
  </si>
  <si>
    <t>12% x Salario</t>
  </si>
  <si>
    <t>ARL Clase V (6.96%)</t>
  </si>
  <si>
    <t>6.96% x Salario</t>
  </si>
  <si>
    <t>Caja de Compensación (4%)</t>
  </si>
  <si>
    <t>4% x Salario</t>
  </si>
  <si>
    <t>ICBF (3%)</t>
  </si>
  <si>
    <t>3% x Salario</t>
  </si>
  <si>
    <t>SENA (2%)</t>
  </si>
  <si>
    <t>2% x Salario</t>
  </si>
  <si>
    <t>TOTAL COSTO MENSUAL EMPRESA</t>
  </si>
  <si>
    <t>Días de liquidación por mes</t>
  </si>
  <si>
    <t>Convención sector construcción</t>
  </si>
  <si>
    <t>JORNAL DÍA (costo empresa)</t>
  </si>
  <si>
    <t>Total mensual ÷ Días</t>
  </si>
  <si>
    <t>2. CONSOLIDADO DE MANO DE OBRA REQUERIDA EN EL PROYECTO</t>
  </si>
  <si>
    <t>Cargo</t>
  </si>
  <si>
    <t>Jornal ($/día)</t>
  </si>
  <si>
    <t>Cantidad Total (jornales)</t>
  </si>
  <si>
    <t>Valor Total ($)</t>
  </si>
  <si>
    <t>Equiv. Meses-Hombre</t>
  </si>
  <si>
    <t>TOTAL MANO DE OBRA</t>
  </si>
  <si>
    <t>Personal promedio simultáneo estimado en obra (plazo de 3 meses) = Equiv. Meses-Hombre total ÷ 3:</t>
  </si>
  <si>
    <t>Oficiales promedio en obra</t>
  </si>
  <si>
    <t>Ayudantes promedio en obra</t>
  </si>
  <si>
    <t>Nota: la "Cantidad Total (jornales)" y el "Valor Total" se calculan automáticamente a partir del consumo de mano de obra de cada actividad, tomado de la hoja APU.</t>
  </si>
  <si>
    <t>Presupuesto construido de abajo hacia arriba: parte del personal y los recursos que la ejecución de ESTE proyecto requiere (no de un porcentaje fijo sobre el valor de la obra). Plazo de la interventoría: 3 meses, igual al plazo de ejecución. La retribución del personal se reconoce por el método de Factor Multiplicador (Decreto 1522 de 1983).</t>
  </si>
  <si>
    <t>1. JUSTIFICACIÓN DEL PERSONAL REQUERIDO PARA ESTE PROYECTO</t>
  </si>
  <si>
    <t>Alcance de la obra: 65 m de red matriz en PVC Ø3", 27 acometidas domiciliarias, y estructuras menores (anclajes, 1 hidrante, 6 válvulas). Es un frente de trabajo único, de baja complejidad técnica y bajo riesgo (no requiere entibado ni excavaciones profundas). Con este alcance, un Ingeniero Residente de Interventoría con dedicación parcial (30%, equivalente a visitas de campo 1-2 veces por semana) es suficiente para verificar los puntos críticos: cotas y cama de apoyo de la tubería antes de tapar, calidad de las uniones y accesorios, prueba de presión de la red, y compactación de llenos. No se justifica personal adicional (director, SISO o topógrafo de planta) dado el tamaño y la duración (3 meses) del contrato.</t>
  </si>
  <si>
    <t>2. COMPONENTES DEL FACTOR MULTIPLICADOR (FM)</t>
  </si>
  <si>
    <t>Valor</t>
  </si>
  <si>
    <t>Costo base del salario del personal</t>
  </si>
  <si>
    <t>Prestaciones sociales y seguridad social (aporte del empleador)</t>
  </si>
  <si>
    <t>FACTOR MULTIPLICADOR (FM)</t>
  </si>
  <si>
    <t>3. PERSONAL DE INTERVENTORÍA REQUERIDO</t>
  </si>
  <si>
    <t>Perfil mínimo</t>
  </si>
  <si>
    <t>Dedicación (%)</t>
  </si>
  <si>
    <t>Honorario Mensual Base ($)</t>
  </si>
  <si>
    <t>Meses</t>
  </si>
  <si>
    <t>FM</t>
  </si>
  <si>
    <t>Ingeniero Residente de Interventoría</t>
  </si>
  <si>
    <t>Ingeniero Civil o Sanitario, tarjeta profesional, exp. ≥ 2 años</t>
  </si>
  <si>
    <t>SUBTOTAL PERSONAL (con FM)</t>
  </si>
  <si>
    <t>4. COSTOS DIRECTOS COMPLEMENTARIOS (REEMBOLSABLES)</t>
  </si>
  <si>
    <t>Ensayos de laboratorio (compactación de llenos y prueba de presión de la red)</t>
  </si>
  <si>
    <t>Papelería, informes y comunicaciones</t>
  </si>
  <si>
    <t>SUBTOTAL COSTOS DIRECTOS COMPLEMENTARIOS</t>
  </si>
  <si>
    <t>5. RESUMEN DEL PRESUPUESTO DE INTERVENTORÍA</t>
  </si>
  <si>
    <t>Subtotal Personal (con Factor Multiplicador)</t>
  </si>
  <si>
    <t>Subtotal Costos Directos Complementarios</t>
  </si>
  <si>
    <t>TOTAL PRESUPUESTO DE INTERVENTORÍA (este valor alimenta el presupuesto general)</t>
  </si>
  <si>
    <t>Subtotal de obra - Costo Directo + AU (informativo, ver hoja PRESUPUESTO)</t>
  </si>
  <si>
    <t>% que representa este presupuesto de Interventoría sobre el Subtotal de obra</t>
  </si>
  <si>
    <t>Nota: el Factor Multiplicador (FM) reconoce sobre el costo básico de personal las prestaciones sociales y seguridad social, los costos indirectos y de administración de la firma consultora, y la utilidad razonable del interventor, en línea con la metodología descrita en el Decreto 1522 de 1983 y aplicada por entidades como el IDU y FONADE para contratos de interventoría de obra pública. El valor resultante NO está atado a un porcentaje fijo del valor de la obra: responde al personal y los recursos que esta obra en particular requiere.</t>
  </si>
  <si>
    <t>INTERVENTORÍA</t>
  </si>
  <si>
    <t>Impuestos, tasas y contribuciones municipales</t>
  </si>
  <si>
    <t>VANESSA RAMÍREZ GAVIRIA</t>
  </si>
  <si>
    <t>Ingeniera Civil de Apoyo Profesional</t>
  </si>
  <si>
    <t>PRESUPUESTO DE INTERVENTORÍA</t>
  </si>
  <si>
    <t>Costos indirectos y de administración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</si>
</sst>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\$#,##0.00"/>
    <numFmt numFmtId="165" formatCode="\$#,##0"/>
    <numFmt numFmtId="166" formatCode="0.0%"/>
    <numFmt numFmtId="167" formatCode="#,##0.0000"/>
  </numFmts>
  <fonts count="27" x14ac:knownFonts="1">
    <font>
      <sz val="11"/>
      <color theme="1"/>
      <name val="Calibri"/>
      <family val="2"/>
      <charset val="1"/>
    </font>
    <font>
      <b/>
      <sz val="13"/>
      <color rgb="FFFFFFFF"/>
      <name val="Arial"/>
      <family val="2"/>
    </font>
    <font>
      <b/>
      <sz val="11"/>
      <color rgb="FFFFFFFF"/>
      <name val="Arial"/>
      <family val="2"/>
    </font>
    <font>
      <b/>
      <sz val="10"/>
      <color rgb="FFFFFFFF"/>
      <name val="Arial"/>
      <family val="2"/>
    </font>
    <font>
      <i/>
      <sz val="9"/>
      <color rgb="FF404040"/>
      <name val="Arial"/>
      <family val="2"/>
    </font>
    <font>
      <b/>
      <sz val="9.5"/>
      <color rgb="FFFFFFFF"/>
      <name val="Arial"/>
      <family val="2"/>
    </font>
    <font>
      <b/>
      <sz val="10"/>
      <color rgb="FF1F3864"/>
      <name val="Arial"/>
      <family val="2"/>
    </font>
    <font>
      <sz val="9.5"/>
      <color rgb="FF000000"/>
      <name val="Arial"/>
      <family val="2"/>
    </font>
    <font>
      <b/>
      <sz val="11"/>
      <color rgb="FF000000"/>
      <name val="Arial"/>
      <family val="2"/>
    </font>
    <font>
      <b/>
      <sz val="10"/>
      <color rgb="FF000000"/>
      <name val="Arial"/>
      <family val="2"/>
    </font>
    <font>
      <b/>
      <sz val="12"/>
      <color rgb="FF000000"/>
      <name val="Arial"/>
      <family val="2"/>
    </font>
    <font>
      <i/>
      <sz val="8.5"/>
      <color rgb="FF404040"/>
      <name val="Arial"/>
      <family val="2"/>
    </font>
    <font>
      <b/>
      <sz val="9"/>
      <color rgb="FF000000"/>
      <name val="Arial"/>
      <family val="2"/>
    </font>
    <font>
      <sz val="9"/>
      <color rgb="FF000000"/>
      <name val="Arial"/>
      <family val="2"/>
    </font>
    <font>
      <sz val="9"/>
      <color rgb="FF0000FF"/>
      <name val="Arial"/>
      <family val="2"/>
    </font>
    <font>
      <i/>
      <sz val="8"/>
      <color rgb="FF404040"/>
      <name val="Arial"/>
      <family val="2"/>
    </font>
    <font>
      <i/>
      <sz val="9"/>
      <color rgb="FF808080"/>
      <name val="Arial"/>
      <family val="2"/>
    </font>
    <font>
      <b/>
      <sz val="10.5"/>
      <color rgb="FFFFFFFF"/>
      <name val="Arial"/>
      <family val="2"/>
    </font>
    <font>
      <b/>
      <sz val="9"/>
      <color rgb="FFFFFFFF"/>
      <name val="Arial"/>
      <family val="2"/>
    </font>
    <font>
      <sz val="9.5"/>
      <color rgb="FF0000FF"/>
      <name val="Arial"/>
      <family val="2"/>
    </font>
    <font>
      <b/>
      <sz val="8.5"/>
      <color rgb="FFFFFFFF"/>
      <name val="Arial"/>
      <family val="2"/>
    </font>
    <font>
      <i/>
      <sz val="9"/>
      <color rgb="FF606060"/>
      <name val="Arial"/>
      <family val="2"/>
    </font>
    <font>
      <b/>
      <sz val="9.5"/>
      <color rgb="FF000000"/>
      <name val="Arial"/>
      <family val="2"/>
    </font>
    <font>
      <sz val="9"/>
      <color rgb="FF404040"/>
      <name val="Arial"/>
      <family val="2"/>
    </font>
    <font>
      <sz val="9.5"/>
      <color rgb="FF404040"/>
      <name val="Arial"/>
      <family val="2"/>
    </font>
    <font>
      <sz val="9.5"/>
      <color rgb="FF0000FF"/>
      <name val="Arial"/>
      <charset val="1"/>
    </font>
    <font>
      <sz val="10"/>
      <color theme="1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rgb="FF1F3864"/>
        <bgColor rgb="FF404040"/>
      </patternFill>
    </fill>
    <fill>
      <patternFill patternType="solid">
        <fgColor rgb="FFF2F2F2"/>
        <bgColor rgb="FFFFFFFF"/>
      </patternFill>
    </fill>
    <fill>
      <patternFill patternType="solid">
        <fgColor rgb="FFD9E1F2"/>
        <bgColor rgb="FFF2F2F2"/>
      </patternFill>
    </fill>
    <fill>
      <patternFill patternType="solid">
        <fgColor rgb="FFFFE699"/>
        <bgColor rgb="FFFFCC99"/>
      </patternFill>
    </fill>
    <fill>
      <patternFill patternType="solid">
        <fgColor rgb="FFBDD0EE"/>
        <bgColor rgb="FFD9E1F2"/>
      </patternFill>
    </fill>
    <fill>
      <patternFill patternType="solid">
        <fgColor rgb="FF2E5395"/>
        <bgColor rgb="FF1F3864"/>
      </patternFill>
    </fill>
    <fill>
      <patternFill patternType="solid">
        <fgColor rgb="FFB7B7B7"/>
        <bgColor rgb="FFB0B0B0"/>
      </patternFill>
    </fill>
    <fill>
      <patternFill patternType="solid">
        <fgColor rgb="FFFFFFFF"/>
        <bgColor rgb="FFF2F2F2"/>
      </patternFill>
    </fill>
  </fills>
  <borders count="4">
    <border>
      <left/>
      <right/>
      <top/>
      <bottom/>
      <diagonal/>
    </border>
    <border>
      <left style="thin">
        <color rgb="FFB0B0B0"/>
      </left>
      <right style="thin">
        <color rgb="FFB0B0B0"/>
      </right>
      <top style="thin">
        <color rgb="FFB0B0B0"/>
      </top>
      <bottom style="thin">
        <color rgb="FFB0B0B0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rgb="FFB0B0B0"/>
      </left>
      <right/>
      <top style="thin">
        <color rgb="FFB0B0B0"/>
      </top>
      <bottom style="thin">
        <color rgb="FFB0B0B0"/>
      </bottom>
      <diagonal/>
    </border>
  </borders>
  <cellStyleXfs count="1">
    <xf numFmtId="0" fontId="0" fillId="0" borderId="0"/>
  </cellStyleXfs>
  <cellXfs count="126">
    <xf numFmtId="0" fontId="0" fillId="0" borderId="0" xfId="0"/>
    <xf numFmtId="0" fontId="5" fillId="2" borderId="0" xfId="0" applyFont="1" applyFill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 wrapText="1"/>
    </xf>
    <xf numFmtId="4" fontId="7" fillId="0" borderId="1" xfId="0" applyNumberFormat="1" applyFont="1" applyBorder="1" applyAlignment="1">
      <alignment horizontal="center" vertical="center"/>
    </xf>
    <xf numFmtId="164" fontId="7" fillId="0" borderId="1" xfId="0" applyNumberFormat="1" applyFont="1" applyBorder="1" applyAlignment="1">
      <alignment horizontal="center" vertical="center"/>
    </xf>
    <xf numFmtId="165" fontId="7" fillId="0" borderId="1" xfId="0" applyNumberFormat="1" applyFont="1" applyBorder="1" applyAlignment="1">
      <alignment horizontal="center" vertical="center"/>
    </xf>
    <xf numFmtId="0" fontId="8" fillId="3" borderId="2" xfId="0" applyFont="1" applyFill="1" applyBorder="1" applyAlignment="1">
      <alignment vertical="center"/>
    </xf>
    <xf numFmtId="166" fontId="8" fillId="3" borderId="2" xfId="0" applyNumberFormat="1" applyFont="1" applyFill="1" applyBorder="1" applyAlignment="1">
      <alignment vertical="center"/>
    </xf>
    <xf numFmtId="165" fontId="8" fillId="3" borderId="2" xfId="0" applyNumberFormat="1" applyFont="1" applyFill="1" applyBorder="1" applyAlignment="1">
      <alignment vertical="center"/>
    </xf>
    <xf numFmtId="0" fontId="9" fillId="0" borderId="0" xfId="0" applyFont="1" applyAlignment="1">
      <alignment vertical="center"/>
    </xf>
    <xf numFmtId="166" fontId="9" fillId="0" borderId="0" xfId="0" applyNumberFormat="1" applyFont="1" applyAlignment="1">
      <alignment vertical="center"/>
    </xf>
    <xf numFmtId="165" fontId="9" fillId="0" borderId="0" xfId="0" applyNumberFormat="1" applyFont="1" applyAlignment="1">
      <alignment vertical="center"/>
    </xf>
    <xf numFmtId="0" fontId="9" fillId="0" borderId="0" xfId="0" applyFont="1" applyAlignment="1">
      <alignment vertical="center" wrapText="1"/>
    </xf>
    <xf numFmtId="166" fontId="9" fillId="0" borderId="0" xfId="0" applyNumberFormat="1" applyFont="1" applyAlignment="1">
      <alignment vertical="center" wrapText="1"/>
    </xf>
    <xf numFmtId="165" fontId="9" fillId="0" borderId="0" xfId="0" applyNumberFormat="1" applyFont="1" applyAlignment="1">
      <alignment vertical="center" wrapText="1"/>
    </xf>
    <xf numFmtId="0" fontId="10" fillId="5" borderId="2" xfId="0" applyFont="1" applyFill="1" applyBorder="1" applyAlignment="1">
      <alignment vertical="center"/>
    </xf>
    <xf numFmtId="166" fontId="10" fillId="5" borderId="2" xfId="0" applyNumberFormat="1" applyFont="1" applyFill="1" applyBorder="1" applyAlignment="1">
      <alignment vertical="center"/>
    </xf>
    <xf numFmtId="165" fontId="10" fillId="5" borderId="2" xfId="0" applyNumberFormat="1" applyFont="1" applyFill="1" applyBorder="1" applyAlignment="1">
      <alignment vertical="center"/>
    </xf>
    <xf numFmtId="0" fontId="5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left" vertical="center" wrapText="1"/>
    </xf>
    <xf numFmtId="4" fontId="5" fillId="2" borderId="0" xfId="0" applyNumberFormat="1" applyFont="1" applyFill="1" applyAlignment="1">
      <alignment horizontal="center" vertical="center"/>
    </xf>
    <xf numFmtId="0" fontId="5" fillId="2" borderId="0" xfId="0" applyFont="1" applyFill="1" applyAlignment="1">
      <alignment horizontal="right" vertical="center"/>
    </xf>
    <xf numFmtId="0" fontId="12" fillId="6" borderId="0" xfId="0" applyFont="1" applyFill="1" applyAlignment="1">
      <alignment horizontal="left" vertical="center"/>
    </xf>
    <xf numFmtId="0" fontId="12" fillId="6" borderId="0" xfId="0" applyFont="1" applyFill="1" applyAlignment="1">
      <alignment horizontal="center" vertical="center" wrapText="1"/>
    </xf>
    <xf numFmtId="0" fontId="13" fillId="0" borderId="1" xfId="0" applyFont="1" applyBorder="1" applyAlignment="1">
      <alignment vertical="center"/>
    </xf>
    <xf numFmtId="167" fontId="13" fillId="0" borderId="1" xfId="0" applyNumberFormat="1" applyFont="1" applyBorder="1" applyAlignment="1">
      <alignment vertical="center"/>
    </xf>
    <xf numFmtId="164" fontId="14" fillId="0" borderId="1" xfId="0" applyNumberFormat="1" applyFont="1" applyBorder="1" applyAlignment="1">
      <alignment vertical="center"/>
    </xf>
    <xf numFmtId="165" fontId="13" fillId="0" borderId="1" xfId="0" applyNumberFormat="1" applyFont="1" applyBorder="1" applyAlignment="1">
      <alignment vertical="center"/>
    </xf>
    <xf numFmtId="0" fontId="12" fillId="3" borderId="0" xfId="0" applyFont="1" applyFill="1" applyAlignment="1">
      <alignment vertical="center"/>
    </xf>
    <xf numFmtId="165" fontId="12" fillId="3" borderId="0" xfId="0" applyNumberFormat="1" applyFont="1" applyFill="1" applyAlignment="1">
      <alignment vertical="center"/>
    </xf>
    <xf numFmtId="0" fontId="12" fillId="6" borderId="0" xfId="0" applyFont="1" applyFill="1" applyAlignment="1">
      <alignment vertical="center"/>
    </xf>
    <xf numFmtId="165" fontId="14" fillId="0" borderId="1" xfId="0" applyNumberFormat="1" applyFont="1" applyBorder="1" applyAlignment="1">
      <alignment vertical="center"/>
    </xf>
    <xf numFmtId="0" fontId="9" fillId="5" borderId="2" xfId="0" applyFont="1" applyFill="1" applyBorder="1" applyAlignment="1">
      <alignment vertical="center"/>
    </xf>
    <xf numFmtId="165" fontId="9" fillId="5" borderId="2" xfId="0" applyNumberFormat="1" applyFont="1" applyFill="1" applyBorder="1" applyAlignment="1">
      <alignment vertical="center"/>
    </xf>
    <xf numFmtId="0" fontId="16" fillId="0" borderId="1" xfId="0" applyFont="1" applyBorder="1" applyAlignment="1">
      <alignment vertical="center"/>
    </xf>
    <xf numFmtId="0" fontId="18" fillId="6" borderId="0" xfId="0" applyFont="1" applyFill="1" applyAlignment="1">
      <alignment vertical="center"/>
    </xf>
    <xf numFmtId="0" fontId="7" fillId="0" borderId="1" xfId="0" applyFont="1" applyBorder="1" applyAlignment="1">
      <alignment vertical="center"/>
    </xf>
    <xf numFmtId="166" fontId="19" fillId="0" borderId="1" xfId="0" applyNumberFormat="1" applyFont="1" applyBorder="1" applyAlignment="1">
      <alignment horizontal="center"/>
    </xf>
    <xf numFmtId="165" fontId="7" fillId="0" borderId="1" xfId="0" applyNumberFormat="1" applyFont="1" applyBorder="1" applyAlignment="1">
      <alignment vertical="center"/>
    </xf>
    <xf numFmtId="0" fontId="9" fillId="3" borderId="0" xfId="0" applyFont="1" applyFill="1" applyAlignment="1">
      <alignment vertical="center"/>
    </xf>
    <xf numFmtId="166" fontId="9" fillId="3" borderId="0" xfId="0" applyNumberFormat="1" applyFont="1" applyFill="1" applyAlignment="1">
      <alignment vertical="center"/>
    </xf>
    <xf numFmtId="165" fontId="9" fillId="3" borderId="0" xfId="0" applyNumberFormat="1" applyFont="1" applyFill="1" applyAlignment="1">
      <alignment vertical="center"/>
    </xf>
    <xf numFmtId="0" fontId="7" fillId="0" borderId="0" xfId="0" applyFont="1" applyAlignment="1">
      <alignment vertical="center"/>
    </xf>
    <xf numFmtId="166" fontId="7" fillId="0" borderId="0" xfId="0" applyNumberFormat="1" applyFont="1" applyAlignment="1">
      <alignment vertical="center"/>
    </xf>
    <xf numFmtId="165" fontId="7" fillId="0" borderId="0" xfId="0" applyNumberFormat="1" applyFont="1" applyAlignment="1">
      <alignment vertical="center"/>
    </xf>
    <xf numFmtId="166" fontId="9" fillId="5" borderId="2" xfId="0" applyNumberFormat="1" applyFont="1" applyFill="1" applyBorder="1" applyAlignment="1">
      <alignment vertical="center"/>
    </xf>
    <xf numFmtId="0" fontId="20" fillId="6" borderId="0" xfId="0" applyFont="1" applyFill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left" vertical="center" wrapText="1"/>
    </xf>
    <xf numFmtId="165" fontId="13" fillId="0" borderId="1" xfId="0" applyNumberFormat="1" applyFont="1" applyBorder="1" applyAlignment="1">
      <alignment horizontal="left" vertical="center" wrapText="1"/>
    </xf>
    <xf numFmtId="166" fontId="13" fillId="0" borderId="1" xfId="0" applyNumberFormat="1" applyFont="1" applyBorder="1" applyAlignment="1">
      <alignment horizontal="center" vertical="center"/>
    </xf>
    <xf numFmtId="0" fontId="0" fillId="7" borderId="1" xfId="0" applyFill="1" applyBorder="1"/>
    <xf numFmtId="0" fontId="0" fillId="0" borderId="1" xfId="0" applyBorder="1"/>
    <xf numFmtId="166" fontId="13" fillId="0" borderId="1" xfId="0" applyNumberFormat="1" applyFont="1" applyBorder="1" applyAlignment="1">
      <alignment horizontal="center"/>
    </xf>
    <xf numFmtId="0" fontId="21" fillId="0" borderId="1" xfId="0" applyFont="1" applyBorder="1" applyAlignment="1">
      <alignment horizontal="left" vertical="center" wrapText="1"/>
    </xf>
    <xf numFmtId="165" fontId="21" fillId="0" borderId="1" xfId="0" applyNumberFormat="1" applyFont="1" applyBorder="1" applyAlignment="1">
      <alignment horizontal="left" vertical="center" wrapText="1"/>
    </xf>
    <xf numFmtId="166" fontId="21" fillId="0" borderId="1" xfId="0" applyNumberFormat="1" applyFont="1" applyBorder="1" applyAlignment="1">
      <alignment horizontal="left" vertical="center" wrapText="1"/>
    </xf>
    <xf numFmtId="0" fontId="0" fillId="8" borderId="1" xfId="0" applyFill="1" applyBorder="1"/>
    <xf numFmtId="166" fontId="0" fillId="0" borderId="1" xfId="0" applyNumberFormat="1" applyBorder="1"/>
    <xf numFmtId="0" fontId="9" fillId="3" borderId="2" xfId="0" applyFont="1" applyFill="1" applyBorder="1" applyAlignment="1">
      <alignment vertical="center"/>
    </xf>
    <xf numFmtId="165" fontId="9" fillId="3" borderId="2" xfId="0" applyNumberFormat="1" applyFont="1" applyFill="1" applyBorder="1" applyAlignment="1">
      <alignment vertical="center"/>
    </xf>
    <xf numFmtId="166" fontId="9" fillId="3" borderId="2" xfId="0" applyNumberFormat="1" applyFont="1" applyFill="1" applyBorder="1" applyAlignment="1">
      <alignment vertical="center"/>
    </xf>
    <xf numFmtId="0" fontId="0" fillId="0" borderId="2" xfId="0" applyBorder="1"/>
    <xf numFmtId="166" fontId="9" fillId="3" borderId="2" xfId="0" applyNumberFormat="1" applyFont="1" applyFill="1" applyBorder="1" applyAlignment="1">
      <alignment horizontal="center"/>
    </xf>
    <xf numFmtId="0" fontId="18" fillId="0" borderId="0" xfId="0" applyFont="1" applyAlignment="1">
      <alignment vertical="center"/>
    </xf>
    <xf numFmtId="166" fontId="0" fillId="0" borderId="0" xfId="0" applyNumberFormat="1"/>
    <xf numFmtId="0" fontId="22" fillId="0" borderId="1" xfId="0" applyFont="1" applyBorder="1" applyAlignment="1">
      <alignment vertical="center"/>
    </xf>
    <xf numFmtId="165" fontId="22" fillId="0" borderId="0" xfId="0" applyNumberFormat="1" applyFont="1"/>
    <xf numFmtId="0" fontId="5" fillId="6" borderId="0" xfId="0" applyFont="1" applyFill="1" applyAlignment="1">
      <alignment horizontal="center" vertical="center"/>
    </xf>
    <xf numFmtId="0" fontId="7" fillId="0" borderId="1" xfId="0" applyFont="1" applyBorder="1" applyAlignment="1">
      <alignment horizontal="center"/>
    </xf>
    <xf numFmtId="4" fontId="7" fillId="0" borderId="1" xfId="0" applyNumberFormat="1" applyFont="1" applyBorder="1" applyAlignment="1">
      <alignment horizontal="center"/>
    </xf>
    <xf numFmtId="164" fontId="7" fillId="0" borderId="1" xfId="0" applyNumberFormat="1" applyFont="1" applyBorder="1" applyAlignment="1">
      <alignment horizontal="center"/>
    </xf>
    <xf numFmtId="165" fontId="7" fillId="0" borderId="1" xfId="0" applyNumberFormat="1" applyFont="1" applyBorder="1" applyAlignment="1">
      <alignment horizontal="left" vertical="center" wrapText="1"/>
    </xf>
    <xf numFmtId="0" fontId="8" fillId="5" borderId="2" xfId="0" applyFont="1" applyFill="1" applyBorder="1" applyAlignment="1">
      <alignment vertical="center"/>
    </xf>
    <xf numFmtId="165" fontId="8" fillId="5" borderId="2" xfId="0" applyNumberFormat="1" applyFont="1" applyFill="1" applyBorder="1" applyAlignment="1">
      <alignment vertical="center"/>
    </xf>
    <xf numFmtId="0" fontId="5" fillId="6" borderId="0" xfId="0" applyFont="1" applyFill="1" applyAlignment="1">
      <alignment horizontal="left" vertical="center" indent="1"/>
    </xf>
    <xf numFmtId="0" fontId="5" fillId="6" borderId="0" xfId="0" applyFont="1" applyFill="1" applyAlignment="1">
      <alignment vertical="center"/>
    </xf>
    <xf numFmtId="0" fontId="7" fillId="0" borderId="1" xfId="0" applyFont="1" applyBorder="1" applyAlignment="1">
      <alignment horizontal="left" vertical="center" indent="1"/>
    </xf>
    <xf numFmtId="165" fontId="19" fillId="0" borderId="1" xfId="0" applyNumberFormat="1" applyFont="1" applyBorder="1" applyAlignment="1">
      <alignment vertical="center"/>
    </xf>
    <xf numFmtId="0" fontId="22" fillId="3" borderId="0" xfId="0" applyFont="1" applyFill="1" applyAlignment="1">
      <alignment horizontal="left" vertical="center" indent="1"/>
    </xf>
    <xf numFmtId="0" fontId="22" fillId="3" borderId="0" xfId="0" applyFont="1" applyFill="1" applyAlignment="1">
      <alignment vertical="center"/>
    </xf>
    <xf numFmtId="165" fontId="22" fillId="3" borderId="0" xfId="0" applyNumberFormat="1" applyFont="1" applyFill="1" applyAlignment="1">
      <alignment vertical="center"/>
    </xf>
    <xf numFmtId="0" fontId="22" fillId="5" borderId="2" xfId="0" applyFont="1" applyFill="1" applyBorder="1" applyAlignment="1">
      <alignment horizontal="left" vertical="center" indent="1"/>
    </xf>
    <xf numFmtId="0" fontId="22" fillId="5" borderId="2" xfId="0" applyFont="1" applyFill="1" applyBorder="1" applyAlignment="1">
      <alignment vertical="center"/>
    </xf>
    <xf numFmtId="165" fontId="22" fillId="5" borderId="2" xfId="0" applyNumberFormat="1" applyFont="1" applyFill="1" applyBorder="1" applyAlignment="1">
      <alignment vertical="center"/>
    </xf>
    <xf numFmtId="0" fontId="5" fillId="6" borderId="0" xfId="0" applyFont="1" applyFill="1" applyAlignment="1">
      <alignment horizontal="center" vertical="center" wrapText="1"/>
    </xf>
    <xf numFmtId="4" fontId="7" fillId="0" borderId="1" xfId="0" applyNumberFormat="1" applyFont="1" applyBorder="1" applyAlignment="1">
      <alignment vertical="center"/>
    </xf>
    <xf numFmtId="4" fontId="9" fillId="5" borderId="2" xfId="0" applyNumberFormat="1" applyFont="1" applyFill="1" applyBorder="1" applyAlignment="1">
      <alignment vertical="center"/>
    </xf>
    <xf numFmtId="2" fontId="7" fillId="0" borderId="0" xfId="0" applyNumberFormat="1" applyFont="1" applyAlignment="1">
      <alignment vertical="center"/>
    </xf>
    <xf numFmtId="2" fontId="19" fillId="0" borderId="1" xfId="0" applyNumberFormat="1" applyFont="1" applyBorder="1" applyAlignment="1">
      <alignment horizontal="center"/>
    </xf>
    <xf numFmtId="2" fontId="9" fillId="5" borderId="2" xfId="0" applyNumberFormat="1" applyFont="1" applyFill="1" applyBorder="1" applyAlignment="1">
      <alignment vertical="center"/>
    </xf>
    <xf numFmtId="166" fontId="14" fillId="0" borderId="1" xfId="0" applyNumberFormat="1" applyFont="1" applyBorder="1" applyAlignment="1">
      <alignment horizontal="center"/>
    </xf>
    <xf numFmtId="165" fontId="14" fillId="0" borderId="1" xfId="0" applyNumberFormat="1" applyFont="1" applyBorder="1" applyAlignment="1">
      <alignment horizontal="left" vertical="center" wrapText="1"/>
    </xf>
    <xf numFmtId="0" fontId="13" fillId="0" borderId="1" xfId="0" applyFont="1" applyBorder="1" applyAlignment="1">
      <alignment horizontal="center"/>
    </xf>
    <xf numFmtId="2" fontId="13" fillId="0" borderId="1" xfId="0" applyNumberFormat="1" applyFont="1" applyBorder="1" applyAlignment="1">
      <alignment horizontal="center"/>
    </xf>
    <xf numFmtId="166" fontId="25" fillId="0" borderId="1" xfId="0" applyNumberFormat="1" applyFont="1" applyBorder="1" applyAlignment="1">
      <alignment horizontal="center"/>
    </xf>
    <xf numFmtId="0" fontId="26" fillId="0" borderId="0" xfId="0" applyFont="1"/>
    <xf numFmtId="0" fontId="9" fillId="0" borderId="0" xfId="0" applyFont="1" applyAlignment="1">
      <alignment vertical="center"/>
    </xf>
    <xf numFmtId="0" fontId="1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4" fillId="3" borderId="0" xfId="0" applyFont="1" applyFill="1" applyAlignment="1">
      <alignment horizontal="center" vertical="center" wrapText="1"/>
    </xf>
    <xf numFmtId="0" fontId="6" fillId="4" borderId="0" xfId="0" applyFont="1" applyFill="1" applyAlignment="1">
      <alignment horizontal="left" vertical="center" indent="1"/>
    </xf>
    <xf numFmtId="0" fontId="10" fillId="5" borderId="2" xfId="0" applyFont="1" applyFill="1" applyBorder="1" applyAlignment="1">
      <alignment horizontal="left" vertical="center" indent="1"/>
    </xf>
    <xf numFmtId="0" fontId="11" fillId="0" borderId="0" xfId="0" applyFont="1" applyAlignment="1">
      <alignment horizontal="left" wrapText="1"/>
    </xf>
    <xf numFmtId="0" fontId="8" fillId="3" borderId="2" xfId="0" applyFont="1" applyFill="1" applyBorder="1" applyAlignment="1">
      <alignment horizontal="left" vertical="center" indent="1"/>
    </xf>
    <xf numFmtId="0" fontId="9" fillId="0" borderId="0" xfId="0" applyFont="1" applyAlignment="1">
      <alignment horizontal="left" vertical="center" indent="1"/>
    </xf>
    <xf numFmtId="0" fontId="9" fillId="0" borderId="0" xfId="0" applyFont="1" applyAlignment="1">
      <alignment horizontal="left" vertical="center" wrapText="1" indent="1"/>
    </xf>
    <xf numFmtId="0" fontId="4" fillId="0" borderId="0" xfId="0" applyFont="1" applyAlignment="1">
      <alignment horizontal="left" vertical="center" wrapText="1"/>
    </xf>
    <xf numFmtId="0" fontId="15" fillId="0" borderId="0" xfId="0" applyFont="1" applyAlignment="1">
      <alignment horizontal="left" wrapText="1"/>
    </xf>
    <xf numFmtId="0" fontId="4" fillId="0" borderId="0" xfId="0" applyFont="1" applyAlignment="1">
      <alignment horizontal="left" wrapText="1"/>
    </xf>
    <xf numFmtId="0" fontId="17" fillId="2" borderId="0" xfId="0" applyFont="1" applyFill="1" applyAlignment="1">
      <alignment horizontal="left" vertical="center" indent="1"/>
    </xf>
    <xf numFmtId="0" fontId="18" fillId="6" borderId="0" xfId="0" applyFont="1" applyFill="1" applyAlignment="1">
      <alignment vertical="center"/>
    </xf>
    <xf numFmtId="0" fontId="7" fillId="0" borderId="1" xfId="0" applyFont="1" applyBorder="1" applyAlignment="1">
      <alignment vertical="center"/>
    </xf>
    <xf numFmtId="0" fontId="9" fillId="3" borderId="0" xfId="0" applyFont="1" applyFill="1" applyAlignment="1">
      <alignment vertical="center"/>
    </xf>
    <xf numFmtId="0" fontId="9" fillId="5" borderId="2" xfId="0" applyFont="1" applyFill="1" applyBorder="1" applyAlignment="1">
      <alignment vertical="center"/>
    </xf>
    <xf numFmtId="0" fontId="7" fillId="0" borderId="0" xfId="0" applyFont="1" applyAlignment="1">
      <alignment vertical="center"/>
    </xf>
    <xf numFmtId="0" fontId="7" fillId="2" borderId="0" xfId="0" applyFont="1" applyFill="1" applyAlignment="1">
      <alignment horizontal="center" vertical="center" wrapText="1"/>
    </xf>
    <xf numFmtId="0" fontId="5" fillId="7" borderId="0" xfId="0" applyFont="1" applyFill="1" applyAlignment="1">
      <alignment horizontal="center" vertical="center" wrapText="1"/>
    </xf>
    <xf numFmtId="0" fontId="18" fillId="2" borderId="0" xfId="0" applyFont="1" applyFill="1" applyAlignment="1">
      <alignment horizontal="center" vertical="center" wrapText="1"/>
    </xf>
    <xf numFmtId="0" fontId="7" fillId="0" borderId="3" xfId="0" applyFont="1" applyBorder="1" applyAlignment="1">
      <alignment vertical="center"/>
    </xf>
    <xf numFmtId="0" fontId="0" fillId="0" borderId="0" xfId="0"/>
    <xf numFmtId="0" fontId="22" fillId="0" borderId="3" xfId="0" applyFont="1" applyBorder="1" applyAlignment="1">
      <alignment vertical="center"/>
    </xf>
    <xf numFmtId="0" fontId="23" fillId="0" borderId="0" xfId="0" applyFont="1" applyAlignment="1">
      <alignment horizontal="left" wrapText="1"/>
    </xf>
    <xf numFmtId="0" fontId="24" fillId="9" borderId="1" xfId="0" applyFont="1" applyFill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7B7B7"/>
      <rgbColor rgb="FF808080"/>
      <rgbColor rgb="FF9999FF"/>
      <rgbColor rgb="FF993366"/>
      <rgbColor rgb="FFF2F2F2"/>
      <rgbColor rgb="FFD9E1F2"/>
      <rgbColor rgb="FF660066"/>
      <rgbColor rgb="FFFF8080"/>
      <rgbColor rgb="FF0066CC"/>
      <rgbColor rgb="FFBDD0EE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E6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06060"/>
      <rgbColor rgb="FFB0B0B0"/>
      <rgbColor rgb="FF1F3864"/>
      <rgbColor rgb="FF339966"/>
      <rgbColor rgb="FF003300"/>
      <rgbColor rgb="FF333300"/>
      <rgbColor rgb="FF993300"/>
      <rgbColor rgb="FF993366"/>
      <rgbColor rgb="FF2E5395"/>
      <rgbColor rgb="FF404040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tmp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tmp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137160</xdr:colOff>
      <xdr:row>6</xdr:row>
      <xdr:rowOff>7620</xdr:rowOff>
    </xdr:from>
    <xdr:to>
      <xdr:col>14</xdr:col>
      <xdr:colOff>182880</xdr:colOff>
      <xdr:row>24</xdr:row>
      <xdr:rowOff>109835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74D9A33-A522-4A91-A4AE-F841B6F39A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00900" y="1394460"/>
          <a:ext cx="4800600" cy="339405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152400</xdr:colOff>
      <xdr:row>10</xdr:row>
      <xdr:rowOff>83820</xdr:rowOff>
    </xdr:from>
    <xdr:to>
      <xdr:col>14</xdr:col>
      <xdr:colOff>569273</xdr:colOff>
      <xdr:row>23</xdr:row>
      <xdr:rowOff>53629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BC9BD0BD-5C19-4EF3-B5E3-3AFDABDC90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724900" y="3040380"/>
          <a:ext cx="4577393" cy="259108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2"/>
  <sheetViews>
    <sheetView showGridLines="0" zoomScaleNormal="100" workbookViewId="0">
      <pane ySplit="5" topLeftCell="A35" activePane="bottomLeft" state="frozen"/>
      <selection pane="bottomLeft" sqref="A1:F49"/>
    </sheetView>
  </sheetViews>
  <sheetFormatPr baseColWidth="10" defaultColWidth="8.7109375" defaultRowHeight="15" x14ac:dyDescent="0.25"/>
  <cols>
    <col min="1" max="1" width="8" customWidth="1"/>
    <col min="2" max="2" width="55" customWidth="1"/>
    <col min="3" max="3" width="9" customWidth="1"/>
    <col min="4" max="4" width="11" customWidth="1"/>
    <col min="5" max="5" width="15" customWidth="1"/>
    <col min="6" max="6" width="17" customWidth="1"/>
  </cols>
  <sheetData>
    <row r="1" spans="1:6" ht="21.75" customHeight="1" x14ac:dyDescent="0.25">
      <c r="A1" s="99" t="s">
        <v>0</v>
      </c>
      <c r="B1" s="99"/>
      <c r="C1" s="99"/>
      <c r="D1" s="99"/>
      <c r="E1" s="99"/>
      <c r="F1" s="99"/>
    </row>
    <row r="2" spans="1:6" ht="18" customHeight="1" x14ac:dyDescent="0.25">
      <c r="A2" s="100" t="s">
        <v>1</v>
      </c>
      <c r="B2" s="100"/>
      <c r="C2" s="100"/>
      <c r="D2" s="100"/>
      <c r="E2" s="100"/>
      <c r="F2" s="100"/>
    </row>
    <row r="3" spans="1:6" ht="15.75" customHeight="1" x14ac:dyDescent="0.25">
      <c r="A3" s="101" t="s">
        <v>2</v>
      </c>
      <c r="B3" s="101"/>
      <c r="C3" s="101"/>
      <c r="D3" s="101"/>
      <c r="E3" s="101"/>
      <c r="F3" s="101"/>
    </row>
    <row r="4" spans="1:6" ht="15" customHeight="1" x14ac:dyDescent="0.25">
      <c r="A4" s="102" t="s">
        <v>3</v>
      </c>
      <c r="B4" s="102"/>
      <c r="C4" s="102"/>
      <c r="D4" s="102"/>
      <c r="E4" s="102"/>
      <c r="F4" s="102"/>
    </row>
    <row r="5" spans="1:6" ht="27.75" customHeight="1" x14ac:dyDescent="0.25">
      <c r="A5" s="1" t="s">
        <v>4</v>
      </c>
      <c r="B5" s="1" t="s">
        <v>5</v>
      </c>
      <c r="C5" s="1" t="s">
        <v>6</v>
      </c>
      <c r="D5" s="1" t="s">
        <v>7</v>
      </c>
      <c r="E5" s="1" t="s">
        <v>8</v>
      </c>
      <c r="F5" s="1" t="s">
        <v>9</v>
      </c>
    </row>
    <row r="6" spans="1:6" ht="15.75" customHeight="1" x14ac:dyDescent="0.25">
      <c r="A6" s="103" t="s">
        <v>10</v>
      </c>
      <c r="B6" s="103"/>
      <c r="C6" s="103"/>
      <c r="D6" s="103"/>
      <c r="E6" s="103"/>
      <c r="F6" s="103"/>
    </row>
    <row r="7" spans="1:6" ht="51" x14ac:dyDescent="0.25">
      <c r="A7" s="2" t="s">
        <v>11</v>
      </c>
      <c r="B7" s="3" t="s">
        <v>12</v>
      </c>
      <c r="C7" s="2" t="s">
        <v>13</v>
      </c>
      <c r="D7" s="4">
        <v>65</v>
      </c>
      <c r="E7" s="5">
        <f>APU!F19</f>
        <v>14503.979119094554</v>
      </c>
      <c r="F7" s="6">
        <f>D7*E7</f>
        <v>942758.64274114603</v>
      </c>
    </row>
    <row r="8" spans="1:6" ht="15.75" customHeight="1" x14ac:dyDescent="0.25">
      <c r="A8" s="103" t="s">
        <v>14</v>
      </c>
      <c r="B8" s="103"/>
      <c r="C8" s="103"/>
      <c r="D8" s="103"/>
      <c r="E8" s="103"/>
      <c r="F8" s="103"/>
    </row>
    <row r="9" spans="1:6" x14ac:dyDescent="0.25">
      <c r="A9" s="2" t="s">
        <v>15</v>
      </c>
      <c r="B9" s="3" t="s">
        <v>16</v>
      </c>
      <c r="C9" s="2" t="s">
        <v>13</v>
      </c>
      <c r="D9" s="4">
        <v>130</v>
      </c>
      <c r="E9" s="5">
        <f>APU!F34</f>
        <v>16002.130473209359</v>
      </c>
      <c r="F9" s="6">
        <f>D9*E9</f>
        <v>2080276.9615172166</v>
      </c>
    </row>
    <row r="10" spans="1:6" ht="25.5" x14ac:dyDescent="0.25">
      <c r="A10" s="2" t="s">
        <v>17</v>
      </c>
      <c r="B10" s="3" t="s">
        <v>18</v>
      </c>
      <c r="C10" s="2" t="s">
        <v>19</v>
      </c>
      <c r="D10" s="4">
        <v>16.2</v>
      </c>
      <c r="E10" s="5">
        <f>APU!F49</f>
        <v>152005.70647144786</v>
      </c>
      <c r="F10" s="6">
        <f>D10*E10</f>
        <v>2462492.4448374552</v>
      </c>
    </row>
    <row r="11" spans="1:6" ht="15.75" customHeight="1" x14ac:dyDescent="0.25">
      <c r="A11" s="103" t="s">
        <v>20</v>
      </c>
      <c r="B11" s="103"/>
      <c r="C11" s="103"/>
      <c r="D11" s="103"/>
      <c r="E11" s="103"/>
      <c r="F11" s="103"/>
    </row>
    <row r="12" spans="1:6" ht="38.25" x14ac:dyDescent="0.25">
      <c r="A12" s="2" t="s">
        <v>21</v>
      </c>
      <c r="B12" s="3" t="s">
        <v>22</v>
      </c>
      <c r="C12" s="2" t="s">
        <v>19</v>
      </c>
      <c r="D12" s="4">
        <v>31.2</v>
      </c>
      <c r="E12" s="5">
        <f>APU!F64</f>
        <v>58610.851613373386</v>
      </c>
      <c r="F12" s="6">
        <f>D12*E12</f>
        <v>1828658.5703372497</v>
      </c>
    </row>
    <row r="13" spans="1:6" ht="15.75" customHeight="1" x14ac:dyDescent="0.25">
      <c r="A13" s="103" t="s">
        <v>23</v>
      </c>
      <c r="B13" s="103"/>
      <c r="C13" s="103"/>
      <c r="D13" s="103"/>
      <c r="E13" s="103"/>
      <c r="F13" s="103"/>
    </row>
    <row r="14" spans="1:6" ht="63.75" x14ac:dyDescent="0.25">
      <c r="A14" s="2" t="s">
        <v>24</v>
      </c>
      <c r="B14" s="3" t="s">
        <v>25</v>
      </c>
      <c r="C14" s="2" t="s">
        <v>19</v>
      </c>
      <c r="D14" s="4">
        <v>31.2</v>
      </c>
      <c r="E14" s="5">
        <f>APU!F79</f>
        <v>65012.655167405894</v>
      </c>
      <c r="F14" s="6">
        <f>D14*E14</f>
        <v>2028394.8412230639</v>
      </c>
    </row>
    <row r="15" spans="1:6" ht="15.75" customHeight="1" x14ac:dyDescent="0.25">
      <c r="A15" s="103" t="s">
        <v>26</v>
      </c>
      <c r="B15" s="103"/>
      <c r="C15" s="103"/>
      <c r="D15" s="103"/>
      <c r="E15" s="103"/>
      <c r="F15" s="103"/>
    </row>
    <row r="16" spans="1:6" ht="25.5" x14ac:dyDescent="0.25">
      <c r="A16" s="2" t="s">
        <v>27</v>
      </c>
      <c r="B16" s="3" t="s">
        <v>28</v>
      </c>
      <c r="C16" s="2" t="s">
        <v>19</v>
      </c>
      <c r="D16" s="4">
        <v>31.2</v>
      </c>
      <c r="E16" s="5">
        <f>APU!F94</f>
        <v>186006.04153082269</v>
      </c>
      <c r="F16" s="6">
        <f>D16*E16</f>
        <v>5803388.4957616683</v>
      </c>
    </row>
    <row r="17" spans="1:6" ht="38.25" x14ac:dyDescent="0.25">
      <c r="A17" s="2" t="s">
        <v>29</v>
      </c>
      <c r="B17" s="3" t="s">
        <v>30</v>
      </c>
      <c r="C17" s="2" t="s">
        <v>19</v>
      </c>
      <c r="D17" s="4">
        <v>16</v>
      </c>
      <c r="E17" s="5">
        <f>APU!F109</f>
        <v>205002.31229328751</v>
      </c>
      <c r="F17" s="6">
        <f>D17*E17</f>
        <v>3280036.9966926002</v>
      </c>
    </row>
    <row r="18" spans="1:6" ht="15.75" customHeight="1" x14ac:dyDescent="0.25">
      <c r="A18" s="103" t="s">
        <v>31</v>
      </c>
      <c r="B18" s="103"/>
      <c r="C18" s="103"/>
      <c r="D18" s="103"/>
      <c r="E18" s="103"/>
      <c r="F18" s="103"/>
    </row>
    <row r="19" spans="1:6" ht="25.5" x14ac:dyDescent="0.25">
      <c r="A19" s="2" t="s">
        <v>32</v>
      </c>
      <c r="B19" s="3" t="s">
        <v>33</v>
      </c>
      <c r="C19" s="2" t="s">
        <v>34</v>
      </c>
      <c r="D19" s="4">
        <v>65</v>
      </c>
      <c r="E19" s="5">
        <f>APU!F124</f>
        <v>61798.07504119473</v>
      </c>
      <c r="F19" s="6">
        <f>D19*E19</f>
        <v>4016874.8776776576</v>
      </c>
    </row>
    <row r="20" spans="1:6" ht="25.5" x14ac:dyDescent="0.25">
      <c r="A20" s="2" t="s">
        <v>35</v>
      </c>
      <c r="B20" s="3" t="s">
        <v>36</v>
      </c>
      <c r="C20" s="2" t="s">
        <v>37</v>
      </c>
      <c r="D20" s="4">
        <v>5</v>
      </c>
      <c r="E20" s="5">
        <f>APU!F138</f>
        <v>67386.30662807652</v>
      </c>
      <c r="F20" s="6">
        <f>D20*E20</f>
        <v>336931.53314038261</v>
      </c>
    </row>
    <row r="21" spans="1:6" ht="25.5" x14ac:dyDescent="0.25">
      <c r="A21" s="2" t="s">
        <v>38</v>
      </c>
      <c r="B21" s="3" t="s">
        <v>39</v>
      </c>
      <c r="C21" s="2" t="s">
        <v>37</v>
      </c>
      <c r="D21" s="4">
        <v>2</v>
      </c>
      <c r="E21" s="5">
        <f>APU!F152</f>
        <v>66035.789053462533</v>
      </c>
      <c r="F21" s="6">
        <f>D21*E21</f>
        <v>132071.57810692507</v>
      </c>
    </row>
    <row r="22" spans="1:6" ht="25.5" x14ac:dyDescent="0.25">
      <c r="A22" s="2" t="s">
        <v>40</v>
      </c>
      <c r="B22" s="3" t="s">
        <v>41</v>
      </c>
      <c r="C22" s="2" t="s">
        <v>37</v>
      </c>
      <c r="D22" s="4">
        <v>1</v>
      </c>
      <c r="E22" s="5">
        <f>APU!F166</f>
        <v>212882.39899214692</v>
      </c>
      <c r="F22" s="6">
        <f>D22*E22</f>
        <v>212882.39899214692</v>
      </c>
    </row>
    <row r="23" spans="1:6" ht="15.75" customHeight="1" x14ac:dyDescent="0.25">
      <c r="A23" s="103" t="s">
        <v>42</v>
      </c>
      <c r="B23" s="103"/>
      <c r="C23" s="103"/>
      <c r="D23" s="103"/>
      <c r="E23" s="103"/>
      <c r="F23" s="103"/>
    </row>
    <row r="24" spans="1:6" ht="51" x14ac:dyDescent="0.25">
      <c r="A24" s="2" t="s">
        <v>43</v>
      </c>
      <c r="B24" s="3" t="s">
        <v>44</v>
      </c>
      <c r="C24" s="2" t="s">
        <v>37</v>
      </c>
      <c r="D24" s="4">
        <v>17</v>
      </c>
      <c r="E24" s="5">
        <f>APU!F182</f>
        <v>214984.73672174604</v>
      </c>
      <c r="F24" s="6">
        <f>D24*E24</f>
        <v>3654740.5242696828</v>
      </c>
    </row>
    <row r="25" spans="1:6" ht="51" x14ac:dyDescent="0.25">
      <c r="A25" s="2" t="s">
        <v>45</v>
      </c>
      <c r="B25" s="3" t="s">
        <v>46</v>
      </c>
      <c r="C25" s="2" t="s">
        <v>37</v>
      </c>
      <c r="D25" s="4">
        <v>10</v>
      </c>
      <c r="E25" s="5">
        <f>APU!F198</f>
        <v>248011.50557794649</v>
      </c>
      <c r="F25" s="6">
        <f>D25*E25</f>
        <v>2480115.055779465</v>
      </c>
    </row>
    <row r="26" spans="1:6" ht="15.75" customHeight="1" x14ac:dyDescent="0.25">
      <c r="A26" s="103" t="s">
        <v>47</v>
      </c>
      <c r="B26" s="103"/>
      <c r="C26" s="103"/>
      <c r="D26" s="103"/>
      <c r="E26" s="103"/>
      <c r="F26" s="103"/>
    </row>
    <row r="27" spans="1:6" ht="38.25" x14ac:dyDescent="0.25">
      <c r="A27" s="2" t="s">
        <v>48</v>
      </c>
      <c r="B27" s="3" t="s">
        <v>22</v>
      </c>
      <c r="C27" s="2" t="s">
        <v>19</v>
      </c>
      <c r="D27" s="4">
        <v>34.56</v>
      </c>
      <c r="E27" s="5">
        <f>APU!F213</f>
        <v>58610.851613373386</v>
      </c>
      <c r="F27" s="6">
        <f>D27*E27</f>
        <v>2025591.0317581843</v>
      </c>
    </row>
    <row r="28" spans="1:6" ht="15.75" customHeight="1" x14ac:dyDescent="0.25">
      <c r="A28" s="103" t="s">
        <v>49</v>
      </c>
      <c r="B28" s="103"/>
      <c r="C28" s="103"/>
      <c r="D28" s="103"/>
      <c r="E28" s="103"/>
      <c r="F28" s="103"/>
    </row>
    <row r="29" spans="1:6" ht="25.5" x14ac:dyDescent="0.25">
      <c r="A29" s="2" t="s">
        <v>50</v>
      </c>
      <c r="B29" s="3" t="s">
        <v>28</v>
      </c>
      <c r="C29" s="2" t="s">
        <v>19</v>
      </c>
      <c r="D29" s="4">
        <v>38.880000000000003</v>
      </c>
      <c r="E29" s="5">
        <f>APU!F228</f>
        <v>185003.44575710557</v>
      </c>
      <c r="F29" s="6">
        <f>D29*E29</f>
        <v>7192933.9710362647</v>
      </c>
    </row>
    <row r="30" spans="1:6" ht="38.25" x14ac:dyDescent="0.25">
      <c r="A30" s="2" t="s">
        <v>51</v>
      </c>
      <c r="B30" s="3" t="s">
        <v>30</v>
      </c>
      <c r="C30" s="2" t="s">
        <v>19</v>
      </c>
      <c r="D30" s="4">
        <v>8</v>
      </c>
      <c r="E30" s="5">
        <f>APU!F243</f>
        <v>179999.07264471086</v>
      </c>
      <c r="F30" s="6">
        <f>D30*E30</f>
        <v>1439992.5811576869</v>
      </c>
    </row>
    <row r="31" spans="1:6" ht="15.75" customHeight="1" x14ac:dyDescent="0.25">
      <c r="A31" s="103" t="s">
        <v>52</v>
      </c>
      <c r="B31" s="103"/>
      <c r="C31" s="103"/>
      <c r="D31" s="103"/>
      <c r="E31" s="103"/>
      <c r="F31" s="103"/>
    </row>
    <row r="32" spans="1:6" ht="76.5" x14ac:dyDescent="0.25">
      <c r="A32" s="2" t="s">
        <v>53</v>
      </c>
      <c r="B32" s="3" t="s">
        <v>54</v>
      </c>
      <c r="C32" s="2" t="s">
        <v>19</v>
      </c>
      <c r="D32" s="4">
        <v>0.22977500000000001</v>
      </c>
      <c r="E32" s="5">
        <f>APU!F259</f>
        <v>649190.85060097452</v>
      </c>
      <c r="F32" s="6">
        <f>D32*E32</f>
        <v>149167.82769683891</v>
      </c>
    </row>
    <row r="33" spans="1:6" ht="38.25" x14ac:dyDescent="0.25">
      <c r="A33" s="2" t="s">
        <v>55</v>
      </c>
      <c r="B33" s="3" t="s">
        <v>56</v>
      </c>
      <c r="C33" s="2" t="s">
        <v>37</v>
      </c>
      <c r="D33" s="4">
        <v>6</v>
      </c>
      <c r="E33" s="5">
        <f>APU!F274</f>
        <v>896489.11966881342</v>
      </c>
      <c r="F33" s="6">
        <f>D33*E33</f>
        <v>5378934.7180128805</v>
      </c>
    </row>
    <row r="34" spans="1:6" ht="25.5" x14ac:dyDescent="0.25">
      <c r="A34" s="2" t="s">
        <v>57</v>
      </c>
      <c r="B34" s="3" t="s">
        <v>58</v>
      </c>
      <c r="C34" s="2" t="s">
        <v>37</v>
      </c>
      <c r="D34" s="4">
        <v>1</v>
      </c>
      <c r="E34" s="5">
        <f>APU!F288</f>
        <v>4268875.9076731438</v>
      </c>
      <c r="F34" s="6">
        <f>D34*E34</f>
        <v>4268875.9076731438</v>
      </c>
    </row>
    <row r="35" spans="1:6" ht="15.75" customHeight="1" x14ac:dyDescent="0.25">
      <c r="A35" s="103" t="s">
        <v>59</v>
      </c>
      <c r="B35" s="103"/>
      <c r="C35" s="103"/>
      <c r="D35" s="103"/>
      <c r="E35" s="103"/>
      <c r="F35" s="103"/>
    </row>
    <row r="36" spans="1:6" ht="25.5" x14ac:dyDescent="0.25">
      <c r="A36" s="2" t="s">
        <v>60</v>
      </c>
      <c r="B36" s="3" t="s">
        <v>61</v>
      </c>
      <c r="C36" s="2" t="s">
        <v>37</v>
      </c>
      <c r="D36" s="4">
        <v>15</v>
      </c>
      <c r="E36" s="5">
        <f>APU!F302</f>
        <v>61287.88222583662</v>
      </c>
      <c r="F36" s="6">
        <f>D36*E36</f>
        <v>919318.23338754929</v>
      </c>
    </row>
    <row r="37" spans="1:6" ht="25.5" x14ac:dyDescent="0.25">
      <c r="A37" s="2" t="s">
        <v>62</v>
      </c>
      <c r="B37" s="3" t="s">
        <v>63</v>
      </c>
      <c r="C37" s="2" t="s">
        <v>37</v>
      </c>
      <c r="D37" s="4">
        <v>65</v>
      </c>
      <c r="E37" s="5">
        <f>APU!F316</f>
        <v>1175.0292208771211</v>
      </c>
      <c r="F37" s="6">
        <f>D37*E37</f>
        <v>76376.899357012881</v>
      </c>
    </row>
    <row r="38" spans="1:6" x14ac:dyDescent="0.25">
      <c r="A38" s="2" t="s">
        <v>64</v>
      </c>
      <c r="B38" s="3" t="s">
        <v>65</v>
      </c>
      <c r="C38" s="2" t="s">
        <v>66</v>
      </c>
      <c r="D38" s="4">
        <v>5.6</v>
      </c>
      <c r="E38" s="5">
        <f>APU!F331</f>
        <v>68500.090223249732</v>
      </c>
      <c r="F38" s="6">
        <f>D38*E38</f>
        <v>383600.50525019848</v>
      </c>
    </row>
    <row r="39" spans="1:6" x14ac:dyDescent="0.25">
      <c r="A39" s="2" t="s">
        <v>67</v>
      </c>
      <c r="B39" s="3" t="s">
        <v>68</v>
      </c>
      <c r="C39" s="2" t="s">
        <v>13</v>
      </c>
      <c r="D39" s="4">
        <v>65</v>
      </c>
      <c r="E39" s="5">
        <f>APU!F345</f>
        <v>2845.1567588682269</v>
      </c>
      <c r="F39" s="6">
        <f>D39*E39</f>
        <v>184935.18932643475</v>
      </c>
    </row>
    <row r="41" spans="1:6" x14ac:dyDescent="0.25">
      <c r="A41" s="7"/>
      <c r="B41" s="106" t="s">
        <v>69</v>
      </c>
      <c r="C41" s="106"/>
      <c r="D41" s="106"/>
      <c r="E41" s="8"/>
      <c r="F41" s="9">
        <f>SUM(F7:F39)</f>
        <v>51279349.785732858</v>
      </c>
    </row>
    <row r="42" spans="1:6" x14ac:dyDescent="0.25">
      <c r="A42" s="10"/>
      <c r="B42" s="107" t="s">
        <v>70</v>
      </c>
      <c r="C42" s="107"/>
      <c r="D42" s="107"/>
      <c r="E42" s="11">
        <f>AU!$E$15</f>
        <v>0.31500000000000006</v>
      </c>
      <c r="F42" s="12">
        <f>F41*AU!$E$15</f>
        <v>16152995.182505853</v>
      </c>
    </row>
    <row r="43" spans="1:6" x14ac:dyDescent="0.25">
      <c r="A43" s="10"/>
      <c r="B43" s="107" t="s">
        <v>71</v>
      </c>
      <c r="C43" s="107"/>
      <c r="D43" s="107"/>
      <c r="E43" s="11">
        <f>AU!$E$19</f>
        <v>0.05</v>
      </c>
      <c r="F43" s="12">
        <f>F41*AU!$E$19</f>
        <v>2563967.489286643</v>
      </c>
    </row>
    <row r="44" spans="1:6" x14ac:dyDescent="0.25">
      <c r="A44" s="7"/>
      <c r="B44" s="106" t="s">
        <v>72</v>
      </c>
      <c r="C44" s="106"/>
      <c r="D44" s="106"/>
      <c r="E44" s="8"/>
      <c r="F44" s="9">
        <f>F41+F42+F43</f>
        <v>69996312.457525358</v>
      </c>
    </row>
    <row r="45" spans="1:6" ht="25.5" customHeight="1" x14ac:dyDescent="0.25">
      <c r="A45" s="13"/>
      <c r="B45" s="108" t="s">
        <v>271</v>
      </c>
      <c r="C45" s="108"/>
      <c r="D45" s="108"/>
      <c r="E45" s="14">
        <f>INTERVENTORÍA!$G$31/F44</f>
        <v>0.12243502120487253</v>
      </c>
      <c r="F45" s="15">
        <f>INTERVENTORÍA!$G$31</f>
        <v>8570000</v>
      </c>
    </row>
    <row r="46" spans="1:6" ht="15.75" x14ac:dyDescent="0.25">
      <c r="A46" s="16"/>
      <c r="B46" s="104" t="s">
        <v>73</v>
      </c>
      <c r="C46" s="104"/>
      <c r="D46" s="104"/>
      <c r="E46" s="17"/>
      <c r="F46" s="18">
        <f>F44+F45</f>
        <v>78566312.457525358</v>
      </c>
    </row>
    <row r="48" spans="1:6" ht="24" customHeight="1" x14ac:dyDescent="0.25">
      <c r="A48" s="105" t="s">
        <v>74</v>
      </c>
      <c r="B48" s="105"/>
      <c r="C48" s="105"/>
      <c r="D48" s="105"/>
      <c r="E48" s="105"/>
      <c r="F48" s="105"/>
    </row>
    <row r="51" spans="1:3" x14ac:dyDescent="0.25">
      <c r="A51" s="98" t="s">
        <v>273</v>
      </c>
      <c r="B51" s="98"/>
      <c r="C51" s="98"/>
    </row>
    <row r="52" spans="1:3" x14ac:dyDescent="0.25">
      <c r="A52" s="97" t="s">
        <v>274</v>
      </c>
      <c r="B52" s="97"/>
      <c r="C52" s="97"/>
    </row>
  </sheetData>
  <mergeCells count="23">
    <mergeCell ref="B46:D46"/>
    <mergeCell ref="A48:F48"/>
    <mergeCell ref="B41:D41"/>
    <mergeCell ref="B42:D42"/>
    <mergeCell ref="B43:D43"/>
    <mergeCell ref="B44:D44"/>
    <mergeCell ref="B45:D45"/>
    <mergeCell ref="A51:C51"/>
    <mergeCell ref="A1:F1"/>
    <mergeCell ref="A2:F2"/>
    <mergeCell ref="A3:F3"/>
    <mergeCell ref="A4:F4"/>
    <mergeCell ref="A6:F6"/>
    <mergeCell ref="A8:F8"/>
    <mergeCell ref="A11:F11"/>
    <mergeCell ref="A13:F13"/>
    <mergeCell ref="A15:F15"/>
    <mergeCell ref="A18:F18"/>
    <mergeCell ref="A23:F23"/>
    <mergeCell ref="A26:F26"/>
    <mergeCell ref="A28:F28"/>
    <mergeCell ref="A31:F31"/>
    <mergeCell ref="A35:F35"/>
  </mergeCells>
  <pageMargins left="0.75" right="0.75" top="1" bottom="1" header="0.511811023622047" footer="0.511811023622047"/>
  <pageSetup paperSize="9" orientation="portrait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50"/>
  <sheetViews>
    <sheetView showGridLines="0" zoomScaleNormal="100" workbookViewId="0">
      <pane ySplit="4" topLeftCell="A344" activePane="bottomLeft" state="frozen"/>
      <selection pane="bottomLeft" activeCell="F345" sqref="F345"/>
    </sheetView>
  </sheetViews>
  <sheetFormatPr baseColWidth="10" defaultColWidth="8.7109375" defaultRowHeight="15" x14ac:dyDescent="0.25"/>
  <cols>
    <col min="1" max="1" width="9" customWidth="1"/>
    <col min="2" max="2" width="46" customWidth="1"/>
    <col min="3" max="3" width="9" customWidth="1"/>
    <col min="4" max="4" width="12" customWidth="1"/>
    <col min="5" max="5" width="14" customWidth="1"/>
    <col min="6" max="7" width="15" customWidth="1"/>
    <col min="8" max="8" width="16" customWidth="1"/>
    <col min="9" max="9" width="2" customWidth="1"/>
  </cols>
  <sheetData>
    <row r="1" spans="1:8" ht="21.75" customHeight="1" x14ac:dyDescent="0.25">
      <c r="A1" s="99" t="s">
        <v>75</v>
      </c>
      <c r="B1" s="99"/>
      <c r="C1" s="99"/>
      <c r="D1" s="99"/>
      <c r="E1" s="99"/>
      <c r="F1" s="99"/>
      <c r="G1" s="99"/>
      <c r="H1" s="99"/>
    </row>
    <row r="2" spans="1:8" ht="18" customHeight="1" x14ac:dyDescent="0.25">
      <c r="A2" s="100" t="s">
        <v>1</v>
      </c>
      <c r="B2" s="100"/>
      <c r="C2" s="100"/>
      <c r="D2" s="100"/>
      <c r="E2" s="100"/>
      <c r="F2" s="100"/>
      <c r="G2" s="100"/>
      <c r="H2" s="100"/>
    </row>
    <row r="3" spans="1:8" ht="15.75" customHeight="1" x14ac:dyDescent="0.25">
      <c r="A3" s="101" t="s">
        <v>2</v>
      </c>
      <c r="B3" s="101"/>
      <c r="C3" s="101"/>
      <c r="D3" s="101"/>
      <c r="E3" s="101"/>
      <c r="F3" s="101"/>
      <c r="G3" s="101"/>
      <c r="H3" s="101"/>
    </row>
    <row r="5" spans="1:8" ht="25.5" customHeight="1" x14ac:dyDescent="0.25">
      <c r="A5" s="109" t="s">
        <v>76</v>
      </c>
      <c r="B5" s="109"/>
      <c r="C5" s="109"/>
      <c r="D5" s="109"/>
      <c r="E5" s="109"/>
      <c r="F5" s="109"/>
      <c r="G5" s="109"/>
      <c r="H5" s="109"/>
    </row>
    <row r="7" spans="1:8" ht="30" customHeight="1" x14ac:dyDescent="0.25">
      <c r="A7" s="19" t="s">
        <v>11</v>
      </c>
      <c r="B7" s="20" t="s">
        <v>12</v>
      </c>
      <c r="C7" s="19" t="s">
        <v>13</v>
      </c>
      <c r="D7" s="21">
        <v>65</v>
      </c>
      <c r="E7" s="22" t="s">
        <v>77</v>
      </c>
      <c r="F7" s="20"/>
      <c r="G7" s="20"/>
      <c r="H7" s="20"/>
    </row>
    <row r="8" spans="1:8" ht="24" x14ac:dyDescent="0.25">
      <c r="A8" s="23" t="s">
        <v>78</v>
      </c>
      <c r="B8" s="24" t="s">
        <v>79</v>
      </c>
      <c r="C8" s="24" t="s">
        <v>80</v>
      </c>
      <c r="D8" s="24" t="s">
        <v>81</v>
      </c>
      <c r="E8" s="24" t="s">
        <v>82</v>
      </c>
      <c r="F8" s="24" t="s">
        <v>83</v>
      </c>
      <c r="G8" s="24" t="s">
        <v>84</v>
      </c>
      <c r="H8" s="24" t="s">
        <v>85</v>
      </c>
    </row>
    <row r="9" spans="1:8" x14ac:dyDescent="0.25">
      <c r="A9" s="25"/>
      <c r="B9" s="25" t="s">
        <v>86</v>
      </c>
      <c r="C9" s="25" t="s">
        <v>13</v>
      </c>
      <c r="D9" s="26">
        <v>1</v>
      </c>
      <c r="E9" s="27">
        <v>1160.96</v>
      </c>
      <c r="F9" s="28">
        <f>D9*E9</f>
        <v>1160.96</v>
      </c>
      <c r="G9" s="26">
        <f>D9*$D$7</f>
        <v>65</v>
      </c>
      <c r="H9" s="28">
        <f>F9*$D$7</f>
        <v>75462.400000000009</v>
      </c>
    </row>
    <row r="10" spans="1:8" x14ac:dyDescent="0.25">
      <c r="A10" s="29"/>
      <c r="B10" s="29" t="s">
        <v>87</v>
      </c>
      <c r="C10" s="29"/>
      <c r="D10" s="29"/>
      <c r="E10" s="29"/>
      <c r="F10" s="30">
        <f>SUM(F9:F9)</f>
        <v>1160.96</v>
      </c>
      <c r="G10" s="29"/>
      <c r="H10" s="29"/>
    </row>
    <row r="11" spans="1:8" x14ac:dyDescent="0.25">
      <c r="A11" s="23" t="s">
        <v>88</v>
      </c>
      <c r="B11" s="31" t="s">
        <v>79</v>
      </c>
      <c r="C11" s="31" t="s">
        <v>80</v>
      </c>
      <c r="D11" s="31" t="s">
        <v>81</v>
      </c>
      <c r="E11" s="31" t="s">
        <v>82</v>
      </c>
      <c r="F11" s="31" t="s">
        <v>83</v>
      </c>
      <c r="G11" s="31" t="s">
        <v>84</v>
      </c>
      <c r="H11" s="31" t="s">
        <v>85</v>
      </c>
    </row>
    <row r="12" spans="1:8" x14ac:dyDescent="0.25">
      <c r="A12" s="25"/>
      <c r="B12" s="25" t="s">
        <v>89</v>
      </c>
      <c r="C12" s="25" t="s">
        <v>90</v>
      </c>
      <c r="D12" s="26">
        <v>2.69E-2</v>
      </c>
      <c r="E12" s="28">
        <f>'MANO DE OBRA'!$C$23</f>
        <v>169493.69431514584</v>
      </c>
      <c r="F12" s="28">
        <f>E12*D12</f>
        <v>4559.380377077423</v>
      </c>
      <c r="G12" s="26">
        <f>D12*$D$7</f>
        <v>1.7484999999999999</v>
      </c>
      <c r="H12" s="28">
        <f>F12*$D$7</f>
        <v>296359.72451003251</v>
      </c>
    </row>
    <row r="13" spans="1:8" x14ac:dyDescent="0.25">
      <c r="A13" s="25"/>
      <c r="B13" s="25" t="s">
        <v>91</v>
      </c>
      <c r="C13" s="25" t="s">
        <v>90</v>
      </c>
      <c r="D13" s="26">
        <v>2.69E-2</v>
      </c>
      <c r="E13" s="28">
        <f>'MANO DE OBRA'!$D$23</f>
        <v>126930.28226458334</v>
      </c>
      <c r="F13" s="28">
        <f>E13*D13</f>
        <v>3414.4245929172916</v>
      </c>
      <c r="G13" s="26">
        <f>D13*$D$7</f>
        <v>1.7484999999999999</v>
      </c>
      <c r="H13" s="28">
        <f>F13*$D$7</f>
        <v>221937.59853962396</v>
      </c>
    </row>
    <row r="14" spans="1:8" x14ac:dyDescent="0.25">
      <c r="A14" s="29"/>
      <c r="B14" s="29" t="s">
        <v>92</v>
      </c>
      <c r="C14" s="29"/>
      <c r="D14" s="29"/>
      <c r="E14" s="29"/>
      <c r="F14" s="30">
        <f>SUM(F12:F13)</f>
        <v>7973.8049699947151</v>
      </c>
      <c r="G14" s="29"/>
      <c r="H14" s="29"/>
    </row>
    <row r="15" spans="1:8" x14ac:dyDescent="0.25">
      <c r="A15" s="23" t="s">
        <v>93</v>
      </c>
      <c r="B15" s="31" t="s">
        <v>79</v>
      </c>
      <c r="C15" s="31" t="s">
        <v>80</v>
      </c>
      <c r="D15" s="31" t="s">
        <v>81</v>
      </c>
      <c r="E15" s="31" t="s">
        <v>82</v>
      </c>
      <c r="F15" s="31" t="s">
        <v>83</v>
      </c>
      <c r="G15" s="31" t="s">
        <v>84</v>
      </c>
      <c r="H15" s="31" t="s">
        <v>85</v>
      </c>
    </row>
    <row r="16" spans="1:8" x14ac:dyDescent="0.25">
      <c r="A16" s="25"/>
      <c r="B16" s="25" t="s">
        <v>94</v>
      </c>
      <c r="C16" s="25" t="s">
        <v>95</v>
      </c>
      <c r="D16" s="26">
        <v>1</v>
      </c>
      <c r="E16" s="28">
        <f>F14*0.03</f>
        <v>239.21414909984145</v>
      </c>
      <c r="F16" s="28">
        <f>E16*D16</f>
        <v>239.21414909984145</v>
      </c>
      <c r="G16" s="26">
        <f>D16*$D$7</f>
        <v>65</v>
      </c>
      <c r="H16" s="28">
        <f>F16*$D$7</f>
        <v>15548.919691489695</v>
      </c>
    </row>
    <row r="17" spans="1:8" x14ac:dyDescent="0.25">
      <c r="A17" s="25"/>
      <c r="B17" s="25" t="s">
        <v>96</v>
      </c>
      <c r="C17" s="25" t="s">
        <v>97</v>
      </c>
      <c r="D17" s="26">
        <v>8.5500000000000007E-2</v>
      </c>
      <c r="E17" s="32">
        <v>60000</v>
      </c>
      <c r="F17" s="28">
        <f>E17*D17</f>
        <v>5130</v>
      </c>
      <c r="G17" s="26">
        <f>D17*$D$7</f>
        <v>5.5575000000000001</v>
      </c>
      <c r="H17" s="28">
        <f>F17*$D$7</f>
        <v>333450</v>
      </c>
    </row>
    <row r="18" spans="1:8" x14ac:dyDescent="0.25">
      <c r="A18" s="29"/>
      <c r="B18" s="29" t="s">
        <v>98</v>
      </c>
      <c r="C18" s="29"/>
      <c r="D18" s="29"/>
      <c r="E18" s="29"/>
      <c r="F18" s="30">
        <f>SUM(F16:F17)</f>
        <v>5369.2141490998411</v>
      </c>
      <c r="G18" s="29"/>
      <c r="H18" s="29"/>
    </row>
    <row r="19" spans="1:8" x14ac:dyDescent="0.25">
      <c r="A19" s="33" t="s">
        <v>11</v>
      </c>
      <c r="B19" s="33" t="s">
        <v>99</v>
      </c>
      <c r="C19" s="33" t="s">
        <v>13</v>
      </c>
      <c r="D19" s="33"/>
      <c r="E19" s="33"/>
      <c r="F19" s="34">
        <f>F10+F14+F18</f>
        <v>14503.979119094554</v>
      </c>
      <c r="G19" s="33"/>
      <c r="H19" s="33"/>
    </row>
    <row r="20" spans="1:8" ht="15" customHeight="1" x14ac:dyDescent="0.25">
      <c r="B20" s="110" t="s">
        <v>100</v>
      </c>
      <c r="C20" s="110"/>
      <c r="D20" s="110"/>
      <c r="E20" s="110"/>
      <c r="F20" s="110"/>
      <c r="G20" s="110"/>
      <c r="H20" s="110"/>
    </row>
    <row r="22" spans="1:8" ht="30" customHeight="1" x14ac:dyDescent="0.25">
      <c r="A22" s="19" t="s">
        <v>15</v>
      </c>
      <c r="B22" s="20" t="s">
        <v>16</v>
      </c>
      <c r="C22" s="19" t="s">
        <v>13</v>
      </c>
      <c r="D22" s="21">
        <v>130</v>
      </c>
      <c r="E22" s="22" t="s">
        <v>77</v>
      </c>
      <c r="F22" s="20"/>
      <c r="G22" s="20"/>
      <c r="H22" s="20"/>
    </row>
    <row r="23" spans="1:8" ht="24" x14ac:dyDescent="0.25">
      <c r="A23" s="23" t="s">
        <v>78</v>
      </c>
      <c r="B23" s="24" t="s">
        <v>79</v>
      </c>
      <c r="C23" s="24" t="s">
        <v>80</v>
      </c>
      <c r="D23" s="24" t="s">
        <v>81</v>
      </c>
      <c r="E23" s="24" t="s">
        <v>82</v>
      </c>
      <c r="F23" s="24" t="s">
        <v>83</v>
      </c>
      <c r="G23" s="24" t="s">
        <v>84</v>
      </c>
      <c r="H23" s="24" t="s">
        <v>85</v>
      </c>
    </row>
    <row r="24" spans="1:8" x14ac:dyDescent="0.25">
      <c r="A24" s="25"/>
      <c r="B24" s="25" t="s">
        <v>101</v>
      </c>
      <c r="C24" s="25" t="s">
        <v>13</v>
      </c>
      <c r="D24" s="26">
        <v>1</v>
      </c>
      <c r="E24" s="27">
        <v>1280</v>
      </c>
      <c r="F24" s="28">
        <f>D24*E24</f>
        <v>1280</v>
      </c>
      <c r="G24" s="26">
        <f>D24*$D$22</f>
        <v>130</v>
      </c>
      <c r="H24" s="28">
        <f>F24*$D$22</f>
        <v>166400</v>
      </c>
    </row>
    <row r="25" spans="1:8" x14ac:dyDescent="0.25">
      <c r="A25" s="29"/>
      <c r="B25" s="29" t="s">
        <v>87</v>
      </c>
      <c r="C25" s="29"/>
      <c r="D25" s="29"/>
      <c r="E25" s="29"/>
      <c r="F25" s="30">
        <f>SUM(F24:F24)</f>
        <v>1280</v>
      </c>
      <c r="G25" s="29"/>
      <c r="H25" s="29"/>
    </row>
    <row r="26" spans="1:8" x14ac:dyDescent="0.25">
      <c r="A26" s="23" t="s">
        <v>88</v>
      </c>
      <c r="B26" s="31" t="s">
        <v>79</v>
      </c>
      <c r="C26" s="31" t="s">
        <v>80</v>
      </c>
      <c r="D26" s="31" t="s">
        <v>81</v>
      </c>
      <c r="E26" s="31" t="s">
        <v>82</v>
      </c>
      <c r="F26" s="31" t="s">
        <v>83</v>
      </c>
      <c r="G26" s="31" t="s">
        <v>84</v>
      </c>
      <c r="H26" s="31" t="s">
        <v>85</v>
      </c>
    </row>
    <row r="27" spans="1:8" x14ac:dyDescent="0.25">
      <c r="A27" s="25"/>
      <c r="B27" s="25" t="s">
        <v>89</v>
      </c>
      <c r="C27" s="25" t="s">
        <v>90</v>
      </c>
      <c r="D27" s="26">
        <v>1.6199999999999999E-2</v>
      </c>
      <c r="E27" s="28">
        <f>'MANO DE OBRA'!$C$23</f>
        <v>169493.69431514584</v>
      </c>
      <c r="F27" s="28">
        <f>E27*D27</f>
        <v>2745.7978479053622</v>
      </c>
      <c r="G27" s="26">
        <f>D27*$D$22</f>
        <v>2.1059999999999999</v>
      </c>
      <c r="H27" s="28">
        <f>F27*$D$22</f>
        <v>356953.72022769711</v>
      </c>
    </row>
    <row r="28" spans="1:8" x14ac:dyDescent="0.25">
      <c r="A28" s="25"/>
      <c r="B28" s="25" t="s">
        <v>91</v>
      </c>
      <c r="C28" s="25" t="s">
        <v>90</v>
      </c>
      <c r="D28" s="26">
        <v>1.6199999999999999E-2</v>
      </c>
      <c r="E28" s="28">
        <f>'MANO DE OBRA'!$D$23</f>
        <v>126930.28226458334</v>
      </c>
      <c r="F28" s="28">
        <f>E28*D28</f>
        <v>2056.27057268625</v>
      </c>
      <c r="G28" s="26">
        <f>D28*$D$22</f>
        <v>2.1059999999999999</v>
      </c>
      <c r="H28" s="28">
        <f>F28*$D$22</f>
        <v>267315.1744492125</v>
      </c>
    </row>
    <row r="29" spans="1:8" x14ac:dyDescent="0.25">
      <c r="A29" s="29"/>
      <c r="B29" s="29" t="s">
        <v>92</v>
      </c>
      <c r="C29" s="29"/>
      <c r="D29" s="29"/>
      <c r="E29" s="29"/>
      <c r="F29" s="30">
        <f>SUM(F27:F28)</f>
        <v>4802.0684205916123</v>
      </c>
      <c r="G29" s="29"/>
      <c r="H29" s="29"/>
    </row>
    <row r="30" spans="1:8" x14ac:dyDescent="0.25">
      <c r="A30" s="23" t="s">
        <v>93</v>
      </c>
      <c r="B30" s="31" t="s">
        <v>79</v>
      </c>
      <c r="C30" s="31" t="s">
        <v>80</v>
      </c>
      <c r="D30" s="31" t="s">
        <v>81</v>
      </c>
      <c r="E30" s="31" t="s">
        <v>82</v>
      </c>
      <c r="F30" s="31" t="s">
        <v>83</v>
      </c>
      <c r="G30" s="31" t="s">
        <v>84</v>
      </c>
      <c r="H30" s="31" t="s">
        <v>85</v>
      </c>
    </row>
    <row r="31" spans="1:8" x14ac:dyDescent="0.25">
      <c r="A31" s="25"/>
      <c r="B31" s="25" t="s">
        <v>94</v>
      </c>
      <c r="C31" s="25" t="s">
        <v>95</v>
      </c>
      <c r="D31" s="26">
        <v>1</v>
      </c>
      <c r="E31" s="28">
        <f>F29*0.03</f>
        <v>144.06205261774835</v>
      </c>
      <c r="F31" s="28">
        <f>E31*D31</f>
        <v>144.06205261774835</v>
      </c>
      <c r="G31" s="26">
        <f>D31*$D$22</f>
        <v>130</v>
      </c>
      <c r="H31" s="28">
        <f>F31*$D$22</f>
        <v>18728.066840307285</v>
      </c>
    </row>
    <row r="32" spans="1:8" x14ac:dyDescent="0.25">
      <c r="A32" s="25"/>
      <c r="B32" s="25" t="s">
        <v>102</v>
      </c>
      <c r="C32" s="25" t="s">
        <v>97</v>
      </c>
      <c r="D32" s="26">
        <v>0.15040000000000001</v>
      </c>
      <c r="E32" s="32">
        <v>65000</v>
      </c>
      <c r="F32" s="28">
        <f>E32*D32</f>
        <v>9776</v>
      </c>
      <c r="G32" s="26">
        <f>D32*$D$22</f>
        <v>19.552</v>
      </c>
      <c r="H32" s="28">
        <f>F32*$D$22</f>
        <v>1270880</v>
      </c>
    </row>
    <row r="33" spans="1:8" x14ac:dyDescent="0.25">
      <c r="A33" s="29"/>
      <c r="B33" s="29" t="s">
        <v>98</v>
      </c>
      <c r="C33" s="29"/>
      <c r="D33" s="29"/>
      <c r="E33" s="29"/>
      <c r="F33" s="30">
        <f>SUM(F31:F32)</f>
        <v>9920.0620526177481</v>
      </c>
      <c r="G33" s="29"/>
      <c r="H33" s="29"/>
    </row>
    <row r="34" spans="1:8" x14ac:dyDescent="0.25">
      <c r="A34" s="33" t="s">
        <v>15</v>
      </c>
      <c r="B34" s="33" t="s">
        <v>99</v>
      </c>
      <c r="C34" s="33" t="s">
        <v>13</v>
      </c>
      <c r="D34" s="33"/>
      <c r="E34" s="33"/>
      <c r="F34" s="34">
        <f>F25+F29+F33</f>
        <v>16002.130473209359</v>
      </c>
      <c r="G34" s="33"/>
      <c r="H34" s="33"/>
    </row>
    <row r="35" spans="1:8" ht="15" customHeight="1" x14ac:dyDescent="0.25">
      <c r="B35" s="110" t="s">
        <v>100</v>
      </c>
      <c r="C35" s="110"/>
      <c r="D35" s="110"/>
      <c r="E35" s="110"/>
      <c r="F35" s="110"/>
      <c r="G35" s="110"/>
      <c r="H35" s="110"/>
    </row>
    <row r="37" spans="1:8" ht="30" customHeight="1" x14ac:dyDescent="0.25">
      <c r="A37" s="19" t="s">
        <v>17</v>
      </c>
      <c r="B37" s="20" t="s">
        <v>18</v>
      </c>
      <c r="C37" s="19" t="s">
        <v>19</v>
      </c>
      <c r="D37" s="21">
        <v>16.2</v>
      </c>
      <c r="E37" s="22" t="s">
        <v>77</v>
      </c>
      <c r="F37" s="20"/>
      <c r="G37" s="20"/>
      <c r="H37" s="20"/>
    </row>
    <row r="38" spans="1:8" ht="24" x14ac:dyDescent="0.25">
      <c r="A38" s="23" t="s">
        <v>78</v>
      </c>
      <c r="B38" s="24" t="s">
        <v>79</v>
      </c>
      <c r="C38" s="24" t="s">
        <v>80</v>
      </c>
      <c r="D38" s="24" t="s">
        <v>81</v>
      </c>
      <c r="E38" s="24" t="s">
        <v>82</v>
      </c>
      <c r="F38" s="24" t="s">
        <v>83</v>
      </c>
      <c r="G38" s="24" t="s">
        <v>84</v>
      </c>
      <c r="H38" s="24" t="s">
        <v>85</v>
      </c>
    </row>
    <row r="39" spans="1:8" x14ac:dyDescent="0.25">
      <c r="A39" s="25"/>
      <c r="B39" s="25" t="s">
        <v>103</v>
      </c>
      <c r="C39" s="25" t="s">
        <v>19</v>
      </c>
      <c r="D39" s="26">
        <v>1</v>
      </c>
      <c r="E39" s="27">
        <v>7600</v>
      </c>
      <c r="F39" s="28">
        <f>D39*E39</f>
        <v>7600</v>
      </c>
      <c r="G39" s="26">
        <f>D39*$D$37</f>
        <v>16.2</v>
      </c>
      <c r="H39" s="28">
        <f>F39*$D$37</f>
        <v>123120</v>
      </c>
    </row>
    <row r="40" spans="1:8" x14ac:dyDescent="0.25">
      <c r="A40" s="29"/>
      <c r="B40" s="29" t="s">
        <v>87</v>
      </c>
      <c r="C40" s="29"/>
      <c r="D40" s="29"/>
      <c r="E40" s="29"/>
      <c r="F40" s="30">
        <f>SUM(F39:F39)</f>
        <v>7600</v>
      </c>
      <c r="G40" s="29"/>
      <c r="H40" s="29"/>
    </row>
    <row r="41" spans="1:8" x14ac:dyDescent="0.25">
      <c r="A41" s="23" t="s">
        <v>88</v>
      </c>
      <c r="B41" s="31" t="s">
        <v>79</v>
      </c>
      <c r="C41" s="31" t="s">
        <v>80</v>
      </c>
      <c r="D41" s="31" t="s">
        <v>81</v>
      </c>
      <c r="E41" s="31" t="s">
        <v>82</v>
      </c>
      <c r="F41" s="31" t="s">
        <v>83</v>
      </c>
      <c r="G41" s="31" t="s">
        <v>84</v>
      </c>
      <c r="H41" s="31" t="s">
        <v>85</v>
      </c>
    </row>
    <row r="42" spans="1:8" x14ac:dyDescent="0.25">
      <c r="A42" s="25"/>
      <c r="B42" s="25" t="s">
        <v>89</v>
      </c>
      <c r="C42" s="25" t="s">
        <v>90</v>
      </c>
      <c r="D42" s="26">
        <v>0.1149</v>
      </c>
      <c r="E42" s="28">
        <f>'MANO DE OBRA'!$C$23</f>
        <v>169493.69431514584</v>
      </c>
      <c r="F42" s="28">
        <f>E42*D42</f>
        <v>19474.825476810256</v>
      </c>
      <c r="G42" s="26">
        <f>D42*$D$37</f>
        <v>1.86138</v>
      </c>
      <c r="H42" s="28">
        <f>F42*$D$37</f>
        <v>315492.17272432614</v>
      </c>
    </row>
    <row r="43" spans="1:8" x14ac:dyDescent="0.25">
      <c r="A43" s="25"/>
      <c r="B43" s="25" t="s">
        <v>91</v>
      </c>
      <c r="C43" s="25" t="s">
        <v>90</v>
      </c>
      <c r="D43" s="26">
        <v>0.2298</v>
      </c>
      <c r="E43" s="28">
        <f>'MANO DE OBRA'!$D$23</f>
        <v>126930.28226458334</v>
      </c>
      <c r="F43" s="28">
        <f>E43*D43</f>
        <v>29168.57886440125</v>
      </c>
      <c r="G43" s="26">
        <f>D43*$D$37</f>
        <v>3.7227600000000001</v>
      </c>
      <c r="H43" s="28">
        <f>F43*$D$37</f>
        <v>472530.97760330024</v>
      </c>
    </row>
    <row r="44" spans="1:8" x14ac:dyDescent="0.25">
      <c r="A44" s="29"/>
      <c r="B44" s="29" t="s">
        <v>92</v>
      </c>
      <c r="C44" s="29"/>
      <c r="D44" s="29"/>
      <c r="E44" s="29"/>
      <c r="F44" s="30">
        <f>SUM(F42:F43)</f>
        <v>48643.404341211506</v>
      </c>
      <c r="G44" s="29"/>
      <c r="H44" s="29"/>
    </row>
    <row r="45" spans="1:8" x14ac:dyDescent="0.25">
      <c r="A45" s="23" t="s">
        <v>93</v>
      </c>
      <c r="B45" s="31" t="s">
        <v>79</v>
      </c>
      <c r="C45" s="31" t="s">
        <v>80</v>
      </c>
      <c r="D45" s="31" t="s">
        <v>81</v>
      </c>
      <c r="E45" s="31" t="s">
        <v>82</v>
      </c>
      <c r="F45" s="31" t="s">
        <v>83</v>
      </c>
      <c r="G45" s="31" t="s">
        <v>84</v>
      </c>
      <c r="H45" s="31" t="s">
        <v>85</v>
      </c>
    </row>
    <row r="46" spans="1:8" x14ac:dyDescent="0.25">
      <c r="A46" s="25"/>
      <c r="B46" s="25" t="s">
        <v>94</v>
      </c>
      <c r="C46" s="25" t="s">
        <v>95</v>
      </c>
      <c r="D46" s="26">
        <v>1</v>
      </c>
      <c r="E46" s="28">
        <f>F44*0.03</f>
        <v>1459.3021302363452</v>
      </c>
      <c r="F46" s="28">
        <f>E46*D46</f>
        <v>1459.3021302363452</v>
      </c>
      <c r="G46" s="26">
        <f>D46*$D$37</f>
        <v>16.2</v>
      </c>
      <c r="H46" s="28">
        <f>F46*$D$37</f>
        <v>23640.694509828791</v>
      </c>
    </row>
    <row r="47" spans="1:8" x14ac:dyDescent="0.25">
      <c r="A47" s="25"/>
      <c r="B47" s="25" t="s">
        <v>104</v>
      </c>
      <c r="C47" s="25" t="s">
        <v>97</v>
      </c>
      <c r="D47" s="26">
        <v>0.85729999999999995</v>
      </c>
      <c r="E47" s="32">
        <v>110000</v>
      </c>
      <c r="F47" s="28">
        <f>E47*D47</f>
        <v>94303</v>
      </c>
      <c r="G47" s="26">
        <f>D47*$D$37</f>
        <v>13.888259999999999</v>
      </c>
      <c r="H47" s="28">
        <f>F47*$D$37</f>
        <v>1527708.5999999999</v>
      </c>
    </row>
    <row r="48" spans="1:8" x14ac:dyDescent="0.25">
      <c r="A48" s="29"/>
      <c r="B48" s="29" t="s">
        <v>98</v>
      </c>
      <c r="C48" s="29"/>
      <c r="D48" s="29"/>
      <c r="E48" s="29"/>
      <c r="F48" s="30">
        <f>SUM(F46:F47)</f>
        <v>95762.302130236349</v>
      </c>
      <c r="G48" s="29"/>
      <c r="H48" s="29"/>
    </row>
    <row r="49" spans="1:8" x14ac:dyDescent="0.25">
      <c r="A49" s="33" t="s">
        <v>17</v>
      </c>
      <c r="B49" s="33" t="s">
        <v>99</v>
      </c>
      <c r="C49" s="33" t="s">
        <v>19</v>
      </c>
      <c r="D49" s="33"/>
      <c r="E49" s="33"/>
      <c r="F49" s="34">
        <f>F40+F44+F48</f>
        <v>152005.70647144786</v>
      </c>
      <c r="G49" s="33"/>
      <c r="H49" s="33"/>
    </row>
    <row r="50" spans="1:8" ht="15" customHeight="1" x14ac:dyDescent="0.25">
      <c r="B50" s="110" t="s">
        <v>100</v>
      </c>
      <c r="C50" s="110"/>
      <c r="D50" s="110"/>
      <c r="E50" s="110"/>
      <c r="F50" s="110"/>
      <c r="G50" s="110"/>
      <c r="H50" s="110"/>
    </row>
    <row r="52" spans="1:8" ht="30" customHeight="1" x14ac:dyDescent="0.25">
      <c r="A52" s="19" t="s">
        <v>21</v>
      </c>
      <c r="B52" s="20" t="s">
        <v>22</v>
      </c>
      <c r="C52" s="19" t="s">
        <v>19</v>
      </c>
      <c r="D52" s="21">
        <v>31.2</v>
      </c>
      <c r="E52" s="22" t="s">
        <v>77</v>
      </c>
      <c r="F52" s="20"/>
      <c r="G52" s="20"/>
      <c r="H52" s="20"/>
    </row>
    <row r="53" spans="1:8" ht="24" x14ac:dyDescent="0.25">
      <c r="A53" s="23" t="s">
        <v>78</v>
      </c>
      <c r="B53" s="24" t="s">
        <v>79</v>
      </c>
      <c r="C53" s="24" t="s">
        <v>80</v>
      </c>
      <c r="D53" s="24" t="s">
        <v>81</v>
      </c>
      <c r="E53" s="24" t="s">
        <v>82</v>
      </c>
      <c r="F53" s="24" t="s">
        <v>83</v>
      </c>
      <c r="G53" s="24" t="s">
        <v>84</v>
      </c>
      <c r="H53" s="24" t="s">
        <v>85</v>
      </c>
    </row>
    <row r="54" spans="1:8" x14ac:dyDescent="0.25">
      <c r="A54" s="35"/>
      <c r="B54" s="35" t="s">
        <v>105</v>
      </c>
      <c r="C54" s="35" t="s">
        <v>106</v>
      </c>
      <c r="D54" s="35" t="s">
        <v>106</v>
      </c>
      <c r="E54" s="35" t="s">
        <v>106</v>
      </c>
      <c r="F54" s="35" t="s">
        <v>106</v>
      </c>
      <c r="G54" s="35" t="s">
        <v>106</v>
      </c>
      <c r="H54" s="35" t="s">
        <v>106</v>
      </c>
    </row>
    <row r="55" spans="1:8" x14ac:dyDescent="0.25">
      <c r="A55" s="29"/>
      <c r="B55" s="29" t="s">
        <v>87</v>
      </c>
      <c r="C55" s="29"/>
      <c r="D55" s="29"/>
      <c r="E55" s="29"/>
      <c r="F55" s="30">
        <f>SUM(F54:F54)</f>
        <v>0</v>
      </c>
      <c r="G55" s="29"/>
      <c r="H55" s="29"/>
    </row>
    <row r="56" spans="1:8" x14ac:dyDescent="0.25">
      <c r="A56" s="23" t="s">
        <v>88</v>
      </c>
      <c r="B56" s="31" t="s">
        <v>79</v>
      </c>
      <c r="C56" s="31" t="s">
        <v>80</v>
      </c>
      <c r="D56" s="31" t="s">
        <v>81</v>
      </c>
      <c r="E56" s="31" t="s">
        <v>82</v>
      </c>
      <c r="F56" s="31" t="s">
        <v>83</v>
      </c>
      <c r="G56" s="31" t="s">
        <v>84</v>
      </c>
      <c r="H56" s="31" t="s">
        <v>85</v>
      </c>
    </row>
    <row r="57" spans="1:8" x14ac:dyDescent="0.25">
      <c r="A57" s="25"/>
      <c r="B57" s="25" t="s">
        <v>89</v>
      </c>
      <c r="C57" s="25" t="s">
        <v>90</v>
      </c>
      <c r="D57" s="26">
        <v>4.1500000000000002E-2</v>
      </c>
      <c r="E57" s="28">
        <f>'MANO DE OBRA'!$C$23</f>
        <v>169493.69431514584</v>
      </c>
      <c r="F57" s="28">
        <f>E57*D57</f>
        <v>7033.9883140785523</v>
      </c>
      <c r="G57" s="26">
        <f>D57*$D$52</f>
        <v>1.2948</v>
      </c>
      <c r="H57" s="28">
        <f>F57*$D$52</f>
        <v>219460.43539925083</v>
      </c>
    </row>
    <row r="58" spans="1:8" x14ac:dyDescent="0.25">
      <c r="A58" s="25"/>
      <c r="B58" s="25" t="s">
        <v>91</v>
      </c>
      <c r="C58" s="25" t="s">
        <v>90</v>
      </c>
      <c r="D58" s="26">
        <v>8.3099999999999993E-2</v>
      </c>
      <c r="E58" s="28">
        <f>'MANO DE OBRA'!$D$23</f>
        <v>126930.28226458334</v>
      </c>
      <c r="F58" s="28">
        <f>E58*D58</f>
        <v>10547.906456186874</v>
      </c>
      <c r="G58" s="26">
        <f>D58*$D$52</f>
        <v>2.5927199999999999</v>
      </c>
      <c r="H58" s="28">
        <f>F58*$D$52</f>
        <v>329094.68143303046</v>
      </c>
    </row>
    <row r="59" spans="1:8" x14ac:dyDescent="0.25">
      <c r="A59" s="29"/>
      <c r="B59" s="29" t="s">
        <v>92</v>
      </c>
      <c r="C59" s="29"/>
      <c r="D59" s="29"/>
      <c r="E59" s="29"/>
      <c r="F59" s="30">
        <f>SUM(F57:F58)</f>
        <v>17581.894770265426</v>
      </c>
      <c r="G59" s="29"/>
      <c r="H59" s="29"/>
    </row>
    <row r="60" spans="1:8" x14ac:dyDescent="0.25">
      <c r="A60" s="23" t="s">
        <v>93</v>
      </c>
      <c r="B60" s="31" t="s">
        <v>79</v>
      </c>
      <c r="C60" s="31" t="s">
        <v>80</v>
      </c>
      <c r="D60" s="31" t="s">
        <v>81</v>
      </c>
      <c r="E60" s="31" t="s">
        <v>82</v>
      </c>
      <c r="F60" s="31" t="s">
        <v>83</v>
      </c>
      <c r="G60" s="31" t="s">
        <v>84</v>
      </c>
      <c r="H60" s="31" t="s">
        <v>85</v>
      </c>
    </row>
    <row r="61" spans="1:8" x14ac:dyDescent="0.25">
      <c r="A61" s="25"/>
      <c r="B61" s="25" t="s">
        <v>94</v>
      </c>
      <c r="C61" s="25" t="s">
        <v>95</v>
      </c>
      <c r="D61" s="26">
        <v>1</v>
      </c>
      <c r="E61" s="28">
        <f>F59*0.03</f>
        <v>527.45684310796275</v>
      </c>
      <c r="F61" s="28">
        <f>E61*D61</f>
        <v>527.45684310796275</v>
      </c>
      <c r="G61" s="26">
        <f>D61*$D$52</f>
        <v>31.2</v>
      </c>
      <c r="H61" s="28">
        <f>F61*$D$52</f>
        <v>16456.653504968439</v>
      </c>
    </row>
    <row r="62" spans="1:8" x14ac:dyDescent="0.25">
      <c r="A62" s="25"/>
      <c r="B62" s="25" t="s">
        <v>107</v>
      </c>
      <c r="C62" s="25" t="s">
        <v>97</v>
      </c>
      <c r="D62" s="26">
        <v>0.2077</v>
      </c>
      <c r="E62" s="32">
        <v>195000</v>
      </c>
      <c r="F62" s="28">
        <f>E62*D62</f>
        <v>40501.5</v>
      </c>
      <c r="G62" s="26">
        <f>D62*$D$52</f>
        <v>6.4802399999999993</v>
      </c>
      <c r="H62" s="28">
        <f>F62*$D$52</f>
        <v>1263646.8</v>
      </c>
    </row>
    <row r="63" spans="1:8" x14ac:dyDescent="0.25">
      <c r="A63" s="29"/>
      <c r="B63" s="29" t="s">
        <v>98</v>
      </c>
      <c r="C63" s="29"/>
      <c r="D63" s="29"/>
      <c r="E63" s="29"/>
      <c r="F63" s="30">
        <f>SUM(F61:F62)</f>
        <v>41028.956843107961</v>
      </c>
      <c r="G63" s="29"/>
      <c r="H63" s="29"/>
    </row>
    <row r="64" spans="1:8" x14ac:dyDescent="0.25">
      <c r="A64" s="33" t="s">
        <v>21</v>
      </c>
      <c r="B64" s="33" t="s">
        <v>99</v>
      </c>
      <c r="C64" s="33" t="s">
        <v>19</v>
      </c>
      <c r="D64" s="33"/>
      <c r="E64" s="33"/>
      <c r="F64" s="34">
        <f>F55+F59+F63</f>
        <v>58610.851613373386</v>
      </c>
      <c r="G64" s="33"/>
      <c r="H64" s="33"/>
    </row>
    <row r="65" spans="1:8" ht="15" customHeight="1" x14ac:dyDescent="0.25">
      <c r="B65" s="110" t="s">
        <v>100</v>
      </c>
      <c r="C65" s="110"/>
      <c r="D65" s="110"/>
      <c r="E65" s="110"/>
      <c r="F65" s="110"/>
      <c r="G65" s="110"/>
      <c r="H65" s="110"/>
    </row>
    <row r="67" spans="1:8" ht="30" customHeight="1" x14ac:dyDescent="0.25">
      <c r="A67" s="19" t="s">
        <v>24</v>
      </c>
      <c r="B67" s="20" t="s">
        <v>25</v>
      </c>
      <c r="C67" s="19" t="s">
        <v>19</v>
      </c>
      <c r="D67" s="21">
        <v>31.2</v>
      </c>
      <c r="E67" s="22" t="s">
        <v>77</v>
      </c>
      <c r="F67" s="20"/>
      <c r="G67" s="20"/>
      <c r="H67" s="20"/>
    </row>
    <row r="68" spans="1:8" ht="24" x14ac:dyDescent="0.25">
      <c r="A68" s="23" t="s">
        <v>78</v>
      </c>
      <c r="B68" s="24" t="s">
        <v>79</v>
      </c>
      <c r="C68" s="24" t="s">
        <v>80</v>
      </c>
      <c r="D68" s="24" t="s">
        <v>81</v>
      </c>
      <c r="E68" s="24" t="s">
        <v>82</v>
      </c>
      <c r="F68" s="24" t="s">
        <v>83</v>
      </c>
      <c r="G68" s="24" t="s">
        <v>84</v>
      </c>
      <c r="H68" s="24" t="s">
        <v>85</v>
      </c>
    </row>
    <row r="69" spans="1:8" x14ac:dyDescent="0.25">
      <c r="A69" s="35"/>
      <c r="B69" s="35" t="s">
        <v>105</v>
      </c>
      <c r="C69" s="35" t="s">
        <v>106</v>
      </c>
      <c r="D69" s="35" t="s">
        <v>106</v>
      </c>
      <c r="E69" s="35" t="s">
        <v>106</v>
      </c>
      <c r="F69" s="35" t="s">
        <v>106</v>
      </c>
      <c r="G69" s="35" t="s">
        <v>106</v>
      </c>
      <c r="H69" s="35" t="s">
        <v>106</v>
      </c>
    </row>
    <row r="70" spans="1:8" x14ac:dyDescent="0.25">
      <c r="A70" s="29"/>
      <c r="B70" s="29" t="s">
        <v>87</v>
      </c>
      <c r="C70" s="29"/>
      <c r="D70" s="29"/>
      <c r="E70" s="29"/>
      <c r="F70" s="30">
        <f>SUM(F69:F69)</f>
        <v>0</v>
      </c>
      <c r="G70" s="29"/>
      <c r="H70" s="29"/>
    </row>
    <row r="71" spans="1:8" x14ac:dyDescent="0.25">
      <c r="A71" s="23" t="s">
        <v>88</v>
      </c>
      <c r="B71" s="31" t="s">
        <v>79</v>
      </c>
      <c r="C71" s="31" t="s">
        <v>80</v>
      </c>
      <c r="D71" s="31" t="s">
        <v>81</v>
      </c>
      <c r="E71" s="31" t="s">
        <v>82</v>
      </c>
      <c r="F71" s="31" t="s">
        <v>83</v>
      </c>
      <c r="G71" s="31" t="s">
        <v>84</v>
      </c>
      <c r="H71" s="31" t="s">
        <v>85</v>
      </c>
    </row>
    <row r="72" spans="1:8" x14ac:dyDescent="0.25">
      <c r="A72" s="25"/>
      <c r="B72" s="25" t="s">
        <v>89</v>
      </c>
      <c r="C72" s="25" t="s">
        <v>90</v>
      </c>
      <c r="D72" s="26">
        <v>3.3799999999999997E-2</v>
      </c>
      <c r="E72" s="28">
        <f>'MANO DE OBRA'!$C$23</f>
        <v>169493.69431514584</v>
      </c>
      <c r="F72" s="28">
        <f>E72*D72</f>
        <v>5728.8868678519284</v>
      </c>
      <c r="G72" s="26">
        <f>D72*$D$67</f>
        <v>1.0545599999999999</v>
      </c>
      <c r="H72" s="28">
        <f>F72*$D$67</f>
        <v>178741.27027698015</v>
      </c>
    </row>
    <row r="73" spans="1:8" x14ac:dyDescent="0.25">
      <c r="A73" s="25"/>
      <c r="B73" s="25" t="s">
        <v>91</v>
      </c>
      <c r="C73" s="25" t="s">
        <v>90</v>
      </c>
      <c r="D73" s="26">
        <v>6.7599999999999993E-2</v>
      </c>
      <c r="E73" s="28">
        <f>'MANO DE OBRA'!$D$23</f>
        <v>126930.28226458334</v>
      </c>
      <c r="F73" s="28">
        <f>E73*D73</f>
        <v>8580.487081085832</v>
      </c>
      <c r="G73" s="26">
        <f>D73*$D$67</f>
        <v>2.1091199999999999</v>
      </c>
      <c r="H73" s="28">
        <f>F73*$D$67</f>
        <v>267711.19692987797</v>
      </c>
    </row>
    <row r="74" spans="1:8" x14ac:dyDescent="0.25">
      <c r="A74" s="29"/>
      <c r="B74" s="29" t="s">
        <v>92</v>
      </c>
      <c r="C74" s="29"/>
      <c r="D74" s="29"/>
      <c r="E74" s="29"/>
      <c r="F74" s="30">
        <f>SUM(F72:F73)</f>
        <v>14309.37394893776</v>
      </c>
      <c r="G74" s="29"/>
      <c r="H74" s="29"/>
    </row>
    <row r="75" spans="1:8" x14ac:dyDescent="0.25">
      <c r="A75" s="23" t="s">
        <v>93</v>
      </c>
      <c r="B75" s="31" t="s">
        <v>79</v>
      </c>
      <c r="C75" s="31" t="s">
        <v>80</v>
      </c>
      <c r="D75" s="31" t="s">
        <v>81</v>
      </c>
      <c r="E75" s="31" t="s">
        <v>82</v>
      </c>
      <c r="F75" s="31" t="s">
        <v>83</v>
      </c>
      <c r="G75" s="31" t="s">
        <v>84</v>
      </c>
      <c r="H75" s="31" t="s">
        <v>85</v>
      </c>
    </row>
    <row r="76" spans="1:8" x14ac:dyDescent="0.25">
      <c r="A76" s="25"/>
      <c r="B76" s="25" t="s">
        <v>94</v>
      </c>
      <c r="C76" s="25" t="s">
        <v>95</v>
      </c>
      <c r="D76" s="26">
        <v>1</v>
      </c>
      <c r="E76" s="28">
        <f>F74*0.03</f>
        <v>429.28121846813281</v>
      </c>
      <c r="F76" s="28">
        <f>E76*D76</f>
        <v>429.28121846813281</v>
      </c>
      <c r="G76" s="26">
        <f>D76*$D$67</f>
        <v>31.2</v>
      </c>
      <c r="H76" s="28">
        <f>F76*$D$67</f>
        <v>13393.574016205743</v>
      </c>
    </row>
    <row r="77" spans="1:8" x14ac:dyDescent="0.25">
      <c r="A77" s="25"/>
      <c r="B77" s="25" t="s">
        <v>108</v>
      </c>
      <c r="C77" s="25" t="s">
        <v>97</v>
      </c>
      <c r="D77" s="26">
        <v>0.5292</v>
      </c>
      <c r="E77" s="32">
        <v>95000</v>
      </c>
      <c r="F77" s="28">
        <f>E77*D77</f>
        <v>50274</v>
      </c>
      <c r="G77" s="26">
        <f>D77*$D$67</f>
        <v>16.511040000000001</v>
      </c>
      <c r="H77" s="28">
        <f>F77*$D$67</f>
        <v>1568548.8</v>
      </c>
    </row>
    <row r="78" spans="1:8" x14ac:dyDescent="0.25">
      <c r="A78" s="29"/>
      <c r="B78" s="29" t="s">
        <v>98</v>
      </c>
      <c r="C78" s="29"/>
      <c r="D78" s="29"/>
      <c r="E78" s="29"/>
      <c r="F78" s="30">
        <f>SUM(F76:F77)</f>
        <v>50703.281218468132</v>
      </c>
      <c r="G78" s="29"/>
      <c r="H78" s="29"/>
    </row>
    <row r="79" spans="1:8" x14ac:dyDescent="0.25">
      <c r="A79" s="33" t="s">
        <v>24</v>
      </c>
      <c r="B79" s="33" t="s">
        <v>99</v>
      </c>
      <c r="C79" s="33" t="s">
        <v>19</v>
      </c>
      <c r="D79" s="33"/>
      <c r="E79" s="33"/>
      <c r="F79" s="34">
        <f>F70+F74+F78</f>
        <v>65012.655167405894</v>
      </c>
      <c r="G79" s="33"/>
      <c r="H79" s="33"/>
    </row>
    <row r="80" spans="1:8" ht="15" customHeight="1" x14ac:dyDescent="0.25">
      <c r="B80" s="110" t="s">
        <v>100</v>
      </c>
      <c r="C80" s="110"/>
      <c r="D80" s="110"/>
      <c r="E80" s="110"/>
      <c r="F80" s="110"/>
      <c r="G80" s="110"/>
      <c r="H80" s="110"/>
    </row>
    <row r="82" spans="1:8" ht="30" customHeight="1" x14ac:dyDescent="0.25">
      <c r="A82" s="19" t="s">
        <v>27</v>
      </c>
      <c r="B82" s="20" t="s">
        <v>28</v>
      </c>
      <c r="C82" s="19" t="s">
        <v>19</v>
      </c>
      <c r="D82" s="21">
        <v>31.2</v>
      </c>
      <c r="E82" s="22" t="s">
        <v>77</v>
      </c>
      <c r="F82" s="20"/>
      <c r="G82" s="20"/>
      <c r="H82" s="20"/>
    </row>
    <row r="83" spans="1:8" ht="24" x14ac:dyDescent="0.25">
      <c r="A83" s="23" t="s">
        <v>78</v>
      </c>
      <c r="B83" s="24" t="s">
        <v>79</v>
      </c>
      <c r="C83" s="24" t="s">
        <v>80</v>
      </c>
      <c r="D83" s="24" t="s">
        <v>81</v>
      </c>
      <c r="E83" s="24" t="s">
        <v>82</v>
      </c>
      <c r="F83" s="24" t="s">
        <v>83</v>
      </c>
      <c r="G83" s="24" t="s">
        <v>84</v>
      </c>
      <c r="H83" s="24" t="s">
        <v>85</v>
      </c>
    </row>
    <row r="84" spans="1:8" x14ac:dyDescent="0.25">
      <c r="A84" s="25"/>
      <c r="B84" s="25" t="s">
        <v>109</v>
      </c>
      <c r="C84" s="25" t="s">
        <v>19</v>
      </c>
      <c r="D84" s="26">
        <v>1</v>
      </c>
      <c r="E84" s="27">
        <v>110595.6</v>
      </c>
      <c r="F84" s="28">
        <f>D84*E84</f>
        <v>110595.6</v>
      </c>
      <c r="G84" s="26">
        <f>D84*$D$82</f>
        <v>31.2</v>
      </c>
      <c r="H84" s="28">
        <f>F84*$D$82</f>
        <v>3450582.72</v>
      </c>
    </row>
    <row r="85" spans="1:8" x14ac:dyDescent="0.25">
      <c r="A85" s="29"/>
      <c r="B85" s="29" t="s">
        <v>87</v>
      </c>
      <c r="C85" s="29"/>
      <c r="D85" s="29"/>
      <c r="E85" s="29"/>
      <c r="F85" s="30">
        <f>SUM(F84:F84)</f>
        <v>110595.6</v>
      </c>
      <c r="G85" s="29"/>
      <c r="H85" s="29"/>
    </row>
    <row r="86" spans="1:8" x14ac:dyDescent="0.25">
      <c r="A86" s="23" t="s">
        <v>88</v>
      </c>
      <c r="B86" s="31" t="s">
        <v>79</v>
      </c>
      <c r="C86" s="31" t="s">
        <v>80</v>
      </c>
      <c r="D86" s="31" t="s">
        <v>81</v>
      </c>
      <c r="E86" s="31" t="s">
        <v>82</v>
      </c>
      <c r="F86" s="31" t="s">
        <v>83</v>
      </c>
      <c r="G86" s="31" t="s">
        <v>84</v>
      </c>
      <c r="H86" s="31" t="s">
        <v>85</v>
      </c>
    </row>
    <row r="87" spans="1:8" x14ac:dyDescent="0.25">
      <c r="A87" s="25"/>
      <c r="B87" s="25" t="s">
        <v>89</v>
      </c>
      <c r="C87" s="25" t="s">
        <v>90</v>
      </c>
      <c r="D87" s="26">
        <v>7.9100000000000004E-2</v>
      </c>
      <c r="E87" s="28">
        <f>'MANO DE OBRA'!$C$23</f>
        <v>169493.69431514584</v>
      </c>
      <c r="F87" s="28">
        <f>E87*D87</f>
        <v>13406.951220328037</v>
      </c>
      <c r="G87" s="26">
        <f>D87*$D$82</f>
        <v>2.4679199999999999</v>
      </c>
      <c r="H87" s="28">
        <f>F87*$D$82</f>
        <v>418296.87807423476</v>
      </c>
    </row>
    <row r="88" spans="1:8" x14ac:dyDescent="0.25">
      <c r="A88" s="25"/>
      <c r="B88" s="25" t="s">
        <v>91</v>
      </c>
      <c r="C88" s="25" t="s">
        <v>90</v>
      </c>
      <c r="D88" s="26">
        <v>0.15820000000000001</v>
      </c>
      <c r="E88" s="28">
        <f>'MANO DE OBRA'!$D$23</f>
        <v>126930.28226458334</v>
      </c>
      <c r="F88" s="28">
        <f>E88*D88</f>
        <v>20080.370654257084</v>
      </c>
      <c r="G88" s="26">
        <f>D88*$D$82</f>
        <v>4.9358399999999998</v>
      </c>
      <c r="H88" s="28">
        <f>F88*$D$82</f>
        <v>626507.56441282097</v>
      </c>
    </row>
    <row r="89" spans="1:8" x14ac:dyDescent="0.25">
      <c r="A89" s="29"/>
      <c r="B89" s="29" t="s">
        <v>92</v>
      </c>
      <c r="C89" s="29"/>
      <c r="D89" s="29"/>
      <c r="E89" s="29"/>
      <c r="F89" s="30">
        <f>SUM(F87:F88)</f>
        <v>33487.321874585119</v>
      </c>
      <c r="G89" s="29"/>
      <c r="H89" s="29"/>
    </row>
    <row r="90" spans="1:8" x14ac:dyDescent="0.25">
      <c r="A90" s="23" t="s">
        <v>93</v>
      </c>
      <c r="B90" s="31" t="s">
        <v>79</v>
      </c>
      <c r="C90" s="31" t="s">
        <v>80</v>
      </c>
      <c r="D90" s="31" t="s">
        <v>81</v>
      </c>
      <c r="E90" s="31" t="s">
        <v>82</v>
      </c>
      <c r="F90" s="31" t="s">
        <v>83</v>
      </c>
      <c r="G90" s="31" t="s">
        <v>84</v>
      </c>
      <c r="H90" s="31" t="s">
        <v>85</v>
      </c>
    </row>
    <row r="91" spans="1:8" x14ac:dyDescent="0.25">
      <c r="A91" s="25"/>
      <c r="B91" s="25" t="s">
        <v>94</v>
      </c>
      <c r="C91" s="25" t="s">
        <v>95</v>
      </c>
      <c r="D91" s="26">
        <v>1</v>
      </c>
      <c r="E91" s="28">
        <f>F89*0.03</f>
        <v>1004.6196562375535</v>
      </c>
      <c r="F91" s="28">
        <f>E91*D91</f>
        <v>1004.6196562375535</v>
      </c>
      <c r="G91" s="26">
        <f>D91*$D$82</f>
        <v>31.2</v>
      </c>
      <c r="H91" s="28">
        <f>F91*$D$82</f>
        <v>31344.133274611668</v>
      </c>
    </row>
    <row r="92" spans="1:8" x14ac:dyDescent="0.25">
      <c r="A92" s="25"/>
      <c r="B92" s="25" t="s">
        <v>110</v>
      </c>
      <c r="C92" s="25" t="s">
        <v>97</v>
      </c>
      <c r="D92" s="26">
        <v>0.9093</v>
      </c>
      <c r="E92" s="32">
        <v>45000</v>
      </c>
      <c r="F92" s="28">
        <f>E92*D92</f>
        <v>40918.5</v>
      </c>
      <c r="G92" s="26">
        <f>D92*$D$82</f>
        <v>28.370159999999998</v>
      </c>
      <c r="H92" s="28">
        <f>F92*$D$82</f>
        <v>1276657.2</v>
      </c>
    </row>
    <row r="93" spans="1:8" x14ac:dyDescent="0.25">
      <c r="A93" s="29"/>
      <c r="B93" s="29" t="s">
        <v>98</v>
      </c>
      <c r="C93" s="29"/>
      <c r="D93" s="29"/>
      <c r="E93" s="29"/>
      <c r="F93" s="30">
        <f>SUM(F91:F92)</f>
        <v>41923.119656237555</v>
      </c>
      <c r="G93" s="29"/>
      <c r="H93" s="29"/>
    </row>
    <row r="94" spans="1:8" x14ac:dyDescent="0.25">
      <c r="A94" s="33" t="s">
        <v>27</v>
      </c>
      <c r="B94" s="33" t="s">
        <v>99</v>
      </c>
      <c r="C94" s="33" t="s">
        <v>19</v>
      </c>
      <c r="D94" s="33"/>
      <c r="E94" s="33"/>
      <c r="F94" s="34">
        <f>F85+F89+F93</f>
        <v>186006.04153082269</v>
      </c>
      <c r="G94" s="33"/>
      <c r="H94" s="33"/>
    </row>
    <row r="95" spans="1:8" ht="15" customHeight="1" x14ac:dyDescent="0.25">
      <c r="B95" s="110" t="s">
        <v>100</v>
      </c>
      <c r="C95" s="110"/>
      <c r="D95" s="110"/>
      <c r="E95" s="110"/>
      <c r="F95" s="110"/>
      <c r="G95" s="110"/>
      <c r="H95" s="110"/>
    </row>
    <row r="97" spans="1:8" ht="30" customHeight="1" x14ac:dyDescent="0.25">
      <c r="A97" s="19" t="s">
        <v>29</v>
      </c>
      <c r="B97" s="20" t="s">
        <v>30</v>
      </c>
      <c r="C97" s="19" t="s">
        <v>19</v>
      </c>
      <c r="D97" s="21">
        <v>16</v>
      </c>
      <c r="E97" s="22" t="s">
        <v>77</v>
      </c>
      <c r="F97" s="20"/>
      <c r="G97" s="20"/>
      <c r="H97" s="20"/>
    </row>
    <row r="98" spans="1:8" ht="24" x14ac:dyDescent="0.25">
      <c r="A98" s="23" t="s">
        <v>78</v>
      </c>
      <c r="B98" s="24" t="s">
        <v>79</v>
      </c>
      <c r="C98" s="24" t="s">
        <v>80</v>
      </c>
      <c r="D98" s="24" t="s">
        <v>81</v>
      </c>
      <c r="E98" s="24" t="s">
        <v>82</v>
      </c>
      <c r="F98" s="24" t="s">
        <v>83</v>
      </c>
      <c r="G98" s="24" t="s">
        <v>84</v>
      </c>
      <c r="H98" s="24" t="s">
        <v>85</v>
      </c>
    </row>
    <row r="99" spans="1:8" x14ac:dyDescent="0.25">
      <c r="A99" s="25"/>
      <c r="B99" s="25" t="s">
        <v>111</v>
      </c>
      <c r="C99" s="25" t="s">
        <v>19</v>
      </c>
      <c r="D99" s="26">
        <v>1</v>
      </c>
      <c r="E99" s="27">
        <v>121893</v>
      </c>
      <c r="F99" s="28">
        <f>D99*E99</f>
        <v>121893</v>
      </c>
      <c r="G99" s="26">
        <f>D99*$D$97</f>
        <v>16</v>
      </c>
      <c r="H99" s="28">
        <f>F99*$D$97</f>
        <v>1950288</v>
      </c>
    </row>
    <row r="100" spans="1:8" x14ac:dyDescent="0.25">
      <c r="A100" s="29"/>
      <c r="B100" s="29" t="s">
        <v>87</v>
      </c>
      <c r="C100" s="29"/>
      <c r="D100" s="29"/>
      <c r="E100" s="29"/>
      <c r="F100" s="30">
        <f>SUM(F99:F99)</f>
        <v>121893</v>
      </c>
      <c r="G100" s="29"/>
      <c r="H100" s="29"/>
    </row>
    <row r="101" spans="1:8" x14ac:dyDescent="0.25">
      <c r="A101" s="23" t="s">
        <v>88</v>
      </c>
      <c r="B101" s="31" t="s">
        <v>79</v>
      </c>
      <c r="C101" s="31" t="s">
        <v>80</v>
      </c>
      <c r="D101" s="31" t="s">
        <v>81</v>
      </c>
      <c r="E101" s="31" t="s">
        <v>82</v>
      </c>
      <c r="F101" s="31" t="s">
        <v>83</v>
      </c>
      <c r="G101" s="31" t="s">
        <v>84</v>
      </c>
      <c r="H101" s="31" t="s">
        <v>85</v>
      </c>
    </row>
    <row r="102" spans="1:8" x14ac:dyDescent="0.25">
      <c r="A102" s="25"/>
      <c r="B102" s="25" t="s">
        <v>89</v>
      </c>
      <c r="C102" s="25" t="s">
        <v>90</v>
      </c>
      <c r="D102" s="26">
        <v>8.72E-2</v>
      </c>
      <c r="E102" s="28">
        <f>'MANO DE OBRA'!$C$23</f>
        <v>169493.69431514584</v>
      </c>
      <c r="F102" s="28">
        <f>E102*D102</f>
        <v>14779.850144280717</v>
      </c>
      <c r="G102" s="26">
        <f>D102*$D$97</f>
        <v>1.3952</v>
      </c>
      <c r="H102" s="28">
        <f>F102*$D$97</f>
        <v>236477.60230849148</v>
      </c>
    </row>
    <row r="103" spans="1:8" x14ac:dyDescent="0.25">
      <c r="A103" s="25"/>
      <c r="B103" s="25" t="s">
        <v>91</v>
      </c>
      <c r="C103" s="25" t="s">
        <v>90</v>
      </c>
      <c r="D103" s="26">
        <v>0.17430000000000001</v>
      </c>
      <c r="E103" s="28">
        <f>'MANO DE OBRA'!$D$23</f>
        <v>126930.28226458334</v>
      </c>
      <c r="F103" s="28">
        <f>E103*D103</f>
        <v>22123.948198716877</v>
      </c>
      <c r="G103" s="26">
        <f>D103*$D$97</f>
        <v>2.7888000000000002</v>
      </c>
      <c r="H103" s="28">
        <f>F103*$D$97</f>
        <v>353983.17117947002</v>
      </c>
    </row>
    <row r="104" spans="1:8" x14ac:dyDescent="0.25">
      <c r="A104" s="29"/>
      <c r="B104" s="29" t="s">
        <v>92</v>
      </c>
      <c r="C104" s="29"/>
      <c r="D104" s="29"/>
      <c r="E104" s="29"/>
      <c r="F104" s="30">
        <f>SUM(F102:F103)</f>
        <v>36903.798342997594</v>
      </c>
      <c r="G104" s="29"/>
      <c r="H104" s="29"/>
    </row>
    <row r="105" spans="1:8" x14ac:dyDescent="0.25">
      <c r="A105" s="23" t="s">
        <v>93</v>
      </c>
      <c r="B105" s="31" t="s">
        <v>79</v>
      </c>
      <c r="C105" s="31" t="s">
        <v>80</v>
      </c>
      <c r="D105" s="31" t="s">
        <v>81</v>
      </c>
      <c r="E105" s="31" t="s">
        <v>82</v>
      </c>
      <c r="F105" s="31" t="s">
        <v>83</v>
      </c>
      <c r="G105" s="31" t="s">
        <v>84</v>
      </c>
      <c r="H105" s="31" t="s">
        <v>85</v>
      </c>
    </row>
    <row r="106" spans="1:8" x14ac:dyDescent="0.25">
      <c r="A106" s="25"/>
      <c r="B106" s="25" t="s">
        <v>94</v>
      </c>
      <c r="C106" s="25" t="s">
        <v>95</v>
      </c>
      <c r="D106" s="26">
        <v>1</v>
      </c>
      <c r="E106" s="28">
        <f>F104*0.03</f>
        <v>1107.1139502899277</v>
      </c>
      <c r="F106" s="28">
        <f>E106*D106</f>
        <v>1107.1139502899277</v>
      </c>
      <c r="G106" s="26">
        <f>D106*$D$97</f>
        <v>16</v>
      </c>
      <c r="H106" s="28">
        <f>F106*$D$97</f>
        <v>17713.823204638844</v>
      </c>
    </row>
    <row r="107" spans="1:8" x14ac:dyDescent="0.25">
      <c r="A107" s="25"/>
      <c r="B107" s="25" t="s">
        <v>112</v>
      </c>
      <c r="C107" s="25" t="s">
        <v>97</v>
      </c>
      <c r="D107" s="26">
        <v>1.1868000000000001</v>
      </c>
      <c r="E107" s="32">
        <v>38000</v>
      </c>
      <c r="F107" s="28">
        <f>E107*D107</f>
        <v>45098.400000000001</v>
      </c>
      <c r="G107" s="26">
        <f>D107*$D$97</f>
        <v>18.988800000000001</v>
      </c>
      <c r="H107" s="28">
        <f>F107*$D$97</f>
        <v>721574.40000000002</v>
      </c>
    </row>
    <row r="108" spans="1:8" x14ac:dyDescent="0.25">
      <c r="A108" s="29"/>
      <c r="B108" s="29" t="s">
        <v>98</v>
      </c>
      <c r="C108" s="29"/>
      <c r="D108" s="29"/>
      <c r="E108" s="29"/>
      <c r="F108" s="30">
        <f>SUM(F106:F107)</f>
        <v>46205.513950289926</v>
      </c>
      <c r="G108" s="29"/>
      <c r="H108" s="29"/>
    </row>
    <row r="109" spans="1:8" x14ac:dyDescent="0.25">
      <c r="A109" s="33" t="s">
        <v>29</v>
      </c>
      <c r="B109" s="33" t="s">
        <v>99</v>
      </c>
      <c r="C109" s="33" t="s">
        <v>19</v>
      </c>
      <c r="D109" s="33"/>
      <c r="E109" s="33"/>
      <c r="F109" s="34">
        <f>F100+F104+F108</f>
        <v>205002.31229328751</v>
      </c>
      <c r="G109" s="33"/>
      <c r="H109" s="33"/>
    </row>
    <row r="110" spans="1:8" ht="15" customHeight="1" x14ac:dyDescent="0.25">
      <c r="B110" s="110" t="s">
        <v>100</v>
      </c>
      <c r="C110" s="110"/>
      <c r="D110" s="110"/>
      <c r="E110" s="110"/>
      <c r="F110" s="110"/>
      <c r="G110" s="110"/>
      <c r="H110" s="110"/>
    </row>
    <row r="112" spans="1:8" ht="30" customHeight="1" x14ac:dyDescent="0.25">
      <c r="A112" s="19" t="s">
        <v>32</v>
      </c>
      <c r="B112" s="20" t="s">
        <v>33</v>
      </c>
      <c r="C112" s="19" t="s">
        <v>34</v>
      </c>
      <c r="D112" s="21">
        <v>65</v>
      </c>
      <c r="E112" s="22" t="s">
        <v>77</v>
      </c>
      <c r="F112" s="20"/>
      <c r="G112" s="20"/>
      <c r="H112" s="20"/>
    </row>
    <row r="113" spans="1:8" ht="24" x14ac:dyDescent="0.25">
      <c r="A113" s="23" t="s">
        <v>78</v>
      </c>
      <c r="B113" s="24" t="s">
        <v>79</v>
      </c>
      <c r="C113" s="24" t="s">
        <v>80</v>
      </c>
      <c r="D113" s="24" t="s">
        <v>81</v>
      </c>
      <c r="E113" s="24" t="s">
        <v>82</v>
      </c>
      <c r="F113" s="24" t="s">
        <v>83</v>
      </c>
      <c r="G113" s="24" t="s">
        <v>84</v>
      </c>
      <c r="H113" s="24" t="s">
        <v>85</v>
      </c>
    </row>
    <row r="114" spans="1:8" x14ac:dyDescent="0.25">
      <c r="A114" s="25"/>
      <c r="B114" s="25" t="s">
        <v>113</v>
      </c>
      <c r="C114" s="25" t="s">
        <v>34</v>
      </c>
      <c r="D114" s="26">
        <v>1</v>
      </c>
      <c r="E114" s="27">
        <v>50915.248185610697</v>
      </c>
      <c r="F114" s="28">
        <f>D114*E114</f>
        <v>50915.248185610697</v>
      </c>
      <c r="G114" s="26">
        <f>D114*$D$112</f>
        <v>65</v>
      </c>
      <c r="H114" s="28">
        <f>F114*$D$112</f>
        <v>3309491.1320646955</v>
      </c>
    </row>
    <row r="115" spans="1:8" x14ac:dyDescent="0.25">
      <c r="A115" s="25"/>
      <c r="B115" s="25" t="s">
        <v>114</v>
      </c>
      <c r="C115" s="25" t="s">
        <v>34</v>
      </c>
      <c r="D115" s="26">
        <v>1</v>
      </c>
      <c r="E115" s="27">
        <v>3249.909458656</v>
      </c>
      <c r="F115" s="28">
        <f>D115*E115</f>
        <v>3249.909458656</v>
      </c>
      <c r="G115" s="26">
        <f>D115*$D$112</f>
        <v>65</v>
      </c>
      <c r="H115" s="28">
        <f>F115*$D$112</f>
        <v>211244.11481264001</v>
      </c>
    </row>
    <row r="116" spans="1:8" x14ac:dyDescent="0.25">
      <c r="A116" s="29"/>
      <c r="B116" s="29" t="s">
        <v>87</v>
      </c>
      <c r="C116" s="29"/>
      <c r="D116" s="29"/>
      <c r="E116" s="29"/>
      <c r="F116" s="30">
        <f>SUM(F114:F115)</f>
        <v>54165.157644266699</v>
      </c>
      <c r="G116" s="29"/>
      <c r="H116" s="29"/>
    </row>
    <row r="117" spans="1:8" x14ac:dyDescent="0.25">
      <c r="A117" s="23" t="s">
        <v>88</v>
      </c>
      <c r="B117" s="31" t="s">
        <v>79</v>
      </c>
      <c r="C117" s="31" t="s">
        <v>80</v>
      </c>
      <c r="D117" s="31" t="s">
        <v>81</v>
      </c>
      <c r="E117" s="31" t="s">
        <v>82</v>
      </c>
      <c r="F117" s="31" t="s">
        <v>83</v>
      </c>
      <c r="G117" s="31" t="s">
        <v>84</v>
      </c>
      <c r="H117" s="31" t="s">
        <v>85</v>
      </c>
    </row>
    <row r="118" spans="1:8" x14ac:dyDescent="0.25">
      <c r="A118" s="25"/>
      <c r="B118" s="25" t="s">
        <v>89</v>
      </c>
      <c r="C118" s="25" t="s">
        <v>90</v>
      </c>
      <c r="D118" s="26">
        <v>2.5000000000000001E-2</v>
      </c>
      <c r="E118" s="28">
        <f>'MANO DE OBRA'!$C$23</f>
        <v>169493.69431514584</v>
      </c>
      <c r="F118" s="28">
        <f>E118*D118</f>
        <v>4237.342357878646</v>
      </c>
      <c r="G118" s="26">
        <f>D118*$D$112</f>
        <v>1.625</v>
      </c>
      <c r="H118" s="28">
        <f>F118*$D$112</f>
        <v>275427.25326211198</v>
      </c>
    </row>
    <row r="119" spans="1:8" x14ac:dyDescent="0.25">
      <c r="A119" s="25"/>
      <c r="B119" s="25" t="s">
        <v>91</v>
      </c>
      <c r="C119" s="25" t="s">
        <v>90</v>
      </c>
      <c r="D119" s="26">
        <v>2.5000000000000001E-2</v>
      </c>
      <c r="E119" s="28">
        <f>'MANO DE OBRA'!$D$23</f>
        <v>126930.28226458334</v>
      </c>
      <c r="F119" s="28">
        <f>E119*D119</f>
        <v>3173.2570566145837</v>
      </c>
      <c r="G119" s="26">
        <f>D119*$D$112</f>
        <v>1.625</v>
      </c>
      <c r="H119" s="28">
        <f>F119*$D$112</f>
        <v>206261.70867994794</v>
      </c>
    </row>
    <row r="120" spans="1:8" x14ac:dyDescent="0.25">
      <c r="A120" s="29"/>
      <c r="B120" s="29" t="s">
        <v>92</v>
      </c>
      <c r="C120" s="29"/>
      <c r="D120" s="29"/>
      <c r="E120" s="29"/>
      <c r="F120" s="30">
        <f>SUM(F118:F119)</f>
        <v>7410.5994144932301</v>
      </c>
      <c r="G120" s="29"/>
      <c r="H120" s="29"/>
    </row>
    <row r="121" spans="1:8" x14ac:dyDescent="0.25">
      <c r="A121" s="23" t="s">
        <v>93</v>
      </c>
      <c r="B121" s="31" t="s">
        <v>79</v>
      </c>
      <c r="C121" s="31" t="s">
        <v>80</v>
      </c>
      <c r="D121" s="31" t="s">
        <v>81</v>
      </c>
      <c r="E121" s="31" t="s">
        <v>82</v>
      </c>
      <c r="F121" s="31" t="s">
        <v>83</v>
      </c>
      <c r="G121" s="31" t="s">
        <v>84</v>
      </c>
      <c r="H121" s="31" t="s">
        <v>85</v>
      </c>
    </row>
    <row r="122" spans="1:8" x14ac:dyDescent="0.25">
      <c r="A122" s="25"/>
      <c r="B122" s="25" t="s">
        <v>94</v>
      </c>
      <c r="C122" s="25" t="s">
        <v>95</v>
      </c>
      <c r="D122" s="26">
        <v>1</v>
      </c>
      <c r="E122" s="28">
        <f>F120*0.03</f>
        <v>222.3179824347969</v>
      </c>
      <c r="F122" s="28">
        <f>E122*D122</f>
        <v>222.3179824347969</v>
      </c>
      <c r="G122" s="26">
        <f>D122*$D$112</f>
        <v>65</v>
      </c>
      <c r="H122" s="28">
        <f>F122*$D$112</f>
        <v>14450.668858261799</v>
      </c>
    </row>
    <row r="123" spans="1:8" x14ac:dyDescent="0.25">
      <c r="A123" s="29"/>
      <c r="B123" s="29" t="s">
        <v>98</v>
      </c>
      <c r="C123" s="29"/>
      <c r="D123" s="29"/>
      <c r="E123" s="29"/>
      <c r="F123" s="30">
        <f>SUM(F122:F122)</f>
        <v>222.3179824347969</v>
      </c>
      <c r="G123" s="29"/>
      <c r="H123" s="29"/>
    </row>
    <row r="124" spans="1:8" x14ac:dyDescent="0.25">
      <c r="A124" s="33" t="s">
        <v>32</v>
      </c>
      <c r="B124" s="33" t="s">
        <v>99</v>
      </c>
      <c r="C124" s="33" t="s">
        <v>34</v>
      </c>
      <c r="D124" s="33"/>
      <c r="E124" s="33"/>
      <c r="F124" s="34">
        <f>F116+F120+F123</f>
        <v>61798.07504119473</v>
      </c>
      <c r="G124" s="33"/>
      <c r="H124" s="33"/>
    </row>
    <row r="125" spans="1:8" ht="15" customHeight="1" x14ac:dyDescent="0.25">
      <c r="B125" s="110" t="s">
        <v>100</v>
      </c>
      <c r="C125" s="110"/>
      <c r="D125" s="110"/>
      <c r="E125" s="110"/>
      <c r="F125" s="110"/>
      <c r="G125" s="110"/>
      <c r="H125" s="110"/>
    </row>
    <row r="127" spans="1:8" ht="30" customHeight="1" x14ac:dyDescent="0.25">
      <c r="A127" s="19" t="s">
        <v>35</v>
      </c>
      <c r="B127" s="20" t="s">
        <v>36</v>
      </c>
      <c r="C127" s="19" t="s">
        <v>37</v>
      </c>
      <c r="D127" s="21">
        <v>5</v>
      </c>
      <c r="E127" s="22" t="s">
        <v>77</v>
      </c>
      <c r="F127" s="20"/>
      <c r="G127" s="20"/>
      <c r="H127" s="20"/>
    </row>
    <row r="128" spans="1:8" ht="24" x14ac:dyDescent="0.25">
      <c r="A128" s="23" t="s">
        <v>78</v>
      </c>
      <c r="B128" s="24" t="s">
        <v>79</v>
      </c>
      <c r="C128" s="24" t="s">
        <v>80</v>
      </c>
      <c r="D128" s="24" t="s">
        <v>81</v>
      </c>
      <c r="E128" s="24" t="s">
        <v>82</v>
      </c>
      <c r="F128" s="24" t="s">
        <v>83</v>
      </c>
      <c r="G128" s="24" t="s">
        <v>84</v>
      </c>
      <c r="H128" s="24" t="s">
        <v>85</v>
      </c>
    </row>
    <row r="129" spans="1:8" x14ac:dyDescent="0.25">
      <c r="A129" s="25"/>
      <c r="B129" s="25" t="s">
        <v>115</v>
      </c>
      <c r="C129" s="25" t="s">
        <v>37</v>
      </c>
      <c r="D129" s="26">
        <v>1</v>
      </c>
      <c r="E129" s="27">
        <v>56975.0072986667</v>
      </c>
      <c r="F129" s="28">
        <f>D129*E129</f>
        <v>56975.0072986667</v>
      </c>
      <c r="G129" s="26">
        <f>D129*$D$127</f>
        <v>5</v>
      </c>
      <c r="H129" s="28">
        <f>F129*$D$127</f>
        <v>284875.03649333352</v>
      </c>
    </row>
    <row r="130" spans="1:8" x14ac:dyDescent="0.25">
      <c r="A130" s="29"/>
      <c r="B130" s="29" t="s">
        <v>87</v>
      </c>
      <c r="C130" s="29"/>
      <c r="D130" s="29"/>
      <c r="E130" s="29"/>
      <c r="F130" s="30">
        <f>SUM(F129:F129)</f>
        <v>56975.0072986667</v>
      </c>
      <c r="G130" s="29"/>
      <c r="H130" s="29"/>
    </row>
    <row r="131" spans="1:8" x14ac:dyDescent="0.25">
      <c r="A131" s="23" t="s">
        <v>88</v>
      </c>
      <c r="B131" s="31" t="s">
        <v>79</v>
      </c>
      <c r="C131" s="31" t="s">
        <v>80</v>
      </c>
      <c r="D131" s="31" t="s">
        <v>81</v>
      </c>
      <c r="E131" s="31" t="s">
        <v>82</v>
      </c>
      <c r="F131" s="31" t="s">
        <v>83</v>
      </c>
      <c r="G131" s="31" t="s">
        <v>84</v>
      </c>
      <c r="H131" s="31" t="s">
        <v>85</v>
      </c>
    </row>
    <row r="132" spans="1:8" x14ac:dyDescent="0.25">
      <c r="A132" s="25"/>
      <c r="B132" s="25" t="s">
        <v>89</v>
      </c>
      <c r="C132" s="25" t="s">
        <v>90</v>
      </c>
      <c r="D132" s="26">
        <v>3.4099999999999998E-2</v>
      </c>
      <c r="E132" s="28">
        <f>'MANO DE OBRA'!$C$23</f>
        <v>169493.69431514584</v>
      </c>
      <c r="F132" s="28">
        <f>E132*D132</f>
        <v>5779.7349761464729</v>
      </c>
      <c r="G132" s="26">
        <f>D132*$D$127</f>
        <v>0.17049999999999998</v>
      </c>
      <c r="H132" s="28">
        <f>F132*$D$127</f>
        <v>28898.674880732364</v>
      </c>
    </row>
    <row r="133" spans="1:8" x14ac:dyDescent="0.25">
      <c r="A133" s="25"/>
      <c r="B133" s="25" t="s">
        <v>91</v>
      </c>
      <c r="C133" s="25" t="s">
        <v>90</v>
      </c>
      <c r="D133" s="26">
        <v>3.4099999999999998E-2</v>
      </c>
      <c r="E133" s="28">
        <f>'MANO DE OBRA'!$D$23</f>
        <v>126930.28226458334</v>
      </c>
      <c r="F133" s="28">
        <f>E133*D133</f>
        <v>4328.3226252222912</v>
      </c>
      <c r="G133" s="26">
        <f>D133*$D$127</f>
        <v>0.17049999999999998</v>
      </c>
      <c r="H133" s="28">
        <f>F133*$D$127</f>
        <v>21641.613126111457</v>
      </c>
    </row>
    <row r="134" spans="1:8" x14ac:dyDescent="0.25">
      <c r="A134" s="29"/>
      <c r="B134" s="29" t="s">
        <v>92</v>
      </c>
      <c r="C134" s="29"/>
      <c r="D134" s="29"/>
      <c r="E134" s="29"/>
      <c r="F134" s="30">
        <f>SUM(F132:F133)</f>
        <v>10108.057601368764</v>
      </c>
      <c r="G134" s="29"/>
      <c r="H134" s="29"/>
    </row>
    <row r="135" spans="1:8" x14ac:dyDescent="0.25">
      <c r="A135" s="23" t="s">
        <v>93</v>
      </c>
      <c r="B135" s="31" t="s">
        <v>79</v>
      </c>
      <c r="C135" s="31" t="s">
        <v>80</v>
      </c>
      <c r="D135" s="31" t="s">
        <v>81</v>
      </c>
      <c r="E135" s="31" t="s">
        <v>82</v>
      </c>
      <c r="F135" s="31" t="s">
        <v>83</v>
      </c>
      <c r="G135" s="31" t="s">
        <v>84</v>
      </c>
      <c r="H135" s="31" t="s">
        <v>85</v>
      </c>
    </row>
    <row r="136" spans="1:8" x14ac:dyDescent="0.25">
      <c r="A136" s="25"/>
      <c r="B136" s="25" t="s">
        <v>94</v>
      </c>
      <c r="C136" s="25" t="s">
        <v>95</v>
      </c>
      <c r="D136" s="26">
        <v>1</v>
      </c>
      <c r="E136" s="28">
        <f>F134*0.03</f>
        <v>303.24172804106291</v>
      </c>
      <c r="F136" s="28">
        <f>E136*D136</f>
        <v>303.24172804106291</v>
      </c>
      <c r="G136" s="26">
        <f>D136*$D$127</f>
        <v>5</v>
      </c>
      <c r="H136" s="28">
        <f>F136*$D$127</f>
        <v>1516.2086402053146</v>
      </c>
    </row>
    <row r="137" spans="1:8" x14ac:dyDescent="0.25">
      <c r="A137" s="29"/>
      <c r="B137" s="29" t="s">
        <v>98</v>
      </c>
      <c r="C137" s="29"/>
      <c r="D137" s="29"/>
      <c r="E137" s="29"/>
      <c r="F137" s="30">
        <f>SUM(F136:F136)</f>
        <v>303.24172804106291</v>
      </c>
      <c r="G137" s="29"/>
      <c r="H137" s="29"/>
    </row>
    <row r="138" spans="1:8" x14ac:dyDescent="0.25">
      <c r="A138" s="33" t="s">
        <v>35</v>
      </c>
      <c r="B138" s="33" t="s">
        <v>99</v>
      </c>
      <c r="C138" s="33" t="s">
        <v>37</v>
      </c>
      <c r="D138" s="33"/>
      <c r="E138" s="33"/>
      <c r="F138" s="34">
        <f>F130+F134+F137</f>
        <v>67386.30662807652</v>
      </c>
      <c r="G138" s="33"/>
      <c r="H138" s="33"/>
    </row>
    <row r="139" spans="1:8" ht="15" customHeight="1" x14ac:dyDescent="0.25">
      <c r="B139" s="110" t="s">
        <v>100</v>
      </c>
      <c r="C139" s="110"/>
      <c r="D139" s="110"/>
      <c r="E139" s="110"/>
      <c r="F139" s="110"/>
      <c r="G139" s="110"/>
      <c r="H139" s="110"/>
    </row>
    <row r="141" spans="1:8" ht="30" customHeight="1" x14ac:dyDescent="0.25">
      <c r="A141" s="19" t="s">
        <v>38</v>
      </c>
      <c r="B141" s="20" t="s">
        <v>39</v>
      </c>
      <c r="C141" s="19" t="s">
        <v>37</v>
      </c>
      <c r="D141" s="21">
        <v>2</v>
      </c>
      <c r="E141" s="22" t="s">
        <v>77</v>
      </c>
      <c r="F141" s="20"/>
      <c r="G141" s="20"/>
      <c r="H141" s="20"/>
    </row>
    <row r="142" spans="1:8" ht="24" x14ac:dyDescent="0.25">
      <c r="A142" s="23" t="s">
        <v>78</v>
      </c>
      <c r="B142" s="24" t="s">
        <v>79</v>
      </c>
      <c r="C142" s="24" t="s">
        <v>80</v>
      </c>
      <c r="D142" s="24" t="s">
        <v>81</v>
      </c>
      <c r="E142" s="24" t="s">
        <v>82</v>
      </c>
      <c r="F142" s="24" t="s">
        <v>83</v>
      </c>
      <c r="G142" s="24" t="s">
        <v>84</v>
      </c>
      <c r="H142" s="24" t="s">
        <v>85</v>
      </c>
    </row>
    <row r="143" spans="1:8" x14ac:dyDescent="0.25">
      <c r="A143" s="25"/>
      <c r="B143" s="25" t="s">
        <v>116</v>
      </c>
      <c r="C143" s="25" t="s">
        <v>37</v>
      </c>
      <c r="D143" s="26">
        <v>1</v>
      </c>
      <c r="E143" s="27">
        <v>55838.211411166703</v>
      </c>
      <c r="F143" s="28">
        <f>D143*E143</f>
        <v>55838.211411166703</v>
      </c>
      <c r="G143" s="26">
        <f>D143*$D$141</f>
        <v>2</v>
      </c>
      <c r="H143" s="28">
        <f>F143*$D$141</f>
        <v>111676.42282233341</v>
      </c>
    </row>
    <row r="144" spans="1:8" x14ac:dyDescent="0.25">
      <c r="A144" s="29"/>
      <c r="B144" s="29" t="s">
        <v>87</v>
      </c>
      <c r="C144" s="29"/>
      <c r="D144" s="29"/>
      <c r="E144" s="29"/>
      <c r="F144" s="30">
        <f>SUM(F143:F143)</f>
        <v>55838.211411166703</v>
      </c>
      <c r="G144" s="29"/>
      <c r="H144" s="29"/>
    </row>
    <row r="145" spans="1:8" x14ac:dyDescent="0.25">
      <c r="A145" s="23" t="s">
        <v>88</v>
      </c>
      <c r="B145" s="31" t="s">
        <v>79</v>
      </c>
      <c r="C145" s="31" t="s">
        <v>80</v>
      </c>
      <c r="D145" s="31" t="s">
        <v>81</v>
      </c>
      <c r="E145" s="31" t="s">
        <v>82</v>
      </c>
      <c r="F145" s="31" t="s">
        <v>83</v>
      </c>
      <c r="G145" s="31" t="s">
        <v>84</v>
      </c>
      <c r="H145" s="31" t="s">
        <v>85</v>
      </c>
    </row>
    <row r="146" spans="1:8" x14ac:dyDescent="0.25">
      <c r="A146" s="25"/>
      <c r="B146" s="25" t="s">
        <v>89</v>
      </c>
      <c r="C146" s="25" t="s">
        <v>90</v>
      </c>
      <c r="D146" s="26">
        <v>3.3399999999999999E-2</v>
      </c>
      <c r="E146" s="28">
        <f>'MANO DE OBRA'!$C$23</f>
        <v>169493.69431514584</v>
      </c>
      <c r="F146" s="28">
        <f>E146*D146</f>
        <v>5661.0893901258705</v>
      </c>
      <c r="G146" s="26">
        <f>D146*$D$141</f>
        <v>6.6799999999999998E-2</v>
      </c>
      <c r="H146" s="28">
        <f>F146*$D$141</f>
        <v>11322.178780251741</v>
      </c>
    </row>
    <row r="147" spans="1:8" x14ac:dyDescent="0.25">
      <c r="A147" s="25"/>
      <c r="B147" s="25" t="s">
        <v>91</v>
      </c>
      <c r="C147" s="25" t="s">
        <v>90</v>
      </c>
      <c r="D147" s="26">
        <v>3.3399999999999999E-2</v>
      </c>
      <c r="E147" s="28">
        <f>'MANO DE OBRA'!$D$23</f>
        <v>126930.28226458334</v>
      </c>
      <c r="F147" s="28">
        <f>E147*D147</f>
        <v>4239.4714276370833</v>
      </c>
      <c r="G147" s="26">
        <f>D147*$D$141</f>
        <v>6.6799999999999998E-2</v>
      </c>
      <c r="H147" s="28">
        <f>F147*$D$141</f>
        <v>8478.9428552741665</v>
      </c>
    </row>
    <row r="148" spans="1:8" x14ac:dyDescent="0.25">
      <c r="A148" s="29"/>
      <c r="B148" s="29" t="s">
        <v>92</v>
      </c>
      <c r="C148" s="29"/>
      <c r="D148" s="29"/>
      <c r="E148" s="29"/>
      <c r="F148" s="30">
        <f>SUM(F146:F147)</f>
        <v>9900.5608177629547</v>
      </c>
      <c r="G148" s="29"/>
      <c r="H148" s="29"/>
    </row>
    <row r="149" spans="1:8" x14ac:dyDescent="0.25">
      <c r="A149" s="23" t="s">
        <v>93</v>
      </c>
      <c r="B149" s="31" t="s">
        <v>79</v>
      </c>
      <c r="C149" s="31" t="s">
        <v>80</v>
      </c>
      <c r="D149" s="31" t="s">
        <v>81</v>
      </c>
      <c r="E149" s="31" t="s">
        <v>82</v>
      </c>
      <c r="F149" s="31" t="s">
        <v>83</v>
      </c>
      <c r="G149" s="31" t="s">
        <v>84</v>
      </c>
      <c r="H149" s="31" t="s">
        <v>85</v>
      </c>
    </row>
    <row r="150" spans="1:8" x14ac:dyDescent="0.25">
      <c r="A150" s="25"/>
      <c r="B150" s="25" t="s">
        <v>94</v>
      </c>
      <c r="C150" s="25" t="s">
        <v>95</v>
      </c>
      <c r="D150" s="26">
        <v>1</v>
      </c>
      <c r="E150" s="28">
        <f>F148*0.03</f>
        <v>297.01682453288862</v>
      </c>
      <c r="F150" s="28">
        <f>E150*D150</f>
        <v>297.01682453288862</v>
      </c>
      <c r="G150" s="26">
        <f>D150*$D$141</f>
        <v>2</v>
      </c>
      <c r="H150" s="28">
        <f>F150*$D$141</f>
        <v>594.03364906577724</v>
      </c>
    </row>
    <row r="151" spans="1:8" x14ac:dyDescent="0.25">
      <c r="A151" s="29"/>
      <c r="B151" s="29" t="s">
        <v>98</v>
      </c>
      <c r="C151" s="29"/>
      <c r="D151" s="29"/>
      <c r="E151" s="29"/>
      <c r="F151" s="30">
        <f>SUM(F150:F150)</f>
        <v>297.01682453288862</v>
      </c>
      <c r="G151" s="29"/>
      <c r="H151" s="29"/>
    </row>
    <row r="152" spans="1:8" x14ac:dyDescent="0.25">
      <c r="A152" s="33" t="s">
        <v>38</v>
      </c>
      <c r="B152" s="33" t="s">
        <v>99</v>
      </c>
      <c r="C152" s="33" t="s">
        <v>37</v>
      </c>
      <c r="D152" s="33"/>
      <c r="E152" s="33"/>
      <c r="F152" s="34">
        <f>F144+F148+F151</f>
        <v>66035.789053462533</v>
      </c>
      <c r="G152" s="33"/>
      <c r="H152" s="33"/>
    </row>
    <row r="153" spans="1:8" ht="15" customHeight="1" x14ac:dyDescent="0.25">
      <c r="B153" s="110" t="s">
        <v>100</v>
      </c>
      <c r="C153" s="110"/>
      <c r="D153" s="110"/>
      <c r="E153" s="110"/>
      <c r="F153" s="110"/>
      <c r="G153" s="110"/>
      <c r="H153" s="110"/>
    </row>
    <row r="155" spans="1:8" ht="30" customHeight="1" x14ac:dyDescent="0.25">
      <c r="A155" s="19" t="s">
        <v>40</v>
      </c>
      <c r="B155" s="20" t="s">
        <v>41</v>
      </c>
      <c r="C155" s="19" t="s">
        <v>37</v>
      </c>
      <c r="D155" s="21">
        <v>1</v>
      </c>
      <c r="E155" s="22" t="s">
        <v>77</v>
      </c>
      <c r="F155" s="20"/>
      <c r="G155" s="20"/>
      <c r="H155" s="20"/>
    </row>
    <row r="156" spans="1:8" ht="24" x14ac:dyDescent="0.25">
      <c r="A156" s="23" t="s">
        <v>78</v>
      </c>
      <c r="B156" s="24" t="s">
        <v>79</v>
      </c>
      <c r="C156" s="24" t="s">
        <v>80</v>
      </c>
      <c r="D156" s="24" t="s">
        <v>81</v>
      </c>
      <c r="E156" s="24" t="s">
        <v>82</v>
      </c>
      <c r="F156" s="24" t="s">
        <v>83</v>
      </c>
      <c r="G156" s="24" t="s">
        <v>84</v>
      </c>
      <c r="H156" s="24" t="s">
        <v>85</v>
      </c>
    </row>
    <row r="157" spans="1:8" x14ac:dyDescent="0.25">
      <c r="A157" s="25"/>
      <c r="B157" s="25" t="s">
        <v>117</v>
      </c>
      <c r="C157" s="25" t="s">
        <v>37</v>
      </c>
      <c r="D157" s="26">
        <v>1</v>
      </c>
      <c r="E157" s="27">
        <v>179999.79084618099</v>
      </c>
      <c r="F157" s="28">
        <f>D157*E157</f>
        <v>179999.79084618099</v>
      </c>
      <c r="G157" s="26">
        <f>D157*$D$155</f>
        <v>1</v>
      </c>
      <c r="H157" s="28">
        <f>F157*$D$155</f>
        <v>179999.79084618099</v>
      </c>
    </row>
    <row r="158" spans="1:8" x14ac:dyDescent="0.25">
      <c r="A158" s="29"/>
      <c r="B158" s="29" t="s">
        <v>87</v>
      </c>
      <c r="C158" s="29"/>
      <c r="D158" s="29"/>
      <c r="E158" s="29"/>
      <c r="F158" s="30">
        <f>SUM(F157:F157)</f>
        <v>179999.79084618099</v>
      </c>
      <c r="G158" s="29"/>
      <c r="H158" s="29"/>
    </row>
    <row r="159" spans="1:8" x14ac:dyDescent="0.25">
      <c r="A159" s="23" t="s">
        <v>88</v>
      </c>
      <c r="B159" s="31" t="s">
        <v>79</v>
      </c>
      <c r="C159" s="31" t="s">
        <v>80</v>
      </c>
      <c r="D159" s="31" t="s">
        <v>81</v>
      </c>
      <c r="E159" s="31" t="s">
        <v>82</v>
      </c>
      <c r="F159" s="31" t="s">
        <v>83</v>
      </c>
      <c r="G159" s="31" t="s">
        <v>84</v>
      </c>
      <c r="H159" s="31" t="s">
        <v>85</v>
      </c>
    </row>
    <row r="160" spans="1:8" x14ac:dyDescent="0.25">
      <c r="A160" s="25"/>
      <c r="B160" s="25" t="s">
        <v>89</v>
      </c>
      <c r="C160" s="25" t="s">
        <v>90</v>
      </c>
      <c r="D160" s="26">
        <v>0.1077</v>
      </c>
      <c r="E160" s="28">
        <f>'MANO DE OBRA'!$C$23</f>
        <v>169493.69431514584</v>
      </c>
      <c r="F160" s="28">
        <f>E160*D160</f>
        <v>18254.470877741209</v>
      </c>
      <c r="G160" s="26">
        <f>D160*$D$155</f>
        <v>0.1077</v>
      </c>
      <c r="H160" s="28">
        <f>F160*$D$155</f>
        <v>18254.470877741209</v>
      </c>
    </row>
    <row r="161" spans="1:8" x14ac:dyDescent="0.25">
      <c r="A161" s="25"/>
      <c r="B161" s="25" t="s">
        <v>91</v>
      </c>
      <c r="C161" s="25" t="s">
        <v>90</v>
      </c>
      <c r="D161" s="26">
        <v>0.1077</v>
      </c>
      <c r="E161" s="28">
        <f>'MANO DE OBRA'!$D$23</f>
        <v>126930.28226458334</v>
      </c>
      <c r="F161" s="28">
        <f>E161*D161</f>
        <v>13670.391399895625</v>
      </c>
      <c r="G161" s="26">
        <f>D161*$D$155</f>
        <v>0.1077</v>
      </c>
      <c r="H161" s="28">
        <f>F161*$D$155</f>
        <v>13670.391399895625</v>
      </c>
    </row>
    <row r="162" spans="1:8" x14ac:dyDescent="0.25">
      <c r="A162" s="29"/>
      <c r="B162" s="29" t="s">
        <v>92</v>
      </c>
      <c r="C162" s="29"/>
      <c r="D162" s="29"/>
      <c r="E162" s="29"/>
      <c r="F162" s="30">
        <f>SUM(F160:F161)</f>
        <v>31924.862277636836</v>
      </c>
      <c r="G162" s="29"/>
      <c r="H162" s="29"/>
    </row>
    <row r="163" spans="1:8" x14ac:dyDescent="0.25">
      <c r="A163" s="23" t="s">
        <v>93</v>
      </c>
      <c r="B163" s="31" t="s">
        <v>79</v>
      </c>
      <c r="C163" s="31" t="s">
        <v>80</v>
      </c>
      <c r="D163" s="31" t="s">
        <v>81</v>
      </c>
      <c r="E163" s="31" t="s">
        <v>82</v>
      </c>
      <c r="F163" s="31" t="s">
        <v>83</v>
      </c>
      <c r="G163" s="31" t="s">
        <v>84</v>
      </c>
      <c r="H163" s="31" t="s">
        <v>85</v>
      </c>
    </row>
    <row r="164" spans="1:8" x14ac:dyDescent="0.25">
      <c r="A164" s="25"/>
      <c r="B164" s="25" t="s">
        <v>94</v>
      </c>
      <c r="C164" s="25" t="s">
        <v>95</v>
      </c>
      <c r="D164" s="26">
        <v>1</v>
      </c>
      <c r="E164" s="28">
        <f>F162*0.03</f>
        <v>957.74586832910506</v>
      </c>
      <c r="F164" s="28">
        <f>E164*D164</f>
        <v>957.74586832910506</v>
      </c>
      <c r="G164" s="26">
        <f>D164*$D$155</f>
        <v>1</v>
      </c>
      <c r="H164" s="28">
        <f>F164*$D$155</f>
        <v>957.74586832910506</v>
      </c>
    </row>
    <row r="165" spans="1:8" x14ac:dyDescent="0.25">
      <c r="A165" s="29"/>
      <c r="B165" s="29" t="s">
        <v>98</v>
      </c>
      <c r="C165" s="29"/>
      <c r="D165" s="29"/>
      <c r="E165" s="29"/>
      <c r="F165" s="30">
        <f>SUM(F164:F164)</f>
        <v>957.74586832910506</v>
      </c>
      <c r="G165" s="29"/>
      <c r="H165" s="29"/>
    </row>
    <row r="166" spans="1:8" x14ac:dyDescent="0.25">
      <c r="A166" s="33" t="s">
        <v>40</v>
      </c>
      <c r="B166" s="33" t="s">
        <v>99</v>
      </c>
      <c r="C166" s="33" t="s">
        <v>37</v>
      </c>
      <c r="D166" s="33"/>
      <c r="E166" s="33"/>
      <c r="F166" s="34">
        <f>F158+F162+F165</f>
        <v>212882.39899214692</v>
      </c>
      <c r="G166" s="33"/>
      <c r="H166" s="33"/>
    </row>
    <row r="167" spans="1:8" ht="15" customHeight="1" x14ac:dyDescent="0.25">
      <c r="B167" s="110" t="s">
        <v>100</v>
      </c>
      <c r="C167" s="110"/>
      <c r="D167" s="110"/>
      <c r="E167" s="110"/>
      <c r="F167" s="110"/>
      <c r="G167" s="110"/>
      <c r="H167" s="110"/>
    </row>
    <row r="169" spans="1:8" ht="30" customHeight="1" x14ac:dyDescent="0.25">
      <c r="A169" s="19" t="s">
        <v>43</v>
      </c>
      <c r="B169" s="20" t="s">
        <v>44</v>
      </c>
      <c r="C169" s="19" t="s">
        <v>37</v>
      </c>
      <c r="D169" s="21">
        <v>17</v>
      </c>
      <c r="E169" s="22" t="s">
        <v>77</v>
      </c>
      <c r="F169" s="20"/>
      <c r="G169" s="20"/>
      <c r="H169" s="20"/>
    </row>
    <row r="170" spans="1:8" ht="24" x14ac:dyDescent="0.25">
      <c r="A170" s="23" t="s">
        <v>78</v>
      </c>
      <c r="B170" s="24" t="s">
        <v>79</v>
      </c>
      <c r="C170" s="24" t="s">
        <v>80</v>
      </c>
      <c r="D170" s="24" t="s">
        <v>81</v>
      </c>
      <c r="E170" s="24" t="s">
        <v>82</v>
      </c>
      <c r="F170" s="24" t="s">
        <v>83</v>
      </c>
      <c r="G170" s="24" t="s">
        <v>84</v>
      </c>
      <c r="H170" s="24" t="s">
        <v>85</v>
      </c>
    </row>
    <row r="171" spans="1:8" x14ac:dyDescent="0.25">
      <c r="A171" s="25"/>
      <c r="B171" s="25" t="s">
        <v>118</v>
      </c>
      <c r="C171" s="25" t="s">
        <v>37</v>
      </c>
      <c r="D171" s="26">
        <v>1</v>
      </c>
      <c r="E171" s="27">
        <v>71827.199999999997</v>
      </c>
      <c r="F171" s="28">
        <f>D171*E171</f>
        <v>71827.199999999997</v>
      </c>
      <c r="G171" s="26">
        <f>D171*$D$169</f>
        <v>17</v>
      </c>
      <c r="H171" s="28">
        <f>F171*$D$169</f>
        <v>1221062.3999999999</v>
      </c>
    </row>
    <row r="172" spans="1:8" x14ac:dyDescent="0.25">
      <c r="A172" s="25"/>
      <c r="B172" s="25" t="s">
        <v>119</v>
      </c>
      <c r="C172" s="25" t="s">
        <v>37</v>
      </c>
      <c r="D172" s="26">
        <v>1</v>
      </c>
      <c r="E172" s="27">
        <v>44892</v>
      </c>
      <c r="F172" s="28">
        <f>D172*E172</f>
        <v>44892</v>
      </c>
      <c r="G172" s="26">
        <f>D172*$D$169</f>
        <v>17</v>
      </c>
      <c r="H172" s="28">
        <f>F172*$D$169</f>
        <v>763164</v>
      </c>
    </row>
    <row r="173" spans="1:8" x14ac:dyDescent="0.25">
      <c r="A173" s="25"/>
      <c r="B173" s="25" t="s">
        <v>120</v>
      </c>
      <c r="C173" s="25" t="s">
        <v>37</v>
      </c>
      <c r="D173" s="26">
        <v>1</v>
      </c>
      <c r="E173" s="27">
        <v>62848.800000000003</v>
      </c>
      <c r="F173" s="28">
        <f>D173*E173</f>
        <v>62848.800000000003</v>
      </c>
      <c r="G173" s="26">
        <f>D173*$D$169</f>
        <v>17</v>
      </c>
      <c r="H173" s="28">
        <f>F173*$D$169</f>
        <v>1068429.6000000001</v>
      </c>
    </row>
    <row r="174" spans="1:8" x14ac:dyDescent="0.25">
      <c r="A174" s="29"/>
      <c r="B174" s="29" t="s">
        <v>87</v>
      </c>
      <c r="C174" s="29"/>
      <c r="D174" s="29"/>
      <c r="E174" s="29"/>
      <c r="F174" s="30">
        <f>SUM(F171:F173)</f>
        <v>179568</v>
      </c>
      <c r="G174" s="29"/>
      <c r="H174" s="29"/>
    </row>
    <row r="175" spans="1:8" x14ac:dyDescent="0.25">
      <c r="A175" s="23" t="s">
        <v>88</v>
      </c>
      <c r="B175" s="31" t="s">
        <v>79</v>
      </c>
      <c r="C175" s="31" t="s">
        <v>80</v>
      </c>
      <c r="D175" s="31" t="s">
        <v>81</v>
      </c>
      <c r="E175" s="31" t="s">
        <v>82</v>
      </c>
      <c r="F175" s="31" t="s">
        <v>83</v>
      </c>
      <c r="G175" s="31" t="s">
        <v>84</v>
      </c>
      <c r="H175" s="31" t="s">
        <v>85</v>
      </c>
    </row>
    <row r="176" spans="1:8" x14ac:dyDescent="0.25">
      <c r="A176" s="25"/>
      <c r="B176" s="25" t="s">
        <v>89</v>
      </c>
      <c r="C176" s="25" t="s">
        <v>90</v>
      </c>
      <c r="D176" s="26">
        <v>0.11600000000000001</v>
      </c>
      <c r="E176" s="28">
        <f>'MANO DE OBRA'!$C$23</f>
        <v>169493.69431514584</v>
      </c>
      <c r="F176" s="28">
        <f>E176*D176</f>
        <v>19661.268540556917</v>
      </c>
      <c r="G176" s="26">
        <f>D176*$D$169</f>
        <v>1.9720000000000002</v>
      </c>
      <c r="H176" s="28">
        <f>F176*$D$169</f>
        <v>334241.56518946757</v>
      </c>
    </row>
    <row r="177" spans="1:8" x14ac:dyDescent="0.25">
      <c r="A177" s="25"/>
      <c r="B177" s="25" t="s">
        <v>91</v>
      </c>
      <c r="C177" s="25" t="s">
        <v>90</v>
      </c>
      <c r="D177" s="26">
        <v>0.11600000000000001</v>
      </c>
      <c r="E177" s="28">
        <f>'MANO DE OBRA'!$D$23</f>
        <v>126930.28226458334</v>
      </c>
      <c r="F177" s="28">
        <f>E177*D177</f>
        <v>14723.912742691668</v>
      </c>
      <c r="G177" s="26">
        <f>D177*$D$169</f>
        <v>1.9720000000000002</v>
      </c>
      <c r="H177" s="28">
        <f>F177*$D$169</f>
        <v>250306.51662575835</v>
      </c>
    </row>
    <row r="178" spans="1:8" x14ac:dyDescent="0.25">
      <c r="A178" s="29"/>
      <c r="B178" s="29" t="s">
        <v>92</v>
      </c>
      <c r="C178" s="29"/>
      <c r="D178" s="29"/>
      <c r="E178" s="29"/>
      <c r="F178" s="30">
        <f>SUM(F176:F177)</f>
        <v>34385.181283248588</v>
      </c>
      <c r="G178" s="29"/>
      <c r="H178" s="29"/>
    </row>
    <row r="179" spans="1:8" x14ac:dyDescent="0.25">
      <c r="A179" s="23" t="s">
        <v>93</v>
      </c>
      <c r="B179" s="31" t="s">
        <v>79</v>
      </c>
      <c r="C179" s="31" t="s">
        <v>80</v>
      </c>
      <c r="D179" s="31" t="s">
        <v>81</v>
      </c>
      <c r="E179" s="31" t="s">
        <v>82</v>
      </c>
      <c r="F179" s="31" t="s">
        <v>83</v>
      </c>
      <c r="G179" s="31" t="s">
        <v>84</v>
      </c>
      <c r="H179" s="31" t="s">
        <v>85</v>
      </c>
    </row>
    <row r="180" spans="1:8" x14ac:dyDescent="0.25">
      <c r="A180" s="25"/>
      <c r="B180" s="25" t="s">
        <v>94</v>
      </c>
      <c r="C180" s="25" t="s">
        <v>95</v>
      </c>
      <c r="D180" s="26">
        <v>1</v>
      </c>
      <c r="E180" s="28">
        <f>F178*0.03</f>
        <v>1031.5554384974575</v>
      </c>
      <c r="F180" s="28">
        <f>E180*D180</f>
        <v>1031.5554384974575</v>
      </c>
      <c r="G180" s="26">
        <f>D180*$D$169</f>
        <v>17</v>
      </c>
      <c r="H180" s="28">
        <f>F180*$D$169</f>
        <v>17536.442454456777</v>
      </c>
    </row>
    <row r="181" spans="1:8" x14ac:dyDescent="0.25">
      <c r="A181" s="29"/>
      <c r="B181" s="29" t="s">
        <v>98</v>
      </c>
      <c r="C181" s="29"/>
      <c r="D181" s="29"/>
      <c r="E181" s="29"/>
      <c r="F181" s="30">
        <f>SUM(F180:F180)</f>
        <v>1031.5554384974575</v>
      </c>
      <c r="G181" s="29"/>
      <c r="H181" s="29"/>
    </row>
    <row r="182" spans="1:8" x14ac:dyDescent="0.25">
      <c r="A182" s="33" t="s">
        <v>43</v>
      </c>
      <c r="B182" s="33" t="s">
        <v>99</v>
      </c>
      <c r="C182" s="33" t="s">
        <v>37</v>
      </c>
      <c r="D182" s="33"/>
      <c r="E182" s="33"/>
      <c r="F182" s="34">
        <f>F174+F178+F181</f>
        <v>214984.73672174604</v>
      </c>
      <c r="G182" s="33"/>
      <c r="H182" s="33"/>
    </row>
    <row r="183" spans="1:8" ht="15" customHeight="1" x14ac:dyDescent="0.25">
      <c r="B183" s="110" t="s">
        <v>100</v>
      </c>
      <c r="C183" s="110"/>
      <c r="D183" s="110"/>
      <c r="E183" s="110"/>
      <c r="F183" s="110"/>
      <c r="G183" s="110"/>
      <c r="H183" s="110"/>
    </row>
    <row r="185" spans="1:8" ht="30" customHeight="1" x14ac:dyDescent="0.25">
      <c r="A185" s="19" t="s">
        <v>45</v>
      </c>
      <c r="B185" s="20" t="s">
        <v>46</v>
      </c>
      <c r="C185" s="19" t="s">
        <v>37</v>
      </c>
      <c r="D185" s="21">
        <v>10</v>
      </c>
      <c r="E185" s="22" t="s">
        <v>77</v>
      </c>
      <c r="F185" s="20"/>
      <c r="G185" s="20"/>
      <c r="H185" s="20"/>
    </row>
    <row r="186" spans="1:8" ht="24" x14ac:dyDescent="0.25">
      <c r="A186" s="23" t="s">
        <v>78</v>
      </c>
      <c r="B186" s="24" t="s">
        <v>79</v>
      </c>
      <c r="C186" s="24" t="s">
        <v>80</v>
      </c>
      <c r="D186" s="24" t="s">
        <v>81</v>
      </c>
      <c r="E186" s="24" t="s">
        <v>82</v>
      </c>
      <c r="F186" s="24" t="s">
        <v>83</v>
      </c>
      <c r="G186" s="24" t="s">
        <v>84</v>
      </c>
      <c r="H186" s="24" t="s">
        <v>85</v>
      </c>
    </row>
    <row r="187" spans="1:8" x14ac:dyDescent="0.25">
      <c r="A187" s="25"/>
      <c r="B187" s="25" t="s">
        <v>121</v>
      </c>
      <c r="C187" s="25" t="s">
        <v>37</v>
      </c>
      <c r="D187" s="26">
        <v>1</v>
      </c>
      <c r="E187" s="27">
        <v>86994.432000000001</v>
      </c>
      <c r="F187" s="28">
        <f>D187*E187</f>
        <v>86994.432000000001</v>
      </c>
      <c r="G187" s="26">
        <f>D187*$D$185</f>
        <v>10</v>
      </c>
      <c r="H187" s="28">
        <f>F187*$D$185</f>
        <v>869944.32000000007</v>
      </c>
    </row>
    <row r="188" spans="1:8" x14ac:dyDescent="0.25">
      <c r="A188" s="25"/>
      <c r="B188" s="25" t="s">
        <v>122</v>
      </c>
      <c r="C188" s="25" t="s">
        <v>37</v>
      </c>
      <c r="D188" s="26">
        <v>1</v>
      </c>
      <c r="E188" s="27">
        <v>53853.696000000004</v>
      </c>
      <c r="F188" s="28">
        <f>D188*E188</f>
        <v>53853.696000000004</v>
      </c>
      <c r="G188" s="26">
        <f>D188*$D$185</f>
        <v>10</v>
      </c>
      <c r="H188" s="28">
        <f>F188*$D$185</f>
        <v>538536.96000000008</v>
      </c>
    </row>
    <row r="189" spans="1:8" x14ac:dyDescent="0.25">
      <c r="A189" s="25"/>
      <c r="B189" s="25" t="s">
        <v>123</v>
      </c>
      <c r="C189" s="25" t="s">
        <v>37</v>
      </c>
      <c r="D189" s="26">
        <v>1</v>
      </c>
      <c r="E189" s="27">
        <v>66281.471999999994</v>
      </c>
      <c r="F189" s="28">
        <f>D189*E189</f>
        <v>66281.471999999994</v>
      </c>
      <c r="G189" s="26">
        <f>D189*$D$185</f>
        <v>10</v>
      </c>
      <c r="H189" s="28">
        <f>F189*$D$185</f>
        <v>662814.71999999997</v>
      </c>
    </row>
    <row r="190" spans="1:8" x14ac:dyDescent="0.25">
      <c r="A190" s="29"/>
      <c r="B190" s="29" t="s">
        <v>87</v>
      </c>
      <c r="C190" s="29"/>
      <c r="D190" s="29"/>
      <c r="E190" s="29"/>
      <c r="F190" s="30">
        <f>SUM(F187:F189)</f>
        <v>207129.59999999998</v>
      </c>
      <c r="G190" s="29"/>
      <c r="H190" s="29"/>
    </row>
    <row r="191" spans="1:8" x14ac:dyDescent="0.25">
      <c r="A191" s="23" t="s">
        <v>88</v>
      </c>
      <c r="B191" s="31" t="s">
        <v>79</v>
      </c>
      <c r="C191" s="31" t="s">
        <v>80</v>
      </c>
      <c r="D191" s="31" t="s">
        <v>81</v>
      </c>
      <c r="E191" s="31" t="s">
        <v>82</v>
      </c>
      <c r="F191" s="31" t="s">
        <v>83</v>
      </c>
      <c r="G191" s="31" t="s">
        <v>84</v>
      </c>
      <c r="H191" s="31" t="s">
        <v>85</v>
      </c>
    </row>
    <row r="192" spans="1:8" x14ac:dyDescent="0.25">
      <c r="A192" s="25"/>
      <c r="B192" s="25" t="s">
        <v>89</v>
      </c>
      <c r="C192" s="25" t="s">
        <v>90</v>
      </c>
      <c r="D192" s="26">
        <v>0.13389999999999999</v>
      </c>
      <c r="E192" s="28">
        <f>'MANO DE OBRA'!$C$23</f>
        <v>169493.69431514584</v>
      </c>
      <c r="F192" s="28">
        <f>E192*D192</f>
        <v>22695.205668798026</v>
      </c>
      <c r="G192" s="26">
        <f>D192*$D$185</f>
        <v>1.339</v>
      </c>
      <c r="H192" s="28">
        <f>F192*$D$185</f>
        <v>226952.05668798025</v>
      </c>
    </row>
    <row r="193" spans="1:8" x14ac:dyDescent="0.25">
      <c r="A193" s="25"/>
      <c r="B193" s="25" t="s">
        <v>91</v>
      </c>
      <c r="C193" s="25" t="s">
        <v>90</v>
      </c>
      <c r="D193" s="26">
        <v>0.13389999999999999</v>
      </c>
      <c r="E193" s="28">
        <f>'MANO DE OBRA'!$D$23</f>
        <v>126930.28226458334</v>
      </c>
      <c r="F193" s="28">
        <f>E193*D193</f>
        <v>16995.964795227708</v>
      </c>
      <c r="G193" s="26">
        <f>D193*$D$185</f>
        <v>1.339</v>
      </c>
      <c r="H193" s="28">
        <f>F193*$D$185</f>
        <v>169959.6479522771</v>
      </c>
    </row>
    <row r="194" spans="1:8" x14ac:dyDescent="0.25">
      <c r="A194" s="29"/>
      <c r="B194" s="29" t="s">
        <v>92</v>
      </c>
      <c r="C194" s="29"/>
      <c r="D194" s="29"/>
      <c r="E194" s="29"/>
      <c r="F194" s="30">
        <f>SUM(F192:F193)</f>
        <v>39691.170464025738</v>
      </c>
      <c r="G194" s="29"/>
      <c r="H194" s="29"/>
    </row>
    <row r="195" spans="1:8" x14ac:dyDescent="0.25">
      <c r="A195" s="23" t="s">
        <v>93</v>
      </c>
      <c r="B195" s="31" t="s">
        <v>79</v>
      </c>
      <c r="C195" s="31" t="s">
        <v>80</v>
      </c>
      <c r="D195" s="31" t="s">
        <v>81</v>
      </c>
      <c r="E195" s="31" t="s">
        <v>82</v>
      </c>
      <c r="F195" s="31" t="s">
        <v>83</v>
      </c>
      <c r="G195" s="31" t="s">
        <v>84</v>
      </c>
      <c r="H195" s="31" t="s">
        <v>85</v>
      </c>
    </row>
    <row r="196" spans="1:8" x14ac:dyDescent="0.25">
      <c r="A196" s="25"/>
      <c r="B196" s="25" t="s">
        <v>94</v>
      </c>
      <c r="C196" s="25" t="s">
        <v>95</v>
      </c>
      <c r="D196" s="26">
        <v>1</v>
      </c>
      <c r="E196" s="28">
        <f>F194*0.03</f>
        <v>1190.7351139207722</v>
      </c>
      <c r="F196" s="28">
        <f>E196*D196</f>
        <v>1190.7351139207722</v>
      </c>
      <c r="G196" s="26">
        <f>D196*$D$185</f>
        <v>10</v>
      </c>
      <c r="H196" s="28">
        <f>F196*$D$185</f>
        <v>11907.351139207722</v>
      </c>
    </row>
    <row r="197" spans="1:8" x14ac:dyDescent="0.25">
      <c r="A197" s="29"/>
      <c r="B197" s="29" t="s">
        <v>98</v>
      </c>
      <c r="C197" s="29"/>
      <c r="D197" s="29"/>
      <c r="E197" s="29"/>
      <c r="F197" s="30">
        <f>SUM(F196:F196)</f>
        <v>1190.7351139207722</v>
      </c>
      <c r="G197" s="29"/>
      <c r="H197" s="29"/>
    </row>
    <row r="198" spans="1:8" x14ac:dyDescent="0.25">
      <c r="A198" s="33" t="s">
        <v>45</v>
      </c>
      <c r="B198" s="33" t="s">
        <v>99</v>
      </c>
      <c r="C198" s="33" t="s">
        <v>37</v>
      </c>
      <c r="D198" s="33"/>
      <c r="E198" s="33"/>
      <c r="F198" s="34">
        <f>F190+F194+F197</f>
        <v>248011.50557794649</v>
      </c>
      <c r="G198" s="33"/>
      <c r="H198" s="33"/>
    </row>
    <row r="199" spans="1:8" ht="15" customHeight="1" x14ac:dyDescent="0.25">
      <c r="B199" s="110" t="s">
        <v>100</v>
      </c>
      <c r="C199" s="110"/>
      <c r="D199" s="110"/>
      <c r="E199" s="110"/>
      <c r="F199" s="110"/>
      <c r="G199" s="110"/>
      <c r="H199" s="110"/>
    </row>
    <row r="201" spans="1:8" ht="30" customHeight="1" x14ac:dyDescent="0.25">
      <c r="A201" s="19" t="s">
        <v>48</v>
      </c>
      <c r="B201" s="20" t="s">
        <v>22</v>
      </c>
      <c r="C201" s="19" t="s">
        <v>19</v>
      </c>
      <c r="D201" s="21">
        <v>34.56</v>
      </c>
      <c r="E201" s="22" t="s">
        <v>77</v>
      </c>
      <c r="F201" s="20"/>
      <c r="G201" s="20"/>
      <c r="H201" s="20"/>
    </row>
    <row r="202" spans="1:8" ht="24" x14ac:dyDescent="0.25">
      <c r="A202" s="23" t="s">
        <v>78</v>
      </c>
      <c r="B202" s="24" t="s">
        <v>79</v>
      </c>
      <c r="C202" s="24" t="s">
        <v>80</v>
      </c>
      <c r="D202" s="24" t="s">
        <v>81</v>
      </c>
      <c r="E202" s="24" t="s">
        <v>82</v>
      </c>
      <c r="F202" s="24" t="s">
        <v>83</v>
      </c>
      <c r="G202" s="24" t="s">
        <v>84</v>
      </c>
      <c r="H202" s="24" t="s">
        <v>85</v>
      </c>
    </row>
    <row r="203" spans="1:8" x14ac:dyDescent="0.25">
      <c r="A203" s="35"/>
      <c r="B203" s="35" t="s">
        <v>105</v>
      </c>
      <c r="C203" s="35" t="s">
        <v>106</v>
      </c>
      <c r="D203" s="35" t="s">
        <v>106</v>
      </c>
      <c r="E203" s="35" t="s">
        <v>106</v>
      </c>
      <c r="F203" s="35" t="s">
        <v>106</v>
      </c>
      <c r="G203" s="35" t="s">
        <v>106</v>
      </c>
      <c r="H203" s="35" t="s">
        <v>106</v>
      </c>
    </row>
    <row r="204" spans="1:8" x14ac:dyDescent="0.25">
      <c r="A204" s="29"/>
      <c r="B204" s="29" t="s">
        <v>87</v>
      </c>
      <c r="C204" s="29"/>
      <c r="D204" s="29"/>
      <c r="E204" s="29"/>
      <c r="F204" s="30">
        <f>SUM(F203:F203)</f>
        <v>0</v>
      </c>
      <c r="G204" s="29"/>
      <c r="H204" s="29"/>
    </row>
    <row r="205" spans="1:8" x14ac:dyDescent="0.25">
      <c r="A205" s="23" t="s">
        <v>88</v>
      </c>
      <c r="B205" s="31" t="s">
        <v>79</v>
      </c>
      <c r="C205" s="31" t="s">
        <v>80</v>
      </c>
      <c r="D205" s="31" t="s">
        <v>81</v>
      </c>
      <c r="E205" s="31" t="s">
        <v>82</v>
      </c>
      <c r="F205" s="31" t="s">
        <v>83</v>
      </c>
      <c r="G205" s="31" t="s">
        <v>84</v>
      </c>
      <c r="H205" s="31" t="s">
        <v>85</v>
      </c>
    </row>
    <row r="206" spans="1:8" x14ac:dyDescent="0.25">
      <c r="A206" s="25"/>
      <c r="B206" s="25" t="s">
        <v>89</v>
      </c>
      <c r="C206" s="25" t="s">
        <v>90</v>
      </c>
      <c r="D206" s="26">
        <v>4.1500000000000002E-2</v>
      </c>
      <c r="E206" s="28">
        <f>'MANO DE OBRA'!$C$23</f>
        <v>169493.69431514584</v>
      </c>
      <c r="F206" s="28">
        <f>E206*D206</f>
        <v>7033.9883140785523</v>
      </c>
      <c r="G206" s="26">
        <f>D206*$D$201</f>
        <v>1.4342400000000002</v>
      </c>
      <c r="H206" s="28">
        <f>F206*$D$201</f>
        <v>243094.63613455478</v>
      </c>
    </row>
    <row r="207" spans="1:8" x14ac:dyDescent="0.25">
      <c r="A207" s="25"/>
      <c r="B207" s="25" t="s">
        <v>91</v>
      </c>
      <c r="C207" s="25" t="s">
        <v>90</v>
      </c>
      <c r="D207" s="26">
        <v>8.3099999999999993E-2</v>
      </c>
      <c r="E207" s="28">
        <f>'MANO DE OBRA'!$D$23</f>
        <v>126930.28226458334</v>
      </c>
      <c r="F207" s="28">
        <f>E207*D207</f>
        <v>10547.906456186874</v>
      </c>
      <c r="G207" s="26">
        <f>D207*$D$201</f>
        <v>2.8719359999999998</v>
      </c>
      <c r="H207" s="28">
        <f>F207*$D$201</f>
        <v>364535.64712581842</v>
      </c>
    </row>
    <row r="208" spans="1:8" x14ac:dyDescent="0.25">
      <c r="A208" s="29"/>
      <c r="B208" s="29" t="s">
        <v>92</v>
      </c>
      <c r="C208" s="29"/>
      <c r="D208" s="29"/>
      <c r="E208" s="29"/>
      <c r="F208" s="30">
        <f>SUM(F206:F207)</f>
        <v>17581.894770265426</v>
      </c>
      <c r="G208" s="29"/>
      <c r="H208" s="29"/>
    </row>
    <row r="209" spans="1:8" x14ac:dyDescent="0.25">
      <c r="A209" s="23" t="s">
        <v>93</v>
      </c>
      <c r="B209" s="31" t="s">
        <v>79</v>
      </c>
      <c r="C209" s="31" t="s">
        <v>80</v>
      </c>
      <c r="D209" s="31" t="s">
        <v>81</v>
      </c>
      <c r="E209" s="31" t="s">
        <v>82</v>
      </c>
      <c r="F209" s="31" t="s">
        <v>83</v>
      </c>
      <c r="G209" s="31" t="s">
        <v>84</v>
      </c>
      <c r="H209" s="31" t="s">
        <v>85</v>
      </c>
    </row>
    <row r="210" spans="1:8" x14ac:dyDescent="0.25">
      <c r="A210" s="25"/>
      <c r="B210" s="25" t="s">
        <v>94</v>
      </c>
      <c r="C210" s="25" t="s">
        <v>95</v>
      </c>
      <c r="D210" s="26">
        <v>1</v>
      </c>
      <c r="E210" s="28">
        <f>F208*0.03</f>
        <v>527.45684310796275</v>
      </c>
      <c r="F210" s="28">
        <f>E210*D210</f>
        <v>527.45684310796275</v>
      </c>
      <c r="G210" s="26">
        <f>D210*$D$201</f>
        <v>34.56</v>
      </c>
      <c r="H210" s="28">
        <f>F210*$D$201</f>
        <v>18228.908497811193</v>
      </c>
    </row>
    <row r="211" spans="1:8" x14ac:dyDescent="0.25">
      <c r="A211" s="25"/>
      <c r="B211" s="25" t="s">
        <v>107</v>
      </c>
      <c r="C211" s="25" t="s">
        <v>97</v>
      </c>
      <c r="D211" s="26">
        <v>0.2077</v>
      </c>
      <c r="E211" s="32">
        <v>195000</v>
      </c>
      <c r="F211" s="28">
        <f>E211*D211</f>
        <v>40501.5</v>
      </c>
      <c r="G211" s="26">
        <f>D211*$D$201</f>
        <v>7.1781120000000005</v>
      </c>
      <c r="H211" s="28">
        <f>F211*$D$201</f>
        <v>1399731.84</v>
      </c>
    </row>
    <row r="212" spans="1:8" x14ac:dyDescent="0.25">
      <c r="A212" s="29"/>
      <c r="B212" s="29" t="s">
        <v>98</v>
      </c>
      <c r="C212" s="29"/>
      <c r="D212" s="29"/>
      <c r="E212" s="29"/>
      <c r="F212" s="30">
        <f>SUM(F210:F211)</f>
        <v>41028.956843107961</v>
      </c>
      <c r="G212" s="29"/>
      <c r="H212" s="29"/>
    </row>
    <row r="213" spans="1:8" x14ac:dyDescent="0.25">
      <c r="A213" s="33" t="s">
        <v>48</v>
      </c>
      <c r="B213" s="33" t="s">
        <v>99</v>
      </c>
      <c r="C213" s="33" t="s">
        <v>19</v>
      </c>
      <c r="D213" s="33"/>
      <c r="E213" s="33"/>
      <c r="F213" s="34">
        <f>F204+F208+F212</f>
        <v>58610.851613373386</v>
      </c>
      <c r="G213" s="33"/>
      <c r="H213" s="33"/>
    </row>
    <row r="214" spans="1:8" ht="15" customHeight="1" x14ac:dyDescent="0.25">
      <c r="B214" s="110" t="s">
        <v>100</v>
      </c>
      <c r="C214" s="110"/>
      <c r="D214" s="110"/>
      <c r="E214" s="110"/>
      <c r="F214" s="110"/>
      <c r="G214" s="110"/>
      <c r="H214" s="110"/>
    </row>
    <row r="216" spans="1:8" ht="30" customHeight="1" x14ac:dyDescent="0.25">
      <c r="A216" s="19" t="s">
        <v>50</v>
      </c>
      <c r="B216" s="20" t="s">
        <v>28</v>
      </c>
      <c r="C216" s="19" t="s">
        <v>19</v>
      </c>
      <c r="D216" s="21">
        <v>38.880000000000003</v>
      </c>
      <c r="E216" s="22" t="s">
        <v>77</v>
      </c>
      <c r="F216" s="20"/>
      <c r="G216" s="20"/>
      <c r="H216" s="20"/>
    </row>
    <row r="217" spans="1:8" ht="24" x14ac:dyDescent="0.25">
      <c r="A217" s="23" t="s">
        <v>78</v>
      </c>
      <c r="B217" s="24" t="s">
        <v>79</v>
      </c>
      <c r="C217" s="24" t="s">
        <v>80</v>
      </c>
      <c r="D217" s="24" t="s">
        <v>81</v>
      </c>
      <c r="E217" s="24" t="s">
        <v>82</v>
      </c>
      <c r="F217" s="24" t="s">
        <v>83</v>
      </c>
      <c r="G217" s="24" t="s">
        <v>84</v>
      </c>
      <c r="H217" s="24" t="s">
        <v>85</v>
      </c>
    </row>
    <row r="218" spans="1:8" x14ac:dyDescent="0.25">
      <c r="A218" s="25"/>
      <c r="B218" s="25" t="s">
        <v>109</v>
      </c>
      <c r="C218" s="25" t="s">
        <v>19</v>
      </c>
      <c r="D218" s="26">
        <v>1</v>
      </c>
      <c r="E218" s="27">
        <v>110001</v>
      </c>
      <c r="F218" s="28">
        <f>D218*E218</f>
        <v>110001</v>
      </c>
      <c r="G218" s="26">
        <f>D218*$D$216</f>
        <v>38.880000000000003</v>
      </c>
      <c r="H218" s="28">
        <f>F218*$D$216</f>
        <v>4276838.88</v>
      </c>
    </row>
    <row r="219" spans="1:8" x14ac:dyDescent="0.25">
      <c r="A219" s="29"/>
      <c r="B219" s="29" t="s">
        <v>87</v>
      </c>
      <c r="C219" s="29"/>
      <c r="D219" s="29"/>
      <c r="E219" s="29"/>
      <c r="F219" s="30">
        <f>SUM(F218:F218)</f>
        <v>110001</v>
      </c>
      <c r="G219" s="29"/>
      <c r="H219" s="29"/>
    </row>
    <row r="220" spans="1:8" x14ac:dyDescent="0.25">
      <c r="A220" s="23" t="s">
        <v>88</v>
      </c>
      <c r="B220" s="31" t="s">
        <v>79</v>
      </c>
      <c r="C220" s="31" t="s">
        <v>80</v>
      </c>
      <c r="D220" s="31" t="s">
        <v>81</v>
      </c>
      <c r="E220" s="31" t="s">
        <v>82</v>
      </c>
      <c r="F220" s="31" t="s">
        <v>83</v>
      </c>
      <c r="G220" s="31" t="s">
        <v>84</v>
      </c>
      <c r="H220" s="31" t="s">
        <v>85</v>
      </c>
    </row>
    <row r="221" spans="1:8" x14ac:dyDescent="0.25">
      <c r="A221" s="25"/>
      <c r="B221" s="25" t="s">
        <v>89</v>
      </c>
      <c r="C221" s="25" t="s">
        <v>90</v>
      </c>
      <c r="D221" s="26">
        <v>7.8700000000000006E-2</v>
      </c>
      <c r="E221" s="28">
        <f>'MANO DE OBRA'!$C$23</f>
        <v>169493.69431514584</v>
      </c>
      <c r="F221" s="28">
        <f>E221*D221</f>
        <v>13339.153742601979</v>
      </c>
      <c r="G221" s="26">
        <f>D221*$D$216</f>
        <v>3.0598560000000004</v>
      </c>
      <c r="H221" s="28">
        <f>F221*$D$216</f>
        <v>518626.29751236498</v>
      </c>
    </row>
    <row r="222" spans="1:8" x14ac:dyDescent="0.25">
      <c r="A222" s="25"/>
      <c r="B222" s="25" t="s">
        <v>91</v>
      </c>
      <c r="C222" s="25" t="s">
        <v>90</v>
      </c>
      <c r="D222" s="26">
        <v>0.1573</v>
      </c>
      <c r="E222" s="28">
        <f>'MANO DE OBRA'!$D$23</f>
        <v>126930.28226458334</v>
      </c>
      <c r="F222" s="28">
        <f>E222*D222</f>
        <v>19966.133400218958</v>
      </c>
      <c r="G222" s="26">
        <f>D222*$D$216</f>
        <v>6.1158239999999999</v>
      </c>
      <c r="H222" s="28">
        <f>F222*$D$216</f>
        <v>776283.26660051313</v>
      </c>
    </row>
    <row r="223" spans="1:8" x14ac:dyDescent="0.25">
      <c r="A223" s="29"/>
      <c r="B223" s="29" t="s">
        <v>92</v>
      </c>
      <c r="C223" s="29"/>
      <c r="D223" s="29"/>
      <c r="E223" s="29"/>
      <c r="F223" s="30">
        <f>SUM(F221:F222)</f>
        <v>33305.287142820933</v>
      </c>
      <c r="G223" s="29"/>
      <c r="H223" s="29"/>
    </row>
    <row r="224" spans="1:8" x14ac:dyDescent="0.25">
      <c r="A224" s="23" t="s">
        <v>93</v>
      </c>
      <c r="B224" s="31" t="s">
        <v>79</v>
      </c>
      <c r="C224" s="31" t="s">
        <v>80</v>
      </c>
      <c r="D224" s="31" t="s">
        <v>81</v>
      </c>
      <c r="E224" s="31" t="s">
        <v>82</v>
      </c>
      <c r="F224" s="31" t="s">
        <v>83</v>
      </c>
      <c r="G224" s="31" t="s">
        <v>84</v>
      </c>
      <c r="H224" s="31" t="s">
        <v>85</v>
      </c>
    </row>
    <row r="225" spans="1:8" x14ac:dyDescent="0.25">
      <c r="A225" s="25"/>
      <c r="B225" s="25" t="s">
        <v>94</v>
      </c>
      <c r="C225" s="25" t="s">
        <v>95</v>
      </c>
      <c r="D225" s="26">
        <v>1</v>
      </c>
      <c r="E225" s="28">
        <f>F223*0.03</f>
        <v>999.1586142846279</v>
      </c>
      <c r="F225" s="28">
        <f>E225*D225</f>
        <v>999.1586142846279</v>
      </c>
      <c r="G225" s="26">
        <f>D225*$D$216</f>
        <v>38.880000000000003</v>
      </c>
      <c r="H225" s="28">
        <f>F225*$D$216</f>
        <v>38847.286923386338</v>
      </c>
    </row>
    <row r="226" spans="1:8" x14ac:dyDescent="0.25">
      <c r="A226" s="25"/>
      <c r="B226" s="25" t="s">
        <v>110</v>
      </c>
      <c r="C226" s="25" t="s">
        <v>97</v>
      </c>
      <c r="D226" s="26">
        <v>0.90439999999999998</v>
      </c>
      <c r="E226" s="32">
        <v>45000</v>
      </c>
      <c r="F226" s="28">
        <f>E226*D226</f>
        <v>40698</v>
      </c>
      <c r="G226" s="26">
        <f>D226*$D$216</f>
        <v>35.163072</v>
      </c>
      <c r="H226" s="28">
        <f>F226*$D$216</f>
        <v>1582338.24</v>
      </c>
    </row>
    <row r="227" spans="1:8" x14ac:dyDescent="0.25">
      <c r="A227" s="29"/>
      <c r="B227" s="29" t="s">
        <v>98</v>
      </c>
      <c r="C227" s="29"/>
      <c r="D227" s="29"/>
      <c r="E227" s="29"/>
      <c r="F227" s="30">
        <f>SUM(F225:F226)</f>
        <v>41697.158614284628</v>
      </c>
      <c r="G227" s="29"/>
      <c r="H227" s="29"/>
    </row>
    <row r="228" spans="1:8" x14ac:dyDescent="0.25">
      <c r="A228" s="33" t="s">
        <v>50</v>
      </c>
      <c r="B228" s="33" t="s">
        <v>99</v>
      </c>
      <c r="C228" s="33" t="s">
        <v>19</v>
      </c>
      <c r="D228" s="33"/>
      <c r="E228" s="33"/>
      <c r="F228" s="34">
        <f>F219+F223+F227</f>
        <v>185003.44575710557</v>
      </c>
      <c r="G228" s="33"/>
      <c r="H228" s="33"/>
    </row>
    <row r="229" spans="1:8" ht="15" customHeight="1" x14ac:dyDescent="0.25">
      <c r="B229" s="110" t="s">
        <v>100</v>
      </c>
      <c r="C229" s="110"/>
      <c r="D229" s="110"/>
      <c r="E229" s="110"/>
      <c r="F229" s="110"/>
      <c r="G229" s="110"/>
      <c r="H229" s="110"/>
    </row>
    <row r="231" spans="1:8" ht="30" customHeight="1" x14ac:dyDescent="0.25">
      <c r="A231" s="19" t="s">
        <v>51</v>
      </c>
      <c r="B231" s="20" t="s">
        <v>30</v>
      </c>
      <c r="C231" s="19" t="s">
        <v>19</v>
      </c>
      <c r="D231" s="21">
        <v>8</v>
      </c>
      <c r="E231" s="22" t="s">
        <v>77</v>
      </c>
      <c r="F231" s="20"/>
      <c r="G231" s="20"/>
      <c r="H231" s="20"/>
    </row>
    <row r="232" spans="1:8" ht="24" x14ac:dyDescent="0.25">
      <c r="A232" s="23" t="s">
        <v>78</v>
      </c>
      <c r="B232" s="24" t="s">
        <v>79</v>
      </c>
      <c r="C232" s="24" t="s">
        <v>80</v>
      </c>
      <c r="D232" s="24" t="s">
        <v>81</v>
      </c>
      <c r="E232" s="24" t="s">
        <v>82</v>
      </c>
      <c r="F232" s="24" t="s">
        <v>83</v>
      </c>
      <c r="G232" s="24" t="s">
        <v>84</v>
      </c>
      <c r="H232" s="24" t="s">
        <v>85</v>
      </c>
    </row>
    <row r="233" spans="1:8" x14ac:dyDescent="0.25">
      <c r="A233" s="25"/>
      <c r="B233" s="25" t="s">
        <v>111</v>
      </c>
      <c r="C233" s="25" t="s">
        <v>19</v>
      </c>
      <c r="D233" s="26">
        <v>1</v>
      </c>
      <c r="E233" s="27">
        <v>107028</v>
      </c>
      <c r="F233" s="28">
        <f>D233*E233</f>
        <v>107028</v>
      </c>
      <c r="G233" s="26">
        <f>D233*$D$231</f>
        <v>8</v>
      </c>
      <c r="H233" s="28">
        <f>F233*$D$231</f>
        <v>856224</v>
      </c>
    </row>
    <row r="234" spans="1:8" x14ac:dyDescent="0.25">
      <c r="A234" s="29"/>
      <c r="B234" s="29" t="s">
        <v>87</v>
      </c>
      <c r="C234" s="29"/>
      <c r="D234" s="29"/>
      <c r="E234" s="29"/>
      <c r="F234" s="30">
        <f>SUM(F233:F233)</f>
        <v>107028</v>
      </c>
      <c r="G234" s="29"/>
      <c r="H234" s="29"/>
    </row>
    <row r="235" spans="1:8" x14ac:dyDescent="0.25">
      <c r="A235" s="23" t="s">
        <v>88</v>
      </c>
      <c r="B235" s="31" t="s">
        <v>79</v>
      </c>
      <c r="C235" s="31" t="s">
        <v>80</v>
      </c>
      <c r="D235" s="31" t="s">
        <v>81</v>
      </c>
      <c r="E235" s="31" t="s">
        <v>82</v>
      </c>
      <c r="F235" s="31" t="s">
        <v>83</v>
      </c>
      <c r="G235" s="31" t="s">
        <v>84</v>
      </c>
      <c r="H235" s="31" t="s">
        <v>85</v>
      </c>
    </row>
    <row r="236" spans="1:8" x14ac:dyDescent="0.25">
      <c r="A236" s="25"/>
      <c r="B236" s="25" t="s">
        <v>89</v>
      </c>
      <c r="C236" s="25" t="s">
        <v>90</v>
      </c>
      <c r="D236" s="26">
        <v>7.6499999999999999E-2</v>
      </c>
      <c r="E236" s="28">
        <f>'MANO DE OBRA'!$C$23</f>
        <v>169493.69431514584</v>
      </c>
      <c r="F236" s="28">
        <f>E236*D236</f>
        <v>12966.267615108656</v>
      </c>
      <c r="G236" s="26">
        <f>D236*$D$231</f>
        <v>0.61199999999999999</v>
      </c>
      <c r="H236" s="28">
        <f>F236*$D$231</f>
        <v>103730.14092086925</v>
      </c>
    </row>
    <row r="237" spans="1:8" x14ac:dyDescent="0.25">
      <c r="A237" s="25"/>
      <c r="B237" s="25" t="s">
        <v>91</v>
      </c>
      <c r="C237" s="25" t="s">
        <v>90</v>
      </c>
      <c r="D237" s="26">
        <v>0.15310000000000001</v>
      </c>
      <c r="E237" s="28">
        <f>'MANO DE OBRA'!$D$23</f>
        <v>126930.28226458334</v>
      </c>
      <c r="F237" s="28">
        <f>E237*D237</f>
        <v>19433.026214707712</v>
      </c>
      <c r="G237" s="26">
        <f>D237*$D$231</f>
        <v>1.2248000000000001</v>
      </c>
      <c r="H237" s="28">
        <f>F237*$D$231</f>
        <v>155464.2097176617</v>
      </c>
    </row>
    <row r="238" spans="1:8" x14ac:dyDescent="0.25">
      <c r="A238" s="29"/>
      <c r="B238" s="29" t="s">
        <v>92</v>
      </c>
      <c r="C238" s="29"/>
      <c r="D238" s="29"/>
      <c r="E238" s="29"/>
      <c r="F238" s="30">
        <f>SUM(F236:F237)</f>
        <v>32399.293829816368</v>
      </c>
      <c r="G238" s="29"/>
      <c r="H238" s="29"/>
    </row>
    <row r="239" spans="1:8" x14ac:dyDescent="0.25">
      <c r="A239" s="23" t="s">
        <v>93</v>
      </c>
      <c r="B239" s="31" t="s">
        <v>79</v>
      </c>
      <c r="C239" s="31" t="s">
        <v>80</v>
      </c>
      <c r="D239" s="31" t="s">
        <v>81</v>
      </c>
      <c r="E239" s="31" t="s">
        <v>82</v>
      </c>
      <c r="F239" s="31" t="s">
        <v>83</v>
      </c>
      <c r="G239" s="31" t="s">
        <v>84</v>
      </c>
      <c r="H239" s="31" t="s">
        <v>85</v>
      </c>
    </row>
    <row r="240" spans="1:8" x14ac:dyDescent="0.25">
      <c r="A240" s="25"/>
      <c r="B240" s="25" t="s">
        <v>94</v>
      </c>
      <c r="C240" s="25" t="s">
        <v>95</v>
      </c>
      <c r="D240" s="26">
        <v>1</v>
      </c>
      <c r="E240" s="28">
        <f>F238*0.03</f>
        <v>971.97881489449105</v>
      </c>
      <c r="F240" s="28">
        <f>E240*D240</f>
        <v>971.97881489449105</v>
      </c>
      <c r="G240" s="26">
        <f>D240*$D$231</f>
        <v>8</v>
      </c>
      <c r="H240" s="28">
        <f>F240*$D$231</f>
        <v>7775.8305191559284</v>
      </c>
    </row>
    <row r="241" spans="1:8" x14ac:dyDescent="0.25">
      <c r="A241" s="25"/>
      <c r="B241" s="25" t="s">
        <v>112</v>
      </c>
      <c r="C241" s="25" t="s">
        <v>97</v>
      </c>
      <c r="D241" s="26">
        <v>1.0421</v>
      </c>
      <c r="E241" s="32">
        <v>38000</v>
      </c>
      <c r="F241" s="28">
        <f>E241*D241</f>
        <v>39599.800000000003</v>
      </c>
      <c r="G241" s="26">
        <f>D241*$D$231</f>
        <v>8.3368000000000002</v>
      </c>
      <c r="H241" s="28">
        <f>F241*$D$231</f>
        <v>316798.40000000002</v>
      </c>
    </row>
    <row r="242" spans="1:8" x14ac:dyDescent="0.25">
      <c r="A242" s="29"/>
      <c r="B242" s="29" t="s">
        <v>98</v>
      </c>
      <c r="C242" s="29"/>
      <c r="D242" s="29"/>
      <c r="E242" s="29"/>
      <c r="F242" s="30">
        <f>SUM(F240:F241)</f>
        <v>40571.778814894496</v>
      </c>
      <c r="G242" s="29"/>
      <c r="H242" s="29"/>
    </row>
    <row r="243" spans="1:8" x14ac:dyDescent="0.25">
      <c r="A243" s="33" t="s">
        <v>51</v>
      </c>
      <c r="B243" s="33" t="s">
        <v>99</v>
      </c>
      <c r="C243" s="33" t="s">
        <v>19</v>
      </c>
      <c r="D243" s="33"/>
      <c r="E243" s="33"/>
      <c r="F243" s="34">
        <f>F234+F238+F242</f>
        <v>179999.07264471086</v>
      </c>
      <c r="G243" s="33"/>
      <c r="H243" s="33"/>
    </row>
    <row r="244" spans="1:8" ht="15" customHeight="1" x14ac:dyDescent="0.25">
      <c r="B244" s="110" t="s">
        <v>100</v>
      </c>
      <c r="C244" s="110"/>
      <c r="D244" s="110"/>
      <c r="E244" s="110"/>
      <c r="F244" s="110"/>
      <c r="G244" s="110"/>
      <c r="H244" s="110"/>
    </row>
    <row r="246" spans="1:8" ht="30" customHeight="1" x14ac:dyDescent="0.25">
      <c r="A246" s="19" t="s">
        <v>53</v>
      </c>
      <c r="B246" s="20" t="s">
        <v>54</v>
      </c>
      <c r="C246" s="19" t="s">
        <v>19</v>
      </c>
      <c r="D246" s="21">
        <v>0.22977500000000001</v>
      </c>
      <c r="E246" s="22" t="s">
        <v>77</v>
      </c>
      <c r="F246" s="20"/>
      <c r="G246" s="20"/>
      <c r="H246" s="20"/>
    </row>
    <row r="247" spans="1:8" ht="24" x14ac:dyDescent="0.25">
      <c r="A247" s="23" t="s">
        <v>78</v>
      </c>
      <c r="B247" s="24" t="s">
        <v>79</v>
      </c>
      <c r="C247" s="24" t="s">
        <v>80</v>
      </c>
      <c r="D247" s="24" t="s">
        <v>81</v>
      </c>
      <c r="E247" s="24" t="s">
        <v>82</v>
      </c>
      <c r="F247" s="24" t="s">
        <v>83</v>
      </c>
      <c r="G247" s="24" t="s">
        <v>84</v>
      </c>
      <c r="H247" s="24" t="s">
        <v>85</v>
      </c>
    </row>
    <row r="248" spans="1:8" x14ac:dyDescent="0.25">
      <c r="A248" s="25"/>
      <c r="B248" s="25" t="s">
        <v>124</v>
      </c>
      <c r="C248" s="25" t="s">
        <v>19</v>
      </c>
      <c r="D248" s="26">
        <v>1</v>
      </c>
      <c r="E248" s="27">
        <v>285596.12261498801</v>
      </c>
      <c r="F248" s="28">
        <f>D248*E248</f>
        <v>285596.12261498801</v>
      </c>
      <c r="G248" s="26">
        <f>D248*$D$246</f>
        <v>0.22977500000000001</v>
      </c>
      <c r="H248" s="28">
        <f>F248*$D$246</f>
        <v>65622.849073858873</v>
      </c>
    </row>
    <row r="249" spans="1:8" x14ac:dyDescent="0.25">
      <c r="A249" s="25"/>
      <c r="B249" s="25" t="s">
        <v>125</v>
      </c>
      <c r="C249" s="25" t="s">
        <v>19</v>
      </c>
      <c r="D249" s="26">
        <v>1</v>
      </c>
      <c r="E249" s="27">
        <v>111065.15879471799</v>
      </c>
      <c r="F249" s="28">
        <f>D249*E249</f>
        <v>111065.15879471799</v>
      </c>
      <c r="G249" s="26">
        <f>D249*$D$246</f>
        <v>0.22977500000000001</v>
      </c>
      <c r="H249" s="28">
        <f>F249*$D$246</f>
        <v>25519.996862056327</v>
      </c>
    </row>
    <row r="250" spans="1:8" x14ac:dyDescent="0.25">
      <c r="A250" s="29"/>
      <c r="B250" s="29" t="s">
        <v>87</v>
      </c>
      <c r="C250" s="29"/>
      <c r="D250" s="29"/>
      <c r="E250" s="29"/>
      <c r="F250" s="30">
        <f>SUM(F248:F249)</f>
        <v>396661.28140970599</v>
      </c>
      <c r="G250" s="29"/>
      <c r="H250" s="29"/>
    </row>
    <row r="251" spans="1:8" x14ac:dyDescent="0.25">
      <c r="A251" s="23" t="s">
        <v>88</v>
      </c>
      <c r="B251" s="31" t="s">
        <v>79</v>
      </c>
      <c r="C251" s="31" t="s">
        <v>80</v>
      </c>
      <c r="D251" s="31" t="s">
        <v>81</v>
      </c>
      <c r="E251" s="31" t="s">
        <v>82</v>
      </c>
      <c r="F251" s="31" t="s">
        <v>83</v>
      </c>
      <c r="G251" s="31" t="s">
        <v>84</v>
      </c>
      <c r="H251" s="31" t="s">
        <v>85</v>
      </c>
    </row>
    <row r="252" spans="1:8" x14ac:dyDescent="0.25">
      <c r="A252" s="25"/>
      <c r="B252" s="25" t="s">
        <v>89</v>
      </c>
      <c r="C252" s="25" t="s">
        <v>90</v>
      </c>
      <c r="D252" s="26">
        <v>0.65700000000000003</v>
      </c>
      <c r="E252" s="28">
        <f>'MANO DE OBRA'!$C$23</f>
        <v>169493.69431514584</v>
      </c>
      <c r="F252" s="28">
        <f>E252*D252</f>
        <v>111357.35716505082</v>
      </c>
      <c r="G252" s="26">
        <f>D252*$D$246</f>
        <v>0.150962175</v>
      </c>
      <c r="H252" s="28">
        <f>F252*$D$246</f>
        <v>25587.136742599552</v>
      </c>
    </row>
    <row r="253" spans="1:8" x14ac:dyDescent="0.25">
      <c r="A253" s="25"/>
      <c r="B253" s="25" t="s">
        <v>91</v>
      </c>
      <c r="C253" s="25" t="s">
        <v>90</v>
      </c>
      <c r="D253" s="26">
        <v>0.65700000000000003</v>
      </c>
      <c r="E253" s="28">
        <f>'MANO DE OBRA'!$D$23</f>
        <v>126930.28226458334</v>
      </c>
      <c r="F253" s="28">
        <f>E253*D253</f>
        <v>83393.195447831255</v>
      </c>
      <c r="G253" s="26">
        <f>D253*$D$246</f>
        <v>0.150962175</v>
      </c>
      <c r="H253" s="28">
        <f>F253*$D$246</f>
        <v>19161.671484025428</v>
      </c>
    </row>
    <row r="254" spans="1:8" x14ac:dyDescent="0.25">
      <c r="A254" s="29"/>
      <c r="B254" s="29" t="s">
        <v>92</v>
      </c>
      <c r="C254" s="29"/>
      <c r="D254" s="29"/>
      <c r="E254" s="29"/>
      <c r="F254" s="30">
        <f>SUM(F252:F253)</f>
        <v>194750.55261288208</v>
      </c>
      <c r="G254" s="29"/>
      <c r="H254" s="29"/>
    </row>
    <row r="255" spans="1:8" x14ac:dyDescent="0.25">
      <c r="A255" s="23" t="s">
        <v>93</v>
      </c>
      <c r="B255" s="31" t="s">
        <v>79</v>
      </c>
      <c r="C255" s="31" t="s">
        <v>80</v>
      </c>
      <c r="D255" s="31" t="s">
        <v>81</v>
      </c>
      <c r="E255" s="31" t="s">
        <v>82</v>
      </c>
      <c r="F255" s="31" t="s">
        <v>83</v>
      </c>
      <c r="G255" s="31" t="s">
        <v>84</v>
      </c>
      <c r="H255" s="31" t="s">
        <v>85</v>
      </c>
    </row>
    <row r="256" spans="1:8" x14ac:dyDescent="0.25">
      <c r="A256" s="25"/>
      <c r="B256" s="25" t="s">
        <v>94</v>
      </c>
      <c r="C256" s="25" t="s">
        <v>95</v>
      </c>
      <c r="D256" s="26">
        <v>1</v>
      </c>
      <c r="E256" s="28">
        <f>F254*0.03</f>
        <v>5842.5165783864622</v>
      </c>
      <c r="F256" s="28">
        <f>E256*D256</f>
        <v>5842.5165783864622</v>
      </c>
      <c r="G256" s="26">
        <f>D256*$D$246</f>
        <v>0.22977500000000001</v>
      </c>
      <c r="H256" s="28">
        <f>F256*$D$246</f>
        <v>1342.4642467987494</v>
      </c>
    </row>
    <row r="257" spans="1:8" x14ac:dyDescent="0.25">
      <c r="A257" s="25"/>
      <c r="B257" s="25" t="s">
        <v>126</v>
      </c>
      <c r="C257" s="25" t="s">
        <v>97</v>
      </c>
      <c r="D257" s="26">
        <v>1.4839</v>
      </c>
      <c r="E257" s="32">
        <v>35000</v>
      </c>
      <c r="F257" s="28">
        <f>E257*D257</f>
        <v>51936.5</v>
      </c>
      <c r="G257" s="26">
        <f>D257*$D$246</f>
        <v>0.34096312249999999</v>
      </c>
      <c r="H257" s="28">
        <f>F257*$D$246</f>
        <v>11933.7092875</v>
      </c>
    </row>
    <row r="258" spans="1:8" x14ac:dyDescent="0.25">
      <c r="A258" s="29"/>
      <c r="B258" s="29" t="s">
        <v>98</v>
      </c>
      <c r="C258" s="29"/>
      <c r="D258" s="29"/>
      <c r="E258" s="29"/>
      <c r="F258" s="30">
        <f>SUM(F256:F257)</f>
        <v>57779.016578386465</v>
      </c>
      <c r="G258" s="29"/>
      <c r="H258" s="29"/>
    </row>
    <row r="259" spans="1:8" x14ac:dyDescent="0.25">
      <c r="A259" s="33" t="s">
        <v>53</v>
      </c>
      <c r="B259" s="33" t="s">
        <v>99</v>
      </c>
      <c r="C259" s="33" t="s">
        <v>19</v>
      </c>
      <c r="D259" s="33"/>
      <c r="E259" s="33"/>
      <c r="F259" s="34">
        <f>F250+F254+F258</f>
        <v>649190.85060097452</v>
      </c>
      <c r="G259" s="33"/>
      <c r="H259" s="33"/>
    </row>
    <row r="260" spans="1:8" ht="15" customHeight="1" x14ac:dyDescent="0.25">
      <c r="B260" s="110" t="s">
        <v>100</v>
      </c>
      <c r="C260" s="110"/>
      <c r="D260" s="110"/>
      <c r="E260" s="110"/>
      <c r="F260" s="110"/>
      <c r="G260" s="110"/>
      <c r="H260" s="110"/>
    </row>
    <row r="262" spans="1:8" ht="30" customHeight="1" x14ac:dyDescent="0.25">
      <c r="A262" s="19" t="s">
        <v>55</v>
      </c>
      <c r="B262" s="20" t="s">
        <v>56</v>
      </c>
      <c r="C262" s="19" t="s">
        <v>37</v>
      </c>
      <c r="D262" s="21">
        <v>6</v>
      </c>
      <c r="E262" s="22" t="s">
        <v>77</v>
      </c>
      <c r="F262" s="20"/>
      <c r="G262" s="20"/>
      <c r="H262" s="20"/>
    </row>
    <row r="263" spans="1:8" ht="24" x14ac:dyDescent="0.25">
      <c r="A263" s="23" t="s">
        <v>78</v>
      </c>
      <c r="B263" s="24" t="s">
        <v>79</v>
      </c>
      <c r="C263" s="24" t="s">
        <v>80</v>
      </c>
      <c r="D263" s="24" t="s">
        <v>81</v>
      </c>
      <c r="E263" s="24" t="s">
        <v>82</v>
      </c>
      <c r="F263" s="24" t="s">
        <v>83</v>
      </c>
      <c r="G263" s="24" t="s">
        <v>84</v>
      </c>
      <c r="H263" s="24" t="s">
        <v>85</v>
      </c>
    </row>
    <row r="264" spans="1:8" x14ac:dyDescent="0.25">
      <c r="A264" s="25"/>
      <c r="B264" s="25" t="s">
        <v>127</v>
      </c>
      <c r="C264" s="25" t="s">
        <v>37</v>
      </c>
      <c r="D264" s="26">
        <v>1</v>
      </c>
      <c r="E264" s="27">
        <v>641814.70985690702</v>
      </c>
      <c r="F264" s="28">
        <f>D264*E264</f>
        <v>641814.70985690702</v>
      </c>
      <c r="G264" s="26">
        <f>D264*$D$262</f>
        <v>6</v>
      </c>
      <c r="H264" s="28">
        <f>F264*$D$262</f>
        <v>3850888.2591414424</v>
      </c>
    </row>
    <row r="265" spans="1:8" x14ac:dyDescent="0.25">
      <c r="A265" s="25"/>
      <c r="B265" s="25" t="s">
        <v>128</v>
      </c>
      <c r="C265" s="25" t="s">
        <v>37</v>
      </c>
      <c r="D265" s="26">
        <v>1</v>
      </c>
      <c r="E265" s="27">
        <v>160453.67746422699</v>
      </c>
      <c r="F265" s="28">
        <f>D265*E265</f>
        <v>160453.67746422699</v>
      </c>
      <c r="G265" s="26">
        <f>D265*$D$262</f>
        <v>6</v>
      </c>
      <c r="H265" s="28">
        <f>F265*$D$262</f>
        <v>962722.06478536199</v>
      </c>
    </row>
    <row r="266" spans="1:8" x14ac:dyDescent="0.25">
      <c r="A266" s="29"/>
      <c r="B266" s="29" t="s">
        <v>87</v>
      </c>
      <c r="C266" s="29"/>
      <c r="D266" s="29"/>
      <c r="E266" s="29"/>
      <c r="F266" s="30">
        <f>SUM(F264:F265)</f>
        <v>802268.38732113398</v>
      </c>
      <c r="G266" s="29"/>
      <c r="H266" s="29"/>
    </row>
    <row r="267" spans="1:8" x14ac:dyDescent="0.25">
      <c r="A267" s="23" t="s">
        <v>88</v>
      </c>
      <c r="B267" s="31" t="s">
        <v>79</v>
      </c>
      <c r="C267" s="31" t="s">
        <v>80</v>
      </c>
      <c r="D267" s="31" t="s">
        <v>81</v>
      </c>
      <c r="E267" s="31" t="s">
        <v>82</v>
      </c>
      <c r="F267" s="31" t="s">
        <v>83</v>
      </c>
      <c r="G267" s="31" t="s">
        <v>84</v>
      </c>
      <c r="H267" s="31" t="s">
        <v>85</v>
      </c>
    </row>
    <row r="268" spans="1:8" x14ac:dyDescent="0.25">
      <c r="A268" s="25"/>
      <c r="B268" s="25" t="s">
        <v>89</v>
      </c>
      <c r="C268" s="25" t="s">
        <v>90</v>
      </c>
      <c r="D268" s="26">
        <v>0.30859999999999999</v>
      </c>
      <c r="E268" s="28">
        <f>'MANO DE OBRA'!$C$23</f>
        <v>169493.69431514584</v>
      </c>
      <c r="F268" s="28">
        <f>E268*D268</f>
        <v>52305.754065654</v>
      </c>
      <c r="G268" s="26">
        <f>D268*$D$262</f>
        <v>1.8515999999999999</v>
      </c>
      <c r="H268" s="28">
        <f>F268*$D$262</f>
        <v>313834.52439392399</v>
      </c>
    </row>
    <row r="269" spans="1:8" x14ac:dyDescent="0.25">
      <c r="A269" s="25"/>
      <c r="B269" s="25" t="s">
        <v>91</v>
      </c>
      <c r="C269" s="25" t="s">
        <v>90</v>
      </c>
      <c r="D269" s="26">
        <v>0.30859999999999999</v>
      </c>
      <c r="E269" s="28">
        <f>'MANO DE OBRA'!$D$23</f>
        <v>126930.28226458334</v>
      </c>
      <c r="F269" s="28">
        <f>E269*D269</f>
        <v>39170.685106850418</v>
      </c>
      <c r="G269" s="26">
        <f>D269*$D$262</f>
        <v>1.8515999999999999</v>
      </c>
      <c r="H269" s="28">
        <f>F269*$D$262</f>
        <v>235024.11064110251</v>
      </c>
    </row>
    <row r="270" spans="1:8" x14ac:dyDescent="0.25">
      <c r="A270" s="29"/>
      <c r="B270" s="29" t="s">
        <v>92</v>
      </c>
      <c r="C270" s="29"/>
      <c r="D270" s="29"/>
      <c r="E270" s="29"/>
      <c r="F270" s="30">
        <f>SUM(F268:F269)</f>
        <v>91476.439172504412</v>
      </c>
      <c r="G270" s="29"/>
      <c r="H270" s="29"/>
    </row>
    <row r="271" spans="1:8" x14ac:dyDescent="0.25">
      <c r="A271" s="23" t="s">
        <v>93</v>
      </c>
      <c r="B271" s="31" t="s">
        <v>79</v>
      </c>
      <c r="C271" s="31" t="s">
        <v>80</v>
      </c>
      <c r="D271" s="31" t="s">
        <v>81</v>
      </c>
      <c r="E271" s="31" t="s">
        <v>82</v>
      </c>
      <c r="F271" s="31" t="s">
        <v>83</v>
      </c>
      <c r="G271" s="31" t="s">
        <v>84</v>
      </c>
      <c r="H271" s="31" t="s">
        <v>85</v>
      </c>
    </row>
    <row r="272" spans="1:8" x14ac:dyDescent="0.25">
      <c r="A272" s="25"/>
      <c r="B272" s="25" t="s">
        <v>94</v>
      </c>
      <c r="C272" s="25" t="s">
        <v>95</v>
      </c>
      <c r="D272" s="26">
        <v>1</v>
      </c>
      <c r="E272" s="28">
        <f>F270*0.03</f>
        <v>2744.2931751751321</v>
      </c>
      <c r="F272" s="28">
        <f>E272*D272</f>
        <v>2744.2931751751321</v>
      </c>
      <c r="G272" s="26">
        <f>D272*$D$262</f>
        <v>6</v>
      </c>
      <c r="H272" s="28">
        <f>F272*$D$262</f>
        <v>16465.759051050794</v>
      </c>
    </row>
    <row r="273" spans="1:8" x14ac:dyDescent="0.25">
      <c r="A273" s="29"/>
      <c r="B273" s="29" t="s">
        <v>98</v>
      </c>
      <c r="C273" s="29"/>
      <c r="D273" s="29"/>
      <c r="E273" s="29"/>
      <c r="F273" s="30">
        <f>SUM(F272:F272)</f>
        <v>2744.2931751751321</v>
      </c>
      <c r="G273" s="29"/>
      <c r="H273" s="29"/>
    </row>
    <row r="274" spans="1:8" x14ac:dyDescent="0.25">
      <c r="A274" s="33" t="s">
        <v>55</v>
      </c>
      <c r="B274" s="33" t="s">
        <v>99</v>
      </c>
      <c r="C274" s="33" t="s">
        <v>37</v>
      </c>
      <c r="D274" s="33"/>
      <c r="E274" s="33"/>
      <c r="F274" s="34">
        <f>F266+F270+F273</f>
        <v>896489.11966881342</v>
      </c>
      <c r="G274" s="33"/>
      <c r="H274" s="33"/>
    </row>
    <row r="275" spans="1:8" ht="15" customHeight="1" x14ac:dyDescent="0.25">
      <c r="B275" s="110" t="s">
        <v>100</v>
      </c>
      <c r="C275" s="110"/>
      <c r="D275" s="110"/>
      <c r="E275" s="110"/>
      <c r="F275" s="110"/>
      <c r="G275" s="110"/>
      <c r="H275" s="110"/>
    </row>
    <row r="277" spans="1:8" ht="30" customHeight="1" x14ac:dyDescent="0.25">
      <c r="A277" s="19" t="s">
        <v>57</v>
      </c>
      <c r="B277" s="20" t="s">
        <v>58</v>
      </c>
      <c r="C277" s="19" t="s">
        <v>37</v>
      </c>
      <c r="D277" s="21">
        <v>1</v>
      </c>
      <c r="E277" s="22" t="s">
        <v>77</v>
      </c>
      <c r="F277" s="20"/>
      <c r="G277" s="20"/>
      <c r="H277" s="20"/>
    </row>
    <row r="278" spans="1:8" ht="24" x14ac:dyDescent="0.25">
      <c r="A278" s="23" t="s">
        <v>78</v>
      </c>
      <c r="B278" s="24" t="s">
        <v>79</v>
      </c>
      <c r="C278" s="24" t="s">
        <v>80</v>
      </c>
      <c r="D278" s="24" t="s">
        <v>81</v>
      </c>
      <c r="E278" s="24" t="s">
        <v>82</v>
      </c>
      <c r="F278" s="24" t="s">
        <v>83</v>
      </c>
      <c r="G278" s="24" t="s">
        <v>84</v>
      </c>
      <c r="H278" s="24" t="s">
        <v>85</v>
      </c>
    </row>
    <row r="279" spans="1:8" x14ac:dyDescent="0.25">
      <c r="A279" s="25"/>
      <c r="B279" s="25" t="s">
        <v>129</v>
      </c>
      <c r="C279" s="25" t="s">
        <v>37</v>
      </c>
      <c r="D279" s="26">
        <v>1</v>
      </c>
      <c r="E279" s="27">
        <v>3909945.6</v>
      </c>
      <c r="F279" s="28">
        <f>D279*E279</f>
        <v>3909945.6</v>
      </c>
      <c r="G279" s="26">
        <f>D279*$D$277</f>
        <v>1</v>
      </c>
      <c r="H279" s="28">
        <f>F279*$D$277</f>
        <v>3909945.6</v>
      </c>
    </row>
    <row r="280" spans="1:8" x14ac:dyDescent="0.25">
      <c r="A280" s="29"/>
      <c r="B280" s="29" t="s">
        <v>87</v>
      </c>
      <c r="C280" s="29"/>
      <c r="D280" s="29"/>
      <c r="E280" s="29"/>
      <c r="F280" s="30">
        <f>SUM(F279:F279)</f>
        <v>3909945.6</v>
      </c>
      <c r="G280" s="29"/>
      <c r="H280" s="29"/>
    </row>
    <row r="281" spans="1:8" x14ac:dyDescent="0.25">
      <c r="A281" s="23" t="s">
        <v>88</v>
      </c>
      <c r="B281" s="31" t="s">
        <v>79</v>
      </c>
      <c r="C281" s="31" t="s">
        <v>80</v>
      </c>
      <c r="D281" s="31" t="s">
        <v>81</v>
      </c>
      <c r="E281" s="31" t="s">
        <v>82</v>
      </c>
      <c r="F281" s="31" t="s">
        <v>83</v>
      </c>
      <c r="G281" s="31" t="s">
        <v>84</v>
      </c>
      <c r="H281" s="31" t="s">
        <v>85</v>
      </c>
    </row>
    <row r="282" spans="1:8" x14ac:dyDescent="0.25">
      <c r="A282" s="25"/>
      <c r="B282" s="25" t="s">
        <v>89</v>
      </c>
      <c r="C282" s="25" t="s">
        <v>90</v>
      </c>
      <c r="D282" s="26">
        <v>1.1756</v>
      </c>
      <c r="E282" s="28">
        <f>'MANO DE OBRA'!$C$23</f>
        <v>169493.69431514584</v>
      </c>
      <c r="F282" s="28">
        <f>E282*D282</f>
        <v>199256.78703688545</v>
      </c>
      <c r="G282" s="26">
        <f>D282*$D$277</f>
        <v>1.1756</v>
      </c>
      <c r="H282" s="28">
        <f>F282*$D$277</f>
        <v>199256.78703688545</v>
      </c>
    </row>
    <row r="283" spans="1:8" x14ac:dyDescent="0.25">
      <c r="A283" s="25"/>
      <c r="B283" s="25" t="s">
        <v>91</v>
      </c>
      <c r="C283" s="25" t="s">
        <v>90</v>
      </c>
      <c r="D283" s="26">
        <v>1.1756</v>
      </c>
      <c r="E283" s="28">
        <f>'MANO DE OBRA'!$D$23</f>
        <v>126930.28226458334</v>
      </c>
      <c r="F283" s="28">
        <f>E283*D283</f>
        <v>149219.23983024416</v>
      </c>
      <c r="G283" s="26">
        <f>D283*$D$277</f>
        <v>1.1756</v>
      </c>
      <c r="H283" s="28">
        <f>F283*$D$277</f>
        <v>149219.23983024416</v>
      </c>
    </row>
    <row r="284" spans="1:8" x14ac:dyDescent="0.25">
      <c r="A284" s="29"/>
      <c r="B284" s="29" t="s">
        <v>92</v>
      </c>
      <c r="C284" s="29"/>
      <c r="D284" s="29"/>
      <c r="E284" s="29"/>
      <c r="F284" s="30">
        <f>SUM(F282:F283)</f>
        <v>348476.02686712961</v>
      </c>
      <c r="G284" s="29"/>
      <c r="H284" s="29"/>
    </row>
    <row r="285" spans="1:8" x14ac:dyDescent="0.25">
      <c r="A285" s="23" t="s">
        <v>93</v>
      </c>
      <c r="B285" s="31" t="s">
        <v>79</v>
      </c>
      <c r="C285" s="31" t="s">
        <v>80</v>
      </c>
      <c r="D285" s="31" t="s">
        <v>81</v>
      </c>
      <c r="E285" s="31" t="s">
        <v>82</v>
      </c>
      <c r="F285" s="31" t="s">
        <v>83</v>
      </c>
      <c r="G285" s="31" t="s">
        <v>84</v>
      </c>
      <c r="H285" s="31" t="s">
        <v>85</v>
      </c>
    </row>
    <row r="286" spans="1:8" x14ac:dyDescent="0.25">
      <c r="A286" s="25"/>
      <c r="B286" s="25" t="s">
        <v>94</v>
      </c>
      <c r="C286" s="25" t="s">
        <v>95</v>
      </c>
      <c r="D286" s="26">
        <v>1</v>
      </c>
      <c r="E286" s="28">
        <f>F284*0.03</f>
        <v>10454.280806013889</v>
      </c>
      <c r="F286" s="28">
        <f>E286*D286</f>
        <v>10454.280806013889</v>
      </c>
      <c r="G286" s="26">
        <f>D286*$D$277</f>
        <v>1</v>
      </c>
      <c r="H286" s="28">
        <f>F286*$D$277</f>
        <v>10454.280806013889</v>
      </c>
    </row>
    <row r="287" spans="1:8" x14ac:dyDescent="0.25">
      <c r="A287" s="29"/>
      <c r="B287" s="29" t="s">
        <v>98</v>
      </c>
      <c r="C287" s="29"/>
      <c r="D287" s="29"/>
      <c r="E287" s="29"/>
      <c r="F287" s="30">
        <f>SUM(F286:F286)</f>
        <v>10454.280806013889</v>
      </c>
      <c r="G287" s="29"/>
      <c r="H287" s="29"/>
    </row>
    <row r="288" spans="1:8" x14ac:dyDescent="0.25">
      <c r="A288" s="33" t="s">
        <v>57</v>
      </c>
      <c r="B288" s="33" t="s">
        <v>99</v>
      </c>
      <c r="C288" s="33" t="s">
        <v>37</v>
      </c>
      <c r="D288" s="33"/>
      <c r="E288" s="33"/>
      <c r="F288" s="34">
        <f>F280+F284+F287</f>
        <v>4268875.9076731438</v>
      </c>
      <c r="G288" s="33"/>
      <c r="H288" s="33"/>
    </row>
    <row r="289" spans="1:8" ht="15" customHeight="1" x14ac:dyDescent="0.25">
      <c r="B289" s="110" t="s">
        <v>100</v>
      </c>
      <c r="C289" s="110"/>
      <c r="D289" s="110"/>
      <c r="E289" s="110"/>
      <c r="F289" s="110"/>
      <c r="G289" s="110"/>
      <c r="H289" s="110"/>
    </row>
    <row r="291" spans="1:8" ht="30" customHeight="1" x14ac:dyDescent="0.25">
      <c r="A291" s="19" t="s">
        <v>60</v>
      </c>
      <c r="B291" s="20" t="s">
        <v>61</v>
      </c>
      <c r="C291" s="19" t="s">
        <v>37</v>
      </c>
      <c r="D291" s="21">
        <v>15</v>
      </c>
      <c r="E291" s="22" t="s">
        <v>77</v>
      </c>
      <c r="F291" s="20"/>
      <c r="G291" s="20"/>
      <c r="H291" s="20"/>
    </row>
    <row r="292" spans="1:8" ht="24" x14ac:dyDescent="0.25">
      <c r="A292" s="23" t="s">
        <v>78</v>
      </c>
      <c r="B292" s="24" t="s">
        <v>79</v>
      </c>
      <c r="C292" s="24" t="s">
        <v>80</v>
      </c>
      <c r="D292" s="24" t="s">
        <v>81</v>
      </c>
      <c r="E292" s="24" t="s">
        <v>82</v>
      </c>
      <c r="F292" s="24" t="s">
        <v>83</v>
      </c>
      <c r="G292" s="24" t="s">
        <v>84</v>
      </c>
      <c r="H292" s="24" t="s">
        <v>85</v>
      </c>
    </row>
    <row r="293" spans="1:8" x14ac:dyDescent="0.25">
      <c r="A293" s="25"/>
      <c r="B293" s="25" t="s">
        <v>130</v>
      </c>
      <c r="C293" s="25" t="s">
        <v>37</v>
      </c>
      <c r="D293" s="26">
        <v>1</v>
      </c>
      <c r="E293" s="27">
        <v>38022.75</v>
      </c>
      <c r="F293" s="28">
        <f>D293*E293</f>
        <v>38022.75</v>
      </c>
      <c r="G293" s="26">
        <f>D293*$D$291</f>
        <v>15</v>
      </c>
      <c r="H293" s="28">
        <f>F293*$D$291</f>
        <v>570341.25</v>
      </c>
    </row>
    <row r="294" spans="1:8" x14ac:dyDescent="0.25">
      <c r="A294" s="29"/>
      <c r="B294" s="29" t="s">
        <v>87</v>
      </c>
      <c r="C294" s="29"/>
      <c r="D294" s="29"/>
      <c r="E294" s="29"/>
      <c r="F294" s="30">
        <f>SUM(F293:F293)</f>
        <v>38022.75</v>
      </c>
      <c r="G294" s="29"/>
      <c r="H294" s="29"/>
    </row>
    <row r="295" spans="1:8" x14ac:dyDescent="0.25">
      <c r="A295" s="23" t="s">
        <v>88</v>
      </c>
      <c r="B295" s="31" t="s">
        <v>79</v>
      </c>
      <c r="C295" s="31" t="s">
        <v>80</v>
      </c>
      <c r="D295" s="31" t="s">
        <v>81</v>
      </c>
      <c r="E295" s="31" t="s">
        <v>82</v>
      </c>
      <c r="F295" s="31" t="s">
        <v>83</v>
      </c>
      <c r="G295" s="31" t="s">
        <v>84</v>
      </c>
      <c r="H295" s="31" t="s">
        <v>85</v>
      </c>
    </row>
    <row r="296" spans="1:8" x14ac:dyDescent="0.25">
      <c r="A296" s="25"/>
      <c r="B296" s="25" t="s">
        <v>89</v>
      </c>
      <c r="C296" s="25" t="s">
        <v>90</v>
      </c>
      <c r="D296" s="26">
        <v>7.6200000000000004E-2</v>
      </c>
      <c r="E296" s="28">
        <f>'MANO DE OBRA'!$C$23</f>
        <v>169493.69431514584</v>
      </c>
      <c r="F296" s="28">
        <f>E296*D296</f>
        <v>12915.419506814114</v>
      </c>
      <c r="G296" s="26">
        <f>D296*$D$291</f>
        <v>1.143</v>
      </c>
      <c r="H296" s="28">
        <f>F296*$D$291</f>
        <v>193731.2926022117</v>
      </c>
    </row>
    <row r="297" spans="1:8" x14ac:dyDescent="0.25">
      <c r="A297" s="25"/>
      <c r="B297" s="25" t="s">
        <v>91</v>
      </c>
      <c r="C297" s="25" t="s">
        <v>90</v>
      </c>
      <c r="D297" s="26">
        <v>7.6200000000000004E-2</v>
      </c>
      <c r="E297" s="28">
        <f>'MANO DE OBRA'!$D$23</f>
        <v>126930.28226458334</v>
      </c>
      <c r="F297" s="28">
        <f>E297*D297</f>
        <v>9672.0875085612515</v>
      </c>
      <c r="G297" s="26">
        <f>D297*$D$291</f>
        <v>1.143</v>
      </c>
      <c r="H297" s="28">
        <f>F297*$D$291</f>
        <v>145081.31262841876</v>
      </c>
    </row>
    <row r="298" spans="1:8" x14ac:dyDescent="0.25">
      <c r="A298" s="29"/>
      <c r="B298" s="29" t="s">
        <v>92</v>
      </c>
      <c r="C298" s="29"/>
      <c r="D298" s="29"/>
      <c r="E298" s="29"/>
      <c r="F298" s="30">
        <f>SUM(F296:F297)</f>
        <v>22587.507015375366</v>
      </c>
      <c r="G298" s="29"/>
      <c r="H298" s="29"/>
    </row>
    <row r="299" spans="1:8" x14ac:dyDescent="0.25">
      <c r="A299" s="23" t="s">
        <v>93</v>
      </c>
      <c r="B299" s="31" t="s">
        <v>79</v>
      </c>
      <c r="C299" s="31" t="s">
        <v>80</v>
      </c>
      <c r="D299" s="31" t="s">
        <v>81</v>
      </c>
      <c r="E299" s="31" t="s">
        <v>82</v>
      </c>
      <c r="F299" s="31" t="s">
        <v>83</v>
      </c>
      <c r="G299" s="31" t="s">
        <v>84</v>
      </c>
      <c r="H299" s="31" t="s">
        <v>85</v>
      </c>
    </row>
    <row r="300" spans="1:8" x14ac:dyDescent="0.25">
      <c r="A300" s="25"/>
      <c r="B300" s="25" t="s">
        <v>94</v>
      </c>
      <c r="C300" s="25" t="s">
        <v>95</v>
      </c>
      <c r="D300" s="26">
        <v>1</v>
      </c>
      <c r="E300" s="28">
        <f>F298*0.03</f>
        <v>677.62521046126096</v>
      </c>
      <c r="F300" s="28">
        <f>E300*D300</f>
        <v>677.62521046126096</v>
      </c>
      <c r="G300" s="26">
        <f>D300*$D$291</f>
        <v>15</v>
      </c>
      <c r="H300" s="28">
        <f>F300*$D$291</f>
        <v>10164.378156918914</v>
      </c>
    </row>
    <row r="301" spans="1:8" x14ac:dyDescent="0.25">
      <c r="A301" s="29"/>
      <c r="B301" s="29" t="s">
        <v>98</v>
      </c>
      <c r="C301" s="29"/>
      <c r="D301" s="29"/>
      <c r="E301" s="29"/>
      <c r="F301" s="30">
        <f>SUM(F300:F300)</f>
        <v>677.62521046126096</v>
      </c>
      <c r="G301" s="29"/>
      <c r="H301" s="29"/>
    </row>
    <row r="302" spans="1:8" x14ac:dyDescent="0.25">
      <c r="A302" s="33" t="s">
        <v>60</v>
      </c>
      <c r="B302" s="33" t="s">
        <v>99</v>
      </c>
      <c r="C302" s="33" t="s">
        <v>37</v>
      </c>
      <c r="D302" s="33"/>
      <c r="E302" s="33"/>
      <c r="F302" s="34">
        <f>F294+F298+F301</f>
        <v>61287.88222583662</v>
      </c>
      <c r="G302" s="33"/>
      <c r="H302" s="33"/>
    </row>
    <row r="303" spans="1:8" ht="15" customHeight="1" x14ac:dyDescent="0.25">
      <c r="B303" s="110" t="s">
        <v>100</v>
      </c>
      <c r="C303" s="110"/>
      <c r="D303" s="110"/>
      <c r="E303" s="110"/>
      <c r="F303" s="110"/>
      <c r="G303" s="110"/>
      <c r="H303" s="110"/>
    </row>
    <row r="305" spans="1:8" ht="30" customHeight="1" x14ac:dyDescent="0.25">
      <c r="A305" s="19" t="s">
        <v>62</v>
      </c>
      <c r="B305" s="20" t="s">
        <v>63</v>
      </c>
      <c r="C305" s="19" t="s">
        <v>37</v>
      </c>
      <c r="D305" s="21">
        <v>65</v>
      </c>
      <c r="E305" s="22" t="s">
        <v>77</v>
      </c>
      <c r="F305" s="20"/>
      <c r="G305" s="20"/>
      <c r="H305" s="20"/>
    </row>
    <row r="306" spans="1:8" ht="24" x14ac:dyDescent="0.25">
      <c r="A306" s="23" t="s">
        <v>78</v>
      </c>
      <c r="B306" s="24" t="s">
        <v>79</v>
      </c>
      <c r="C306" s="24" t="s">
        <v>80</v>
      </c>
      <c r="D306" s="24" t="s">
        <v>81</v>
      </c>
      <c r="E306" s="24" t="s">
        <v>82</v>
      </c>
      <c r="F306" s="24" t="s">
        <v>83</v>
      </c>
      <c r="G306" s="24" t="s">
        <v>84</v>
      </c>
      <c r="H306" s="24" t="s">
        <v>85</v>
      </c>
    </row>
    <row r="307" spans="1:8" x14ac:dyDescent="0.25">
      <c r="A307" s="25"/>
      <c r="B307" s="25" t="s">
        <v>131</v>
      </c>
      <c r="C307" s="25" t="s">
        <v>13</v>
      </c>
      <c r="D307" s="26">
        <v>1</v>
      </c>
      <c r="E307" s="27">
        <v>869.71252500000003</v>
      </c>
      <c r="F307" s="28">
        <f>D307*E307</f>
        <v>869.71252500000003</v>
      </c>
      <c r="G307" s="26">
        <f>D307*$D$305</f>
        <v>65</v>
      </c>
      <c r="H307" s="28">
        <f>F307*$D$305</f>
        <v>56531.314125000004</v>
      </c>
    </row>
    <row r="308" spans="1:8" x14ac:dyDescent="0.25">
      <c r="A308" s="29"/>
      <c r="B308" s="29" t="s">
        <v>87</v>
      </c>
      <c r="C308" s="29"/>
      <c r="D308" s="29"/>
      <c r="E308" s="29"/>
      <c r="F308" s="30">
        <f>SUM(F307:F307)</f>
        <v>869.71252500000003</v>
      </c>
      <c r="G308" s="29"/>
      <c r="H308" s="29"/>
    </row>
    <row r="309" spans="1:8" x14ac:dyDescent="0.25">
      <c r="A309" s="23" t="s">
        <v>88</v>
      </c>
      <c r="B309" s="31" t="s">
        <v>79</v>
      </c>
      <c r="C309" s="31" t="s">
        <v>80</v>
      </c>
      <c r="D309" s="31" t="s">
        <v>81</v>
      </c>
      <c r="E309" s="31" t="s">
        <v>82</v>
      </c>
      <c r="F309" s="31" t="s">
        <v>83</v>
      </c>
      <c r="G309" s="31" t="s">
        <v>84</v>
      </c>
      <c r="H309" s="31" t="s">
        <v>85</v>
      </c>
    </row>
    <row r="310" spans="1:8" x14ac:dyDescent="0.25">
      <c r="A310" s="25"/>
      <c r="B310" s="25" t="s">
        <v>89</v>
      </c>
      <c r="C310" s="25" t="s">
        <v>90</v>
      </c>
      <c r="D310" s="26">
        <v>1E-3</v>
      </c>
      <c r="E310" s="28">
        <f>'MANO DE OBRA'!$C$23</f>
        <v>169493.69431514584</v>
      </c>
      <c r="F310" s="28">
        <f>E310*D310</f>
        <v>169.49369431514583</v>
      </c>
      <c r="G310" s="26">
        <f>D310*$D$305</f>
        <v>6.5000000000000002E-2</v>
      </c>
      <c r="H310" s="28">
        <f>F310*$D$305</f>
        <v>11017.090130484479</v>
      </c>
    </row>
    <row r="311" spans="1:8" x14ac:dyDescent="0.25">
      <c r="A311" s="25"/>
      <c r="B311" s="25" t="s">
        <v>91</v>
      </c>
      <c r="C311" s="25" t="s">
        <v>90</v>
      </c>
      <c r="D311" s="26">
        <v>1E-3</v>
      </c>
      <c r="E311" s="28">
        <f>'MANO DE OBRA'!$D$23</f>
        <v>126930.28226458334</v>
      </c>
      <c r="F311" s="28">
        <f>E311*D311</f>
        <v>126.93028226458334</v>
      </c>
      <c r="G311" s="26">
        <f>D311*$D$305</f>
        <v>6.5000000000000002E-2</v>
      </c>
      <c r="H311" s="28">
        <f>F311*$D$305</f>
        <v>8250.468347197917</v>
      </c>
    </row>
    <row r="312" spans="1:8" x14ac:dyDescent="0.25">
      <c r="A312" s="29"/>
      <c r="B312" s="29" t="s">
        <v>92</v>
      </c>
      <c r="C312" s="29"/>
      <c r="D312" s="29"/>
      <c r="E312" s="29"/>
      <c r="F312" s="30">
        <f>SUM(F310:F311)</f>
        <v>296.42397657972919</v>
      </c>
      <c r="G312" s="29"/>
      <c r="H312" s="29"/>
    </row>
    <row r="313" spans="1:8" x14ac:dyDescent="0.25">
      <c r="A313" s="23" t="s">
        <v>93</v>
      </c>
      <c r="B313" s="31" t="s">
        <v>79</v>
      </c>
      <c r="C313" s="31" t="s">
        <v>80</v>
      </c>
      <c r="D313" s="31" t="s">
        <v>81</v>
      </c>
      <c r="E313" s="31" t="s">
        <v>82</v>
      </c>
      <c r="F313" s="31" t="s">
        <v>83</v>
      </c>
      <c r="G313" s="31" t="s">
        <v>84</v>
      </c>
      <c r="H313" s="31" t="s">
        <v>85</v>
      </c>
    </row>
    <row r="314" spans="1:8" x14ac:dyDescent="0.25">
      <c r="A314" s="25"/>
      <c r="B314" s="25" t="s">
        <v>94</v>
      </c>
      <c r="C314" s="25" t="s">
        <v>95</v>
      </c>
      <c r="D314" s="26">
        <v>1</v>
      </c>
      <c r="E314" s="28">
        <f>F312*0.03</f>
        <v>8.8927192973918761</v>
      </c>
      <c r="F314" s="28">
        <f>E314*D314</f>
        <v>8.8927192973918761</v>
      </c>
      <c r="G314" s="26">
        <f>D314*$D$305</f>
        <v>65</v>
      </c>
      <c r="H314" s="28">
        <f>F314*$D$305</f>
        <v>578.02675433047193</v>
      </c>
    </row>
    <row r="315" spans="1:8" x14ac:dyDescent="0.25">
      <c r="A315" s="29"/>
      <c r="B315" s="29" t="s">
        <v>98</v>
      </c>
      <c r="C315" s="29"/>
      <c r="D315" s="29"/>
      <c r="E315" s="29"/>
      <c r="F315" s="30">
        <f>SUM(F314:F314)</f>
        <v>8.8927192973918761</v>
      </c>
      <c r="G315" s="29"/>
      <c r="H315" s="29"/>
    </row>
    <row r="316" spans="1:8" x14ac:dyDescent="0.25">
      <c r="A316" s="33" t="s">
        <v>62</v>
      </c>
      <c r="B316" s="33" t="s">
        <v>99</v>
      </c>
      <c r="C316" s="33" t="s">
        <v>37</v>
      </c>
      <c r="D316" s="33"/>
      <c r="E316" s="33"/>
      <c r="F316" s="34">
        <f>F308+F312+F315</f>
        <v>1175.0292208771211</v>
      </c>
      <c r="G316" s="33"/>
      <c r="H316" s="33"/>
    </row>
    <row r="317" spans="1:8" ht="15" customHeight="1" x14ac:dyDescent="0.25">
      <c r="B317" s="110" t="s">
        <v>100</v>
      </c>
      <c r="C317" s="110"/>
      <c r="D317" s="110"/>
      <c r="E317" s="110"/>
      <c r="F317" s="110"/>
      <c r="G317" s="110"/>
      <c r="H317" s="110"/>
    </row>
    <row r="319" spans="1:8" ht="30" customHeight="1" x14ac:dyDescent="0.25">
      <c r="A319" s="19" t="s">
        <v>64</v>
      </c>
      <c r="B319" s="20" t="s">
        <v>65</v>
      </c>
      <c r="C319" s="19" t="s">
        <v>66</v>
      </c>
      <c r="D319" s="21">
        <v>5.6</v>
      </c>
      <c r="E319" s="22" t="s">
        <v>77</v>
      </c>
      <c r="F319" s="20"/>
      <c r="G319" s="20"/>
      <c r="H319" s="20"/>
    </row>
    <row r="320" spans="1:8" ht="24" x14ac:dyDescent="0.25">
      <c r="A320" s="23" t="s">
        <v>78</v>
      </c>
      <c r="B320" s="24" t="s">
        <v>79</v>
      </c>
      <c r="C320" s="24" t="s">
        <v>80</v>
      </c>
      <c r="D320" s="24" t="s">
        <v>81</v>
      </c>
      <c r="E320" s="24" t="s">
        <v>82</v>
      </c>
      <c r="F320" s="24" t="s">
        <v>83</v>
      </c>
      <c r="G320" s="24" t="s">
        <v>84</v>
      </c>
      <c r="H320" s="24" t="s">
        <v>85</v>
      </c>
    </row>
    <row r="321" spans="1:8" x14ac:dyDescent="0.25">
      <c r="A321" s="25"/>
      <c r="B321" s="25" t="s">
        <v>132</v>
      </c>
      <c r="C321" s="25" t="s">
        <v>66</v>
      </c>
      <c r="D321" s="26">
        <v>1</v>
      </c>
      <c r="E321" s="27">
        <v>45319.6</v>
      </c>
      <c r="F321" s="28">
        <f>D321*E321</f>
        <v>45319.6</v>
      </c>
      <c r="G321" s="26">
        <f>D321*$D$319</f>
        <v>5.6</v>
      </c>
      <c r="H321" s="28">
        <f>F321*$D$319</f>
        <v>253789.75999999998</v>
      </c>
    </row>
    <row r="322" spans="1:8" x14ac:dyDescent="0.25">
      <c r="A322" s="29"/>
      <c r="B322" s="29" t="s">
        <v>87</v>
      </c>
      <c r="C322" s="29"/>
      <c r="D322" s="29"/>
      <c r="E322" s="29"/>
      <c r="F322" s="30">
        <f>SUM(F321:F321)</f>
        <v>45319.6</v>
      </c>
      <c r="G322" s="29"/>
      <c r="H322" s="29"/>
    </row>
    <row r="323" spans="1:8" x14ac:dyDescent="0.25">
      <c r="A323" s="23" t="s">
        <v>88</v>
      </c>
      <c r="B323" s="31" t="s">
        <v>79</v>
      </c>
      <c r="C323" s="31" t="s">
        <v>80</v>
      </c>
      <c r="D323" s="31" t="s">
        <v>81</v>
      </c>
      <c r="E323" s="31" t="s">
        <v>82</v>
      </c>
      <c r="F323" s="31" t="s">
        <v>83</v>
      </c>
      <c r="G323" s="31" t="s">
        <v>84</v>
      </c>
      <c r="H323" s="31" t="s">
        <v>85</v>
      </c>
    </row>
    <row r="324" spans="1:8" x14ac:dyDescent="0.25">
      <c r="A324" s="25"/>
      <c r="B324" s="25" t="s">
        <v>89</v>
      </c>
      <c r="C324" s="25" t="s">
        <v>90</v>
      </c>
      <c r="D324" s="26">
        <v>6.4699999999999994E-2</v>
      </c>
      <c r="E324" s="28">
        <f>'MANO DE OBRA'!$C$23</f>
        <v>169493.69431514584</v>
      </c>
      <c r="F324" s="28">
        <f>E324*D324</f>
        <v>10966.242022189936</v>
      </c>
      <c r="G324" s="26">
        <f>D324*$D$319</f>
        <v>0.36231999999999992</v>
      </c>
      <c r="H324" s="28">
        <f>F324*$D$319</f>
        <v>61410.955324263632</v>
      </c>
    </row>
    <row r="325" spans="1:8" x14ac:dyDescent="0.25">
      <c r="A325" s="25"/>
      <c r="B325" s="25" t="s">
        <v>91</v>
      </c>
      <c r="C325" s="25" t="s">
        <v>90</v>
      </c>
      <c r="D325" s="26">
        <v>6.4699999999999994E-2</v>
      </c>
      <c r="E325" s="28">
        <f>'MANO DE OBRA'!$D$23</f>
        <v>126930.28226458334</v>
      </c>
      <c r="F325" s="28">
        <f>E325*D325</f>
        <v>8212.3892625185417</v>
      </c>
      <c r="G325" s="26">
        <f>D325*$D$319</f>
        <v>0.36231999999999992</v>
      </c>
      <c r="H325" s="28">
        <f>F325*$D$319</f>
        <v>45989.379870103832</v>
      </c>
    </row>
    <row r="326" spans="1:8" x14ac:dyDescent="0.25">
      <c r="A326" s="29"/>
      <c r="B326" s="29" t="s">
        <v>92</v>
      </c>
      <c r="C326" s="29"/>
      <c r="D326" s="29"/>
      <c r="E326" s="29"/>
      <c r="F326" s="30">
        <f>SUM(F324:F325)</f>
        <v>19178.631284708477</v>
      </c>
      <c r="G326" s="29"/>
      <c r="H326" s="29"/>
    </row>
    <row r="327" spans="1:8" x14ac:dyDescent="0.25">
      <c r="A327" s="23" t="s">
        <v>93</v>
      </c>
      <c r="B327" s="31" t="s">
        <v>79</v>
      </c>
      <c r="C327" s="31" t="s">
        <v>80</v>
      </c>
      <c r="D327" s="31" t="s">
        <v>81</v>
      </c>
      <c r="E327" s="31" t="s">
        <v>82</v>
      </c>
      <c r="F327" s="31" t="s">
        <v>83</v>
      </c>
      <c r="G327" s="31" t="s">
        <v>84</v>
      </c>
      <c r="H327" s="31" t="s">
        <v>85</v>
      </c>
    </row>
    <row r="328" spans="1:8" x14ac:dyDescent="0.25">
      <c r="A328" s="25"/>
      <c r="B328" s="25" t="s">
        <v>94</v>
      </c>
      <c r="C328" s="25" t="s">
        <v>95</v>
      </c>
      <c r="D328" s="26">
        <v>1</v>
      </c>
      <c r="E328" s="28">
        <f>F326*0.03</f>
        <v>575.35893854125425</v>
      </c>
      <c r="F328" s="28">
        <f>E328*D328</f>
        <v>575.35893854125425</v>
      </c>
      <c r="G328" s="26">
        <f>D328*$D$319</f>
        <v>5.6</v>
      </c>
      <c r="H328" s="28">
        <f>F328*$D$319</f>
        <v>3222.0100558310237</v>
      </c>
    </row>
    <row r="329" spans="1:8" x14ac:dyDescent="0.25">
      <c r="A329" s="25"/>
      <c r="B329" s="25" t="s">
        <v>126</v>
      </c>
      <c r="C329" s="25" t="s">
        <v>97</v>
      </c>
      <c r="D329" s="26">
        <v>9.7900000000000001E-2</v>
      </c>
      <c r="E329" s="32">
        <v>35000</v>
      </c>
      <c r="F329" s="28">
        <f>E329*D329</f>
        <v>3426.5</v>
      </c>
      <c r="G329" s="26">
        <f>D329*$D$319</f>
        <v>0.54823999999999995</v>
      </c>
      <c r="H329" s="28">
        <f>F329*$D$319</f>
        <v>19188.399999999998</v>
      </c>
    </row>
    <row r="330" spans="1:8" x14ac:dyDescent="0.25">
      <c r="A330" s="29"/>
      <c r="B330" s="29" t="s">
        <v>98</v>
      </c>
      <c r="C330" s="29"/>
      <c r="D330" s="29"/>
      <c r="E330" s="29"/>
      <c r="F330" s="30">
        <f>SUM(F328:F329)</f>
        <v>4001.8589385412542</v>
      </c>
      <c r="G330" s="29"/>
      <c r="H330" s="29"/>
    </row>
    <row r="331" spans="1:8" x14ac:dyDescent="0.25">
      <c r="A331" s="33" t="s">
        <v>64</v>
      </c>
      <c r="B331" s="33" t="s">
        <v>99</v>
      </c>
      <c r="C331" s="33" t="s">
        <v>66</v>
      </c>
      <c r="D331" s="33"/>
      <c r="E331" s="33"/>
      <c r="F331" s="34">
        <f>F322+F326+F330</f>
        <v>68500.090223249732</v>
      </c>
      <c r="G331" s="33"/>
      <c r="H331" s="33"/>
    </row>
    <row r="332" spans="1:8" ht="15" customHeight="1" x14ac:dyDescent="0.25">
      <c r="B332" s="110" t="s">
        <v>100</v>
      </c>
      <c r="C332" s="110"/>
      <c r="D332" s="110"/>
      <c r="E332" s="110"/>
      <c r="F332" s="110"/>
      <c r="G332" s="110"/>
      <c r="H332" s="110"/>
    </row>
    <row r="334" spans="1:8" ht="30" customHeight="1" x14ac:dyDescent="0.25">
      <c r="A334" s="19" t="s">
        <v>67</v>
      </c>
      <c r="B334" s="20" t="s">
        <v>68</v>
      </c>
      <c r="C334" s="19" t="s">
        <v>13</v>
      </c>
      <c r="D334" s="21">
        <v>65</v>
      </c>
      <c r="E334" s="22" t="s">
        <v>77</v>
      </c>
      <c r="F334" s="20"/>
      <c r="G334" s="20"/>
      <c r="H334" s="20"/>
    </row>
    <row r="335" spans="1:8" ht="24" x14ac:dyDescent="0.25">
      <c r="A335" s="23" t="s">
        <v>78</v>
      </c>
      <c r="B335" s="24" t="s">
        <v>79</v>
      </c>
      <c r="C335" s="24" t="s">
        <v>80</v>
      </c>
      <c r="D335" s="24" t="s">
        <v>81</v>
      </c>
      <c r="E335" s="24" t="s">
        <v>82</v>
      </c>
      <c r="F335" s="24" t="s">
        <v>83</v>
      </c>
      <c r="G335" s="24" t="s">
        <v>84</v>
      </c>
      <c r="H335" s="24" t="s">
        <v>85</v>
      </c>
    </row>
    <row r="336" spans="1:8" x14ac:dyDescent="0.25">
      <c r="A336" s="25"/>
      <c r="B336" s="25" t="s">
        <v>133</v>
      </c>
      <c r="C336" s="25" t="s">
        <v>13</v>
      </c>
      <c r="D336" s="26">
        <v>1</v>
      </c>
      <c r="E336" s="27">
        <v>2020.80168</v>
      </c>
      <c r="F336" s="28">
        <f>D336*E336</f>
        <v>2020.80168</v>
      </c>
      <c r="G336" s="26">
        <f>D336*$D$334</f>
        <v>65</v>
      </c>
      <c r="H336" s="28">
        <f>F336*$D$334</f>
        <v>131352.10920000001</v>
      </c>
    </row>
    <row r="337" spans="1:8" x14ac:dyDescent="0.25">
      <c r="A337" s="29"/>
      <c r="B337" s="29" t="s">
        <v>87</v>
      </c>
      <c r="C337" s="29"/>
      <c r="D337" s="29"/>
      <c r="E337" s="29"/>
      <c r="F337" s="30">
        <f>SUM(F336:F336)</f>
        <v>2020.80168</v>
      </c>
      <c r="G337" s="29"/>
      <c r="H337" s="29"/>
    </row>
    <row r="338" spans="1:8" x14ac:dyDescent="0.25">
      <c r="A338" s="23" t="s">
        <v>88</v>
      </c>
      <c r="B338" s="31" t="s">
        <v>79</v>
      </c>
      <c r="C338" s="31" t="s">
        <v>80</v>
      </c>
      <c r="D338" s="31" t="s">
        <v>81</v>
      </c>
      <c r="E338" s="31" t="s">
        <v>82</v>
      </c>
      <c r="F338" s="31" t="s">
        <v>83</v>
      </c>
      <c r="G338" s="31" t="s">
        <v>84</v>
      </c>
      <c r="H338" s="31" t="s">
        <v>85</v>
      </c>
    </row>
    <row r="339" spans="1:8" x14ac:dyDescent="0.25">
      <c r="A339" s="25"/>
      <c r="B339" s="25" t="s">
        <v>89</v>
      </c>
      <c r="C339" s="25" t="s">
        <v>90</v>
      </c>
      <c r="D339" s="26">
        <v>2.7000000000000001E-3</v>
      </c>
      <c r="E339" s="28">
        <f>'MANO DE OBRA'!$C$23</f>
        <v>169493.69431514584</v>
      </c>
      <c r="F339" s="28">
        <f>E339*D339</f>
        <v>457.6329746508938</v>
      </c>
      <c r="G339" s="26">
        <f>D339*$D$334</f>
        <v>0.17550000000000002</v>
      </c>
      <c r="H339" s="28">
        <f>F339*$D$334</f>
        <v>29746.143352308096</v>
      </c>
    </row>
    <row r="340" spans="1:8" x14ac:dyDescent="0.25">
      <c r="A340" s="25"/>
      <c r="B340" s="25" t="s">
        <v>91</v>
      </c>
      <c r="C340" s="25" t="s">
        <v>90</v>
      </c>
      <c r="D340" s="26">
        <v>2.7000000000000001E-3</v>
      </c>
      <c r="E340" s="28">
        <f>'MANO DE OBRA'!$D$23</f>
        <v>126930.28226458334</v>
      </c>
      <c r="F340" s="28">
        <f>E340*D340</f>
        <v>342.71176211437501</v>
      </c>
      <c r="G340" s="26">
        <f>D340*$D$334</f>
        <v>0.17550000000000002</v>
      </c>
      <c r="H340" s="28">
        <f>F340*$D$334</f>
        <v>22276.264537434374</v>
      </c>
    </row>
    <row r="341" spans="1:8" x14ac:dyDescent="0.25">
      <c r="A341" s="29"/>
      <c r="B341" s="29" t="s">
        <v>92</v>
      </c>
      <c r="C341" s="29"/>
      <c r="D341" s="29"/>
      <c r="E341" s="29"/>
      <c r="F341" s="30">
        <f>SUM(F339:F340)</f>
        <v>800.34473676526886</v>
      </c>
      <c r="G341" s="29"/>
      <c r="H341" s="29"/>
    </row>
    <row r="342" spans="1:8" x14ac:dyDescent="0.25">
      <c r="A342" s="23" t="s">
        <v>93</v>
      </c>
      <c r="B342" s="31" t="s">
        <v>79</v>
      </c>
      <c r="C342" s="31" t="s">
        <v>80</v>
      </c>
      <c r="D342" s="31" t="s">
        <v>81</v>
      </c>
      <c r="E342" s="31" t="s">
        <v>82</v>
      </c>
      <c r="F342" s="31" t="s">
        <v>83</v>
      </c>
      <c r="G342" s="31" t="s">
        <v>84</v>
      </c>
      <c r="H342" s="31" t="s">
        <v>85</v>
      </c>
    </row>
    <row r="343" spans="1:8" x14ac:dyDescent="0.25">
      <c r="A343" s="25"/>
      <c r="B343" s="25" t="s">
        <v>94</v>
      </c>
      <c r="C343" s="25" t="s">
        <v>95</v>
      </c>
      <c r="D343" s="26">
        <v>1</v>
      </c>
      <c r="E343" s="28">
        <f>F341*0.03</f>
        <v>24.010342102958067</v>
      </c>
      <c r="F343" s="28">
        <f>E343*D343</f>
        <v>24.010342102958067</v>
      </c>
      <c r="G343" s="26">
        <f>D343*$D$334</f>
        <v>65</v>
      </c>
      <c r="H343" s="28">
        <f>F343*$D$334</f>
        <v>1560.6722366922743</v>
      </c>
    </row>
    <row r="344" spans="1:8" x14ac:dyDescent="0.25">
      <c r="A344" s="29"/>
      <c r="B344" s="29" t="s">
        <v>98</v>
      </c>
      <c r="C344" s="29"/>
      <c r="D344" s="29"/>
      <c r="E344" s="29"/>
      <c r="F344" s="30">
        <f>SUM(F343:F343)</f>
        <v>24.010342102958067</v>
      </c>
      <c r="G344" s="29"/>
      <c r="H344" s="29"/>
    </row>
    <row r="345" spans="1:8" x14ac:dyDescent="0.25">
      <c r="A345" s="33" t="s">
        <v>67</v>
      </c>
      <c r="B345" s="33" t="s">
        <v>99</v>
      </c>
      <c r="C345" s="33" t="s">
        <v>13</v>
      </c>
      <c r="D345" s="33"/>
      <c r="E345" s="33"/>
      <c r="F345" s="34">
        <f>F337+F341+F344</f>
        <v>2845.1567588682269</v>
      </c>
      <c r="G345" s="33"/>
      <c r="H345" s="33"/>
    </row>
    <row r="346" spans="1:8" ht="15" customHeight="1" x14ac:dyDescent="0.25">
      <c r="B346" s="110" t="s">
        <v>100</v>
      </c>
      <c r="C346" s="110"/>
      <c r="D346" s="110"/>
      <c r="E346" s="110"/>
      <c r="F346" s="110"/>
      <c r="G346" s="110"/>
      <c r="H346" s="110"/>
    </row>
    <row r="349" spans="1:8" x14ac:dyDescent="0.25">
      <c r="A349" s="98" t="s">
        <v>273</v>
      </c>
      <c r="B349" s="98"/>
      <c r="C349" s="98"/>
    </row>
    <row r="350" spans="1:8" x14ac:dyDescent="0.25">
      <c r="A350" s="97" t="s">
        <v>274</v>
      </c>
      <c r="B350" s="97"/>
      <c r="C350" s="97"/>
    </row>
  </sheetData>
  <mergeCells count="28">
    <mergeCell ref="B332:H332"/>
    <mergeCell ref="B346:H346"/>
    <mergeCell ref="B260:H260"/>
    <mergeCell ref="B275:H275"/>
    <mergeCell ref="B289:H289"/>
    <mergeCell ref="B303:H303"/>
    <mergeCell ref="B317:H317"/>
    <mergeCell ref="B183:H183"/>
    <mergeCell ref="B199:H199"/>
    <mergeCell ref="B214:H214"/>
    <mergeCell ref="B229:H229"/>
    <mergeCell ref="B244:H244"/>
    <mergeCell ref="A349:C349"/>
    <mergeCell ref="A1:H1"/>
    <mergeCell ref="A2:H2"/>
    <mergeCell ref="A3:H3"/>
    <mergeCell ref="A5:H5"/>
    <mergeCell ref="B20:H20"/>
    <mergeCell ref="B35:H35"/>
    <mergeCell ref="B50:H50"/>
    <mergeCell ref="B65:H65"/>
    <mergeCell ref="B80:H80"/>
    <mergeCell ref="B95:H95"/>
    <mergeCell ref="B110:H110"/>
    <mergeCell ref="B125:H125"/>
    <mergeCell ref="B139:H139"/>
    <mergeCell ref="B153:H153"/>
    <mergeCell ref="B167:H167"/>
  </mergeCells>
  <pageMargins left="0.75" right="0.75" top="1" bottom="1" header="0.511811023622047" footer="0.511811023622047"/>
  <pageSetup paperSize="9" orientation="portrait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3"/>
  <sheetViews>
    <sheetView showGridLines="0" zoomScaleNormal="100" workbookViewId="0">
      <pane ySplit="5" topLeftCell="A27" activePane="bottomLeft" state="frozen"/>
      <selection pane="bottomLeft" activeCell="B30" sqref="B30"/>
    </sheetView>
  </sheetViews>
  <sheetFormatPr baseColWidth="10" defaultColWidth="8.7109375" defaultRowHeight="15" x14ac:dyDescent="0.25"/>
  <cols>
    <col min="1" max="1" width="3" customWidth="1"/>
    <col min="2" max="2" width="50" customWidth="1"/>
    <col min="3" max="4" width="10" customWidth="1"/>
    <col min="5" max="5" width="12" customWidth="1"/>
    <col min="6" max="6" width="18" customWidth="1"/>
  </cols>
  <sheetData>
    <row r="1" spans="1:6" ht="21.75" customHeight="1" x14ac:dyDescent="0.25">
      <c r="A1" s="99" t="s">
        <v>134</v>
      </c>
      <c r="B1" s="99"/>
      <c r="C1" s="99"/>
      <c r="D1" s="99"/>
      <c r="E1" s="99"/>
      <c r="F1" s="99"/>
    </row>
    <row r="2" spans="1:6" ht="18" customHeight="1" x14ac:dyDescent="0.25">
      <c r="A2" s="100" t="s">
        <v>1</v>
      </c>
      <c r="B2" s="100"/>
      <c r="C2" s="100"/>
      <c r="D2" s="100"/>
      <c r="E2" s="100"/>
      <c r="F2" s="100"/>
    </row>
    <row r="3" spans="1:6" ht="15.75" customHeight="1" x14ac:dyDescent="0.25">
      <c r="A3" s="101" t="s">
        <v>2</v>
      </c>
      <c r="B3" s="101"/>
      <c r="C3" s="101"/>
      <c r="D3" s="101"/>
      <c r="E3" s="101"/>
      <c r="F3" s="101"/>
    </row>
    <row r="5" spans="1:6" ht="25.5" customHeight="1" x14ac:dyDescent="0.25">
      <c r="A5" s="111" t="s">
        <v>135</v>
      </c>
      <c r="B5" s="111"/>
      <c r="C5" s="111"/>
      <c r="D5" s="111"/>
      <c r="E5" s="111"/>
      <c r="F5" s="111"/>
    </row>
    <row r="7" spans="1:6" x14ac:dyDescent="0.25">
      <c r="A7" s="112" t="s">
        <v>136</v>
      </c>
      <c r="B7" s="112"/>
      <c r="C7" s="112"/>
      <c r="D7" s="112"/>
      <c r="E7" s="112"/>
      <c r="F7" s="112"/>
    </row>
    <row r="8" spans="1:6" x14ac:dyDescent="0.25">
      <c r="A8" s="36"/>
      <c r="B8" s="113" t="s">
        <v>137</v>
      </c>
      <c r="C8" s="113"/>
      <c r="D8" s="113"/>
      <c r="E8" s="36" t="s">
        <v>138</v>
      </c>
      <c r="F8" s="36" t="s">
        <v>139</v>
      </c>
    </row>
    <row r="9" spans="1:6" x14ac:dyDescent="0.25">
      <c r="A9" s="37"/>
      <c r="B9" s="114" t="s">
        <v>140</v>
      </c>
      <c r="C9" s="114"/>
      <c r="D9" s="114"/>
      <c r="E9" s="96">
        <v>0.11</v>
      </c>
      <c r="F9" s="39">
        <f>E9*PRESUPUESTO!$F$41</f>
        <v>5640728.4764306145</v>
      </c>
    </row>
    <row r="10" spans="1:6" x14ac:dyDescent="0.25">
      <c r="A10" s="37"/>
      <c r="B10" s="114" t="s">
        <v>141</v>
      </c>
      <c r="C10" s="114"/>
      <c r="D10" s="114"/>
      <c r="E10" s="96">
        <v>0.01</v>
      </c>
      <c r="F10" s="39">
        <f>E10*PRESUPUESTO!$F$41</f>
        <v>512793.49785732856</v>
      </c>
    </row>
    <row r="11" spans="1:6" x14ac:dyDescent="0.25">
      <c r="A11" s="37"/>
      <c r="B11" s="114" t="s">
        <v>142</v>
      </c>
      <c r="C11" s="114"/>
      <c r="D11" s="114"/>
      <c r="E11" s="96">
        <v>0.01</v>
      </c>
      <c r="F11" s="39">
        <f>E11*PRESUPUESTO!$F$41</f>
        <v>512793.49785732856</v>
      </c>
    </row>
    <row r="12" spans="1:6" x14ac:dyDescent="0.25">
      <c r="A12" s="37"/>
      <c r="B12" s="114" t="s">
        <v>272</v>
      </c>
      <c r="C12" s="114"/>
      <c r="D12" s="114"/>
      <c r="E12" s="96">
        <v>0.155</v>
      </c>
      <c r="F12" s="39">
        <f>E12*PRESUPUESTO!$F$41</f>
        <v>7948299.2167885927</v>
      </c>
    </row>
    <row r="13" spans="1:6" x14ac:dyDescent="0.25">
      <c r="A13" s="37"/>
      <c r="B13" s="114" t="s">
        <v>143</v>
      </c>
      <c r="C13" s="114"/>
      <c r="D13" s="114"/>
      <c r="E13" s="96">
        <v>0.02</v>
      </c>
      <c r="F13" s="39">
        <f>E13*PRESUPUESTO!$F$41</f>
        <v>1025586.9957146571</v>
      </c>
    </row>
    <row r="14" spans="1:6" x14ac:dyDescent="0.25">
      <c r="A14" s="37"/>
      <c r="B14" s="114" t="s">
        <v>144</v>
      </c>
      <c r="C14" s="114"/>
      <c r="D14" s="114"/>
      <c r="E14" s="96">
        <v>0.01</v>
      </c>
      <c r="F14" s="39">
        <f>E14*PRESUPUESTO!$F$41</f>
        <v>512793.49785732856</v>
      </c>
    </row>
    <row r="15" spans="1:6" x14ac:dyDescent="0.25">
      <c r="A15" s="40"/>
      <c r="B15" s="115" t="s">
        <v>145</v>
      </c>
      <c r="C15" s="115"/>
      <c r="D15" s="115"/>
      <c r="E15" s="41">
        <f>SUM(E9:E14)</f>
        <v>0.31500000000000006</v>
      </c>
      <c r="F15" s="42">
        <f>SUM(F9:F14)</f>
        <v>16152995.18250585</v>
      </c>
    </row>
    <row r="17" spans="1:6" x14ac:dyDescent="0.25">
      <c r="A17" s="112" t="s">
        <v>146</v>
      </c>
      <c r="B17" s="112"/>
      <c r="C17" s="112"/>
      <c r="D17" s="112"/>
      <c r="E17" s="112"/>
      <c r="F17" s="112"/>
    </row>
    <row r="18" spans="1:6" x14ac:dyDescent="0.25">
      <c r="A18" s="36"/>
      <c r="B18" s="113" t="s">
        <v>137</v>
      </c>
      <c r="C18" s="113"/>
      <c r="D18" s="113"/>
      <c r="E18" s="36" t="s">
        <v>138</v>
      </c>
      <c r="F18" s="36" t="s">
        <v>139</v>
      </c>
    </row>
    <row r="19" spans="1:6" x14ac:dyDescent="0.25">
      <c r="A19" s="37"/>
      <c r="B19" s="114" t="s">
        <v>147</v>
      </c>
      <c r="C19" s="114"/>
      <c r="D19" s="114"/>
      <c r="E19" s="38">
        <v>0.05</v>
      </c>
      <c r="F19" s="39">
        <f>E19*PRESUPUESTO!$F$41</f>
        <v>2563967.489286643</v>
      </c>
    </row>
    <row r="21" spans="1:6" x14ac:dyDescent="0.25">
      <c r="A21" s="112" t="s">
        <v>148</v>
      </c>
      <c r="B21" s="112"/>
      <c r="C21" s="112"/>
      <c r="D21" s="112"/>
      <c r="E21" s="112"/>
      <c r="F21" s="112"/>
    </row>
    <row r="22" spans="1:6" x14ac:dyDescent="0.25">
      <c r="A22" s="43"/>
      <c r="B22" s="117" t="s">
        <v>149</v>
      </c>
      <c r="C22" s="117"/>
      <c r="D22" s="117"/>
      <c r="E22" s="44"/>
      <c r="F22" s="45">
        <f>PRESUPUESTO!$F$41</f>
        <v>51279349.785732858</v>
      </c>
    </row>
    <row r="23" spans="1:6" x14ac:dyDescent="0.25">
      <c r="A23" s="43"/>
      <c r="B23" s="117" t="s">
        <v>150</v>
      </c>
      <c r="C23" s="117"/>
      <c r="D23" s="117"/>
      <c r="E23" s="44">
        <f>E15</f>
        <v>0.31500000000000006</v>
      </c>
      <c r="F23" s="45">
        <f>F15</f>
        <v>16152995.18250585</v>
      </c>
    </row>
    <row r="24" spans="1:6" x14ac:dyDescent="0.25">
      <c r="A24" s="43"/>
      <c r="B24" s="117" t="s">
        <v>151</v>
      </c>
      <c r="C24" s="117"/>
      <c r="D24" s="117"/>
      <c r="E24" s="44">
        <f>E19</f>
        <v>0.05</v>
      </c>
      <c r="F24" s="45">
        <f>F19</f>
        <v>2563967.489286643</v>
      </c>
    </row>
    <row r="25" spans="1:6" x14ac:dyDescent="0.25">
      <c r="A25" s="33"/>
      <c r="B25" s="116" t="s">
        <v>152</v>
      </c>
      <c r="C25" s="116"/>
      <c r="D25" s="116"/>
      <c r="E25" s="46">
        <f>E23+E24</f>
        <v>0.36500000000000005</v>
      </c>
      <c r="F25" s="34">
        <f>F23+F24</f>
        <v>18716962.671792492</v>
      </c>
    </row>
    <row r="26" spans="1:6" x14ac:dyDescent="0.25">
      <c r="A26" s="43"/>
      <c r="B26" s="117" t="s">
        <v>153</v>
      </c>
      <c r="C26" s="117"/>
      <c r="D26" s="117"/>
      <c r="E26" s="44"/>
      <c r="F26" s="45">
        <f>F23+F24</f>
        <v>18716962.671792492</v>
      </c>
    </row>
    <row r="27" spans="1:6" x14ac:dyDescent="0.25">
      <c r="A27" s="40"/>
      <c r="B27" s="115" t="s">
        <v>154</v>
      </c>
      <c r="C27" s="115"/>
      <c r="D27" s="115"/>
      <c r="E27" s="41"/>
      <c r="F27" s="42">
        <f>F22+F26</f>
        <v>69996312.457525343</v>
      </c>
    </row>
    <row r="29" spans="1:6" ht="30" customHeight="1" x14ac:dyDescent="0.25">
      <c r="A29" s="105" t="s">
        <v>155</v>
      </c>
      <c r="B29" s="105"/>
      <c r="C29" s="105"/>
      <c r="D29" s="105"/>
      <c r="E29" s="105"/>
      <c r="F29" s="105"/>
    </row>
    <row r="32" spans="1:6" x14ac:dyDescent="0.25">
      <c r="A32" s="98" t="s">
        <v>273</v>
      </c>
      <c r="B32" s="98"/>
      <c r="C32" s="98"/>
    </row>
    <row r="33" spans="1:3" x14ac:dyDescent="0.25">
      <c r="A33" s="97" t="s">
        <v>274</v>
      </c>
      <c r="B33" s="97"/>
      <c r="C33" s="97"/>
    </row>
  </sheetData>
  <mergeCells count="25">
    <mergeCell ref="B25:D25"/>
    <mergeCell ref="B26:D26"/>
    <mergeCell ref="B27:D27"/>
    <mergeCell ref="A29:F29"/>
    <mergeCell ref="B19:D19"/>
    <mergeCell ref="A21:F21"/>
    <mergeCell ref="B22:D22"/>
    <mergeCell ref="B23:D23"/>
    <mergeCell ref="B24:D24"/>
    <mergeCell ref="A32:C32"/>
    <mergeCell ref="A1:F1"/>
    <mergeCell ref="A2:F2"/>
    <mergeCell ref="A3:F3"/>
    <mergeCell ref="A5:F5"/>
    <mergeCell ref="A7:F7"/>
    <mergeCell ref="B8:D8"/>
    <mergeCell ref="B9:D9"/>
    <mergeCell ref="B10:D10"/>
    <mergeCell ref="B11:D11"/>
    <mergeCell ref="B12:D12"/>
    <mergeCell ref="B13:D13"/>
    <mergeCell ref="B14:D14"/>
    <mergeCell ref="B15:D15"/>
    <mergeCell ref="A17:F17"/>
    <mergeCell ref="B18:D18"/>
  </mergeCells>
  <pageMargins left="0.75" right="0.75" top="1" bottom="1" header="0.511811023622047" footer="0.511811023622047"/>
  <pageSetup paperSize="9" orientation="portrait" horizontalDpi="300" verticalDpi="300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3"/>
  <sheetViews>
    <sheetView showGridLines="0" zoomScaleNormal="100" workbookViewId="0">
      <pane xSplit="1" ySplit="7" topLeftCell="B23" activePane="bottomRight" state="frozen"/>
      <selection pane="topRight" activeCell="B1" sqref="B1"/>
      <selection pane="bottomLeft" activeCell="A8" sqref="A8"/>
      <selection pane="bottomRight" activeCell="A29" sqref="A29:S29"/>
    </sheetView>
  </sheetViews>
  <sheetFormatPr baseColWidth="10" defaultColWidth="8.7109375" defaultRowHeight="15" x14ac:dyDescent="0.25"/>
  <cols>
    <col min="1" max="1" width="3" customWidth="1"/>
    <col min="2" max="2" width="46" customWidth="1"/>
    <col min="3" max="3" width="15" customWidth="1"/>
    <col min="4" max="4" width="10" customWidth="1"/>
    <col min="5" max="16" width="4.42578125" customWidth="1"/>
    <col min="17" max="19" width="10" customWidth="1"/>
  </cols>
  <sheetData>
    <row r="1" spans="1:20" ht="21.75" customHeight="1" x14ac:dyDescent="0.25">
      <c r="A1" s="99" t="s">
        <v>156</v>
      </c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  <c r="O1" s="99"/>
      <c r="P1" s="99"/>
      <c r="Q1" s="99"/>
      <c r="R1" s="99"/>
      <c r="S1" s="99"/>
      <c r="T1" s="99"/>
    </row>
    <row r="2" spans="1:20" ht="18" customHeight="1" x14ac:dyDescent="0.25">
      <c r="A2" s="100" t="s">
        <v>1</v>
      </c>
      <c r="B2" s="100"/>
      <c r="C2" s="100"/>
      <c r="D2" s="100"/>
      <c r="E2" s="100"/>
      <c r="F2" s="100"/>
      <c r="G2" s="100"/>
      <c r="H2" s="100"/>
      <c r="I2" s="100"/>
      <c r="J2" s="100"/>
      <c r="K2" s="100"/>
      <c r="L2" s="100"/>
      <c r="M2" s="100"/>
      <c r="N2" s="100"/>
      <c r="O2" s="100"/>
      <c r="P2" s="100"/>
      <c r="Q2" s="100"/>
      <c r="R2" s="100"/>
      <c r="S2" s="100"/>
      <c r="T2" s="100"/>
    </row>
    <row r="3" spans="1:20" ht="15.75" customHeight="1" x14ac:dyDescent="0.25">
      <c r="A3" s="101" t="s">
        <v>2</v>
      </c>
      <c r="B3" s="101"/>
      <c r="C3" s="101"/>
      <c r="D3" s="101"/>
      <c r="E3" s="101"/>
      <c r="F3" s="101"/>
      <c r="G3" s="101"/>
      <c r="H3" s="101"/>
      <c r="I3" s="101"/>
      <c r="J3" s="101"/>
      <c r="K3" s="101"/>
      <c r="L3" s="101"/>
      <c r="M3" s="101"/>
      <c r="N3" s="101"/>
      <c r="O3" s="101"/>
      <c r="P3" s="101"/>
      <c r="Q3" s="101"/>
      <c r="R3" s="101"/>
      <c r="S3" s="101"/>
      <c r="T3" s="101"/>
    </row>
    <row r="5" spans="1:20" ht="21.75" customHeight="1" x14ac:dyDescent="0.25">
      <c r="A5" s="111" t="s">
        <v>157</v>
      </c>
      <c r="B5" s="111"/>
      <c r="C5" s="111"/>
      <c r="D5" s="111"/>
      <c r="E5" s="111"/>
      <c r="F5" s="111"/>
      <c r="G5" s="111"/>
      <c r="H5" s="111"/>
      <c r="I5" s="111"/>
      <c r="J5" s="111"/>
      <c r="K5" s="111"/>
      <c r="L5" s="111"/>
      <c r="M5" s="111"/>
      <c r="N5" s="111"/>
      <c r="O5" s="111"/>
      <c r="P5" s="111"/>
      <c r="Q5" s="111"/>
      <c r="R5" s="111"/>
      <c r="S5" s="111"/>
    </row>
    <row r="7" spans="1:20" ht="15" customHeight="1" x14ac:dyDescent="0.25">
      <c r="A7" s="118"/>
      <c r="B7" s="118"/>
      <c r="C7" s="118"/>
      <c r="D7" s="118"/>
      <c r="E7" s="119" t="s">
        <v>158</v>
      </c>
      <c r="F7" s="119"/>
      <c r="G7" s="119"/>
      <c r="H7" s="119"/>
      <c r="I7" s="119" t="s">
        <v>159</v>
      </c>
      <c r="J7" s="119"/>
      <c r="K7" s="119"/>
      <c r="L7" s="119"/>
      <c r="M7" s="119" t="s">
        <v>160</v>
      </c>
      <c r="N7" s="119"/>
      <c r="O7" s="119"/>
      <c r="P7" s="119"/>
      <c r="Q7" s="120" t="s">
        <v>161</v>
      </c>
      <c r="R7" s="120"/>
      <c r="S7" s="120"/>
    </row>
    <row r="8" spans="1:20" ht="24" customHeight="1" x14ac:dyDescent="0.25">
      <c r="A8" s="47" t="s">
        <v>162</v>
      </c>
      <c r="B8" s="47" t="s">
        <v>163</v>
      </c>
      <c r="C8" s="47" t="s">
        <v>164</v>
      </c>
      <c r="D8" s="47" t="s">
        <v>165</v>
      </c>
      <c r="E8" s="47" t="s">
        <v>166</v>
      </c>
      <c r="F8" s="47" t="s">
        <v>167</v>
      </c>
      <c r="G8" s="47" t="s">
        <v>168</v>
      </c>
      <c r="H8" s="47" t="s">
        <v>169</v>
      </c>
      <c r="I8" s="47" t="s">
        <v>170</v>
      </c>
      <c r="J8" s="47" t="s">
        <v>171</v>
      </c>
      <c r="K8" s="47" t="s">
        <v>172</v>
      </c>
      <c r="L8" s="47" t="s">
        <v>173</v>
      </c>
      <c r="M8" s="47" t="s">
        <v>174</v>
      </c>
      <c r="N8" s="47" t="s">
        <v>175</v>
      </c>
      <c r="O8" s="47" t="s">
        <v>176</v>
      </c>
      <c r="P8" s="47" t="s">
        <v>177</v>
      </c>
      <c r="Q8" s="47" t="s">
        <v>158</v>
      </c>
      <c r="R8" s="47" t="s">
        <v>159</v>
      </c>
      <c r="S8" s="47" t="s">
        <v>160</v>
      </c>
    </row>
    <row r="9" spans="1:20" x14ac:dyDescent="0.25">
      <c r="A9" s="48">
        <v>1</v>
      </c>
      <c r="B9" s="49" t="s">
        <v>10</v>
      </c>
      <c r="C9" s="50">
        <f>PRESUPUESTO!F7</f>
        <v>942758.64274114603</v>
      </c>
      <c r="D9" s="51">
        <f>C9/PRESUPUESTO!$F$41</f>
        <v>1.8384762027607537E-2</v>
      </c>
      <c r="E9" s="52"/>
      <c r="F9" s="53"/>
      <c r="G9" s="53"/>
      <c r="H9" s="53"/>
      <c r="I9" s="53"/>
      <c r="J9" s="53"/>
      <c r="K9" s="53"/>
      <c r="L9" s="53"/>
      <c r="M9" s="53"/>
      <c r="N9" s="53"/>
      <c r="O9" s="53"/>
      <c r="P9" s="53"/>
      <c r="Q9" s="54">
        <f>$D9*1</f>
        <v>1.8384762027607537E-2</v>
      </c>
      <c r="R9" s="54">
        <f t="shared" ref="R9:S13" si="0">$D9*0</f>
        <v>0</v>
      </c>
      <c r="S9" s="54">
        <f t="shared" si="0"/>
        <v>0</v>
      </c>
    </row>
    <row r="10" spans="1:20" x14ac:dyDescent="0.25">
      <c r="A10" s="48">
        <v>2</v>
      </c>
      <c r="B10" s="49" t="s">
        <v>14</v>
      </c>
      <c r="C10" s="50">
        <f>PRESUPUESTO!F9+PRESUPUESTO!F10</f>
        <v>4542769.4063546713</v>
      </c>
      <c r="D10" s="51">
        <f>C10/PRESUPUESTO!$F$41</f>
        <v>8.8588670202260994E-2</v>
      </c>
      <c r="E10" s="52"/>
      <c r="F10" s="52"/>
      <c r="G10" s="53"/>
      <c r="H10" s="53"/>
      <c r="I10" s="53"/>
      <c r="J10" s="53"/>
      <c r="K10" s="53"/>
      <c r="L10" s="53"/>
      <c r="M10" s="53"/>
      <c r="N10" s="53"/>
      <c r="O10" s="53"/>
      <c r="P10" s="53"/>
      <c r="Q10" s="54">
        <f>$D10*1</f>
        <v>8.8588670202260994E-2</v>
      </c>
      <c r="R10" s="54">
        <f t="shared" si="0"/>
        <v>0</v>
      </c>
      <c r="S10" s="54">
        <f t="shared" si="0"/>
        <v>0</v>
      </c>
    </row>
    <row r="11" spans="1:20" ht="24" x14ac:dyDescent="0.25">
      <c r="A11" s="48">
        <v>3</v>
      </c>
      <c r="B11" s="49" t="s">
        <v>20</v>
      </c>
      <c r="C11" s="50">
        <f>PRESUPUESTO!F12</f>
        <v>1828658.5703372497</v>
      </c>
      <c r="D11" s="51">
        <f>C11/PRESUPUESTO!$F$41</f>
        <v>3.5660720699037148E-2</v>
      </c>
      <c r="E11" s="53"/>
      <c r="F11" s="52"/>
      <c r="G11" s="52"/>
      <c r="H11" s="53"/>
      <c r="I11" s="53"/>
      <c r="J11" s="53"/>
      <c r="K11" s="53"/>
      <c r="L11" s="53"/>
      <c r="M11" s="53"/>
      <c r="N11" s="53"/>
      <c r="O11" s="53"/>
      <c r="P11" s="53"/>
      <c r="Q11" s="54">
        <f>$D11*1</f>
        <v>3.5660720699037148E-2</v>
      </c>
      <c r="R11" s="54">
        <f t="shared" si="0"/>
        <v>0</v>
      </c>
      <c r="S11" s="54">
        <f t="shared" si="0"/>
        <v>0</v>
      </c>
    </row>
    <row r="12" spans="1:20" ht="24" x14ac:dyDescent="0.25">
      <c r="A12" s="48">
        <v>4</v>
      </c>
      <c r="B12" s="49" t="s">
        <v>23</v>
      </c>
      <c r="C12" s="50">
        <f>PRESUPUESTO!F14</f>
        <v>2028394.8412230639</v>
      </c>
      <c r="D12" s="51">
        <f>C12/PRESUPUESTO!$F$41</f>
        <v>3.9555783170000566E-2</v>
      </c>
      <c r="E12" s="53"/>
      <c r="F12" s="52"/>
      <c r="G12" s="52"/>
      <c r="H12" s="52"/>
      <c r="I12" s="53"/>
      <c r="J12" s="53"/>
      <c r="K12" s="53"/>
      <c r="L12" s="53"/>
      <c r="M12" s="53"/>
      <c r="N12" s="53"/>
      <c r="O12" s="53"/>
      <c r="P12" s="53"/>
      <c r="Q12" s="54">
        <f>$D12*1</f>
        <v>3.9555783170000566E-2</v>
      </c>
      <c r="R12" s="54">
        <f t="shared" si="0"/>
        <v>0</v>
      </c>
      <c r="S12" s="54">
        <f t="shared" si="0"/>
        <v>0</v>
      </c>
    </row>
    <row r="13" spans="1:20" x14ac:dyDescent="0.25">
      <c r="A13" s="48">
        <v>5</v>
      </c>
      <c r="B13" s="49" t="s">
        <v>26</v>
      </c>
      <c r="C13" s="50">
        <f>PRESUPUESTO!F16+PRESUPUESTO!F17</f>
        <v>9083425.492454268</v>
      </c>
      <c r="D13" s="51">
        <f>C13/PRESUPUESTO!$F$41</f>
        <v>0.17713612848853819</v>
      </c>
      <c r="E13" s="53"/>
      <c r="F13" s="53"/>
      <c r="G13" s="52"/>
      <c r="H13" s="52"/>
      <c r="I13" s="53"/>
      <c r="J13" s="53"/>
      <c r="K13" s="53"/>
      <c r="L13" s="53"/>
      <c r="M13" s="53"/>
      <c r="N13" s="53"/>
      <c r="O13" s="53"/>
      <c r="P13" s="53"/>
      <c r="Q13" s="54">
        <f>$D13*1</f>
        <v>0.17713612848853819</v>
      </c>
      <c r="R13" s="54">
        <f t="shared" si="0"/>
        <v>0</v>
      </c>
      <c r="S13" s="54">
        <f t="shared" si="0"/>
        <v>0</v>
      </c>
    </row>
    <row r="14" spans="1:20" ht="24" x14ac:dyDescent="0.25">
      <c r="A14" s="48">
        <v>6</v>
      </c>
      <c r="B14" s="49" t="s">
        <v>31</v>
      </c>
      <c r="C14" s="50">
        <f>PRESUPUESTO!F19+PRESUPUESTO!F20+PRESUPUESTO!F21+PRESUPUESTO!F22</f>
        <v>4698760.3879171126</v>
      </c>
      <c r="D14" s="51">
        <f>C14/PRESUPUESTO!$F$41</f>
        <v>9.1630654591966371E-2</v>
      </c>
      <c r="E14" s="53"/>
      <c r="F14" s="53"/>
      <c r="G14" s="52"/>
      <c r="H14" s="52"/>
      <c r="I14" s="52"/>
      <c r="J14" s="53"/>
      <c r="K14" s="53"/>
      <c r="L14" s="53"/>
      <c r="M14" s="53"/>
      <c r="N14" s="53"/>
      <c r="O14" s="53"/>
      <c r="P14" s="53"/>
      <c r="Q14" s="54">
        <f>$D14*0.666667</f>
        <v>6.1087133604862447E-2</v>
      </c>
      <c r="R14" s="54">
        <f>$D14*0.333333</f>
        <v>3.0543520987103924E-2</v>
      </c>
      <c r="S14" s="54">
        <f>$D14*0</f>
        <v>0</v>
      </c>
    </row>
    <row r="15" spans="1:20" ht="36" x14ac:dyDescent="0.25">
      <c r="A15" s="48">
        <v>7</v>
      </c>
      <c r="B15" s="49" t="s">
        <v>42</v>
      </c>
      <c r="C15" s="50">
        <f>PRESUPUESTO!F24+PRESUPUESTO!F25</f>
        <v>6134855.5800491478</v>
      </c>
      <c r="D15" s="51">
        <f>C15/PRESUPUESTO!$F$41</f>
        <v>0.1196359861363923</v>
      </c>
      <c r="E15" s="53"/>
      <c r="F15" s="53"/>
      <c r="G15" s="53"/>
      <c r="H15" s="53"/>
      <c r="I15" s="52"/>
      <c r="J15" s="52"/>
      <c r="K15" s="52"/>
      <c r="L15" s="53"/>
      <c r="M15" s="53"/>
      <c r="N15" s="53"/>
      <c r="O15" s="53"/>
      <c r="P15" s="53"/>
      <c r="Q15" s="54">
        <f>$D15*0</f>
        <v>0</v>
      </c>
      <c r="R15" s="54">
        <f>$D15*1</f>
        <v>0.1196359861363923</v>
      </c>
      <c r="S15" s="54">
        <f>$D15*0</f>
        <v>0</v>
      </c>
    </row>
    <row r="16" spans="1:20" ht="24" x14ac:dyDescent="0.25">
      <c r="A16" s="48">
        <v>8</v>
      </c>
      <c r="B16" s="49" t="s">
        <v>47</v>
      </c>
      <c r="C16" s="50">
        <f>PRESUPUESTO!F27</f>
        <v>2025591.0317581843</v>
      </c>
      <c r="D16" s="51">
        <f>C16/PRESUPUESTO!$F$41</f>
        <v>3.95011060050873E-2</v>
      </c>
      <c r="E16" s="53"/>
      <c r="F16" s="53"/>
      <c r="G16" s="53"/>
      <c r="H16" s="53"/>
      <c r="I16" s="52"/>
      <c r="J16" s="52"/>
      <c r="K16" s="53"/>
      <c r="L16" s="53"/>
      <c r="M16" s="53"/>
      <c r="N16" s="53"/>
      <c r="O16" s="53"/>
      <c r="P16" s="53"/>
      <c r="Q16" s="54">
        <f>$D16*0</f>
        <v>0</v>
      </c>
      <c r="R16" s="54">
        <f>$D16*1</f>
        <v>3.95011060050873E-2</v>
      </c>
      <c r="S16" s="54">
        <f>$D16*0</f>
        <v>0</v>
      </c>
    </row>
    <row r="17" spans="1:19" x14ac:dyDescent="0.25">
      <c r="A17" s="48">
        <v>9</v>
      </c>
      <c r="B17" s="49" t="s">
        <v>49</v>
      </c>
      <c r="C17" s="50">
        <f>PRESUPUESTO!F29+PRESUPUESTO!F30</f>
        <v>8632926.5521939509</v>
      </c>
      <c r="D17" s="51">
        <f>C17/PRESUPUESTO!$F$41</f>
        <v>0.16835093635676007</v>
      </c>
      <c r="E17" s="53"/>
      <c r="F17" s="53"/>
      <c r="G17" s="53"/>
      <c r="H17" s="53"/>
      <c r="I17" s="53"/>
      <c r="J17" s="52"/>
      <c r="K17" s="52"/>
      <c r="L17" s="53"/>
      <c r="M17" s="53"/>
      <c r="N17" s="53"/>
      <c r="O17" s="53"/>
      <c r="P17" s="53"/>
      <c r="Q17" s="54">
        <f>$D17*0</f>
        <v>0</v>
      </c>
      <c r="R17" s="54">
        <f>$D17*1</f>
        <v>0.16835093635676007</v>
      </c>
      <c r="S17" s="54">
        <f>$D17*0</f>
        <v>0</v>
      </c>
    </row>
    <row r="18" spans="1:19" ht="36" x14ac:dyDescent="0.25">
      <c r="A18" s="48">
        <v>10</v>
      </c>
      <c r="B18" s="49" t="s">
        <v>52</v>
      </c>
      <c r="C18" s="50">
        <f>PRESUPUESTO!F32+PRESUPUESTO!F33+PRESUPUESTO!F34</f>
        <v>9796978.4533828646</v>
      </c>
      <c r="D18" s="51">
        <f>C18/PRESUPUESTO!$F$41</f>
        <v>0.19105114425824132</v>
      </c>
      <c r="E18" s="53"/>
      <c r="F18" s="53"/>
      <c r="G18" s="53"/>
      <c r="H18" s="53"/>
      <c r="I18" s="53"/>
      <c r="J18" s="52"/>
      <c r="K18" s="52"/>
      <c r="L18" s="52"/>
      <c r="M18" s="53"/>
      <c r="N18" s="53"/>
      <c r="O18" s="53"/>
      <c r="P18" s="53"/>
      <c r="Q18" s="54">
        <f>$D18*0</f>
        <v>0</v>
      </c>
      <c r="R18" s="54">
        <f>$D18*1</f>
        <v>0.19105114425824132</v>
      </c>
      <c r="S18" s="54">
        <f>$D18*0</f>
        <v>0</v>
      </c>
    </row>
    <row r="19" spans="1:19" x14ac:dyDescent="0.25">
      <c r="A19" s="48">
        <v>11</v>
      </c>
      <c r="B19" s="49" t="s">
        <v>59</v>
      </c>
      <c r="C19" s="50">
        <f>PRESUPUESTO!F36+PRESUPUESTO!F37+PRESUPUESTO!F38+PRESUPUESTO!F39</f>
        <v>1564230.8273211955</v>
      </c>
      <c r="D19" s="51">
        <f>C19/PRESUPUESTO!$F$41</f>
        <v>3.0504108064108137E-2</v>
      </c>
      <c r="E19" s="53"/>
      <c r="F19" s="53"/>
      <c r="G19" s="53"/>
      <c r="H19" s="53"/>
      <c r="I19" s="53"/>
      <c r="J19" s="53"/>
      <c r="K19" s="53"/>
      <c r="L19" s="52"/>
      <c r="M19" s="52"/>
      <c r="N19" s="52"/>
      <c r="O19" s="53"/>
      <c r="P19" s="53"/>
      <c r="Q19" s="54">
        <f>$D19*0</f>
        <v>0</v>
      </c>
      <c r="R19" s="54">
        <f>$D19*0.333333</f>
        <v>1.0168025853333358E-2</v>
      </c>
      <c r="S19" s="54">
        <f>$D19*0.666667</f>
        <v>2.0336082210774781E-2</v>
      </c>
    </row>
    <row r="20" spans="1:19" ht="24" x14ac:dyDescent="0.25">
      <c r="A20" s="55">
        <v>12</v>
      </c>
      <c r="B20" s="55" t="s">
        <v>178</v>
      </c>
      <c r="C20" s="56">
        <v>0</v>
      </c>
      <c r="D20" s="57">
        <v>0</v>
      </c>
      <c r="E20" s="53"/>
      <c r="F20" s="53"/>
      <c r="G20" s="53"/>
      <c r="H20" s="53"/>
      <c r="I20" s="53"/>
      <c r="J20" s="53"/>
      <c r="K20" s="53"/>
      <c r="L20" s="53"/>
      <c r="M20" s="53"/>
      <c r="N20" s="53"/>
      <c r="O20" s="58"/>
      <c r="P20" s="58"/>
      <c r="Q20" s="59">
        <v>0</v>
      </c>
      <c r="R20" s="59">
        <v>0</v>
      </c>
      <c r="S20" s="59">
        <v>0</v>
      </c>
    </row>
    <row r="21" spans="1:19" x14ac:dyDescent="0.25">
      <c r="A21" s="60"/>
      <c r="B21" s="60" t="s">
        <v>179</v>
      </c>
      <c r="C21" s="61">
        <f>SUM(C9:C19)</f>
        <v>51279349.78573285</v>
      </c>
      <c r="D21" s="62">
        <f>SUM(D9:D19)</f>
        <v>0.99999999999999978</v>
      </c>
      <c r="E21" s="63"/>
      <c r="F21" s="63"/>
      <c r="G21" s="63"/>
      <c r="H21" s="63"/>
      <c r="I21" s="63"/>
      <c r="J21" s="63"/>
      <c r="K21" s="63"/>
      <c r="L21" s="63"/>
      <c r="M21" s="63"/>
      <c r="N21" s="63"/>
      <c r="O21" s="63"/>
      <c r="P21" s="63"/>
      <c r="Q21" s="64">
        <f>SUM(Q9:Q19)</f>
        <v>0.42041319819230688</v>
      </c>
      <c r="R21" s="64">
        <f>SUM(R9:R19)</f>
        <v>0.55925071959691819</v>
      </c>
      <c r="S21" s="64">
        <f>SUM(S9:S19)</f>
        <v>2.0336082210774781E-2</v>
      </c>
    </row>
    <row r="23" spans="1:19" x14ac:dyDescent="0.25">
      <c r="A23" s="112" t="s">
        <v>180</v>
      </c>
      <c r="B23" s="112"/>
      <c r="C23" s="112"/>
      <c r="D23" s="112"/>
      <c r="E23" s="122"/>
      <c r="F23" s="122"/>
      <c r="G23" s="122"/>
      <c r="H23" s="122"/>
      <c r="I23" s="122"/>
      <c r="J23" s="122"/>
      <c r="K23" s="122"/>
      <c r="L23" s="122"/>
      <c r="M23" s="122"/>
      <c r="N23" s="122"/>
      <c r="O23" s="122"/>
      <c r="P23" s="122"/>
      <c r="Q23" s="122"/>
      <c r="R23" s="122"/>
      <c r="S23" s="122"/>
    </row>
    <row r="24" spans="1:19" x14ac:dyDescent="0.25">
      <c r="A24" s="36"/>
      <c r="B24" s="113" t="s">
        <v>181</v>
      </c>
      <c r="C24" s="113"/>
      <c r="D24" s="113"/>
      <c r="E24" s="36" t="s">
        <v>158</v>
      </c>
      <c r="F24" s="36" t="s">
        <v>159</v>
      </c>
      <c r="G24" s="65" t="s">
        <v>160</v>
      </c>
    </row>
    <row r="25" spans="1:19" x14ac:dyDescent="0.25">
      <c r="A25" s="37"/>
      <c r="B25" s="121" t="s">
        <v>182</v>
      </c>
      <c r="C25" s="121"/>
      <c r="D25" s="121"/>
      <c r="Q25" s="66">
        <f>Q21</f>
        <v>0.42041319819230688</v>
      </c>
      <c r="R25" s="66">
        <f>R21</f>
        <v>0.55925071959691819</v>
      </c>
      <c r="S25" s="66">
        <f>S21</f>
        <v>2.0336082210774781E-2</v>
      </c>
    </row>
    <row r="26" spans="1:19" x14ac:dyDescent="0.25">
      <c r="A26" s="67"/>
      <c r="B26" s="123" t="s">
        <v>183</v>
      </c>
      <c r="C26" s="123"/>
      <c r="D26" s="123"/>
      <c r="Q26" s="66">
        <f>Q25</f>
        <v>0.42041319819230688</v>
      </c>
      <c r="R26" s="66">
        <f>Q25+R25</f>
        <v>0.97966391778922501</v>
      </c>
      <c r="S26" s="66">
        <f>Q25+R25+S25</f>
        <v>0.99999999999999978</v>
      </c>
    </row>
    <row r="27" spans="1:19" x14ac:dyDescent="0.25">
      <c r="A27" s="37"/>
      <c r="B27" s="121" t="s">
        <v>184</v>
      </c>
      <c r="C27" s="121"/>
      <c r="D27" s="121"/>
      <c r="Q27" s="68">
        <f>Q25*C21</f>
        <v>21558515.444641933</v>
      </c>
      <c r="R27" s="68">
        <f>R25*C21</f>
        <v>28678013.268133171</v>
      </c>
      <c r="S27" s="68">
        <f>S25*C21</f>
        <v>1042821.0729577395</v>
      </c>
    </row>
    <row r="29" spans="1:19" ht="27.75" customHeight="1" x14ac:dyDescent="0.25">
      <c r="A29" s="105" t="s">
        <v>185</v>
      </c>
      <c r="B29" s="105"/>
      <c r="C29" s="105"/>
      <c r="D29" s="105"/>
      <c r="E29" s="105"/>
      <c r="F29" s="105"/>
      <c r="G29" s="105"/>
      <c r="H29" s="105"/>
      <c r="I29" s="105"/>
      <c r="J29" s="105"/>
      <c r="K29" s="105"/>
      <c r="L29" s="105"/>
      <c r="M29" s="105"/>
      <c r="N29" s="105"/>
      <c r="O29" s="105"/>
      <c r="P29" s="105"/>
      <c r="Q29" s="105"/>
      <c r="R29" s="105"/>
      <c r="S29" s="105"/>
    </row>
    <row r="32" spans="1:19" x14ac:dyDescent="0.25">
      <c r="A32" s="98" t="s">
        <v>273</v>
      </c>
      <c r="B32" s="98"/>
      <c r="C32" s="98"/>
    </row>
    <row r="33" spans="1:3" x14ac:dyDescent="0.25">
      <c r="A33" s="97" t="s">
        <v>274</v>
      </c>
      <c r="B33" s="97"/>
      <c r="C33" s="97"/>
    </row>
  </sheetData>
  <mergeCells count="17">
    <mergeCell ref="B26:D26"/>
    <mergeCell ref="A32:C32"/>
    <mergeCell ref="A1:T1"/>
    <mergeCell ref="A2:T2"/>
    <mergeCell ref="A3:T3"/>
    <mergeCell ref="A5:S5"/>
    <mergeCell ref="A7:D7"/>
    <mergeCell ref="E7:H7"/>
    <mergeCell ref="I7:L7"/>
    <mergeCell ref="M7:P7"/>
    <mergeCell ref="Q7:S7"/>
    <mergeCell ref="B27:D27"/>
    <mergeCell ref="A29:S29"/>
    <mergeCell ref="A23:D23"/>
    <mergeCell ref="E23:S23"/>
    <mergeCell ref="B24:D24"/>
    <mergeCell ref="B25:D25"/>
  </mergeCells>
  <pageMargins left="0.75" right="0.75" top="1" bottom="1" header="0.511811023622047" footer="0.511811023622047"/>
  <pageSetup paperSize="9" orientation="portrait" horizontalDpi="300" verticalDpi="30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5"/>
  <sheetViews>
    <sheetView showGridLines="0" zoomScaleNormal="100" workbookViewId="0">
      <pane ySplit="5" topLeftCell="A30" activePane="bottomLeft" state="frozen"/>
      <selection pane="bottomLeft" activeCell="C53" sqref="C53"/>
    </sheetView>
  </sheetViews>
  <sheetFormatPr baseColWidth="10" defaultColWidth="8.7109375" defaultRowHeight="15" x14ac:dyDescent="0.25"/>
  <cols>
    <col min="1" max="1" width="5" customWidth="1"/>
    <col min="2" max="2" width="52" customWidth="1"/>
    <col min="3" max="3" width="9" customWidth="1"/>
    <col min="4" max="4" width="16" customWidth="1"/>
    <col min="5" max="5" width="15" customWidth="1"/>
    <col min="6" max="6" width="17" customWidth="1"/>
  </cols>
  <sheetData>
    <row r="1" spans="1:6" ht="21.75" customHeight="1" x14ac:dyDescent="0.25">
      <c r="A1" s="99" t="s">
        <v>186</v>
      </c>
      <c r="B1" s="99"/>
      <c r="C1" s="99"/>
      <c r="D1" s="99"/>
      <c r="E1" s="99"/>
      <c r="F1" s="99"/>
    </row>
    <row r="2" spans="1:6" ht="18" customHeight="1" x14ac:dyDescent="0.25">
      <c r="A2" s="100" t="s">
        <v>1</v>
      </c>
      <c r="B2" s="100"/>
      <c r="C2" s="100"/>
      <c r="D2" s="100"/>
      <c r="E2" s="100"/>
      <c r="F2" s="100"/>
    </row>
    <row r="3" spans="1:6" ht="15.75" customHeight="1" x14ac:dyDescent="0.25">
      <c r="A3" s="101" t="s">
        <v>2</v>
      </c>
      <c r="B3" s="101"/>
      <c r="C3" s="101"/>
      <c r="D3" s="101"/>
      <c r="E3" s="101"/>
      <c r="F3" s="101"/>
    </row>
    <row r="5" spans="1:6" ht="24" customHeight="1" x14ac:dyDescent="0.25">
      <c r="A5" s="111" t="s">
        <v>187</v>
      </c>
      <c r="B5" s="111"/>
      <c r="C5" s="111"/>
      <c r="D5" s="111"/>
      <c r="E5" s="111"/>
      <c r="F5" s="111"/>
    </row>
    <row r="7" spans="1:6" x14ac:dyDescent="0.25">
      <c r="A7" s="112" t="s">
        <v>188</v>
      </c>
      <c r="B7" s="112"/>
      <c r="C7" s="112"/>
      <c r="D7" s="112"/>
      <c r="E7" s="112"/>
      <c r="F7" s="112"/>
    </row>
    <row r="8" spans="1:6" x14ac:dyDescent="0.25">
      <c r="A8" s="69" t="s">
        <v>189</v>
      </c>
      <c r="B8" s="69" t="s">
        <v>190</v>
      </c>
      <c r="C8" s="69" t="s">
        <v>80</v>
      </c>
      <c r="D8" s="69" t="s">
        <v>191</v>
      </c>
      <c r="E8" s="69" t="s">
        <v>82</v>
      </c>
      <c r="F8" s="69" t="s">
        <v>192</v>
      </c>
    </row>
    <row r="9" spans="1:6" x14ac:dyDescent="0.25">
      <c r="A9" s="70">
        <v>1</v>
      </c>
      <c r="B9" s="3" t="s">
        <v>86</v>
      </c>
      <c r="C9" s="70" t="s">
        <v>13</v>
      </c>
      <c r="D9" s="71">
        <f>SUM(APU!G9)</f>
        <v>65</v>
      </c>
      <c r="E9" s="72">
        <f>APU!E9</f>
        <v>1160.96</v>
      </c>
      <c r="F9" s="73">
        <f>SUM(APU!H9)</f>
        <v>75462.400000000009</v>
      </c>
    </row>
    <row r="10" spans="1:6" x14ac:dyDescent="0.25">
      <c r="A10" s="70">
        <v>2</v>
      </c>
      <c r="B10" s="3" t="s">
        <v>101</v>
      </c>
      <c r="C10" s="70" t="s">
        <v>13</v>
      </c>
      <c r="D10" s="71">
        <f>SUM(APU!G24)</f>
        <v>130</v>
      </c>
      <c r="E10" s="72">
        <f>APU!E24</f>
        <v>1280</v>
      </c>
      <c r="F10" s="73">
        <f>SUM(APU!H24)</f>
        <v>166400</v>
      </c>
    </row>
    <row r="11" spans="1:6" x14ac:dyDescent="0.25">
      <c r="A11" s="70">
        <v>3</v>
      </c>
      <c r="B11" s="3" t="s">
        <v>103</v>
      </c>
      <c r="C11" s="70" t="s">
        <v>19</v>
      </c>
      <c r="D11" s="71">
        <f>SUM(APU!G39)</f>
        <v>16.2</v>
      </c>
      <c r="E11" s="72">
        <f>APU!E39</f>
        <v>7600</v>
      </c>
      <c r="F11" s="73">
        <f>SUM(APU!H39)</f>
        <v>123120</v>
      </c>
    </row>
    <row r="12" spans="1:6" x14ac:dyDescent="0.25">
      <c r="A12" s="70">
        <v>4</v>
      </c>
      <c r="B12" s="3" t="s">
        <v>109</v>
      </c>
      <c r="C12" s="70" t="s">
        <v>19</v>
      </c>
      <c r="D12" s="71">
        <f>SUM(APU!G84,APU!G218)</f>
        <v>70.08</v>
      </c>
      <c r="E12" s="72">
        <f>APU!E84</f>
        <v>110595.6</v>
      </c>
      <c r="F12" s="73">
        <f>SUM(APU!H84,APU!H218)</f>
        <v>7727421.5999999996</v>
      </c>
    </row>
    <row r="13" spans="1:6" x14ac:dyDescent="0.25">
      <c r="A13" s="70">
        <v>5</v>
      </c>
      <c r="B13" s="3" t="s">
        <v>111</v>
      </c>
      <c r="C13" s="70" t="s">
        <v>19</v>
      </c>
      <c r="D13" s="71">
        <f>SUM(APU!G99,APU!G233)</f>
        <v>24</v>
      </c>
      <c r="E13" s="72">
        <f>APU!E99</f>
        <v>121893</v>
      </c>
      <c r="F13" s="73">
        <f>SUM(APU!H99,APU!H233)</f>
        <v>2806512</v>
      </c>
    </row>
    <row r="14" spans="1:6" x14ac:dyDescent="0.25">
      <c r="A14" s="70">
        <v>6</v>
      </c>
      <c r="B14" s="3" t="s">
        <v>113</v>
      </c>
      <c r="C14" s="70" t="s">
        <v>34</v>
      </c>
      <c r="D14" s="71">
        <f>SUM(APU!G114)</f>
        <v>65</v>
      </c>
      <c r="E14" s="72">
        <f>APU!E114</f>
        <v>50915.248185610697</v>
      </c>
      <c r="F14" s="73">
        <f>SUM(APU!H114)</f>
        <v>3309491.1320646955</v>
      </c>
    </row>
    <row r="15" spans="1:6" x14ac:dyDescent="0.25">
      <c r="A15" s="70">
        <v>7</v>
      </c>
      <c r="B15" s="3" t="s">
        <v>114</v>
      </c>
      <c r="C15" s="70" t="s">
        <v>34</v>
      </c>
      <c r="D15" s="71">
        <f>SUM(APU!G115)</f>
        <v>65</v>
      </c>
      <c r="E15" s="72">
        <f>APU!E115</f>
        <v>3249.909458656</v>
      </c>
      <c r="F15" s="73">
        <f>SUM(APU!H115)</f>
        <v>211244.11481264001</v>
      </c>
    </row>
    <row r="16" spans="1:6" x14ac:dyDescent="0.25">
      <c r="A16" s="70">
        <v>8</v>
      </c>
      <c r="B16" s="3" t="s">
        <v>115</v>
      </c>
      <c r="C16" s="70" t="s">
        <v>37</v>
      </c>
      <c r="D16" s="71">
        <f>SUM(APU!G129)</f>
        <v>5</v>
      </c>
      <c r="E16" s="72">
        <f>APU!E129</f>
        <v>56975.0072986667</v>
      </c>
      <c r="F16" s="73">
        <f>SUM(APU!H129)</f>
        <v>284875.03649333352</v>
      </c>
    </row>
    <row r="17" spans="1:6" x14ac:dyDescent="0.25">
      <c r="A17" s="70">
        <v>9</v>
      </c>
      <c r="B17" s="3" t="s">
        <v>116</v>
      </c>
      <c r="C17" s="70" t="s">
        <v>37</v>
      </c>
      <c r="D17" s="71">
        <f>SUM(APU!G143)</f>
        <v>2</v>
      </c>
      <c r="E17" s="72">
        <f>APU!E143</f>
        <v>55838.211411166703</v>
      </c>
      <c r="F17" s="73">
        <f>SUM(APU!H143)</f>
        <v>111676.42282233341</v>
      </c>
    </row>
    <row r="18" spans="1:6" x14ac:dyDescent="0.25">
      <c r="A18" s="70">
        <v>10</v>
      </c>
      <c r="B18" s="3" t="s">
        <v>117</v>
      </c>
      <c r="C18" s="70" t="s">
        <v>37</v>
      </c>
      <c r="D18" s="71">
        <f>SUM(APU!G157)</f>
        <v>1</v>
      </c>
      <c r="E18" s="72">
        <f>APU!E157</f>
        <v>179999.79084618099</v>
      </c>
      <c r="F18" s="73">
        <f>SUM(APU!H157)</f>
        <v>179999.79084618099</v>
      </c>
    </row>
    <row r="19" spans="1:6" x14ac:dyDescent="0.25">
      <c r="A19" s="70">
        <v>11</v>
      </c>
      <c r="B19" s="3" t="s">
        <v>118</v>
      </c>
      <c r="C19" s="70" t="s">
        <v>37</v>
      </c>
      <c r="D19" s="71">
        <f>SUM(APU!G171)</f>
        <v>17</v>
      </c>
      <c r="E19" s="72">
        <f>APU!E171</f>
        <v>71827.199999999997</v>
      </c>
      <c r="F19" s="73">
        <f>SUM(APU!H171)</f>
        <v>1221062.3999999999</v>
      </c>
    </row>
    <row r="20" spans="1:6" x14ac:dyDescent="0.25">
      <c r="A20" s="70">
        <v>12</v>
      </c>
      <c r="B20" s="3" t="s">
        <v>119</v>
      </c>
      <c r="C20" s="70" t="s">
        <v>37</v>
      </c>
      <c r="D20" s="71">
        <f>SUM(APU!G172)</f>
        <v>17</v>
      </c>
      <c r="E20" s="72">
        <f>APU!E172</f>
        <v>44892</v>
      </c>
      <c r="F20" s="73">
        <f>SUM(APU!H172)</f>
        <v>763164</v>
      </c>
    </row>
    <row r="21" spans="1:6" x14ac:dyDescent="0.25">
      <c r="A21" s="70">
        <v>13</v>
      </c>
      <c r="B21" s="3" t="s">
        <v>120</v>
      </c>
      <c r="C21" s="70" t="s">
        <v>37</v>
      </c>
      <c r="D21" s="71">
        <f>SUM(APU!G173)</f>
        <v>17</v>
      </c>
      <c r="E21" s="72">
        <f>APU!E173</f>
        <v>62848.800000000003</v>
      </c>
      <c r="F21" s="73">
        <f>SUM(APU!H173)</f>
        <v>1068429.6000000001</v>
      </c>
    </row>
    <row r="22" spans="1:6" x14ac:dyDescent="0.25">
      <c r="A22" s="70">
        <v>14</v>
      </c>
      <c r="B22" s="3" t="s">
        <v>121</v>
      </c>
      <c r="C22" s="70" t="s">
        <v>37</v>
      </c>
      <c r="D22" s="71">
        <f>SUM(APU!G187)</f>
        <v>10</v>
      </c>
      <c r="E22" s="72">
        <f>APU!E187</f>
        <v>86994.432000000001</v>
      </c>
      <c r="F22" s="73">
        <f>SUM(APU!H187)</f>
        <v>869944.32000000007</v>
      </c>
    </row>
    <row r="23" spans="1:6" x14ac:dyDescent="0.25">
      <c r="A23" s="70">
        <v>15</v>
      </c>
      <c r="B23" s="3" t="s">
        <v>122</v>
      </c>
      <c r="C23" s="70" t="s">
        <v>37</v>
      </c>
      <c r="D23" s="71">
        <f>SUM(APU!G188)</f>
        <v>10</v>
      </c>
      <c r="E23" s="72">
        <f>APU!E188</f>
        <v>53853.696000000004</v>
      </c>
      <c r="F23" s="73">
        <f>SUM(APU!H188)</f>
        <v>538536.96000000008</v>
      </c>
    </row>
    <row r="24" spans="1:6" x14ac:dyDescent="0.25">
      <c r="A24" s="70">
        <v>16</v>
      </c>
      <c r="B24" s="3" t="s">
        <v>123</v>
      </c>
      <c r="C24" s="70" t="s">
        <v>37</v>
      </c>
      <c r="D24" s="71">
        <f>SUM(APU!G189)</f>
        <v>10</v>
      </c>
      <c r="E24" s="72">
        <f>APU!E189</f>
        <v>66281.471999999994</v>
      </c>
      <c r="F24" s="73">
        <f>SUM(APU!H189)</f>
        <v>662814.71999999997</v>
      </c>
    </row>
    <row r="25" spans="1:6" x14ac:dyDescent="0.25">
      <c r="A25" s="70">
        <v>17</v>
      </c>
      <c r="B25" s="3" t="s">
        <v>124</v>
      </c>
      <c r="C25" s="70" t="s">
        <v>19</v>
      </c>
      <c r="D25" s="71">
        <f>SUM(APU!G248)</f>
        <v>0.22977500000000001</v>
      </c>
      <c r="E25" s="72">
        <f>APU!E248</f>
        <v>285596.12261498801</v>
      </c>
      <c r="F25" s="73">
        <f>SUM(APU!H248)</f>
        <v>65622.849073858873</v>
      </c>
    </row>
    <row r="26" spans="1:6" x14ac:dyDescent="0.25">
      <c r="A26" s="70">
        <v>18</v>
      </c>
      <c r="B26" s="3" t="s">
        <v>125</v>
      </c>
      <c r="C26" s="70" t="s">
        <v>19</v>
      </c>
      <c r="D26" s="71">
        <f>SUM(APU!G249)</f>
        <v>0.22977500000000001</v>
      </c>
      <c r="E26" s="72">
        <f>APU!E249</f>
        <v>111065.15879471799</v>
      </c>
      <c r="F26" s="73">
        <f>SUM(APU!H249)</f>
        <v>25519.996862056327</v>
      </c>
    </row>
    <row r="27" spans="1:6" x14ac:dyDescent="0.25">
      <c r="A27" s="70">
        <v>19</v>
      </c>
      <c r="B27" s="3" t="s">
        <v>127</v>
      </c>
      <c r="C27" s="70" t="s">
        <v>37</v>
      </c>
      <c r="D27" s="71">
        <f>SUM(APU!G264)</f>
        <v>6</v>
      </c>
      <c r="E27" s="72">
        <f>APU!E264</f>
        <v>641814.70985690702</v>
      </c>
      <c r="F27" s="73">
        <f>SUM(APU!H264)</f>
        <v>3850888.2591414424</v>
      </c>
    </row>
    <row r="28" spans="1:6" x14ac:dyDescent="0.25">
      <c r="A28" s="70">
        <v>20</v>
      </c>
      <c r="B28" s="3" t="s">
        <v>128</v>
      </c>
      <c r="C28" s="70" t="s">
        <v>37</v>
      </c>
      <c r="D28" s="71">
        <f>SUM(APU!G265)</f>
        <v>6</v>
      </c>
      <c r="E28" s="72">
        <f>APU!E265</f>
        <v>160453.67746422699</v>
      </c>
      <c r="F28" s="73">
        <f>SUM(APU!H265)</f>
        <v>962722.06478536199</v>
      </c>
    </row>
    <row r="29" spans="1:6" x14ac:dyDescent="0.25">
      <c r="A29" s="70">
        <v>21</v>
      </c>
      <c r="B29" s="3" t="s">
        <v>129</v>
      </c>
      <c r="C29" s="70" t="s">
        <v>37</v>
      </c>
      <c r="D29" s="71">
        <f>SUM(APU!G279)</f>
        <v>1</v>
      </c>
      <c r="E29" s="72">
        <f>APU!E279</f>
        <v>3909945.6</v>
      </c>
      <c r="F29" s="73">
        <f>SUM(APU!H279)</f>
        <v>3909945.6</v>
      </c>
    </row>
    <row r="30" spans="1:6" x14ac:dyDescent="0.25">
      <c r="A30" s="70">
        <v>22</v>
      </c>
      <c r="B30" s="3" t="s">
        <v>130</v>
      </c>
      <c r="C30" s="70" t="s">
        <v>37</v>
      </c>
      <c r="D30" s="71">
        <f>SUM(APU!G293)</f>
        <v>15</v>
      </c>
      <c r="E30" s="72">
        <f>APU!E293</f>
        <v>38022.75</v>
      </c>
      <c r="F30" s="73">
        <f>SUM(APU!H293)</f>
        <v>570341.25</v>
      </c>
    </row>
    <row r="31" spans="1:6" x14ac:dyDescent="0.25">
      <c r="A31" s="70">
        <v>23</v>
      </c>
      <c r="B31" s="3" t="s">
        <v>131</v>
      </c>
      <c r="C31" s="70" t="s">
        <v>13</v>
      </c>
      <c r="D31" s="71">
        <f>SUM(APU!G307)</f>
        <v>65</v>
      </c>
      <c r="E31" s="72">
        <f>APU!E307</f>
        <v>869.71252500000003</v>
      </c>
      <c r="F31" s="73">
        <f>SUM(APU!H307)</f>
        <v>56531.314125000004</v>
      </c>
    </row>
    <row r="32" spans="1:6" x14ac:dyDescent="0.25">
      <c r="A32" s="70">
        <v>24</v>
      </c>
      <c r="B32" s="3" t="s">
        <v>132</v>
      </c>
      <c r="C32" s="70" t="s">
        <v>66</v>
      </c>
      <c r="D32" s="71">
        <f>SUM(APU!G321)</f>
        <v>5.6</v>
      </c>
      <c r="E32" s="72">
        <f>APU!E321</f>
        <v>45319.6</v>
      </c>
      <c r="F32" s="73">
        <f>SUM(APU!H321)</f>
        <v>253789.75999999998</v>
      </c>
    </row>
    <row r="33" spans="1:6" x14ac:dyDescent="0.25">
      <c r="A33" s="70">
        <v>25</v>
      </c>
      <c r="B33" s="3" t="s">
        <v>133</v>
      </c>
      <c r="C33" s="70" t="s">
        <v>13</v>
      </c>
      <c r="D33" s="71">
        <f>SUM(APU!G336)</f>
        <v>65</v>
      </c>
      <c r="E33" s="72">
        <f>APU!E336</f>
        <v>2020.80168</v>
      </c>
      <c r="F33" s="73">
        <f>SUM(APU!H336)</f>
        <v>131352.10920000001</v>
      </c>
    </row>
    <row r="34" spans="1:6" x14ac:dyDescent="0.25">
      <c r="A34" s="40"/>
      <c r="B34" s="40" t="s">
        <v>87</v>
      </c>
      <c r="C34" s="40"/>
      <c r="D34" s="40"/>
      <c r="E34" s="40"/>
      <c r="F34" s="42">
        <f>SUM(F9:F33)</f>
        <v>29946867.700226907</v>
      </c>
    </row>
    <row r="36" spans="1:6" x14ac:dyDescent="0.25">
      <c r="A36" s="112" t="s">
        <v>193</v>
      </c>
      <c r="B36" s="112"/>
      <c r="C36" s="112"/>
      <c r="D36" s="112"/>
      <c r="E36" s="112"/>
      <c r="F36" s="112"/>
    </row>
    <row r="37" spans="1:6" x14ac:dyDescent="0.25">
      <c r="A37" s="69" t="s">
        <v>189</v>
      </c>
      <c r="B37" s="69" t="s">
        <v>190</v>
      </c>
      <c r="C37" s="69" t="s">
        <v>80</v>
      </c>
      <c r="D37" s="69" t="s">
        <v>191</v>
      </c>
      <c r="E37" s="69" t="s">
        <v>82</v>
      </c>
      <c r="F37" s="69" t="s">
        <v>192</v>
      </c>
    </row>
    <row r="38" spans="1:6" x14ac:dyDescent="0.25">
      <c r="A38" s="70">
        <v>1</v>
      </c>
      <c r="B38" s="3" t="s">
        <v>194</v>
      </c>
      <c r="C38" s="70" t="s">
        <v>95</v>
      </c>
      <c r="D38" s="71">
        <f>SUM(APU!G16,APU!G31,APU!G46,APU!G61,APU!G76,APU!G91,APU!G106,APU!G122,APU!G136,APU!G150,APU!G164,APU!G180,APU!G196,APU!G210,APU!G225,APU!G240,APU!G256,APU!G272,APU!G286,APU!G300)+SUM(APU!G314,APU!G328,APU!G343)</f>
        <v>660.06977500000005</v>
      </c>
      <c r="E38" s="72">
        <f>APU!E16</f>
        <v>239.21414909984145</v>
      </c>
      <c r="F38" s="73">
        <f>SUM(APU!H16,APU!H31,APU!H46,APU!H61,APU!H76,APU!H91,APU!H106,APU!H122,APU!H136,APU!H150,APU!H164,APU!H180,APU!H196,APU!H210,APU!H225,APU!H240,APU!H256,APU!H272,APU!H286,APU!H300)+SUM(APU!H314,APU!H328,APU!H343)</f>
        <v>292427.9328995666</v>
      </c>
    </row>
    <row r="39" spans="1:6" x14ac:dyDescent="0.25">
      <c r="A39" s="70">
        <v>2</v>
      </c>
      <c r="B39" s="3" t="s">
        <v>96</v>
      </c>
      <c r="C39" s="70" t="s">
        <v>97</v>
      </c>
      <c r="D39" s="71">
        <f>SUM(APU!G17)</f>
        <v>5.5575000000000001</v>
      </c>
      <c r="E39" s="72">
        <f>APU!E17</f>
        <v>60000</v>
      </c>
      <c r="F39" s="73">
        <f>SUM(APU!H17)</f>
        <v>333450</v>
      </c>
    </row>
    <row r="40" spans="1:6" x14ac:dyDescent="0.25">
      <c r="A40" s="70">
        <v>3</v>
      </c>
      <c r="B40" s="3" t="s">
        <v>102</v>
      </c>
      <c r="C40" s="70" t="s">
        <v>97</v>
      </c>
      <c r="D40" s="71">
        <f>SUM(APU!G32)</f>
        <v>19.552</v>
      </c>
      <c r="E40" s="72">
        <f>APU!E32</f>
        <v>65000</v>
      </c>
      <c r="F40" s="73">
        <f>SUM(APU!H32)</f>
        <v>1270880</v>
      </c>
    </row>
    <row r="41" spans="1:6" x14ac:dyDescent="0.25">
      <c r="A41" s="70">
        <v>4</v>
      </c>
      <c r="B41" s="3" t="s">
        <v>104</v>
      </c>
      <c r="C41" s="70" t="s">
        <v>97</v>
      </c>
      <c r="D41" s="71">
        <f>SUM(APU!G47)</f>
        <v>13.888259999999999</v>
      </c>
      <c r="E41" s="72">
        <f>APU!E47</f>
        <v>110000</v>
      </c>
      <c r="F41" s="73">
        <f>SUM(APU!H47)</f>
        <v>1527708.5999999999</v>
      </c>
    </row>
    <row r="42" spans="1:6" ht="25.5" x14ac:dyDescent="0.25">
      <c r="A42" s="70">
        <v>5</v>
      </c>
      <c r="B42" s="3" t="s">
        <v>107</v>
      </c>
      <c r="C42" s="70" t="s">
        <v>97</v>
      </c>
      <c r="D42" s="71">
        <f>SUM(APU!G62,APU!G211)</f>
        <v>13.658352000000001</v>
      </c>
      <c r="E42" s="72">
        <f>APU!E62</f>
        <v>195000</v>
      </c>
      <c r="F42" s="73">
        <f>SUM(APU!H62,APU!H211)</f>
        <v>2663378.64</v>
      </c>
    </row>
    <row r="43" spans="1:6" x14ac:dyDescent="0.25">
      <c r="A43" s="70">
        <v>6</v>
      </c>
      <c r="B43" s="3" t="s">
        <v>108</v>
      </c>
      <c r="C43" s="70" t="s">
        <v>97</v>
      </c>
      <c r="D43" s="71">
        <f>SUM(APU!G77)</f>
        <v>16.511040000000001</v>
      </c>
      <c r="E43" s="72">
        <f>APU!E77</f>
        <v>95000</v>
      </c>
      <c r="F43" s="73">
        <f>SUM(APU!H77)</f>
        <v>1568548.8</v>
      </c>
    </row>
    <row r="44" spans="1:6" x14ac:dyDescent="0.25">
      <c r="A44" s="70">
        <v>7</v>
      </c>
      <c r="B44" s="3" t="s">
        <v>110</v>
      </c>
      <c r="C44" s="70" t="s">
        <v>97</v>
      </c>
      <c r="D44" s="71">
        <f>SUM(APU!G92,APU!G226)</f>
        <v>63.533231999999998</v>
      </c>
      <c r="E44" s="72">
        <f>APU!E92</f>
        <v>45000</v>
      </c>
      <c r="F44" s="73">
        <f>SUM(APU!H92,APU!H226)</f>
        <v>2858995.44</v>
      </c>
    </row>
    <row r="45" spans="1:6" x14ac:dyDescent="0.25">
      <c r="A45" s="70">
        <v>8</v>
      </c>
      <c r="B45" s="3" t="s">
        <v>112</v>
      </c>
      <c r="C45" s="70" t="s">
        <v>97</v>
      </c>
      <c r="D45" s="71">
        <f>SUM(APU!G107,APU!G241)</f>
        <v>27.325600000000001</v>
      </c>
      <c r="E45" s="72">
        <f>APU!E107</f>
        <v>38000</v>
      </c>
      <c r="F45" s="73">
        <f>SUM(APU!H107,APU!H241)</f>
        <v>1038372.8</v>
      </c>
    </row>
    <row r="46" spans="1:6" x14ac:dyDescent="0.25">
      <c r="A46" s="70">
        <v>9</v>
      </c>
      <c r="B46" s="3" t="s">
        <v>126</v>
      </c>
      <c r="C46" s="70" t="s">
        <v>97</v>
      </c>
      <c r="D46" s="71">
        <f>SUM(APU!G257,APU!G329)</f>
        <v>0.88920312249999989</v>
      </c>
      <c r="E46" s="72">
        <f>APU!E257</f>
        <v>35000</v>
      </c>
      <c r="F46" s="73">
        <f>SUM(APU!H257,APU!H329)</f>
        <v>31122.109287499996</v>
      </c>
    </row>
    <row r="47" spans="1:6" x14ac:dyDescent="0.25">
      <c r="A47" s="40"/>
      <c r="B47" s="40" t="s">
        <v>195</v>
      </c>
      <c r="C47" s="40"/>
      <c r="D47" s="40"/>
      <c r="E47" s="40"/>
      <c r="F47" s="42">
        <f>SUM(F38:F46)</f>
        <v>11584884.322187068</v>
      </c>
    </row>
    <row r="49" spans="1:6" x14ac:dyDescent="0.25">
      <c r="A49" s="74"/>
      <c r="B49" s="74" t="s">
        <v>196</v>
      </c>
      <c r="C49" s="74"/>
      <c r="D49" s="74"/>
      <c r="E49" s="74"/>
      <c r="F49" s="75">
        <f>F34+F47</f>
        <v>41531752.022413976</v>
      </c>
    </row>
    <row r="51" spans="1:6" ht="25.5" customHeight="1" x14ac:dyDescent="0.25">
      <c r="A51" s="105" t="s">
        <v>197</v>
      </c>
      <c r="B51" s="105"/>
      <c r="C51" s="105"/>
      <c r="D51" s="105"/>
      <c r="E51" s="105"/>
      <c r="F51" s="105"/>
    </row>
    <row r="54" spans="1:6" x14ac:dyDescent="0.25">
      <c r="A54" s="98" t="s">
        <v>273</v>
      </c>
      <c r="B54" s="98"/>
      <c r="C54" s="98"/>
    </row>
    <row r="55" spans="1:6" x14ac:dyDescent="0.25">
      <c r="A55" s="97" t="s">
        <v>274</v>
      </c>
      <c r="B55" s="97"/>
      <c r="C55" s="97"/>
    </row>
  </sheetData>
  <mergeCells count="8">
    <mergeCell ref="A54:C54"/>
    <mergeCell ref="A36:F36"/>
    <mergeCell ref="A51:F51"/>
    <mergeCell ref="A1:F1"/>
    <mergeCell ref="A2:F2"/>
    <mergeCell ref="A3:F3"/>
    <mergeCell ref="A5:F5"/>
    <mergeCell ref="A7:F7"/>
  </mergeCells>
  <pageMargins left="0.75" right="0.75" top="1" bottom="1" header="0.511811023622047" footer="0.511811023622047"/>
  <pageSetup paperSize="9" orientation="portrait" horizontalDpi="300" verticalDpi="30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9"/>
  <sheetViews>
    <sheetView showGridLines="0" zoomScaleNormal="100" workbookViewId="0">
      <pane ySplit="5" topLeftCell="A9" activePane="bottomLeft" state="frozen"/>
      <selection pane="bottomLeft" activeCell="A42" sqref="A42"/>
    </sheetView>
  </sheetViews>
  <sheetFormatPr baseColWidth="10" defaultColWidth="8.7109375" defaultRowHeight="15" x14ac:dyDescent="0.25"/>
  <cols>
    <col min="1" max="1" width="34" customWidth="1"/>
    <col min="2" max="2" width="26" customWidth="1"/>
    <col min="3" max="4" width="18" customWidth="1"/>
    <col min="5" max="5" width="16" customWidth="1"/>
    <col min="6" max="6" width="18" customWidth="1"/>
  </cols>
  <sheetData>
    <row r="1" spans="1:6" ht="21.75" customHeight="1" x14ac:dyDescent="0.25">
      <c r="A1" s="99" t="s">
        <v>198</v>
      </c>
      <c r="B1" s="99"/>
      <c r="C1" s="99"/>
      <c r="D1" s="99"/>
      <c r="E1" s="99"/>
      <c r="F1" s="99"/>
    </row>
    <row r="2" spans="1:6" ht="18" customHeight="1" x14ac:dyDescent="0.25">
      <c r="A2" s="100" t="s">
        <v>1</v>
      </c>
      <c r="B2" s="100"/>
      <c r="C2" s="100"/>
      <c r="D2" s="100"/>
      <c r="E2" s="100"/>
      <c r="F2" s="100"/>
    </row>
    <row r="3" spans="1:6" ht="15.75" customHeight="1" x14ac:dyDescent="0.25">
      <c r="A3" s="101" t="s">
        <v>2</v>
      </c>
      <c r="B3" s="101"/>
      <c r="C3" s="101"/>
      <c r="D3" s="101"/>
      <c r="E3" s="101"/>
      <c r="F3" s="101"/>
    </row>
    <row r="5" spans="1:6" ht="24" customHeight="1" x14ac:dyDescent="0.25">
      <c r="A5" s="111" t="s">
        <v>199</v>
      </c>
      <c r="B5" s="111"/>
      <c r="C5" s="111"/>
      <c r="D5" s="111"/>
      <c r="E5" s="111"/>
      <c r="F5" s="111"/>
    </row>
    <row r="7" spans="1:6" x14ac:dyDescent="0.25">
      <c r="A7" s="112" t="s">
        <v>200</v>
      </c>
      <c r="B7" s="112"/>
      <c r="C7" s="112"/>
      <c r="D7" s="112"/>
      <c r="E7" s="112"/>
      <c r="F7" s="112"/>
    </row>
    <row r="8" spans="1:6" x14ac:dyDescent="0.25">
      <c r="A8" s="76" t="s">
        <v>181</v>
      </c>
      <c r="B8" s="77" t="s">
        <v>201</v>
      </c>
      <c r="C8" s="77" t="s">
        <v>202</v>
      </c>
      <c r="D8" s="77" t="s">
        <v>203</v>
      </c>
    </row>
    <row r="9" spans="1:6" x14ac:dyDescent="0.25">
      <c r="A9" s="78" t="s">
        <v>204</v>
      </c>
      <c r="B9" s="37" t="s">
        <v>205</v>
      </c>
      <c r="C9" s="79">
        <v>2400000</v>
      </c>
      <c r="D9" s="79">
        <v>1750905</v>
      </c>
    </row>
    <row r="10" spans="1:6" x14ac:dyDescent="0.25">
      <c r="A10" s="78" t="s">
        <v>206</v>
      </c>
      <c r="B10" s="37" t="s">
        <v>207</v>
      </c>
      <c r="C10" s="39">
        <f>IF(C9&lt;=2*1750905,249095,0)</f>
        <v>249095</v>
      </c>
      <c r="D10" s="39">
        <f>IF(D9&lt;=2*1750905,249095,0)</f>
        <v>249095</v>
      </c>
    </row>
    <row r="11" spans="1:6" x14ac:dyDescent="0.25">
      <c r="A11" s="78" t="s">
        <v>208</v>
      </c>
      <c r="B11" s="37" t="s">
        <v>209</v>
      </c>
      <c r="C11" s="39">
        <f>0.08333*(C9+C10)</f>
        <v>220749.08635</v>
      </c>
      <c r="D11" s="39">
        <f>0.08333*(D9+D10)</f>
        <v>166660</v>
      </c>
    </row>
    <row r="12" spans="1:6" x14ac:dyDescent="0.25">
      <c r="A12" s="78" t="s">
        <v>210</v>
      </c>
      <c r="B12" s="37" t="s">
        <v>211</v>
      </c>
      <c r="C12" s="39">
        <f>0.01*C11</f>
        <v>2207.4908635000002</v>
      </c>
      <c r="D12" s="39">
        <f>0.01*D11</f>
        <v>1666.6000000000001</v>
      </c>
    </row>
    <row r="13" spans="1:6" x14ac:dyDescent="0.25">
      <c r="A13" s="78" t="s">
        <v>212</v>
      </c>
      <c r="B13" s="37" t="s">
        <v>209</v>
      </c>
      <c r="C13" s="39">
        <f>0.08333*(C9+C10)</f>
        <v>220749.08635</v>
      </c>
      <c r="D13" s="39">
        <f>0.08333*(D9+D10)</f>
        <v>166660</v>
      </c>
    </row>
    <row r="14" spans="1:6" x14ac:dyDescent="0.25">
      <c r="A14" s="78" t="s">
        <v>213</v>
      </c>
      <c r="B14" s="37" t="s">
        <v>214</v>
      </c>
      <c r="C14" s="39">
        <f>0.04167*C9</f>
        <v>100008</v>
      </c>
      <c r="D14" s="39">
        <f>0.04167*D9</f>
        <v>72960.211349999998</v>
      </c>
    </row>
    <row r="15" spans="1:6" x14ac:dyDescent="0.25">
      <c r="A15" s="78" t="s">
        <v>215</v>
      </c>
      <c r="B15" s="37" t="s">
        <v>216</v>
      </c>
      <c r="C15" s="39">
        <f>0.085*C9</f>
        <v>204000.00000000003</v>
      </c>
      <c r="D15" s="39">
        <f>0.085*D9</f>
        <v>148826.92500000002</v>
      </c>
    </row>
    <row r="16" spans="1:6" x14ac:dyDescent="0.25">
      <c r="A16" s="78" t="s">
        <v>217</v>
      </c>
      <c r="B16" s="37" t="s">
        <v>218</v>
      </c>
      <c r="C16" s="39">
        <f>0.12*C9</f>
        <v>288000</v>
      </c>
      <c r="D16" s="39">
        <f>0.12*D9</f>
        <v>210108.6</v>
      </c>
    </row>
    <row r="17" spans="1:6" x14ac:dyDescent="0.25">
      <c r="A17" s="78" t="s">
        <v>219</v>
      </c>
      <c r="B17" s="37" t="s">
        <v>220</v>
      </c>
      <c r="C17" s="39">
        <f>0.0696*C9</f>
        <v>167040</v>
      </c>
      <c r="D17" s="39">
        <f>0.0696*D9</f>
        <v>121862.988</v>
      </c>
    </row>
    <row r="18" spans="1:6" x14ac:dyDescent="0.25">
      <c r="A18" s="78" t="s">
        <v>221</v>
      </c>
      <c r="B18" s="37" t="s">
        <v>222</v>
      </c>
      <c r="C18" s="39">
        <f>0.04*C9</f>
        <v>96000</v>
      </c>
      <c r="D18" s="39">
        <f>0.04*D9</f>
        <v>70036.2</v>
      </c>
    </row>
    <row r="19" spans="1:6" x14ac:dyDescent="0.25">
      <c r="A19" s="78" t="s">
        <v>223</v>
      </c>
      <c r="B19" s="37" t="s">
        <v>224</v>
      </c>
      <c r="C19" s="39">
        <f>0.03*C9</f>
        <v>72000</v>
      </c>
      <c r="D19" s="39">
        <f>0.03*D9</f>
        <v>52527.15</v>
      </c>
    </row>
    <row r="20" spans="1:6" x14ac:dyDescent="0.25">
      <c r="A20" s="78" t="s">
        <v>225</v>
      </c>
      <c r="B20" s="37" t="s">
        <v>226</v>
      </c>
      <c r="C20" s="39">
        <f>0.02*C9</f>
        <v>48000</v>
      </c>
      <c r="D20" s="39">
        <f>0.02*D9</f>
        <v>35018.1</v>
      </c>
    </row>
    <row r="21" spans="1:6" x14ac:dyDescent="0.25">
      <c r="A21" s="80" t="s">
        <v>227</v>
      </c>
      <c r="B21" s="81"/>
      <c r="C21" s="82">
        <f>SUM(C9:C20)</f>
        <v>4067848.6635635002</v>
      </c>
      <c r="D21" s="82">
        <f>SUM(D9:D20)</f>
        <v>3046326.7743500001</v>
      </c>
    </row>
    <row r="22" spans="1:6" x14ac:dyDescent="0.25">
      <c r="A22" s="78" t="s">
        <v>228</v>
      </c>
      <c r="B22" s="37" t="s">
        <v>229</v>
      </c>
      <c r="C22" s="79">
        <v>24</v>
      </c>
      <c r="D22" s="79">
        <v>24</v>
      </c>
    </row>
    <row r="23" spans="1:6" x14ac:dyDescent="0.25">
      <c r="A23" s="83" t="s">
        <v>230</v>
      </c>
      <c r="B23" s="84" t="s">
        <v>231</v>
      </c>
      <c r="C23" s="85">
        <f>C21/C22</f>
        <v>169493.69431514584</v>
      </c>
      <c r="D23" s="85">
        <f>D21/D22</f>
        <v>126930.28226458334</v>
      </c>
    </row>
    <row r="25" spans="1:6" x14ac:dyDescent="0.25">
      <c r="A25" s="112" t="s">
        <v>232</v>
      </c>
      <c r="B25" s="112"/>
      <c r="C25" s="112"/>
      <c r="D25" s="112"/>
      <c r="E25" s="112"/>
      <c r="F25" s="112"/>
    </row>
    <row r="26" spans="1:6" ht="25.5" x14ac:dyDescent="0.25">
      <c r="A26" s="86" t="s">
        <v>233</v>
      </c>
      <c r="B26" s="86" t="s">
        <v>80</v>
      </c>
      <c r="C26" s="86" t="s">
        <v>234</v>
      </c>
      <c r="D26" s="86" t="s">
        <v>235</v>
      </c>
      <c r="E26" s="86" t="s">
        <v>236</v>
      </c>
      <c r="F26" s="86" t="s">
        <v>237</v>
      </c>
    </row>
    <row r="27" spans="1:6" x14ac:dyDescent="0.25">
      <c r="A27" s="37" t="s">
        <v>89</v>
      </c>
      <c r="B27" s="37" t="s">
        <v>90</v>
      </c>
      <c r="C27" s="39">
        <f>C23</f>
        <v>169493.69431514584</v>
      </c>
      <c r="D27" s="87">
        <f>SUM(APU!G12,APU!G27,APU!G42,APU!G57,APU!G72,APU!G87,APU!G102,APU!G118,APU!G132,APU!G146,APU!G160,APU!G176,APU!G192,APU!G206,APU!G221,APU!G236,APU!G252,APU!G268,APU!G282,APU!G296)+SUM(APU!G310,APU!G324,APU!G339)</f>
        <v>27.239438175</v>
      </c>
      <c r="E27" s="39">
        <f>SUM(APU!H12,APU!H27,APU!H42,APU!H57,APU!H72,APU!H87,APU!H102,APU!H118,APU!H132,APU!H146,APU!H160,APU!H176,APU!H192,APU!H206,APU!H221,APU!H236,APU!H252,APU!H268,APU!H282,APU!H296)+SUM(APU!H310,APU!H324,APU!H339)</f>
        <v>4616913.007349764</v>
      </c>
      <c r="F27" s="87">
        <f>D27/24</f>
        <v>1.134976590625</v>
      </c>
    </row>
    <row r="28" spans="1:6" x14ac:dyDescent="0.25">
      <c r="A28" s="37" t="s">
        <v>91</v>
      </c>
      <c r="B28" s="37" t="s">
        <v>90</v>
      </c>
      <c r="C28" s="39">
        <f>D23</f>
        <v>126930.28226458334</v>
      </c>
      <c r="D28" s="87">
        <f>SUM(APU!G13,APU!G28,APU!G43,APU!G58,APU!G73,APU!G88,APU!G103,APU!G119,APU!G133,APU!G147,APU!G161,APU!G177,APU!G193,APU!G207,APU!G222,APU!G237,APU!G253,APU!G269,APU!G283,APU!G297)+SUM(APU!G311,APU!G325,APU!G340)</f>
        <v>40.421282175000009</v>
      </c>
      <c r="E28" s="39">
        <f>SUM(APU!H13,APU!H28,APU!H43,APU!H58,APU!H73,APU!H88,APU!H103,APU!H119,APU!H133,APU!H147,APU!H161,APU!H177,APU!H193,APU!H207,APU!H222,APU!H237,APU!H253,APU!H269,APU!H283,APU!H297)+SUM(APU!H311,APU!H325,APU!H340)</f>
        <v>5130684.7559691221</v>
      </c>
      <c r="F28" s="87">
        <f>D28/24</f>
        <v>1.6842200906250004</v>
      </c>
    </row>
    <row r="29" spans="1:6" x14ac:dyDescent="0.25">
      <c r="A29" s="33" t="s">
        <v>238</v>
      </c>
      <c r="B29" s="33"/>
      <c r="C29" s="33"/>
      <c r="D29" s="88">
        <f>SUM(D27:D28)</f>
        <v>67.660720350000005</v>
      </c>
      <c r="E29" s="34">
        <f>SUM(E27:E28)</f>
        <v>9747597.7633188851</v>
      </c>
      <c r="F29" s="88">
        <f>SUM(F27:F28)</f>
        <v>2.8191966812500002</v>
      </c>
    </row>
    <row r="31" spans="1:6" ht="15" customHeight="1" x14ac:dyDescent="0.25">
      <c r="A31" s="124" t="s">
        <v>239</v>
      </c>
      <c r="B31" s="124"/>
      <c r="C31" s="124"/>
      <c r="D31" s="124"/>
      <c r="E31" s="124"/>
      <c r="F31" s="124"/>
    </row>
    <row r="32" spans="1:6" x14ac:dyDescent="0.25">
      <c r="A32" s="43"/>
      <c r="B32" s="43" t="s">
        <v>240</v>
      </c>
      <c r="C32" s="43"/>
      <c r="D32" s="43"/>
      <c r="E32" s="43"/>
      <c r="F32" s="89">
        <f>F27/3</f>
        <v>0.37832553020833332</v>
      </c>
    </row>
    <row r="33" spans="1:6" x14ac:dyDescent="0.25">
      <c r="A33" s="43"/>
      <c r="B33" s="43" t="s">
        <v>241</v>
      </c>
      <c r="C33" s="43"/>
      <c r="D33" s="43"/>
      <c r="E33" s="43"/>
      <c r="F33" s="89">
        <f>F28/3</f>
        <v>0.56140669687500011</v>
      </c>
    </row>
    <row r="35" spans="1:6" ht="21.75" customHeight="1" x14ac:dyDescent="0.25">
      <c r="A35" s="105" t="s">
        <v>242</v>
      </c>
      <c r="B35" s="105"/>
      <c r="C35" s="105"/>
      <c r="D35" s="105"/>
      <c r="E35" s="105"/>
      <c r="F35" s="105"/>
    </row>
    <row r="38" spans="1:6" x14ac:dyDescent="0.25">
      <c r="A38" s="98" t="s">
        <v>273</v>
      </c>
      <c r="B38" s="98"/>
      <c r="C38" s="98"/>
    </row>
    <row r="39" spans="1:6" x14ac:dyDescent="0.25">
      <c r="A39" s="97" t="s">
        <v>274</v>
      </c>
      <c r="B39" s="97"/>
      <c r="C39" s="97"/>
    </row>
  </sheetData>
  <mergeCells count="9">
    <mergeCell ref="A38:C38"/>
    <mergeCell ref="A25:F25"/>
    <mergeCell ref="A31:F31"/>
    <mergeCell ref="A35:F35"/>
    <mergeCell ref="A1:F1"/>
    <mergeCell ref="A2:F2"/>
    <mergeCell ref="A3:F3"/>
    <mergeCell ref="A5:F5"/>
    <mergeCell ref="A7:F7"/>
  </mergeCells>
  <pageMargins left="0.75" right="0.75" top="1" bottom="1" header="0.511811023622047" footer="0.511811023622047"/>
  <pageSetup paperSize="9" orientation="portrait" horizontalDpi="300" verticalDpi="30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0"/>
  <sheetViews>
    <sheetView showGridLines="0" tabSelected="1" zoomScaleNormal="100" workbookViewId="0">
      <pane ySplit="5" topLeftCell="A9" activePane="bottomLeft" state="frozen"/>
      <selection pane="bottomLeft" activeCell="G31" sqref="G31"/>
    </sheetView>
  </sheetViews>
  <sheetFormatPr baseColWidth="10" defaultColWidth="8.7109375" defaultRowHeight="15" x14ac:dyDescent="0.25"/>
  <cols>
    <col min="1" max="1" width="30" customWidth="1"/>
    <col min="2" max="2" width="34" customWidth="1"/>
    <col min="3" max="3" width="12" customWidth="1"/>
    <col min="4" max="4" width="16" customWidth="1"/>
    <col min="5" max="6" width="8" customWidth="1"/>
    <col min="7" max="7" width="17" customWidth="1"/>
  </cols>
  <sheetData>
    <row r="1" spans="1:7" ht="21.75" customHeight="1" x14ac:dyDescent="0.25">
      <c r="A1" s="99" t="s">
        <v>275</v>
      </c>
      <c r="B1" s="99"/>
      <c r="C1" s="99"/>
      <c r="D1" s="99"/>
      <c r="E1" s="99"/>
      <c r="F1" s="99"/>
      <c r="G1" s="99"/>
    </row>
    <row r="2" spans="1:7" ht="18" customHeight="1" x14ac:dyDescent="0.25">
      <c r="A2" s="100" t="s">
        <v>1</v>
      </c>
      <c r="B2" s="100"/>
      <c r="C2" s="100"/>
      <c r="D2" s="100"/>
      <c r="E2" s="100"/>
      <c r="F2" s="100"/>
      <c r="G2" s="100"/>
    </row>
    <row r="3" spans="1:7" ht="15.75" customHeight="1" x14ac:dyDescent="0.25">
      <c r="A3" s="101" t="s">
        <v>2</v>
      </c>
      <c r="B3" s="101"/>
      <c r="C3" s="101"/>
      <c r="D3" s="101"/>
      <c r="E3" s="101"/>
      <c r="F3" s="101"/>
      <c r="G3" s="101"/>
    </row>
    <row r="5" spans="1:7" ht="27.75" customHeight="1" x14ac:dyDescent="0.25">
      <c r="A5" s="111" t="s">
        <v>243</v>
      </c>
      <c r="B5" s="111"/>
      <c r="C5" s="111"/>
      <c r="D5" s="111"/>
      <c r="E5" s="111"/>
      <c r="F5" s="111"/>
      <c r="G5" s="111"/>
    </row>
    <row r="7" spans="1:7" x14ac:dyDescent="0.25">
      <c r="A7" s="112" t="s">
        <v>244</v>
      </c>
      <c r="B7" s="112"/>
      <c r="C7" s="112"/>
      <c r="D7" s="112"/>
      <c r="E7" s="112"/>
      <c r="F7" s="112"/>
      <c r="G7" s="112"/>
    </row>
    <row r="8" spans="1:7" ht="78" customHeight="1" x14ac:dyDescent="0.25">
      <c r="A8" s="125" t="s">
        <v>245</v>
      </c>
      <c r="B8" s="125"/>
      <c r="C8" s="125"/>
      <c r="D8" s="125"/>
      <c r="E8" s="125"/>
      <c r="F8" s="125"/>
      <c r="G8" s="125"/>
    </row>
    <row r="10" spans="1:7" x14ac:dyDescent="0.25">
      <c r="A10" s="112" t="s">
        <v>246</v>
      </c>
      <c r="B10" s="112"/>
      <c r="C10" s="112"/>
      <c r="D10" s="112"/>
      <c r="E10" s="112"/>
      <c r="F10" s="112"/>
      <c r="G10" s="112"/>
    </row>
    <row r="11" spans="1:7" x14ac:dyDescent="0.25">
      <c r="A11" s="113" t="s">
        <v>137</v>
      </c>
      <c r="B11" s="113"/>
      <c r="C11" s="113"/>
      <c r="D11" s="113"/>
      <c r="E11" s="113"/>
      <c r="F11" s="113"/>
      <c r="G11" s="36" t="s">
        <v>247</v>
      </c>
    </row>
    <row r="12" spans="1:7" x14ac:dyDescent="0.25">
      <c r="A12" s="114" t="s">
        <v>248</v>
      </c>
      <c r="B12" s="114"/>
      <c r="C12" s="114"/>
      <c r="D12" s="114"/>
      <c r="E12" s="114"/>
      <c r="F12" s="114"/>
      <c r="G12" s="90">
        <v>1.33</v>
      </c>
    </row>
    <row r="13" spans="1:7" x14ac:dyDescent="0.25">
      <c r="A13" s="114" t="s">
        <v>249</v>
      </c>
      <c r="B13" s="114"/>
      <c r="C13" s="114"/>
      <c r="D13" s="114"/>
      <c r="E13" s="114"/>
      <c r="F13" s="114"/>
      <c r="G13" s="90">
        <v>0.52</v>
      </c>
    </row>
    <row r="14" spans="1:7" x14ac:dyDescent="0.25">
      <c r="A14" s="114" t="s">
        <v>276</v>
      </c>
      <c r="B14" s="114"/>
      <c r="C14" s="114"/>
      <c r="D14" s="114"/>
      <c r="E14" s="114"/>
      <c r="F14" s="114"/>
      <c r="G14" s="90">
        <v>0.35</v>
      </c>
    </row>
    <row r="15" spans="1:7" x14ac:dyDescent="0.25">
      <c r="A15" s="116" t="s">
        <v>250</v>
      </c>
      <c r="B15" s="116"/>
      <c r="C15" s="116"/>
      <c r="D15" s="116"/>
      <c r="E15" s="116"/>
      <c r="F15" s="116"/>
      <c r="G15" s="91">
        <f>SUM(G12:G14)</f>
        <v>2.2000000000000002</v>
      </c>
    </row>
    <row r="17" spans="1:7" x14ac:dyDescent="0.25">
      <c r="A17" s="112" t="s">
        <v>251</v>
      </c>
      <c r="B17" s="112"/>
      <c r="C17" s="112"/>
      <c r="D17" s="112"/>
      <c r="E17" s="112"/>
      <c r="F17" s="112"/>
      <c r="G17" s="112"/>
    </row>
    <row r="18" spans="1:7" ht="25.5" customHeight="1" x14ac:dyDescent="0.25">
      <c r="A18" s="47" t="s">
        <v>233</v>
      </c>
      <c r="B18" s="47" t="s">
        <v>252</v>
      </c>
      <c r="C18" s="47" t="s">
        <v>253</v>
      </c>
      <c r="D18" s="47" t="s">
        <v>254</v>
      </c>
      <c r="E18" s="47" t="s">
        <v>255</v>
      </c>
      <c r="F18" s="47" t="s">
        <v>256</v>
      </c>
      <c r="G18" s="47" t="s">
        <v>236</v>
      </c>
    </row>
    <row r="19" spans="1:7" ht="24" x14ac:dyDescent="0.25">
      <c r="A19" s="49" t="s">
        <v>257</v>
      </c>
      <c r="B19" s="49" t="s">
        <v>258</v>
      </c>
      <c r="C19" s="92">
        <v>0.3</v>
      </c>
      <c r="D19" s="93">
        <v>4000000</v>
      </c>
      <c r="E19" s="94">
        <v>3</v>
      </c>
      <c r="F19" s="95">
        <f>G15</f>
        <v>2.2000000000000002</v>
      </c>
      <c r="G19" s="50">
        <f>C19*D19*E19*F19</f>
        <v>7920000.0000000009</v>
      </c>
    </row>
    <row r="20" spans="1:7" x14ac:dyDescent="0.25">
      <c r="A20" s="40" t="s">
        <v>259</v>
      </c>
      <c r="B20" s="40"/>
      <c r="C20" s="40"/>
      <c r="D20" s="40"/>
      <c r="E20" s="40"/>
      <c r="F20" s="40"/>
      <c r="G20" s="42">
        <f>SUM(G19:G19)</f>
        <v>7920000.0000000009</v>
      </c>
    </row>
    <row r="22" spans="1:7" x14ac:dyDescent="0.25">
      <c r="A22" s="112" t="s">
        <v>260</v>
      </c>
      <c r="B22" s="112"/>
      <c r="C22" s="112"/>
      <c r="D22" s="112"/>
      <c r="E22" s="112"/>
      <c r="F22" s="112"/>
      <c r="G22" s="112"/>
    </row>
    <row r="23" spans="1:7" x14ac:dyDescent="0.25">
      <c r="A23" s="113" t="s">
        <v>181</v>
      </c>
      <c r="B23" s="113"/>
      <c r="C23" s="113"/>
      <c r="D23" s="113"/>
      <c r="E23" s="113"/>
      <c r="F23" s="113"/>
      <c r="G23" s="36" t="s">
        <v>139</v>
      </c>
    </row>
    <row r="24" spans="1:7" x14ac:dyDescent="0.25">
      <c r="A24" s="114" t="s">
        <v>261</v>
      </c>
      <c r="B24" s="114"/>
      <c r="C24" s="114"/>
      <c r="D24" s="114"/>
      <c r="E24" s="114"/>
      <c r="F24" s="114"/>
      <c r="G24" s="79">
        <v>450000</v>
      </c>
    </row>
    <row r="25" spans="1:7" x14ac:dyDescent="0.25">
      <c r="A25" s="114" t="s">
        <v>262</v>
      </c>
      <c r="B25" s="114"/>
      <c r="C25" s="114"/>
      <c r="D25" s="114"/>
      <c r="E25" s="114"/>
      <c r="F25" s="114"/>
      <c r="G25" s="79">
        <v>200000</v>
      </c>
    </row>
    <row r="26" spans="1:7" x14ac:dyDescent="0.25">
      <c r="A26" s="115" t="s">
        <v>263</v>
      </c>
      <c r="B26" s="115"/>
      <c r="C26" s="115"/>
      <c r="D26" s="115"/>
      <c r="E26" s="115"/>
      <c r="F26" s="115"/>
      <c r="G26" s="42">
        <f>SUM(G24:G25)</f>
        <v>650000</v>
      </c>
    </row>
    <row r="28" spans="1:7" x14ac:dyDescent="0.25">
      <c r="A28" s="112" t="s">
        <v>264</v>
      </c>
      <c r="B28" s="112"/>
      <c r="C28" s="112"/>
      <c r="D28" s="112"/>
      <c r="E28" s="112"/>
      <c r="F28" s="112"/>
      <c r="G28" s="112"/>
    </row>
    <row r="29" spans="1:7" x14ac:dyDescent="0.25">
      <c r="A29" s="117" t="s">
        <v>265</v>
      </c>
      <c r="B29" s="117"/>
      <c r="C29" s="117"/>
      <c r="D29" s="117"/>
      <c r="E29" s="117"/>
      <c r="F29" s="117"/>
      <c r="G29" s="45">
        <f>G20</f>
        <v>7920000.0000000009</v>
      </c>
    </row>
    <row r="30" spans="1:7" x14ac:dyDescent="0.25">
      <c r="A30" s="117" t="s">
        <v>266</v>
      </c>
      <c r="B30" s="117"/>
      <c r="C30" s="117"/>
      <c r="D30" s="117"/>
      <c r="E30" s="117"/>
      <c r="F30" s="117"/>
      <c r="G30" s="45">
        <f>G26</f>
        <v>650000</v>
      </c>
    </row>
    <row r="31" spans="1:7" x14ac:dyDescent="0.25">
      <c r="A31" s="116" t="s">
        <v>267</v>
      </c>
      <c r="B31" s="116"/>
      <c r="C31" s="116"/>
      <c r="D31" s="116"/>
      <c r="E31" s="116"/>
      <c r="F31" s="116"/>
      <c r="G31" s="34">
        <f>G29+G30</f>
        <v>8570000</v>
      </c>
    </row>
    <row r="33" spans="1:7" x14ac:dyDescent="0.25">
      <c r="A33" s="117" t="s">
        <v>268</v>
      </c>
      <c r="B33" s="117"/>
      <c r="C33" s="117"/>
      <c r="D33" s="117"/>
      <c r="E33" s="117"/>
      <c r="F33" s="117"/>
      <c r="G33" s="45">
        <f>PRESUPUESTO!$F$44</f>
        <v>69996312.457525358</v>
      </c>
    </row>
    <row r="34" spans="1:7" x14ac:dyDescent="0.25">
      <c r="A34" s="117" t="s">
        <v>269</v>
      </c>
      <c r="B34" s="117"/>
      <c r="C34" s="117"/>
      <c r="D34" s="117"/>
      <c r="E34" s="117"/>
      <c r="F34" s="117"/>
      <c r="G34" s="44">
        <f>G31/G33</f>
        <v>0.12243502120487253</v>
      </c>
    </row>
    <row r="36" spans="1:7" ht="39.75" customHeight="1" x14ac:dyDescent="0.25">
      <c r="A36" s="105" t="s">
        <v>270</v>
      </c>
      <c r="B36" s="105"/>
      <c r="C36" s="105"/>
      <c r="D36" s="105"/>
      <c r="E36" s="105"/>
      <c r="F36" s="105"/>
      <c r="G36" s="105"/>
    </row>
    <row r="39" spans="1:7" x14ac:dyDescent="0.25">
      <c r="A39" s="98" t="s">
        <v>273</v>
      </c>
      <c r="B39" s="98"/>
      <c r="C39" s="98"/>
    </row>
    <row r="40" spans="1:7" x14ac:dyDescent="0.25">
      <c r="A40" s="97" t="s">
        <v>274</v>
      </c>
      <c r="B40" s="97"/>
      <c r="C40" s="97"/>
    </row>
  </sheetData>
  <mergeCells count="26">
    <mergeCell ref="A24:F24"/>
    <mergeCell ref="A25:F25"/>
    <mergeCell ref="A26:F26"/>
    <mergeCell ref="A28:G28"/>
    <mergeCell ref="A36:G36"/>
    <mergeCell ref="A29:F29"/>
    <mergeCell ref="A30:F30"/>
    <mergeCell ref="A31:F31"/>
    <mergeCell ref="A33:F33"/>
    <mergeCell ref="A34:F34"/>
    <mergeCell ref="A39:C39"/>
    <mergeCell ref="A1:G1"/>
    <mergeCell ref="A2:G2"/>
    <mergeCell ref="A3:G3"/>
    <mergeCell ref="A5:G5"/>
    <mergeCell ref="A7:G7"/>
    <mergeCell ref="A8:G8"/>
    <mergeCell ref="A10:G10"/>
    <mergeCell ref="A11:F11"/>
    <mergeCell ref="A12:F12"/>
    <mergeCell ref="A13:F13"/>
    <mergeCell ref="A14:F14"/>
    <mergeCell ref="A15:F15"/>
    <mergeCell ref="A17:G17"/>
    <mergeCell ref="A22:G22"/>
    <mergeCell ref="A23:F23"/>
  </mergeCells>
  <pageMargins left="0.75" right="0.75" top="1" bottom="1" header="0.511811023622047" footer="0.511811023622047"/>
  <pageSetup paperSize="9" orientation="portrait" horizontalDpi="300" verticalDpi="30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1</vt:i4>
      </vt:variant>
    </vt:vector>
  </HeadingPairs>
  <TitlesOfParts>
    <vt:vector size="8" baseType="lpstr">
      <vt:lpstr>PRESUPUESTO</vt:lpstr>
      <vt:lpstr>APU</vt:lpstr>
      <vt:lpstr>AU</vt:lpstr>
      <vt:lpstr>CRONOGRAMA</vt:lpstr>
      <vt:lpstr>MATERIALES Y EQUIPOS</vt:lpstr>
      <vt:lpstr>MANO DE OBRA</vt:lpstr>
      <vt:lpstr>INTERVENTORÍA</vt:lpstr>
      <vt:lpstr>PRESUPUESTO!Títulos_a_imprimir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openpyxl</dc:creator>
  <dc:description/>
  <cp:lastModifiedBy>SEC GOBIERNO-JURIDIC</cp:lastModifiedBy>
  <cp:revision>0</cp:revision>
  <dcterms:created xsi:type="dcterms:W3CDTF">2026-07-05T15:32:31Z</dcterms:created>
  <dcterms:modified xsi:type="dcterms:W3CDTF">2026-07-06T22:35:55Z</dcterms:modified>
  <dc:language>en-US</dc:language>
</cp:coreProperties>
</file>