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436BDA9-9876-4BB0-BE60-85B4BBF5A806}" xr6:coauthVersionLast="47" xr6:coauthVersionMax="47" xr10:uidLastSave="{00000000-0000-0000-0000-000000000000}"/>
  <bookViews>
    <workbookView xWindow="-120" yWindow="-120" windowWidth="20730" windowHeight="11160" tabRatio="819" activeTab="1" xr2:uid="{00000000-000D-0000-FFFF-FFFF00000000}"/>
  </bookViews>
  <sheets>
    <sheet name="ppto oficial" sheetId="1" r:id="rId1"/>
    <sheet name="Cuadro de la propuesta" sheetId="39" r:id="rId2"/>
    <sheet name="Resumen" sheetId="37" state="hidden" r:id="rId3"/>
  </sheets>
  <definedNames>
    <definedName name="_xlnm._FilterDatabase" localSheetId="1" hidden="1">'Cuadro de la propuesta'!$G$5:$G$158</definedName>
    <definedName name="_xlnm._FilterDatabase" localSheetId="0" hidden="1">'ppto oficial'!$G$5:$G$158</definedName>
    <definedName name="_xlnm.Print_Area" localSheetId="1">'Cuadro de la propuesta'!$A$1:$F$216</definedName>
    <definedName name="_xlnm.Print_Area" localSheetId="0">'ppto oficial'!$A$5:$F$216</definedName>
    <definedName name="Desinsum">#REF!</definedName>
    <definedName name="Precios">#REF!</definedName>
    <definedName name="_xlnm.Print_Titles" localSheetId="1">'Cuadro de la propuesta'!$1:$4</definedName>
    <definedName name="_xlnm.Print_Titles" localSheetId="0">'ppto oficial'!$1:$4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2" i="39" l="1"/>
  <c r="F154" i="39"/>
  <c r="F153" i="39"/>
  <c r="F152" i="39"/>
  <c r="F151" i="39"/>
  <c r="F147" i="39"/>
  <c r="F141" i="39"/>
  <c r="F140" i="39"/>
  <c r="F139" i="39"/>
  <c r="F138" i="39"/>
  <c r="F137" i="39"/>
  <c r="F136" i="39"/>
  <c r="F135" i="39"/>
  <c r="F134" i="39"/>
  <c r="F133" i="39"/>
  <c r="F128" i="39"/>
  <c r="F127" i="39"/>
  <c r="F125" i="39"/>
  <c r="F124" i="39"/>
  <c r="F123" i="39"/>
  <c r="F122" i="39"/>
  <c r="F121" i="39"/>
  <c r="F120" i="39"/>
  <c r="F117" i="39"/>
  <c r="F116" i="39"/>
  <c r="F115" i="39"/>
  <c r="F113" i="39"/>
  <c r="F112" i="39"/>
  <c r="F111" i="39"/>
  <c r="F110" i="39"/>
  <c r="F109" i="39"/>
  <c r="F108" i="39"/>
  <c r="F107" i="39"/>
  <c r="F100" i="39"/>
  <c r="F98" i="39"/>
  <c r="F97" i="39"/>
  <c r="F96" i="39"/>
  <c r="F95" i="39"/>
  <c r="F94" i="39"/>
  <c r="F88" i="39"/>
  <c r="F87" i="39"/>
  <c r="F86" i="39"/>
  <c r="F84" i="39"/>
  <c r="F83" i="39"/>
  <c r="F82" i="39"/>
  <c r="F81" i="39"/>
  <c r="F80" i="39"/>
  <c r="F77" i="39"/>
  <c r="F76" i="39"/>
  <c r="F75" i="39"/>
  <c r="F74" i="39"/>
  <c r="F72" i="39"/>
  <c r="F69" i="39"/>
  <c r="F68" i="39"/>
  <c r="F67" i="39"/>
  <c r="F63" i="39"/>
  <c r="F62" i="39"/>
  <c r="F61" i="39"/>
  <c r="F59" i="39"/>
  <c r="F58" i="39"/>
  <c r="F57" i="39"/>
  <c r="F47" i="39"/>
  <c r="F46" i="39"/>
  <c r="F44" i="39"/>
  <c r="F43" i="39"/>
  <c r="F41" i="39"/>
  <c r="F40" i="39"/>
  <c r="F39" i="39" s="1"/>
  <c r="F36" i="39"/>
  <c r="F35" i="39"/>
  <c r="F34" i="39"/>
  <c r="F33" i="39"/>
  <c r="F32" i="39"/>
  <c r="F30" i="39"/>
  <c r="F29" i="39"/>
  <c r="F23" i="39"/>
  <c r="F22" i="39"/>
  <c r="F21" i="39"/>
  <c r="F19" i="39"/>
  <c r="F18" i="39"/>
  <c r="F17" i="39"/>
  <c r="F16" i="39"/>
  <c r="F15" i="39"/>
  <c r="F10" i="39"/>
  <c r="F9" i="39"/>
  <c r="F8" i="39"/>
  <c r="F7" i="39"/>
  <c r="F6" i="39"/>
  <c r="F150" i="39"/>
  <c r="F149" i="39"/>
  <c r="F148" i="39"/>
  <c r="F126" i="39"/>
  <c r="F114" i="39"/>
  <c r="F102" i="39"/>
  <c r="F101" i="39"/>
  <c r="F99" i="39"/>
  <c r="F90" i="39"/>
  <c r="F89" i="39"/>
  <c r="F78" i="39"/>
  <c r="F64" i="39"/>
  <c r="F51" i="39"/>
  <c r="F49" i="39"/>
  <c r="F27" i="39"/>
  <c r="D164" i="39"/>
  <c r="F184" i="39"/>
  <c r="E183" i="39"/>
  <c r="F183" i="39" s="1"/>
  <c r="F182" i="39"/>
  <c r="F181" i="39"/>
  <c r="F180" i="39"/>
  <c r="F179" i="39"/>
  <c r="F178" i="39"/>
  <c r="F177" i="39"/>
  <c r="F176" i="39"/>
  <c r="F175" i="39"/>
  <c r="F174" i="39"/>
  <c r="F173" i="39"/>
  <c r="F172" i="39"/>
  <c r="F171" i="39"/>
  <c r="F170" i="39"/>
  <c r="E169" i="39"/>
  <c r="F169" i="39" s="1"/>
  <c r="F158" i="39"/>
  <c r="F157" i="39"/>
  <c r="F156" i="39"/>
  <c r="F155" i="39"/>
  <c r="F146" i="39"/>
  <c r="F145" i="39"/>
  <c r="F144" i="39"/>
  <c r="F143" i="39"/>
  <c r="F142" i="39"/>
  <c r="F132" i="39"/>
  <c r="F131" i="39"/>
  <c r="F130" i="39"/>
  <c r="F129" i="39"/>
  <c r="F119" i="39"/>
  <c r="F118" i="39"/>
  <c r="F106" i="39"/>
  <c r="F105" i="39"/>
  <c r="F104" i="39"/>
  <c r="F103" i="39"/>
  <c r="F93" i="39"/>
  <c r="F92" i="39"/>
  <c r="F91" i="39"/>
  <c r="F85" i="39"/>
  <c r="F79" i="39"/>
  <c r="F71" i="39"/>
  <c r="F66" i="39"/>
  <c r="F65" i="39"/>
  <c r="F55" i="39"/>
  <c r="F54" i="39"/>
  <c r="F53" i="39"/>
  <c r="F50" i="39"/>
  <c r="F38" i="39"/>
  <c r="F37" i="39"/>
  <c r="F26" i="39"/>
  <c r="F25" i="39"/>
  <c r="F14" i="39"/>
  <c r="F13" i="39"/>
  <c r="F12" i="39"/>
  <c r="F11" i="39"/>
  <c r="F56" i="39" l="1"/>
  <c r="F52" i="39"/>
  <c r="F188" i="39"/>
  <c r="F189" i="39" s="1"/>
  <c r="F190" i="39" s="1"/>
  <c r="F28" i="39"/>
  <c r="F48" i="39"/>
  <c r="F24" i="39"/>
  <c r="F20" i="39"/>
  <c r="F42" i="39"/>
  <c r="F70" i="39"/>
  <c r="F45" i="39"/>
  <c r="F31" i="39"/>
  <c r="F5" i="39"/>
  <c r="F60" i="39"/>
  <c r="F73" i="39"/>
  <c r="E183" i="1"/>
  <c r="F183" i="1" s="1"/>
  <c r="F160" i="39" l="1"/>
  <c r="F162" i="39" l="1"/>
  <c r="F161" i="39"/>
  <c r="F163" i="39"/>
  <c r="G160" i="39"/>
  <c r="G52" i="39"/>
  <c r="G39" i="39"/>
  <c r="G56" i="39"/>
  <c r="G24" i="39"/>
  <c r="G5" i="39"/>
  <c r="G20" i="39"/>
  <c r="G42" i="39"/>
  <c r="G70" i="39"/>
  <c r="G28" i="39"/>
  <c r="G48" i="39"/>
  <c r="G31" i="39"/>
  <c r="G45" i="39"/>
  <c r="G73" i="39"/>
  <c r="G60" i="39"/>
  <c r="F164" i="39" l="1"/>
  <c r="F166" i="39" s="1"/>
  <c r="G166" i="39" l="1"/>
  <c r="F179" i="1"/>
  <c r="F178" i="1" l="1"/>
  <c r="F171" i="1" l="1"/>
  <c r="F184" i="1"/>
  <c r="F182" i="1"/>
  <c r="D27" i="1" l="1"/>
  <c r="D146" i="1" l="1"/>
  <c r="D145" i="1"/>
  <c r="D144" i="1"/>
  <c r="D142" i="1"/>
  <c r="D92" i="1"/>
  <c r="D91" i="1"/>
  <c r="D90" i="1"/>
  <c r="D81" i="1"/>
  <c r="D80" i="1"/>
  <c r="D71" i="1"/>
  <c r="D69" i="1"/>
  <c r="D68" i="1"/>
  <c r="D67" i="1"/>
  <c r="D66" i="1"/>
  <c r="D65" i="1"/>
  <c r="D64" i="1"/>
  <c r="D61" i="1"/>
  <c r="D59" i="1"/>
  <c r="D58" i="1"/>
  <c r="D57" i="1"/>
  <c r="D55" i="1"/>
  <c r="D54" i="1"/>
  <c r="D53" i="1"/>
  <c r="D47" i="1"/>
  <c r="D44" i="1"/>
  <c r="D43" i="1"/>
  <c r="D41" i="1"/>
  <c r="D40" i="1"/>
  <c r="D30" i="1"/>
  <c r="D29" i="1"/>
  <c r="D26" i="1"/>
  <c r="D25" i="1"/>
  <c r="D13" i="1"/>
  <c r="F174" i="1" l="1"/>
  <c r="F170" i="1" l="1"/>
  <c r="F172" i="1"/>
  <c r="F173" i="1"/>
  <c r="F175" i="1"/>
  <c r="F176" i="1"/>
  <c r="F177" i="1"/>
  <c r="F180" i="1"/>
  <c r="F181" i="1"/>
  <c r="B10" i="37" l="1"/>
  <c r="F158" i="1" l="1"/>
  <c r="F6" i="1" l="1"/>
  <c r="F65" i="1" l="1"/>
  <c r="F89" i="1" l="1"/>
  <c r="F88" i="1"/>
  <c r="F41" i="1"/>
  <c r="F29" i="1"/>
  <c r="F40" i="1"/>
  <c r="F39" i="1" l="1"/>
  <c r="F53" i="1"/>
  <c r="F54" i="1"/>
  <c r="F55" i="1"/>
  <c r="F7" i="1"/>
  <c r="F12" i="1"/>
  <c r="F68" i="1"/>
  <c r="F10" i="1"/>
  <c r="F47" i="1"/>
  <c r="F27" i="1"/>
  <c r="F22" i="1"/>
  <c r="F13" i="1"/>
  <c r="F11" i="1"/>
  <c r="F72" i="1"/>
  <c r="F113" i="1" l="1"/>
  <c r="F52" i="1"/>
  <c r="F157" i="1"/>
  <c r="F147" i="1"/>
  <c r="F133" i="1"/>
  <c r="F81" i="1"/>
  <c r="F106" i="1"/>
  <c r="F128" i="1"/>
  <c r="F120" i="1"/>
  <c r="F77" i="1"/>
  <c r="F97" i="1"/>
  <c r="F155" i="1"/>
  <c r="F108" i="1"/>
  <c r="F101" i="1"/>
  <c r="F86" i="1"/>
  <c r="F109" i="1"/>
  <c r="F78" i="1"/>
  <c r="F98" i="1"/>
  <c r="F156" i="1"/>
  <c r="F107" i="1"/>
  <c r="F121" i="1"/>
  <c r="F37" i="1"/>
  <c r="F105" i="1"/>
  <c r="F33" i="1"/>
  <c r="F135" i="1"/>
  <c r="F34" i="1"/>
  <c r="F141" i="1"/>
  <c r="F96" i="1"/>
  <c r="F110" i="1"/>
  <c r="F130" i="1"/>
  <c r="F149" i="1"/>
  <c r="F35" i="1"/>
  <c r="F95" i="1"/>
  <c r="F114" i="1"/>
  <c r="F99" i="1"/>
  <c r="F117" i="1"/>
  <c r="F126" i="1"/>
  <c r="F131" i="1"/>
  <c r="F94" i="1"/>
  <c r="F146" i="1"/>
  <c r="F127" i="1"/>
  <c r="F118" i="1"/>
  <c r="F153" i="1"/>
  <c r="F85" i="1"/>
  <c r="F138" i="1"/>
  <c r="F38" i="1"/>
  <c r="F134" i="1"/>
  <c r="F137" i="1"/>
  <c r="F112" i="1"/>
  <c r="F144" i="1"/>
  <c r="F145" i="1"/>
  <c r="F100" i="1"/>
  <c r="F129" i="1"/>
  <c r="F119" i="1"/>
  <c r="F151" i="1"/>
  <c r="F150" i="1"/>
  <c r="F87" i="1"/>
  <c r="F136" i="1"/>
  <c r="F111" i="1"/>
  <c r="F115" i="1"/>
  <c r="F140" i="1"/>
  <c r="F154" i="1"/>
  <c r="F102" i="1"/>
  <c r="F36" i="1"/>
  <c r="F139" i="1"/>
  <c r="F79" i="1"/>
  <c r="F143" i="1"/>
  <c r="F132" i="1"/>
  <c r="F80" i="1"/>
  <c r="F152" i="1"/>
  <c r="F142" i="1"/>
  <c r="F103" i="1"/>
  <c r="F18" i="1"/>
  <c r="F14" i="1"/>
  <c r="F64" i="1"/>
  <c r="F51" i="1"/>
  <c r="F17" i="1"/>
  <c r="F44" i="1"/>
  <c r="F59" i="1"/>
  <c r="F25" i="1"/>
  <c r="F26" i="1"/>
  <c r="F43" i="1"/>
  <c r="F58" i="1"/>
  <c r="F67" i="1"/>
  <c r="F49" i="1"/>
  <c r="F15" i="1"/>
  <c r="F69" i="1"/>
  <c r="F50" i="1"/>
  <c r="F16" i="1"/>
  <c r="F148" i="1"/>
  <c r="F62" i="1"/>
  <c r="F63" i="1"/>
  <c r="F19" i="1"/>
  <c r="F8" i="1"/>
  <c r="F23" i="1"/>
  <c r="F9" i="1"/>
  <c r="F5" i="1" l="1"/>
  <c r="F104" i="1"/>
  <c r="F116" i="1"/>
  <c r="F32" i="1"/>
  <c r="F31" i="1" s="1"/>
  <c r="F46" i="1"/>
  <c r="F122" i="1"/>
  <c r="F83" i="1"/>
  <c r="F93" i="1"/>
  <c r="F76" i="1"/>
  <c r="F82" i="1"/>
  <c r="F91" i="1"/>
  <c r="F125" i="1"/>
  <c r="F66" i="1"/>
  <c r="F21" i="1"/>
  <c r="F20" i="1" s="1"/>
  <c r="F75" i="1"/>
  <c r="F57" i="1"/>
  <c r="F71" i="1"/>
  <c r="F84" i="1"/>
  <c r="F30" i="1"/>
  <c r="F28" i="1" s="1"/>
  <c r="F61" i="1"/>
  <c r="F124" i="1"/>
  <c r="F92" i="1"/>
  <c r="F123" i="1"/>
  <c r="F48" i="1"/>
  <c r="F24" i="1"/>
  <c r="F70" i="1" l="1"/>
  <c r="F56" i="1"/>
  <c r="F74" i="1"/>
  <c r="F60" i="1"/>
  <c r="F90" i="1"/>
  <c r="F42" i="1"/>
  <c r="F45" i="1"/>
  <c r="F73" i="1" l="1"/>
  <c r="F160" i="1" l="1"/>
  <c r="F163" i="1" l="1"/>
  <c r="F162" i="1"/>
  <c r="F161" i="1"/>
  <c r="G160" i="1"/>
  <c r="G31" i="1"/>
  <c r="G52" i="1"/>
  <c r="G28" i="1"/>
  <c r="G73" i="1"/>
  <c r="G56" i="1"/>
  <c r="G42" i="1"/>
  <c r="G5" i="1"/>
  <c r="G48" i="1"/>
  <c r="G60" i="1"/>
  <c r="G20" i="1"/>
  <c r="C3" i="37"/>
  <c r="C7" i="37" s="1"/>
  <c r="G70" i="1"/>
  <c r="G45" i="1"/>
  <c r="G24" i="1"/>
  <c r="G39" i="1"/>
  <c r="F164" i="1" l="1"/>
  <c r="C6" i="37"/>
  <c r="C5" i="37"/>
  <c r="C4" i="37"/>
  <c r="B8" i="37" l="1"/>
  <c r="C8" i="37" s="1"/>
  <c r="F166" i="1" l="1"/>
  <c r="F169" i="1" l="1"/>
  <c r="F188" i="1" s="1"/>
  <c r="G166" i="1"/>
  <c r="F189" i="1" l="1"/>
  <c r="F190" i="1" s="1"/>
  <c r="F192" i="1" s="1"/>
  <c r="C9" i="37"/>
  <c r="C10" i="37" s="1"/>
  <c r="C11" i="37" s="1"/>
  <c r="C12" i="37" s="1"/>
  <c r="C13" i="37" s="1"/>
  <c r="F218" i="1" l="1"/>
</calcChain>
</file>

<file path=xl/sharedStrings.xml><?xml version="1.0" encoding="utf-8"?>
<sst xmlns="http://schemas.openxmlformats.org/spreadsheetml/2006/main" count="1086" uniqueCount="402">
  <si>
    <t>ALCALDIA DE PEREIRA</t>
  </si>
  <si>
    <t>FORMULARIO DE PRECIOS</t>
  </si>
  <si>
    <t>CAPITULO</t>
  </si>
  <si>
    <t>ACTIVIDAD</t>
  </si>
  <si>
    <t>CANTIDAD</t>
  </si>
  <si>
    <t>VLR TOTAL</t>
  </si>
  <si>
    <t>%</t>
  </si>
  <si>
    <t>1</t>
  </si>
  <si>
    <t>PRELIMINARES</t>
  </si>
  <si>
    <t>1,02</t>
  </si>
  <si>
    <t>m2</t>
  </si>
  <si>
    <t>1,04</t>
  </si>
  <si>
    <t>Barricada seguridad desmontable L=3m</t>
  </si>
  <si>
    <t>m</t>
  </si>
  <si>
    <t>1,06</t>
  </si>
  <si>
    <t>Campamento (tabla + teja FC + piso)</t>
  </si>
  <si>
    <t>1,11</t>
  </si>
  <si>
    <t>1,14</t>
  </si>
  <si>
    <t>Cinta plástica seguridad C 6</t>
  </si>
  <si>
    <t>1,16</t>
  </si>
  <si>
    <t>Cono vial tipo invias</t>
  </si>
  <si>
    <t>m3</t>
  </si>
  <si>
    <t>mes</t>
  </si>
  <si>
    <t>1,23</t>
  </si>
  <si>
    <t>Delineador tubular entre 1-1.4 m</t>
  </si>
  <si>
    <t>Un</t>
  </si>
  <si>
    <t>1,32</t>
  </si>
  <si>
    <t>Malla reflectiva color naranja H=1.0m</t>
  </si>
  <si>
    <t>1,33</t>
  </si>
  <si>
    <t>Pasacalles tela 6.00m x 0.90m</t>
  </si>
  <si>
    <t>1,36</t>
  </si>
  <si>
    <t>Red provisional agua</t>
  </si>
  <si>
    <t>1,37</t>
  </si>
  <si>
    <t>Red provisional eléctrica</t>
  </si>
  <si>
    <t>1,39</t>
  </si>
  <si>
    <t>Señal luminosa intermitente</t>
  </si>
  <si>
    <t>1,41</t>
  </si>
  <si>
    <t>Señal preventiva reflectiva D=0.6 m</t>
  </si>
  <si>
    <t>1,43</t>
  </si>
  <si>
    <t>Valla informativa instalada</t>
  </si>
  <si>
    <t>2</t>
  </si>
  <si>
    <t>DESMONTES Y DEMOLICIONES</t>
  </si>
  <si>
    <t>2,01</t>
  </si>
  <si>
    <t>Demolición andenes</t>
  </si>
  <si>
    <t>2,05</t>
  </si>
  <si>
    <t>Demolición estructuras en concreto reforzados</t>
  </si>
  <si>
    <t>2,17</t>
  </si>
  <si>
    <t>Demolición pavimento flexible E&lt;.21m</t>
  </si>
  <si>
    <t>3</t>
  </si>
  <si>
    <t>MOVIMIENTOS DE TIERRA Y LLENOS</t>
  </si>
  <si>
    <t>3,21</t>
  </si>
  <si>
    <t>Excavación material común seco H=0-1,5 m manual</t>
  </si>
  <si>
    <t>3,22</t>
  </si>
  <si>
    <t>Excavación material común seco H=1,5-4 m manual</t>
  </si>
  <si>
    <t>3,34</t>
  </si>
  <si>
    <t>Lleno material común mecánico</t>
  </si>
  <si>
    <t>5</t>
  </si>
  <si>
    <t>ESTRUCTURAS</t>
  </si>
  <si>
    <t>5,01</t>
  </si>
  <si>
    <t>Acero de refuerzo 420 Mpa</t>
  </si>
  <si>
    <t>Kg</t>
  </si>
  <si>
    <t>5,32</t>
  </si>
  <si>
    <t>Concreto 24.1 Mpa simple</t>
  </si>
  <si>
    <t>20</t>
  </si>
  <si>
    <t>BASES, SUB BASES Y AFIRMADO</t>
  </si>
  <si>
    <t>20,07</t>
  </si>
  <si>
    <t>Base granular tipo MOPT / INVIAS</t>
  </si>
  <si>
    <t>20,10</t>
  </si>
  <si>
    <t>Subbase granular tipo MOPT/INVIAS</t>
  </si>
  <si>
    <t>21</t>
  </si>
  <si>
    <t>PAVIMENTOS</t>
  </si>
  <si>
    <t>21,18</t>
  </si>
  <si>
    <t>Pavimento concreto asfaltico caliente MDC 19</t>
  </si>
  <si>
    <t>23</t>
  </si>
  <si>
    <t>DRENAJE Y OBRAS DE ARTE</t>
  </si>
  <si>
    <t>23,22</t>
  </si>
  <si>
    <t>Losa para cámaras de inspección Øinterior 1,20 m e=0,20m. Concreto 24,5 Mpa. Incluye 64 kg de acero de refuerzo para tapa metálica</t>
  </si>
  <si>
    <t>23,30</t>
  </si>
  <si>
    <t>24</t>
  </si>
  <si>
    <t>RED DE ACUEDUCTO</t>
  </si>
  <si>
    <t>Tubería PVC U-Z 2-1/2" RDE 21</t>
  </si>
  <si>
    <t>Tubería PVC U-Z 3" RDE 21</t>
  </si>
  <si>
    <t>24,19</t>
  </si>
  <si>
    <t>Tubería PVC U-Z 4" RDE 21</t>
  </si>
  <si>
    <t>24,20</t>
  </si>
  <si>
    <t>24,21</t>
  </si>
  <si>
    <t>25</t>
  </si>
  <si>
    <t>REDES ELECTRICAS</t>
  </si>
  <si>
    <t>25,61</t>
  </si>
  <si>
    <t>25,63</t>
  </si>
  <si>
    <t>25,71</t>
  </si>
  <si>
    <t>26</t>
  </si>
  <si>
    <t>SEÑALIZACION Y SEGURIDAD VIAL</t>
  </si>
  <si>
    <t>26,01</t>
  </si>
  <si>
    <t>Pintura tráfico cruces y marcas viales (sobre concreto asfaltico)</t>
  </si>
  <si>
    <t>26,04</t>
  </si>
  <si>
    <t>Pintura tráfico línea carril/borde vía (sobre concreto asfaltico)</t>
  </si>
  <si>
    <t>26,10</t>
  </si>
  <si>
    <t>Tachas reflectivas unidireccionales</t>
  </si>
  <si>
    <t>27</t>
  </si>
  <si>
    <t>URBANISMO</t>
  </si>
  <si>
    <t>27,02</t>
  </si>
  <si>
    <t>Anden C 20.7 Mpa E=0.10m</t>
  </si>
  <si>
    <t>Bolardo en hierro fundido tipo M-63</t>
  </si>
  <si>
    <t>27,13</t>
  </si>
  <si>
    <t>Contenedor de raíz + alcorque</t>
  </si>
  <si>
    <t>Contenedor de raíz oculto sin alcorque</t>
  </si>
  <si>
    <t>Empradización zonas verdes</t>
  </si>
  <si>
    <t>27,19</t>
  </si>
  <si>
    <t>27,20</t>
  </si>
  <si>
    <t>27,22</t>
  </si>
  <si>
    <t>Rampa en concreto 20.7 Mpa acceso cebras</t>
  </si>
  <si>
    <t>27,29</t>
  </si>
  <si>
    <t>Sardinel prefabricado 80x45x15 cm</t>
  </si>
  <si>
    <t>27,31</t>
  </si>
  <si>
    <t>Siembra / suministro especie ornamental H=1.0m</t>
  </si>
  <si>
    <t>27,37</t>
  </si>
  <si>
    <t>Suministro e instalación de rebajes (pañoletas) prefabricadas tipo titan A-105, incluye mortero 5 cm</t>
  </si>
  <si>
    <t>28</t>
  </si>
  <si>
    <t>TRANSPORTES</t>
  </si>
  <si>
    <t>28,01</t>
  </si>
  <si>
    <t>Transporte de material granular/piedra</t>
  </si>
  <si>
    <t>m3-km</t>
  </si>
  <si>
    <t>28,06</t>
  </si>
  <si>
    <t>29</t>
  </si>
  <si>
    <t>SIN CODIGO</t>
  </si>
  <si>
    <t>29,01</t>
  </si>
  <si>
    <t>29,02</t>
  </si>
  <si>
    <t>COSTOS INDIRECTOS</t>
  </si>
  <si>
    <t>Ítems</t>
  </si>
  <si>
    <t>Actividad</t>
  </si>
  <si>
    <t>Costo Directo</t>
  </si>
  <si>
    <t>Pólizas</t>
  </si>
  <si>
    <t>SUBTOTAL COSTOS INDIRECTOS</t>
  </si>
  <si>
    <t>(D)</t>
  </si>
  <si>
    <t>Carga Tributaria (%)</t>
  </si>
  <si>
    <t>(E)</t>
  </si>
  <si>
    <t>VALOR COSTOS INDIRECTOS</t>
  </si>
  <si>
    <t>(F) = (D+E)</t>
  </si>
  <si>
    <t>Insumos</t>
  </si>
  <si>
    <t>Equipo</t>
  </si>
  <si>
    <t>Transportes</t>
  </si>
  <si>
    <t>M. Obra</t>
  </si>
  <si>
    <t>UNIDAD</t>
  </si>
  <si>
    <t>Polietileno (plástico) negro calibre4</t>
  </si>
  <si>
    <t>27,42</t>
  </si>
  <si>
    <t>21,101</t>
  </si>
  <si>
    <t>Riego de imprimación con emulsión asfáltica CRL-0</t>
  </si>
  <si>
    <t>Base de Concreto y Anclajes Para Poste Metalico de 12 m</t>
  </si>
  <si>
    <t>Suministro e Instalación de Acometida Alumnio Serie 8000 2xNo4(F)+1xNo.6(T), Sin ducto</t>
  </si>
  <si>
    <t>Instal Geotextil TR3000 o similar</t>
  </si>
  <si>
    <t>Sumidero vertical o de ventana apertura L=1.5 m</t>
  </si>
  <si>
    <t>Transformador 1ø 15 Kva, 13.2 kv-240/120 v, Inmerso en aceite</t>
  </si>
  <si>
    <t>Gabinete Instalacion de Medidor de Energia Lectura Directa. Instalacion es Poste. Medidor AP</t>
  </si>
  <si>
    <t>Señal reglamentaria reflectivo Tipo XI D=0.75 m</t>
  </si>
  <si>
    <t>Señal preventiva reflectivo Tipo XI D=0.75 m</t>
  </si>
  <si>
    <t>Señal informativa</t>
  </si>
  <si>
    <t>Baranda de proteccion tipo 1 (6 hilos)</t>
  </si>
  <si>
    <t>Defensa metalica</t>
  </si>
  <si>
    <t>Seccion final</t>
  </si>
  <si>
    <t>Personal pare y siga vial</t>
  </si>
  <si>
    <t>Controlador de tránsito (dos personas)</t>
  </si>
  <si>
    <t>Paso aereo Fauna</t>
  </si>
  <si>
    <t>Señales podotáctiles (losetas linea guia)</t>
  </si>
  <si>
    <t>Señales podotáctiles (losetas linea alerta)</t>
  </si>
  <si>
    <t>Paradero - Mogador</t>
  </si>
  <si>
    <t>Basurero urbano en acero inoxidable</t>
  </si>
  <si>
    <t>Ortofotomosaico con resolución espacial centimétrica</t>
  </si>
  <si>
    <t>Tala arboles (incluye chipeado, transporte y dsposición final en sitios autorizados por la autoridad ambiental) - ≤ 5 m. Incluye informe de cumplimiento carder</t>
  </si>
  <si>
    <t>Tala arboles (incluye chipeado, transporte y dsposición final en sitios autorizados por la autoridad ambietal ) altura 5,1 ≤ 10 m. Incluye informe de cumplimiento carde</t>
  </si>
  <si>
    <t>Tala arboles (incluye chipeado, transporte y dsposición final en sitios autorizados por la autoridad ambietal ) alturas 10,1 ≤ 15 m. Incluye informe de cumplimiento</t>
  </si>
  <si>
    <t>Tala arboles (incluye chipeado, transporte y dsposición final en sitios autorizados por la autoridad ambietal ) altura ≥ 15 m. Incluye informe de cumplimiento carder</t>
  </si>
  <si>
    <t>Tala guadua (incluye chipeado, transporte y dsposición final en sitios autorizados por la autoridad ambiental). Incluye informe de cumplimiento carder</t>
  </si>
  <si>
    <t>Destaconado individuos con clase diamétrica entre 10 y 30 cm</t>
  </si>
  <si>
    <t>Destaconado individuos con clase diamétrica mayor que 30 y hasta 60cm</t>
  </si>
  <si>
    <t>Destaconado individuos con clase diamétrica mayor que 90cm</t>
  </si>
  <si>
    <t>Destaconado (retiro de rizomas) - incluye repicado, transporte y disposición final de residuos vegetales en sitio autorizados por la autoridad ambiental</t>
  </si>
  <si>
    <t>Erradicación de cerca viva con alturas entre 0.5 y 8m, incluye chipeado, transporte y dispisición de residuos vegetales en sitios autorizados por la autoridad ambiental</t>
  </si>
  <si>
    <t>Desmonte de rastrojos, pastizales y herradicación de vegetación dap menor a 10cm sobre 2.37 hectareas - incluye transporte y disposición de residuos vegetales en sitios autorizados por la autoridad ambiental</t>
  </si>
  <si>
    <t>Compensación - siembra de arboles a distancia de 3x3, altura 0.6 m.</t>
  </si>
  <si>
    <t>Rescate, traslado y reubicación de epifitas vasculares (en 249 individuos forestales) incluye informe cumplimiento carder</t>
  </si>
  <si>
    <t>Compensación por epifitas no vasculares - siembra de arboles a distancia de 3x3 m, altura 0,6 m - .</t>
  </si>
  <si>
    <t>Rescate, traslado y reubicación de helechos alturas ≤ 1,5 m -</t>
  </si>
  <si>
    <t>Reposición helechos.</t>
  </si>
  <si>
    <t>Tala guadilla, bambú y caña brava transporte y dsposición final en sitios autorizados por la autoridad ambiental). Incluye informe de cumplimiento carder</t>
  </si>
  <si>
    <t>Suministro e instalación de tubería de presión pvc 8 pulgadas rde 21</t>
  </si>
  <si>
    <t>Acometida 3X XLPE N° 250 KCM, 15 KV 133% Sin Ducto</t>
  </si>
  <si>
    <t>Acometida Alumnio Serie 8000 2xNo4(F)+1xNo.6(T), Sin ducto</t>
  </si>
  <si>
    <t>Acometida Alumnio Serie 8000 2xNo.1/0(F)+1xNo.2(T), Sin ducto</t>
  </si>
  <si>
    <t>Apoyo Primario Terminal Sencilla Cruceta al Centro TSCC2 o (TST2) - 13.2 kv sobre poste de 16 m, Nom Incluye Poste. Configuracion Semi Compacta en Crucetas de 1.2 m</t>
  </si>
  <si>
    <t>Apoyo Primario Terminal Doble Cruceta al Centro TDCC2 o (TDT2) - 13.2 kv sobre poste de 16 m, Nom Incluye Poste. Configuracion Semi Compacta en Crucetas de 1.2 m</t>
  </si>
  <si>
    <t>Apoyo Primario SSCC2 o (SST2)- Suspension Doble Cruceta al Centro 13.2 kv, Poste de 16 m, No Incluye Poste. Configuracion Semi Compacta en Crucetas de 1.2 m</t>
  </si>
  <si>
    <t>Apoyo Primario SDCC2 o (SDT2) - Suspension Doble Cruceta al Centro 13.2 kv, Poste de 16 m, No Incluye Poste. Configuracion Semi Compacta en Crucetas de 1.2 m</t>
  </si>
  <si>
    <t>Apoyo Primario SDCC2 o (SDT2, SDB2) - Suspension Doble Cruceta al Centro 13.2 kv, Poste de 16 m, No Incluye Poste.Red Abierta en Crucetas de 2.5 m</t>
  </si>
  <si>
    <t>Recámara de inspección Red Subterránea Alumbrado Público 0,6 X 0,6 x 0,8 libre en prado, con tapa en concreto, platina a 45° de 2 1/2" X 3/16"para tapa de 40 X 40 cm</t>
  </si>
  <si>
    <t>Camara en concreto 0.6 x 0.6 x 0. 8 m libre En Prado y Tapa de seguridad, Tipo CALE Norma EEP. Para Red de Alumbrado Publico</t>
  </si>
  <si>
    <t>Cámara de derivación tipo barraje preformado 200A, para Red de Media Tensión hasta 13,8 KV, Norma EEP. Medidas 1,72 X 3,1 X 1,9 m.</t>
  </si>
  <si>
    <t>Cámara de derivación tipo barraje preformado 200A, para Red de Media Tensión hasta 13,8 KV, Norma EEP. Medidas 1,72 X 3,1 X 1,9 m. (SIN EQUIPAR, SÓLO DE PASO)</t>
  </si>
  <si>
    <t>Canalizacion Ducto Conduit PVC 4ø4" TDP en Tierra</t>
  </si>
  <si>
    <t>Conjunto ASRAM Afloramiento de la Red Electrica Canalizada, Bajante en Ducto IMC 1ø4" x 6 m, 13.2 kV</t>
  </si>
  <si>
    <t>Desmonte Apoyo Primario SDCC2 o (SDT2) - Suspension Doble. No Incluye Poste</t>
  </si>
  <si>
    <t>Desmonte Apoyo Primario SSCC2 o (SST2) - Suspension Doble. No Incluye Poste</t>
  </si>
  <si>
    <t>Desmonte Apoyo Primario Terminal Sencilla Cruceta al Centro TSCC2 o (TST2). No Incluye Poste</t>
  </si>
  <si>
    <t>Desmonte Apoyo Primario Terminal Doble Cruceta al Centro TDCC2 o (TDT2). No Incluye Poste</t>
  </si>
  <si>
    <t>Desmonte Apoyo Primario SDCC2 o (SDT2, PD2)- Suspension Doble. No Incluye Poste</t>
  </si>
  <si>
    <t>Desmonte Apoyo Primario SSCC2 o (SST2, PS2) - Suspension Doble. No Incluye Poste</t>
  </si>
  <si>
    <t>Desmonte Apoyo Primario Terminal Doble Cruceta al Centro TDCC2 o (TDT2, RD2). No Incluye Poste</t>
  </si>
  <si>
    <t>Desmonte Apoyo Primario Terminal Sencilla Cruceta al Centro TSCC2 o (TST2, RS2). No Incluye Poste</t>
  </si>
  <si>
    <t>Desmonte Partidor Trifasico TipoTipo 3 Cajas Primarias 15 kv y entrega en sitio A Coordinar con la EEP para su disposicion final</t>
  </si>
  <si>
    <t>Desmonte de Grupo de Partidor Triple Trifasico Existente</t>
  </si>
  <si>
    <t>Desmonte de Luminaria Existente, Incluye Brazo y Entrega a E.E.P. en Lugar que Esta lo Indique.</t>
  </si>
  <si>
    <t>Desmonte de Poste de Concreto de 16 a 20 m y entrega a la EEPP donde esta lo Indique</t>
  </si>
  <si>
    <t>Desmonte de Poste de Concreto de 8 a 14 mts y entrega a la EEPP donde esta lo Indique</t>
  </si>
  <si>
    <t>Demonte Templete Directo a Tierra 13.2 kV- T2</t>
  </si>
  <si>
    <t>Luminaria Avento 2 (Schreder), 240 Leds, 186 W, 233 mA. Incluye Base Fotocelda 7 Pines y Fotocelda Estándar.</t>
  </si>
  <si>
    <t>Luminaria Avento S (Schreder), 96 Leds, 50.5 W, 233 mA. Incluye Base Fotocelda 7 Pines y Fotocelda Estándar. Apta para instalacion Sistema Integral de Tele Gestion</t>
  </si>
  <si>
    <t>Malla de puesta a tierra triangular, 5 ml por lado, Cable 1/0 AWG, Varillas de cobre ø5/8"x2.4 m (Para transformadores de AP)</t>
  </si>
  <si>
    <t>Poste Metalico 11 m Faceteado, Seccionado (1er Segmento de 1.5 m) + 1 Brazo de 2 m x 2"</t>
  </si>
  <si>
    <t>Poste Metalico 11 m Faceteado, Seccionado (1er Segmento de 1.5 m) + 1 Brazo de 1 m x 2"+1 Brazo de 1 m x 2"</t>
  </si>
  <si>
    <t>Punto Transformador 2ø En Collarin - 13.2 kv Para Transformadores dedicados al servicio de Alumbrado Publico. No Incluye el Transformador</t>
  </si>
  <si>
    <t>Templete Primario a Poste Auxiliar de 10 m - TPA2</t>
  </si>
  <si>
    <t>Traslado Red Aerea 3ø ACSR No. 1/0 AWG a Apoyos Contiguos a Modificar o Cambiar el Poste.</t>
  </si>
  <si>
    <t>Traslado - Desmonte / Reinstalacion en Apoyo Contiguo o Modificado de Transformador 1ø 5 a 50 Kva, 13.2 kv-240 / 120. se Considera Usar herrajeria Nueva</t>
  </si>
  <si>
    <t>Traslado - Desmonte / Reinstalacion en Apoyo Contiguo o Modificado de Transformador 3ø 15 a 75 Kva, 13.2 kv-214/123 v. Se Considera Usar herrajeria Nueva</t>
  </si>
  <si>
    <t>Traslado - Desmonte / Reinstalacion en Apoyo Contiguo o Modificado de Grupo de Partidor Triple Trifasico Existente</t>
  </si>
  <si>
    <t>Suministro e Instalacion, Aplomada de Poste de ferro Concreto de 16 m x 1350 kg</t>
  </si>
  <si>
    <t>Suministro e Instalacion, Aplomada de Poste de ferro Concreto de 16 m x 1050 kg</t>
  </si>
  <si>
    <t>Suministro e Instalacion, Aplomada de Poste de ferro Concreto de 14 m x 1050 kg</t>
  </si>
  <si>
    <t>DPS Polimerico, 12 kv - 10 kA, Red a 13.2 kv</t>
  </si>
  <si>
    <t>Sustitucion de Poste de Ferroconcretop Existentes e 12/11 m por Poste de Ferroconcreto de 16 m. No se incluye el Poste (Se suministra en otro item)</t>
  </si>
  <si>
    <t>ml</t>
  </si>
  <si>
    <t>Ha</t>
  </si>
  <si>
    <t>Servicios de Vigilancia privada (24 horas-noche) Con Arma, incluye supervisión</t>
  </si>
  <si>
    <t>Derechos en Favor de la EEPP Por Suspensiones de Energia</t>
  </si>
  <si>
    <t>Derechos Inspeccion con Fines de Certificacion RETIE</t>
  </si>
  <si>
    <t>Derechos Inspeccion Con Fines de Certificacion RETILAP</t>
  </si>
  <si>
    <t>Sobre factura</t>
  </si>
  <si>
    <t>29,03</t>
  </si>
  <si>
    <t>29,04</t>
  </si>
  <si>
    <t>29,05</t>
  </si>
  <si>
    <t>29,06</t>
  </si>
  <si>
    <t>29,07</t>
  </si>
  <si>
    <t>29,08</t>
  </si>
  <si>
    <t>29,09</t>
  </si>
  <si>
    <t>29,10</t>
  </si>
  <si>
    <t>29,11</t>
  </si>
  <si>
    <t>29,12</t>
  </si>
  <si>
    <t>29,13</t>
  </si>
  <si>
    <t>29,14</t>
  </si>
  <si>
    <t>29,15</t>
  </si>
  <si>
    <t>29,16</t>
  </si>
  <si>
    <t>29,17</t>
  </si>
  <si>
    <t>29,18</t>
  </si>
  <si>
    <t>29,19</t>
  </si>
  <si>
    <t>29,20</t>
  </si>
  <si>
    <t>29,21</t>
  </si>
  <si>
    <t>29,23</t>
  </si>
  <si>
    <t>29,24</t>
  </si>
  <si>
    <t>29,25</t>
  </si>
  <si>
    <t>29,26</t>
  </si>
  <si>
    <t>29,27</t>
  </si>
  <si>
    <t>29,28</t>
  </si>
  <si>
    <t>29,29</t>
  </si>
  <si>
    <t>29,30</t>
  </si>
  <si>
    <t>29,31</t>
  </si>
  <si>
    <t>29,32</t>
  </si>
  <si>
    <t>29,33</t>
  </si>
  <si>
    <t>29,34</t>
  </si>
  <si>
    <t>29,35</t>
  </si>
  <si>
    <t>29,36</t>
  </si>
  <si>
    <t>29,37</t>
  </si>
  <si>
    <t>29,38</t>
  </si>
  <si>
    <t>29,40</t>
  </si>
  <si>
    <t>29,41</t>
  </si>
  <si>
    <t>29,42</t>
  </si>
  <si>
    <t>29,48</t>
  </si>
  <si>
    <t>29,49</t>
  </si>
  <si>
    <t>29,47</t>
  </si>
  <si>
    <t>29,44</t>
  </si>
  <si>
    <t>29,43</t>
  </si>
  <si>
    <t>29,45</t>
  </si>
  <si>
    <t>29,46</t>
  </si>
  <si>
    <t>29,50</t>
  </si>
  <si>
    <t>29,51</t>
  </si>
  <si>
    <t>29,52</t>
  </si>
  <si>
    <t>29,53</t>
  </si>
  <si>
    <t>29,54</t>
  </si>
  <si>
    <t>29,55</t>
  </si>
  <si>
    <t>29,56</t>
  </si>
  <si>
    <t>29,57</t>
  </si>
  <si>
    <t>29,58</t>
  </si>
  <si>
    <t>29,59</t>
  </si>
  <si>
    <t>29,60</t>
  </si>
  <si>
    <t>29,61</t>
  </si>
  <si>
    <t>29,62</t>
  </si>
  <si>
    <t>29,63</t>
  </si>
  <si>
    <t>29,64</t>
  </si>
  <si>
    <t>29,65</t>
  </si>
  <si>
    <t>29,66</t>
  </si>
  <si>
    <t>29,67</t>
  </si>
  <si>
    <t>29,68</t>
  </si>
  <si>
    <t>29,69</t>
  </si>
  <si>
    <t>29,70</t>
  </si>
  <si>
    <t>29,71</t>
  </si>
  <si>
    <t>29,72</t>
  </si>
  <si>
    <t>29,73</t>
  </si>
  <si>
    <t>29,74</t>
  </si>
  <si>
    <t>29,75</t>
  </si>
  <si>
    <t>29,76</t>
  </si>
  <si>
    <t>29,77</t>
  </si>
  <si>
    <t>29,78</t>
  </si>
  <si>
    <t>29,79</t>
  </si>
  <si>
    <t>29,80</t>
  </si>
  <si>
    <t>29,81</t>
  </si>
  <si>
    <t>29,82</t>
  </si>
  <si>
    <t>29,83</t>
  </si>
  <si>
    <t>29,84</t>
  </si>
  <si>
    <t>29,85</t>
  </si>
  <si>
    <t>29,86</t>
  </si>
  <si>
    <t>29,87</t>
  </si>
  <si>
    <t>Partidas</t>
  </si>
  <si>
    <t>Participacion</t>
  </si>
  <si>
    <t>Costos 2025</t>
  </si>
  <si>
    <t>Ponderacion
2026</t>
  </si>
  <si>
    <t>Costo directo reparacion</t>
  </si>
  <si>
    <t>AU</t>
  </si>
  <si>
    <t>Costos indirectos</t>
  </si>
  <si>
    <t>Carga tributaria</t>
  </si>
  <si>
    <t>Total Proyecto</t>
  </si>
  <si>
    <t>Interventoria</t>
  </si>
  <si>
    <t>TOTAL PROYECTO + ADICION 200 M VIA</t>
  </si>
  <si>
    <t>IPC prom&lt;3años</t>
  </si>
  <si>
    <t>Bolsas propybag</t>
  </si>
  <si>
    <t>19</t>
  </si>
  <si>
    <t>CONTENCION Y ESTABILIZACION</t>
  </si>
  <si>
    <t>19,47</t>
  </si>
  <si>
    <t>Geodrén planar H:0,5m (lloraderos)</t>
  </si>
  <si>
    <t>19,48</t>
  </si>
  <si>
    <t>Geodrén planar H:1,0m (espaldon)</t>
  </si>
  <si>
    <t>19,49</t>
  </si>
  <si>
    <t>19,51</t>
  </si>
  <si>
    <t>19,59</t>
  </si>
  <si>
    <t>Manto permanente TRM 500 o similar</t>
  </si>
  <si>
    <t>19,64</t>
  </si>
  <si>
    <t>Muro mecánicamente estabilizado con material del sitio</t>
  </si>
  <si>
    <t>19,65</t>
  </si>
  <si>
    <t>Muro mecánicamente estabilizado con material transportado</t>
  </si>
  <si>
    <t>Equipo de topografia (estacion completa)</t>
  </si>
  <si>
    <t>Mes</t>
  </si>
  <si>
    <t>IMPLEMENTACION PMA</t>
  </si>
  <si>
    <t>IMPLEMENTACIÓN PMT</t>
  </si>
  <si>
    <t>Implemetacion SG-SST</t>
  </si>
  <si>
    <t>Costos 2026</t>
  </si>
  <si>
    <t>Equipos, ensayos y laboratorio para revisión, ajuste y complemento de diseños</t>
  </si>
  <si>
    <t>Equipos para dotación de oficina, consumibles oficina (papelería y útiles), servicios públicos oficina, comunicaciones, expedición de identificaciones</t>
  </si>
  <si>
    <t>Sobre Planilla</t>
  </si>
  <si>
    <t>COTINUACIÓN DE LA CONSTRUCCIÓN DE LA PRIMERA FASE DE LA CONEXIÓN AVENIDA LAS AMÉRICAS, 
ZONA DE EXPANSIÓN OCCIDENTAL CERRITOS, DESDE EL KM 0+300 HASTA EL KM 3+200 Y OBRAS COMPLEMENTARIAS</t>
  </si>
  <si>
    <t>Alquiler de campero o camioneta 4x4 modelo 2020 o más reciente de 2.600 cc o más - con conductor</t>
  </si>
  <si>
    <r>
      <rPr>
        <b/>
        <sz val="10"/>
        <color theme="1"/>
        <rFont val="Arial Nova"/>
        <family val="2"/>
      </rPr>
      <t>NOTA 1:</t>
    </r>
    <r>
      <rPr>
        <sz val="10"/>
        <color theme="1"/>
        <rFont val="Arial Nova"/>
        <family val="2"/>
      </rPr>
      <t xml:space="preserve"> Se debe tener en cuenta que el PRECIO UNITARIO se encuentra en costo Directo y el porcentaje del A.I.U. se encuentra desglosado.</t>
    </r>
  </si>
  <si>
    <r>
      <rPr>
        <b/>
        <sz val="10"/>
        <color theme="1"/>
        <rFont val="Arial Nova"/>
        <family val="2"/>
      </rPr>
      <t>NOTA 2:</t>
    </r>
    <r>
      <rPr>
        <sz val="10"/>
        <color theme="1"/>
        <rFont val="Arial Nova"/>
        <family val="2"/>
      </rPr>
      <t xml:space="preserve"> El A.I.U y su discriminación deben estar en porcentaje (%). </t>
    </r>
  </si>
  <si>
    <r>
      <rPr>
        <b/>
        <sz val="10"/>
        <color theme="1"/>
        <rFont val="Arial Nova"/>
        <family val="2"/>
      </rPr>
      <t>NOTA 3:</t>
    </r>
    <r>
      <rPr>
        <sz val="10"/>
        <color theme="1"/>
        <rFont val="Arial Nov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</t>
    </r>
  </si>
  <si>
    <r>
      <rPr>
        <b/>
        <sz val="10"/>
        <color theme="1"/>
        <rFont val="Arial Nova"/>
        <family val="2"/>
      </rPr>
      <t>NOTA 4:</t>
    </r>
    <r>
      <rPr>
        <sz val="10"/>
        <color theme="1"/>
        <rFont val="Arial Nova"/>
        <family val="2"/>
      </rPr>
      <t xml:space="preserve"> Las actividades y cantidades incluidas en el presente presupuesto se derivan y fundamentan en los resultados del informe técnico interdisciplinario de febrero de 2025, en el marco del trámite que cursa por el presunto incumplimiento del contrato 4812 de 2021.</t>
    </r>
  </si>
  <si>
    <r>
      <rPr>
        <b/>
        <sz val="10"/>
        <color theme="1"/>
        <rFont val="Arial Nova"/>
        <family val="2"/>
      </rPr>
      <t>NOTA 5:</t>
    </r>
    <r>
      <rPr>
        <sz val="10"/>
        <color theme="1"/>
        <rFont val="Arial Nova"/>
        <family val="2"/>
      </rPr>
      <t xml:space="preserve"> El presente proyecto contempla la revisión, el ajuste y el complemento de los diseños de redes eléctricas e iluminación, accesos, la glorieta en el K1+200, el refuerzo de la manga, entre otros componentes. En consecuencia, el resultado final de dicha revisión y ajuste permitirá determinar el costo total del proyecto, pudiendo este incluso ser inferior según las condiciones técnicas y normativas lo defina dicho ajuste.</t>
    </r>
  </si>
  <si>
    <r>
      <rPr>
        <b/>
        <sz val="10"/>
        <color theme="1"/>
        <rFont val="Arial Nova"/>
        <family val="2"/>
      </rPr>
      <t>NOTA 5:</t>
    </r>
    <r>
      <rPr>
        <sz val="10"/>
        <color theme="1"/>
        <rFont val="Arial Nova"/>
        <family val="2"/>
      </rPr>
      <t xml:space="preserve"> Los precios unitarios del presente presupuesto son de referencia, por tanto, es responsabilidad de los proponentes estructurar su propuesta económica.</t>
    </r>
  </si>
  <si>
    <r>
      <rPr>
        <b/>
        <sz val="10"/>
        <color theme="1"/>
        <rFont val="Arial Nova"/>
        <family val="2"/>
      </rPr>
      <t>NOTA 6:</t>
    </r>
    <r>
      <rPr>
        <sz val="10"/>
        <color theme="1"/>
        <rFont val="Arial Nova"/>
        <family val="2"/>
      </rPr>
      <t xml:space="preserve"> Es responsabilidad de los proponentes verificar las operaciones matemáticas contenidas en el presente archivo. La entidad no se hace responsable por el uso inadecuado del formato.</t>
    </r>
  </si>
  <si>
    <t>DIANA YANETH OSORIO BERNAL</t>
  </si>
  <si>
    <t>MARCO ANTONIO RENDON ARBOLEDA</t>
  </si>
  <si>
    <t>Secretaria de Infraestructura</t>
  </si>
  <si>
    <t>Ingeniero Contratista - Revisión actualización precios unitarios</t>
  </si>
  <si>
    <t>ALBERTO CARDONA BOTERO</t>
  </si>
  <si>
    <t>CARLOS ALBERTO ROJAS PINEDA</t>
  </si>
  <si>
    <t>Administración (%)</t>
  </si>
  <si>
    <t>Imprevisto (%)</t>
  </si>
  <si>
    <t>Utilidad (%)</t>
  </si>
  <si>
    <t>A.I.U. (%)</t>
  </si>
  <si>
    <t>SUBTOTAL COSTO DIRECTO</t>
  </si>
  <si>
    <t>TOTAL COSTO DIRECTO + A.I.U.</t>
  </si>
  <si>
    <t>COSTO TOTAL PRESUPUESTO (Total Costo Directos + A.I.U + Total Costos Indirectos)</t>
  </si>
  <si>
    <t>Alquiler de baño portátil (2 aseos semanales)</t>
  </si>
  <si>
    <t>Cerramiento guadua + tela verde</t>
  </si>
  <si>
    <t>Geotextil fortex BX 220 o similar</t>
  </si>
  <si>
    <t>Geotextil fortex BX 90 o similar</t>
  </si>
  <si>
    <t>Ducto Conduit PVC 2ø2" DB 2 X metro, Enterrado a Profundidad de 0.80 m.</t>
  </si>
  <si>
    <t>Cargue manual + retiro material sobrante incluye el depósito (a escombrera oficial o autorizada)</t>
  </si>
  <si>
    <t>Cámara de Paso o Giro CPG, de 1.5 x 1.5 x 1.5 m Libres Para Cambio de Dirección en Red de Media Tensión, Norma EEP</t>
  </si>
  <si>
    <t>Medidor Electronico 2ø, 220/120 v/20-80 A, Lectura Directa</t>
  </si>
  <si>
    <t>Puesta a Tierra de Postes y Mastiles Metalicos. Cable de Cobre No. 6 a LLena de Tierra de la Red de AP</t>
  </si>
  <si>
    <t>Sistema de Tele Gestion - Owlet IoT -INCLUYE: Se Puede Acceder desde cualquier parte del mundo y desde cualquier computadora, tableta o dispositivo móvil conectado a Internet.</t>
  </si>
  <si>
    <t>Recargo Nocturno</t>
  </si>
  <si>
    <t>Revisión, ajuste y complemento de diseños</t>
  </si>
  <si>
    <t>Acompañamiento de especialistas de ajuste de diseños durante la construccion</t>
  </si>
  <si>
    <t>NOTAS</t>
  </si>
  <si>
    <t>Ingeniero Contratista - Actualizó precios unitarios</t>
  </si>
  <si>
    <t>Director Operativo de Obras de Infraestructura y Equipamiento Urbano</t>
  </si>
  <si>
    <t>VLR UNIDAD</t>
  </si>
  <si>
    <t>Unidad</t>
  </si>
  <si>
    <t>Cantidad</t>
  </si>
  <si>
    <t>Valor Total</t>
  </si>
  <si>
    <t>Reparación con manga tuberias (tipo CIPP "Cured-In-Place Pipe) alcantarillado D 12", incluye suministro t=4,00 mm, E=10000</t>
  </si>
  <si>
    <t>-</t>
  </si>
  <si>
    <t>PROPONENTE</t>
  </si>
  <si>
    <t xml:space="preserve"> Representante Legal CONSORCIO GR COLIBRÍES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</si>
</sst>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3" formatCode="_-* #,##0.00_-;\-* #,##0.00_-;_-* &quot;-&quot;??_-;_-@_-"/>
    <numFmt numFmtId="164" formatCode="\$#.00"/>
    <numFmt numFmtId="165" formatCode="_-[$€-2]* #,##0.00_-;\-[$€-2]* #,##0.00_-;_-[$€-2]* \-??_-"/>
    <numFmt numFmtId="166" formatCode="#.00"/>
    <numFmt numFmtId="167" formatCode="_-* #,##0.00_-;\-* #,##0.00_-;_-* \-??_-;_-@_-"/>
    <numFmt numFmtId="168" formatCode="_ * #,##0.00_ ;_ * \-#,##0.00_ ;_ * \-??_ ;_ @_ "/>
    <numFmt numFmtId="169" formatCode="_-* #,##0.00\ _€_-;\-* #,##0.00\ _€_-;_-* \-??\ _€_-;_-@_-"/>
    <numFmt numFmtId="170" formatCode="_(&quot;$ &quot;* #,##0.00_);_(&quot;$ &quot;* \(#,##0.00\);_(&quot;$ &quot;* \-??_);_(@_)"/>
    <numFmt numFmtId="171" formatCode="_-* #,##0_-;\-* #,##0_-;_-* \-_-;_-@_-"/>
    <numFmt numFmtId="172" formatCode="_ * #,##0_ ;_ * \-#,##0_ ;_ * \-_ ;_ @_ "/>
    <numFmt numFmtId="173" formatCode="_-* #,##0\ _€_-;\-* #,##0\ _€_-;_-* &quot;- &quot;_€_-;_-@_-"/>
    <numFmt numFmtId="174" formatCode="_-\$* #,##0.00_-;&quot;-$&quot;* #,##0.00_-;_-\$* \-??_-;_-@_-"/>
    <numFmt numFmtId="175" formatCode="_ &quot;$ &quot;* #,##0.00_ ;_ &quot;$ &quot;* \-#,##0.00_ ;_ &quot;$ &quot;* \-??_ ;_ @_ "/>
    <numFmt numFmtId="176" formatCode="0.0000"/>
    <numFmt numFmtId="177" formatCode="_-* #,##0.00&quot; Pts&quot;_-;\-* #,##0.00&quot; Pts&quot;_-;_-* \-??&quot; Pts&quot;_-;_-@_-"/>
    <numFmt numFmtId="178" formatCode="_-&quot;$ &quot;* #,##0.00_-;&quot;-$ &quot;* #,##0.00_-;_-&quot;$ &quot;* \-??_-;_-@_-"/>
    <numFmt numFmtId="179" formatCode="_(&quot;C$&quot;* #,##0.00_);_(&quot;C$&quot;* \(#,##0.00\);_(&quot;C$&quot;* \-??_);_(@_)"/>
    <numFmt numFmtId="180" formatCode="_-[$$-1409]* #,##0_-;\-[$$-1409]* #,##0_-;_-[$$-1409]* \-_-;_-@_-"/>
    <numFmt numFmtId="181" formatCode="_-\$* #,##0_-;&quot;-$&quot;* #,##0_-;_-\$* \-_-;_-@_-"/>
    <numFmt numFmtId="182" formatCode="_ &quot;Bs.S &quot;* #,##0_ ;_ &quot;Bs.S &quot;* \-#,##0_ ;_ &quot;Bs.S &quot;* \-_ ;_ @_ "/>
    <numFmt numFmtId="183" formatCode="_-&quot;$ &quot;* #,##0_-;&quot;-$ &quot;* #,##0_-;_-&quot;$ &quot;* \-_-;_-@_-"/>
    <numFmt numFmtId="184" formatCode="_-&quot;$ &quot;* #,##0_-;&quot;-$ &quot;* #,##0_-;_-&quot;$ &quot;* \-??_-;_-@_-"/>
    <numFmt numFmtId="185" formatCode="0.000"/>
    <numFmt numFmtId="186" formatCode="_-&quot;$&quot;\ * #,##0_-;\-&quot;$&quot;\ * #,##0_-;_-&quot;$&quot;\ * &quot;-&quot;??_-;_-@_-"/>
    <numFmt numFmtId="187" formatCode="0.0%"/>
    <numFmt numFmtId="188" formatCode="_-* #,##0\ _€_-;\-* #,##0\ _€_-;_-* \-??\ _€_-;_-@_-"/>
  </numFmts>
  <fonts count="27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0"/>
      <name val="SWISS"/>
      <charset val="1"/>
    </font>
    <font>
      <sz val="1"/>
      <color rgb="FF000000"/>
      <name val="Courier New"/>
      <family val="3"/>
      <charset val="1"/>
    </font>
    <font>
      <i/>
      <sz val="1"/>
      <color rgb="FF000000"/>
      <name val="Courier New"/>
      <family val="3"/>
      <charset val="1"/>
    </font>
    <font>
      <b/>
      <sz val="1"/>
      <color rgb="FF000000"/>
      <name val="Courier New"/>
      <family val="3"/>
      <charset val="1"/>
    </font>
    <font>
      <sz val="9"/>
      <name val="Geneva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Calibri"/>
      <family val="1"/>
      <charset val="1"/>
    </font>
    <font>
      <sz val="10"/>
      <color theme="1"/>
      <name val="Arial"/>
      <family val="2"/>
      <charset val="1"/>
    </font>
    <font>
      <sz val="10"/>
      <name val="Courier New"/>
      <family val="3"/>
      <charset val="1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sz val="1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0"/>
      <name val="Arial Nova"/>
      <family val="2"/>
    </font>
    <font>
      <b/>
      <sz val="10"/>
      <color rgb="FF000000"/>
      <name val="Arial Nova"/>
      <family val="2"/>
    </font>
    <font>
      <sz val="10"/>
      <color rgb="FF000000"/>
      <name val="Arial Nova"/>
      <family val="2"/>
    </font>
    <font>
      <sz val="10"/>
      <color theme="7" tint="-0.499984740745262"/>
      <name val="Arial Nova"/>
      <family val="2"/>
    </font>
    <font>
      <u/>
      <sz val="10"/>
      <color theme="7" tint="-0.499984740745262"/>
      <name val="Arial Nov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rgb="FFEBF1DE"/>
      </patternFill>
    </fill>
    <fill>
      <patternFill patternType="solid">
        <fgColor theme="2"/>
        <bgColor rgb="FFEBF1DE"/>
      </patternFill>
    </fill>
    <fill>
      <patternFill patternType="solid">
        <fgColor theme="3" tint="0.59987182226020086"/>
        <bgColor rgb="FFB2B2B2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rgb="FFFFFFFF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01">
    <xf numFmtId="0" fontId="0" fillId="0" borderId="0"/>
    <xf numFmtId="169" fontId="15" fillId="0" borderId="0" applyBorder="0" applyProtection="0"/>
    <xf numFmtId="178" fontId="15" fillId="0" borderId="0" applyBorder="0" applyProtection="0"/>
    <xf numFmtId="9" fontId="15" fillId="0" borderId="0" applyBorder="0" applyProtection="0"/>
    <xf numFmtId="0" fontId="14" fillId="0" borderId="0" applyBorder="0" applyProtection="0"/>
    <xf numFmtId="0" fontId="1" fillId="0" borderId="0"/>
    <xf numFmtId="0" fontId="2" fillId="2" borderId="0"/>
    <xf numFmtId="0" fontId="2" fillId="2" borderId="0"/>
    <xf numFmtId="0" fontId="2" fillId="2" borderId="0"/>
    <xf numFmtId="0" fontId="2" fillId="2" borderId="0"/>
    <xf numFmtId="4" fontId="3" fillId="0" borderId="0">
      <protection locked="0"/>
    </xf>
    <xf numFmtId="164" fontId="3" fillId="0" borderId="0">
      <protection locked="0"/>
    </xf>
    <xf numFmtId="0" fontId="3" fillId="0" borderId="0">
      <protection locked="0"/>
    </xf>
    <xf numFmtId="165" fontId="15" fillId="0" borderId="0" applyBorder="0" applyProtection="0"/>
    <xf numFmtId="0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166" fontId="3" fillId="0" borderId="0">
      <protection locked="0"/>
    </xf>
    <xf numFmtId="0" fontId="5" fillId="0" borderId="0">
      <protection locked="0"/>
    </xf>
    <xf numFmtId="167" fontId="15" fillId="0" borderId="0" applyBorder="0" applyProtection="0"/>
    <xf numFmtId="168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9" fontId="15" fillId="0" borderId="0" applyBorder="0" applyProtection="0"/>
    <xf numFmtId="169" fontId="15" fillId="0" borderId="0" applyBorder="0" applyProtection="0"/>
    <xf numFmtId="169" fontId="15" fillId="0" borderId="0" applyBorder="0" applyProtection="0"/>
    <xf numFmtId="0" fontId="15" fillId="0" borderId="0" applyBorder="0" applyProtection="0"/>
    <xf numFmtId="167" fontId="15" fillId="0" borderId="0" applyBorder="0" applyProtection="0"/>
    <xf numFmtId="168" fontId="15" fillId="0" borderId="0" applyBorder="0" applyProtection="0"/>
    <xf numFmtId="169" fontId="15" fillId="0" borderId="0" applyBorder="0" applyProtection="0"/>
    <xf numFmtId="168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70" fontId="15" fillId="0" borderId="0" applyBorder="0" applyProtection="0"/>
    <xf numFmtId="168" fontId="15" fillId="0" borderId="0" applyBorder="0" applyProtection="0"/>
    <xf numFmtId="167" fontId="15" fillId="0" borderId="0" applyBorder="0" applyProtection="0"/>
    <xf numFmtId="168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9" fontId="15" fillId="0" borderId="0" applyBorder="0" applyProtection="0"/>
    <xf numFmtId="169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7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68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1" fontId="15" fillId="0" borderId="0" applyBorder="0" applyProtection="0"/>
    <xf numFmtId="172" fontId="15" fillId="0" borderId="0" applyBorder="0" applyProtection="0"/>
    <xf numFmtId="173" fontId="15" fillId="0" borderId="0" applyBorder="0" applyProtection="0"/>
    <xf numFmtId="171" fontId="15" fillId="0" borderId="0" applyBorder="0" applyProtection="0"/>
    <xf numFmtId="172" fontId="15" fillId="0" borderId="0" applyBorder="0" applyProtection="0"/>
    <xf numFmtId="171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5" fontId="15" fillId="0" borderId="0" applyBorder="0" applyProtection="0"/>
    <xf numFmtId="176" fontId="15" fillId="0" borderId="0" applyBorder="0" applyProtection="0"/>
    <xf numFmtId="170" fontId="15" fillId="0" borderId="0" applyBorder="0" applyProtection="0"/>
    <xf numFmtId="177" fontId="15" fillId="0" borderId="0" applyBorder="0" applyProtection="0"/>
    <xf numFmtId="170" fontId="15" fillId="0" borderId="0" applyBorder="0" applyProtection="0"/>
    <xf numFmtId="170" fontId="15" fillId="0" borderId="0" applyBorder="0" applyProtection="0"/>
    <xf numFmtId="170" fontId="15" fillId="0" borderId="0" applyBorder="0" applyProtection="0"/>
    <xf numFmtId="178" fontId="15" fillId="0" borderId="0" applyBorder="0" applyProtection="0"/>
    <xf numFmtId="174" fontId="15" fillId="0" borderId="0" applyBorder="0" applyProtection="0"/>
    <xf numFmtId="179" fontId="15" fillId="0" borderId="0" applyBorder="0" applyProtection="0"/>
    <xf numFmtId="171" fontId="15" fillId="0" borderId="0" applyBorder="0" applyProtection="0"/>
    <xf numFmtId="174" fontId="15" fillId="0" borderId="0" applyBorder="0" applyProtection="0"/>
    <xf numFmtId="177" fontId="15" fillId="0" borderId="0" applyBorder="0" applyProtection="0"/>
    <xf numFmtId="178" fontId="15" fillId="0" borderId="0" applyBorder="0" applyProtection="0"/>
    <xf numFmtId="169" fontId="15" fillId="0" borderId="0" applyBorder="0" applyProtection="0"/>
    <xf numFmtId="179" fontId="15" fillId="0" borderId="0" applyBorder="0" applyProtection="0"/>
    <xf numFmtId="174" fontId="15" fillId="0" borderId="0" applyBorder="0" applyProtection="0"/>
    <xf numFmtId="175" fontId="15" fillId="0" borderId="0" applyBorder="0" applyProtection="0"/>
    <xf numFmtId="169" fontId="15" fillId="0" borderId="0" applyBorder="0" applyProtection="0"/>
    <xf numFmtId="180" fontId="15" fillId="0" borderId="0" applyBorder="0" applyProtection="0"/>
    <xf numFmtId="174" fontId="15" fillId="0" borderId="0" applyBorder="0" applyProtection="0"/>
    <xf numFmtId="179" fontId="15" fillId="0" borderId="0" applyBorder="0" applyProtection="0"/>
    <xf numFmtId="170" fontId="15" fillId="0" borderId="0" applyBorder="0" applyProtection="0"/>
    <xf numFmtId="174" fontId="15" fillId="0" borderId="0" applyBorder="0" applyProtection="0"/>
    <xf numFmtId="178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81" fontId="15" fillId="0" borderId="0" applyBorder="0" applyProtection="0"/>
    <xf numFmtId="182" fontId="15" fillId="0" borderId="0" applyBorder="0" applyProtection="0"/>
    <xf numFmtId="181" fontId="15" fillId="0" borderId="0" applyBorder="0" applyProtection="0"/>
    <xf numFmtId="183" fontId="15" fillId="0" borderId="0" applyBorder="0" applyProtection="0"/>
    <xf numFmtId="0" fontId="15" fillId="0" borderId="0" applyBorder="0" applyProtection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5" fillId="0" borderId="0"/>
    <xf numFmtId="0" fontId="1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80" fontId="1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0" fillId="0" borderId="0"/>
    <xf numFmtId="0" fontId="11" fillId="0" borderId="0"/>
    <xf numFmtId="180" fontId="15" fillId="0" borderId="0"/>
    <xf numFmtId="0" fontId="1" fillId="0" borderId="0"/>
    <xf numFmtId="18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180" fontId="1" fillId="0" borderId="0"/>
    <xf numFmtId="0" fontId="1" fillId="0" borderId="0"/>
    <xf numFmtId="0" fontId="1" fillId="0" borderId="0"/>
    <xf numFmtId="0" fontId="12" fillId="0" borderId="0"/>
    <xf numFmtId="180" fontId="15" fillId="0" borderId="0"/>
    <xf numFmtId="39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3" borderId="1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15" fillId="0" borderId="0" applyBorder="0" applyProtection="0"/>
    <xf numFmtId="9" fontId="7" fillId="0" borderId="0" applyBorder="0" applyProtection="0"/>
    <xf numFmtId="0" fontId="2" fillId="2" borderId="0"/>
  </cellStyleXfs>
  <cellXfs count="132">
    <xf numFmtId="0" fontId="0" fillId="0" borderId="0" xfId="0"/>
    <xf numFmtId="0" fontId="18" fillId="0" borderId="0" xfId="0" applyFont="1" applyAlignment="1">
      <alignment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184" fontId="19" fillId="2" borderId="0" xfId="2" applyNumberFormat="1" applyFont="1" applyFill="1" applyBorder="1" applyAlignment="1" applyProtection="1">
      <alignment vertical="center" wrapText="1"/>
    </xf>
    <xf numFmtId="10" fontId="19" fillId="0" borderId="0" xfId="3" applyNumberFormat="1" applyFont="1" applyBorder="1" applyAlignment="1" applyProtection="1">
      <alignment vertical="center" wrapText="1"/>
    </xf>
    <xf numFmtId="0" fontId="17" fillId="2" borderId="0" xfId="0" applyFont="1" applyFill="1" applyAlignment="1">
      <alignment vertical="center" wrapText="1"/>
    </xf>
    <xf numFmtId="49" fontId="20" fillId="4" borderId="0" xfId="0" applyNumberFormat="1" applyFont="1" applyFill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184" fontId="20" fillId="4" borderId="0" xfId="2" applyNumberFormat="1" applyFont="1" applyFill="1" applyBorder="1" applyAlignment="1" applyProtection="1">
      <alignment horizontal="center" vertical="center" wrapText="1"/>
    </xf>
    <xf numFmtId="2" fontId="23" fillId="5" borderId="2" xfId="4" applyNumberFormat="1" applyFont="1" applyFill="1" applyBorder="1" applyAlignment="1" applyProtection="1">
      <alignment horizontal="center" vertical="center" wrapText="1"/>
    </xf>
    <xf numFmtId="49" fontId="21" fillId="5" borderId="2" xfId="0" applyNumberFormat="1" applyFont="1" applyFill="1" applyBorder="1" applyAlignment="1">
      <alignment vertical="center" wrapText="1"/>
    </xf>
    <xf numFmtId="0" fontId="21" fillId="5" borderId="2" xfId="0" applyFont="1" applyFill="1" applyBorder="1" applyAlignment="1">
      <alignment horizontal="center" vertical="center" wrapText="1"/>
    </xf>
    <xf numFmtId="169" fontId="21" fillId="5" borderId="2" xfId="1" applyFont="1" applyFill="1" applyBorder="1" applyAlignment="1" applyProtection="1">
      <alignment vertical="center" wrapText="1"/>
    </xf>
    <xf numFmtId="184" fontId="21" fillId="5" borderId="2" xfId="2" applyNumberFormat="1" applyFont="1" applyFill="1" applyBorder="1" applyAlignment="1" applyProtection="1">
      <alignment vertical="center" wrapText="1"/>
    </xf>
    <xf numFmtId="49" fontId="22" fillId="2" borderId="2" xfId="0" applyNumberFormat="1" applyFont="1" applyFill="1" applyBorder="1" applyAlignment="1">
      <alignment horizontal="center" vertical="center" wrapText="1"/>
    </xf>
    <xf numFmtId="169" fontId="22" fillId="2" borderId="2" xfId="1" applyFont="1" applyFill="1" applyBorder="1" applyAlignment="1" applyProtection="1">
      <alignment horizontal="right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49" fontId="24" fillId="5" borderId="2" xfId="4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22" fillId="2" borderId="0" xfId="0" applyNumberFormat="1" applyFont="1" applyFill="1" applyAlignment="1">
      <alignment horizontal="center" vertical="center" wrapText="1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center" vertical="center" wrapText="1"/>
    </xf>
    <xf numFmtId="169" fontId="22" fillId="2" borderId="0" xfId="1" applyFont="1" applyFill="1" applyBorder="1" applyAlignment="1" applyProtection="1">
      <alignment horizontal="right" vertical="center" wrapText="1"/>
    </xf>
    <xf numFmtId="184" fontId="22" fillId="0" borderId="0" xfId="2" applyNumberFormat="1" applyFont="1" applyBorder="1" applyAlignment="1" applyProtection="1">
      <alignment horizontal="right" vertical="center" wrapText="1"/>
    </xf>
    <xf numFmtId="49" fontId="18" fillId="0" borderId="0" xfId="0" applyNumberFormat="1" applyFont="1" applyAlignment="1">
      <alignment horizontal="center" vertical="center" wrapText="1"/>
    </xf>
    <xf numFmtId="0" fontId="20" fillId="2" borderId="2" xfId="177" applyFont="1" applyFill="1" applyBorder="1" applyAlignment="1">
      <alignment horizontal="center" vertical="center"/>
    </xf>
    <xf numFmtId="0" fontId="20" fillId="2" borderId="2" xfId="177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39" fontId="17" fillId="2" borderId="2" xfId="0" applyNumberFormat="1" applyFont="1" applyFill="1" applyBorder="1" applyAlignment="1">
      <alignment horizontal="center" vertical="center" wrapText="1"/>
    </xf>
    <xf numFmtId="0" fontId="18" fillId="6" borderId="0" xfId="0" applyFont="1" applyFill="1" applyAlignment="1">
      <alignment vertical="center" wrapText="1"/>
    </xf>
    <xf numFmtId="49" fontId="19" fillId="0" borderId="0" xfId="0" applyNumberFormat="1" applyFont="1" applyAlignment="1">
      <alignment horizontal="center" vertical="center" wrapText="1"/>
    </xf>
    <xf numFmtId="184" fontId="18" fillId="0" borderId="0" xfId="2" applyNumberFormat="1" applyFont="1" applyBorder="1" applyAlignment="1" applyProtection="1">
      <alignment vertical="center" wrapText="1"/>
    </xf>
    <xf numFmtId="184" fontId="18" fillId="0" borderId="2" xfId="2" applyNumberFormat="1" applyFont="1" applyBorder="1" applyAlignment="1" applyProtection="1">
      <alignment vertical="center"/>
    </xf>
    <xf numFmtId="184" fontId="20" fillId="2" borderId="2" xfId="109" applyNumberFormat="1" applyFont="1" applyFill="1" applyBorder="1" applyAlignment="1" applyProtection="1">
      <alignment horizontal="center" vertical="center"/>
    </xf>
    <xf numFmtId="184" fontId="17" fillId="2" borderId="0" xfId="2" applyNumberFormat="1" applyFont="1" applyFill="1" applyBorder="1" applyAlignment="1" applyProtection="1">
      <alignment horizontal="center" vertical="center" wrapText="1"/>
    </xf>
    <xf numFmtId="39" fontId="17" fillId="2" borderId="0" xfId="0" applyNumberFormat="1" applyFont="1" applyFill="1" applyAlignment="1">
      <alignment horizontal="center" vertical="center" wrapText="1"/>
    </xf>
    <xf numFmtId="2" fontId="23" fillId="5" borderId="10" xfId="4" applyNumberFormat="1" applyFont="1" applyFill="1" applyBorder="1" applyAlignment="1" applyProtection="1">
      <alignment horizontal="center" vertical="center" wrapText="1"/>
    </xf>
    <xf numFmtId="49" fontId="21" fillId="5" borderId="11" xfId="0" applyNumberFormat="1" applyFont="1" applyFill="1" applyBorder="1" applyAlignment="1">
      <alignment vertical="center" wrapText="1"/>
    </xf>
    <xf numFmtId="0" fontId="21" fillId="5" borderId="11" xfId="0" applyFont="1" applyFill="1" applyBorder="1" applyAlignment="1">
      <alignment horizontal="center" vertical="center" wrapText="1"/>
    </xf>
    <xf numFmtId="169" fontId="21" fillId="5" borderId="11" xfId="1" applyFont="1" applyFill="1" applyBorder="1" applyAlignment="1" applyProtection="1">
      <alignment vertical="center" wrapText="1"/>
    </xf>
    <xf numFmtId="184" fontId="21" fillId="5" borderId="11" xfId="2" applyNumberFormat="1" applyFont="1" applyFill="1" applyBorder="1" applyAlignment="1" applyProtection="1">
      <alignment vertical="center" wrapText="1"/>
    </xf>
    <xf numFmtId="185" fontId="17" fillId="2" borderId="4" xfId="2" applyNumberFormat="1" applyFont="1" applyFill="1" applyBorder="1" applyAlignment="1" applyProtection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3" fontId="20" fillId="4" borderId="0" xfId="2" applyNumberFormat="1" applyFont="1" applyFill="1" applyBorder="1" applyAlignment="1" applyProtection="1">
      <alignment horizontal="center" vertical="center" wrapText="1"/>
    </xf>
    <xf numFmtId="3" fontId="21" fillId="5" borderId="12" xfId="2" applyNumberFormat="1" applyFont="1" applyFill="1" applyBorder="1" applyAlignment="1" applyProtection="1">
      <alignment vertical="center" wrapText="1"/>
    </xf>
    <xf numFmtId="3" fontId="18" fillId="0" borderId="2" xfId="2" applyNumberFormat="1" applyFont="1" applyBorder="1" applyAlignment="1" applyProtection="1">
      <alignment vertical="center"/>
    </xf>
    <xf numFmtId="3" fontId="21" fillId="5" borderId="2" xfId="2" applyNumberFormat="1" applyFont="1" applyFill="1" applyBorder="1" applyAlignment="1" applyProtection="1">
      <alignment vertical="center" wrapText="1"/>
    </xf>
    <xf numFmtId="3" fontId="22" fillId="2" borderId="0" xfId="2" applyNumberFormat="1" applyFont="1" applyFill="1" applyBorder="1" applyAlignment="1" applyProtection="1">
      <alignment horizontal="right" vertical="center" wrapText="1"/>
    </xf>
    <xf numFmtId="3" fontId="19" fillId="2" borderId="0" xfId="2" applyNumberFormat="1" applyFont="1" applyFill="1" applyBorder="1" applyAlignment="1" applyProtection="1">
      <alignment vertical="center" wrapText="1"/>
    </xf>
    <xf numFmtId="3" fontId="20" fillId="2" borderId="2" xfId="109" applyNumberFormat="1" applyFont="1" applyFill="1" applyBorder="1" applyAlignment="1" applyProtection="1">
      <alignment horizontal="center" vertical="center"/>
    </xf>
    <xf numFmtId="3" fontId="18" fillId="2" borderId="3" xfId="121" applyNumberFormat="1" applyFont="1" applyFill="1" applyBorder="1" applyAlignment="1" applyProtection="1">
      <alignment horizontal="center" vertical="center"/>
    </xf>
    <xf numFmtId="3" fontId="20" fillId="2" borderId="2" xfId="89" applyNumberFormat="1" applyFont="1" applyFill="1" applyBorder="1" applyAlignment="1" applyProtection="1">
      <alignment horizontal="right" vertical="center"/>
    </xf>
    <xf numFmtId="3" fontId="18" fillId="0" borderId="0" xfId="2" applyNumberFormat="1" applyFont="1" applyBorder="1" applyAlignment="1" applyProtection="1">
      <alignment vertical="center" wrapText="1"/>
    </xf>
    <xf numFmtId="0" fontId="19" fillId="0" borderId="0" xfId="0" applyFont="1" applyAlignment="1">
      <alignment horizontal="justify"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vertical="center"/>
    </xf>
    <xf numFmtId="184" fontId="19" fillId="2" borderId="0" xfId="2" applyNumberFormat="1" applyFont="1" applyFill="1" applyBorder="1" applyAlignment="1" applyProtection="1">
      <alignment vertical="center"/>
    </xf>
    <xf numFmtId="3" fontId="18" fillId="0" borderId="3" xfId="2" applyNumberFormat="1" applyFont="1" applyBorder="1" applyAlignment="1" applyProtection="1">
      <alignment vertical="center"/>
    </xf>
    <xf numFmtId="0" fontId="22" fillId="8" borderId="2" xfId="0" applyFont="1" applyFill="1" applyBorder="1" applyAlignment="1">
      <alignment horizontal="left" vertical="center" wrapText="1"/>
    </xf>
    <xf numFmtId="0" fontId="17" fillId="8" borderId="2" xfId="0" applyFont="1" applyFill="1" applyBorder="1" applyAlignment="1">
      <alignment horizontal="left" vertical="center" wrapText="1"/>
    </xf>
    <xf numFmtId="0" fontId="18" fillId="8" borderId="2" xfId="0" applyFont="1" applyFill="1" applyBorder="1" applyAlignment="1">
      <alignment horizontal="left" vertical="center" wrapText="1"/>
    </xf>
    <xf numFmtId="0" fontId="25" fillId="0" borderId="2" xfId="0" applyFont="1" applyBorder="1" applyAlignment="1">
      <alignment horizontal="center" vertical="center"/>
    </xf>
    <xf numFmtId="186" fontId="25" fillId="0" borderId="2" xfId="2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5" fillId="9" borderId="2" xfId="0" applyFont="1" applyFill="1" applyBorder="1" applyAlignment="1">
      <alignment vertical="center"/>
    </xf>
    <xf numFmtId="186" fontId="25" fillId="9" borderId="2" xfId="2" applyNumberFormat="1" applyFont="1" applyFill="1" applyBorder="1" applyAlignment="1">
      <alignment vertical="center"/>
    </xf>
    <xf numFmtId="184" fontId="17" fillId="0" borderId="2" xfId="2" applyNumberFormat="1" applyFont="1" applyBorder="1" applyAlignment="1" applyProtection="1">
      <alignment vertical="center" wrapText="1"/>
    </xf>
    <xf numFmtId="187" fontId="0" fillId="0" borderId="2" xfId="3" applyNumberFormat="1" applyFont="1" applyBorder="1" applyAlignment="1">
      <alignment vertical="center"/>
    </xf>
    <xf numFmtId="186" fontId="0" fillId="0" borderId="2" xfId="2" applyNumberFormat="1" applyFont="1" applyBorder="1" applyAlignment="1">
      <alignment vertical="center"/>
    </xf>
    <xf numFmtId="187" fontId="0" fillId="0" borderId="2" xfId="0" applyNumberFormat="1" applyBorder="1" applyAlignment="1">
      <alignment vertical="center"/>
    </xf>
    <xf numFmtId="9" fontId="25" fillId="9" borderId="2" xfId="3" applyFont="1" applyFill="1" applyBorder="1" applyAlignment="1">
      <alignment vertical="center"/>
    </xf>
    <xf numFmtId="186" fontId="0" fillId="0" borderId="0" xfId="2" applyNumberFormat="1" applyFont="1"/>
    <xf numFmtId="10" fontId="25" fillId="0" borderId="2" xfId="0" applyNumberFormat="1" applyFont="1" applyBorder="1" applyAlignment="1">
      <alignment horizontal="center" vertical="center"/>
    </xf>
    <xf numFmtId="10" fontId="25" fillId="9" borderId="2" xfId="3" applyNumberFormat="1" applyFont="1" applyFill="1" applyBorder="1" applyAlignment="1">
      <alignment vertical="center"/>
    </xf>
    <xf numFmtId="10" fontId="0" fillId="0" borderId="2" xfId="3" applyNumberFormat="1" applyFont="1" applyBorder="1" applyAlignment="1">
      <alignment vertical="center"/>
    </xf>
    <xf numFmtId="10" fontId="0" fillId="0" borderId="0" xfId="3" applyNumberFormat="1" applyFont="1"/>
    <xf numFmtId="184" fontId="18" fillId="7" borderId="2" xfId="2" applyNumberFormat="1" applyFont="1" applyFill="1" applyBorder="1" applyAlignment="1" applyProtection="1">
      <alignment vertical="center"/>
    </xf>
    <xf numFmtId="169" fontId="22" fillId="2" borderId="2" xfId="1" applyFont="1" applyFill="1" applyBorder="1" applyAlignment="1">
      <alignment horizontal="right" vertical="center" wrapText="1"/>
    </xf>
    <xf numFmtId="188" fontId="18" fillId="0" borderId="2" xfId="1" applyNumberFormat="1" applyFont="1" applyBorder="1" applyAlignment="1" applyProtection="1">
      <alignment vertical="center"/>
    </xf>
    <xf numFmtId="0" fontId="25" fillId="9" borderId="2" xfId="0" applyFont="1" applyFill="1" applyBorder="1" applyAlignment="1">
      <alignment horizontal="center" vertical="center"/>
    </xf>
    <xf numFmtId="188" fontId="18" fillId="0" borderId="4" xfId="1" applyNumberFormat="1" applyFont="1" applyBorder="1" applyAlignment="1" applyProtection="1">
      <alignment vertical="center"/>
    </xf>
    <xf numFmtId="43" fontId="18" fillId="0" borderId="0" xfId="0" applyNumberFormat="1" applyFont="1" applyAlignment="1">
      <alignment vertical="center" wrapText="1"/>
    </xf>
    <xf numFmtId="184" fontId="18" fillId="2" borderId="6" xfId="2" applyNumberFormat="1" applyFont="1" applyFill="1" applyBorder="1" applyAlignment="1" applyProtection="1">
      <alignment vertical="center" wrapText="1"/>
    </xf>
    <xf numFmtId="3" fontId="20" fillId="2" borderId="8" xfId="89" applyNumberFormat="1" applyFont="1" applyFill="1" applyBorder="1" applyAlignment="1" applyProtection="1">
      <alignment horizontal="right" vertical="center"/>
    </xf>
    <xf numFmtId="184" fontId="17" fillId="2" borderId="13" xfId="0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2" borderId="6" xfId="0" applyFont="1" applyFill="1" applyBorder="1" applyAlignment="1">
      <alignment vertical="center" wrapText="1"/>
    </xf>
    <xf numFmtId="10" fontId="19" fillId="2" borderId="13" xfId="0" applyNumberFormat="1" applyFont="1" applyFill="1" applyBorder="1" applyAlignment="1">
      <alignment vertical="center" wrapText="1"/>
    </xf>
    <xf numFmtId="10" fontId="18" fillId="2" borderId="2" xfId="0" applyNumberFormat="1" applyFont="1" applyFill="1" applyBorder="1" applyAlignment="1">
      <alignment vertical="center" wrapText="1"/>
    </xf>
    <xf numFmtId="3" fontId="18" fillId="2" borderId="8" xfId="2" applyNumberFormat="1" applyFont="1" applyFill="1" applyBorder="1" applyAlignment="1" applyProtection="1">
      <alignment vertical="center" wrapText="1"/>
    </xf>
    <xf numFmtId="10" fontId="18" fillId="0" borderId="2" xfId="0" applyNumberFormat="1" applyFont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3" fontId="19" fillId="2" borderId="8" xfId="2" applyNumberFormat="1" applyFont="1" applyFill="1" applyBorder="1" applyAlignment="1" applyProtection="1">
      <alignment vertical="center" wrapText="1"/>
    </xf>
    <xf numFmtId="184" fontId="19" fillId="2" borderId="6" xfId="2" applyNumberFormat="1" applyFont="1" applyFill="1" applyBorder="1" applyAlignment="1" applyProtection="1">
      <alignment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vertical="center" wrapText="1"/>
    </xf>
    <xf numFmtId="184" fontId="19" fillId="2" borderId="9" xfId="2" applyNumberFormat="1" applyFont="1" applyFill="1" applyBorder="1" applyAlignment="1" applyProtection="1">
      <alignment vertical="center" wrapText="1"/>
    </xf>
    <xf numFmtId="0" fontId="19" fillId="2" borderId="2" xfId="0" applyFont="1" applyFill="1" applyBorder="1" applyAlignment="1">
      <alignment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10" borderId="6" xfId="0" applyFont="1" applyFill="1" applyBorder="1" applyAlignment="1">
      <alignment vertical="center" wrapText="1"/>
    </xf>
    <xf numFmtId="0" fontId="19" fillId="10" borderId="9" xfId="0" applyFont="1" applyFill="1" applyBorder="1" applyAlignment="1">
      <alignment horizontal="center" vertical="center" wrapText="1"/>
    </xf>
    <xf numFmtId="0" fontId="19" fillId="10" borderId="9" xfId="0" applyFont="1" applyFill="1" applyBorder="1" applyAlignment="1">
      <alignment vertical="center" wrapText="1"/>
    </xf>
    <xf numFmtId="184" fontId="19" fillId="10" borderId="9" xfId="2" applyNumberFormat="1" applyFont="1" applyFill="1" applyBorder="1" applyAlignment="1" applyProtection="1">
      <alignment vertical="center" wrapText="1"/>
    </xf>
    <xf numFmtId="3" fontId="19" fillId="10" borderId="8" xfId="2" applyNumberFormat="1" applyFont="1" applyFill="1" applyBorder="1" applyAlignment="1" applyProtection="1">
      <alignment vertical="center" wrapText="1"/>
    </xf>
    <xf numFmtId="0" fontId="20" fillId="2" borderId="6" xfId="0" applyFont="1" applyFill="1" applyBorder="1" applyAlignment="1">
      <alignment horizontal="left" vertical="center"/>
    </xf>
    <xf numFmtId="0" fontId="20" fillId="2" borderId="9" xfId="0" applyFont="1" applyFill="1" applyBorder="1" applyAlignment="1">
      <alignment horizontal="left" vertical="center" wrapText="1"/>
    </xf>
    <xf numFmtId="0" fontId="20" fillId="2" borderId="9" xfId="0" applyFont="1" applyFill="1" applyBorder="1" applyAlignment="1">
      <alignment horizontal="left" vertical="center"/>
    </xf>
    <xf numFmtId="184" fontId="17" fillId="2" borderId="8" xfId="0" applyNumberFormat="1" applyFont="1" applyFill="1" applyBorder="1" applyAlignment="1">
      <alignment horizontal="center" vertical="center"/>
    </xf>
    <xf numFmtId="10" fontId="20" fillId="0" borderId="9" xfId="198" applyNumberFormat="1" applyFont="1" applyBorder="1" applyAlignment="1" applyProtection="1">
      <alignment horizontal="right" vertical="center"/>
    </xf>
    <xf numFmtId="184" fontId="18" fillId="0" borderId="0" xfId="2" applyNumberFormat="1" applyFont="1" applyBorder="1" applyAlignment="1" applyProtection="1">
      <alignment vertical="center"/>
    </xf>
    <xf numFmtId="184" fontId="17" fillId="2" borderId="2" xfId="2" applyNumberFormat="1" applyFont="1" applyFill="1" applyBorder="1" applyAlignment="1" applyProtection="1">
      <alignment horizontal="center" vertical="center" wrapText="1"/>
    </xf>
    <xf numFmtId="184" fontId="18" fillId="5" borderId="2" xfId="2" applyNumberFormat="1" applyFont="1" applyFill="1" applyBorder="1" applyAlignment="1" applyProtection="1">
      <alignment vertical="center" wrapText="1"/>
    </xf>
    <xf numFmtId="49" fontId="19" fillId="0" borderId="13" xfId="0" applyNumberFormat="1" applyFont="1" applyBorder="1" applyAlignment="1">
      <alignment vertical="center" wrapText="1"/>
    </xf>
    <xf numFmtId="0" fontId="19" fillId="0" borderId="13" xfId="0" applyFont="1" applyBorder="1" applyAlignment="1">
      <alignment vertical="center" wrapText="1"/>
    </xf>
    <xf numFmtId="0" fontId="26" fillId="0" borderId="0" xfId="0" applyFont="1"/>
    <xf numFmtId="0" fontId="18" fillId="0" borderId="0" xfId="0" applyFont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0" fontId="20" fillId="2" borderId="2" xfId="177" applyFont="1" applyFill="1" applyBorder="1" applyAlignment="1">
      <alignment horizontal="center" vertical="center"/>
    </xf>
    <xf numFmtId="0" fontId="20" fillId="2" borderId="5" xfId="177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</cellXfs>
  <cellStyles count="201">
    <cellStyle name="% 2" xfId="5" xr:uid="{00000000-0005-0000-0000-000006000000}"/>
    <cellStyle name="4" xfId="6" xr:uid="{00000000-0005-0000-0000-000007000000}"/>
    <cellStyle name="4_B" xfId="7" xr:uid="{00000000-0005-0000-0000-000008000000}"/>
    <cellStyle name="c2" xfId="8" xr:uid="{00000000-0005-0000-0000-000009000000}"/>
    <cellStyle name="c50" xfId="9" xr:uid="{00000000-0005-0000-0000-00000A000000}"/>
    <cellStyle name="Comma" xfId="10" xr:uid="{00000000-0005-0000-0000-00000B000000}"/>
    <cellStyle name="Currency" xfId="11" xr:uid="{00000000-0005-0000-0000-00000C000000}"/>
    <cellStyle name="Date" xfId="12" xr:uid="{00000000-0005-0000-0000-00000D000000}"/>
    <cellStyle name="Euro" xfId="13" xr:uid="{00000000-0005-0000-0000-00000E000000}"/>
    <cellStyle name="F2" xfId="14" xr:uid="{00000000-0005-0000-0000-00000F000000}"/>
    <cellStyle name="F3" xfId="15" xr:uid="{00000000-0005-0000-0000-000010000000}"/>
    <cellStyle name="F4" xfId="16" xr:uid="{00000000-0005-0000-0000-000011000000}"/>
    <cellStyle name="F5" xfId="17" xr:uid="{00000000-0005-0000-0000-000012000000}"/>
    <cellStyle name="F6" xfId="18" xr:uid="{00000000-0005-0000-0000-000013000000}"/>
    <cellStyle name="F7" xfId="19" xr:uid="{00000000-0005-0000-0000-000014000000}"/>
    <cellStyle name="F8" xfId="20" xr:uid="{00000000-0005-0000-0000-000015000000}"/>
    <cellStyle name="Fixed" xfId="21" xr:uid="{00000000-0005-0000-0000-000016000000}"/>
    <cellStyle name="Heading2" xfId="22" xr:uid="{00000000-0005-0000-0000-000017000000}"/>
    <cellStyle name="Hipervínculo" xfId="4" builtinId="8"/>
    <cellStyle name="Millares" xfId="1" builtinId="3"/>
    <cellStyle name="Millares [0] 2" xfId="64" xr:uid="{00000000-0005-0000-0000-000041000000}"/>
    <cellStyle name="Millares [0] 2 2" xfId="65" xr:uid="{00000000-0005-0000-0000-000042000000}"/>
    <cellStyle name="Millares [0] 2 2 2" xfId="66" xr:uid="{00000000-0005-0000-0000-000043000000}"/>
    <cellStyle name="Millares [0] 2 2 3" xfId="67" xr:uid="{00000000-0005-0000-0000-000044000000}"/>
    <cellStyle name="Millares [0] 2 3" xfId="68" xr:uid="{00000000-0005-0000-0000-000045000000}"/>
    <cellStyle name="Millares [0] 2 4" xfId="69" xr:uid="{00000000-0005-0000-0000-000046000000}"/>
    <cellStyle name="Millares [0] 3" xfId="70" xr:uid="{00000000-0005-0000-0000-000047000000}"/>
    <cellStyle name="Millares [0] 3 2" xfId="71" xr:uid="{00000000-0005-0000-0000-000048000000}"/>
    <cellStyle name="Millares [0] 3 2 2" xfId="72" xr:uid="{00000000-0005-0000-0000-000049000000}"/>
    <cellStyle name="Millares [0] 3 3" xfId="73" xr:uid="{00000000-0005-0000-0000-00004A000000}"/>
    <cellStyle name="Millares [0] 3 4" xfId="74" xr:uid="{00000000-0005-0000-0000-00004B000000}"/>
    <cellStyle name="Millares [0] 4" xfId="75" xr:uid="{00000000-0005-0000-0000-00004C000000}"/>
    <cellStyle name="Millares [0] 4 2" xfId="76" xr:uid="{00000000-0005-0000-0000-00004D000000}"/>
    <cellStyle name="Millares [0] 4 3" xfId="77" xr:uid="{00000000-0005-0000-0000-00004E000000}"/>
    <cellStyle name="Millares [0] 5" xfId="78" xr:uid="{00000000-0005-0000-0000-00004F000000}"/>
    <cellStyle name="Millares [0] 5 2" xfId="79" xr:uid="{00000000-0005-0000-0000-000050000000}"/>
    <cellStyle name="Millares 10" xfId="23" xr:uid="{00000000-0005-0000-0000-000018000000}"/>
    <cellStyle name="Millares 11" xfId="24" xr:uid="{00000000-0005-0000-0000-000019000000}"/>
    <cellStyle name="Millares 11 2" xfId="25" xr:uid="{00000000-0005-0000-0000-00001A000000}"/>
    <cellStyle name="Millares 11 2 2" xfId="26" xr:uid="{00000000-0005-0000-0000-00001B000000}"/>
    <cellStyle name="Millares 11 3" xfId="27" xr:uid="{00000000-0005-0000-0000-00001C000000}"/>
    <cellStyle name="Millares 11 4" xfId="28" xr:uid="{00000000-0005-0000-0000-00001D000000}"/>
    <cellStyle name="Millares 11 5" xfId="29" xr:uid="{00000000-0005-0000-0000-00001E000000}"/>
    <cellStyle name="Millares 12" xfId="30" xr:uid="{00000000-0005-0000-0000-00001F000000}"/>
    <cellStyle name="Millares 13" xfId="31" xr:uid="{00000000-0005-0000-0000-000020000000}"/>
    <cellStyle name="Millares 14" xfId="32" xr:uid="{00000000-0005-0000-0000-000021000000}"/>
    <cellStyle name="Millares 15" xfId="33" xr:uid="{00000000-0005-0000-0000-000022000000}"/>
    <cellStyle name="Millares 16" xfId="34" xr:uid="{00000000-0005-0000-0000-000023000000}"/>
    <cellStyle name="Millares 17" xfId="35" xr:uid="{00000000-0005-0000-0000-000024000000}"/>
    <cellStyle name="Millares 2" xfId="36" xr:uid="{00000000-0005-0000-0000-000025000000}"/>
    <cellStyle name="Millares 2 10" xfId="37" xr:uid="{00000000-0005-0000-0000-000026000000}"/>
    <cellStyle name="Millares 2 10 2" xfId="38" xr:uid="{00000000-0005-0000-0000-000027000000}"/>
    <cellStyle name="Millares 2 10 3" xfId="39" xr:uid="{00000000-0005-0000-0000-000028000000}"/>
    <cellStyle name="Millares 2 2" xfId="40" xr:uid="{00000000-0005-0000-0000-000029000000}"/>
    <cellStyle name="Millares 2 2 2" xfId="41" xr:uid="{00000000-0005-0000-0000-00002A000000}"/>
    <cellStyle name="Millares 2 3" xfId="42" xr:uid="{00000000-0005-0000-0000-00002B000000}"/>
    <cellStyle name="Millares 2 4" xfId="43" xr:uid="{00000000-0005-0000-0000-00002C000000}"/>
    <cellStyle name="Millares 3" xfId="44" xr:uid="{00000000-0005-0000-0000-00002D000000}"/>
    <cellStyle name="Millares 3 12" xfId="45" xr:uid="{00000000-0005-0000-0000-00002E000000}"/>
    <cellStyle name="Millares 3 12 2" xfId="46" xr:uid="{00000000-0005-0000-0000-00002F000000}"/>
    <cellStyle name="Millares 3 12 2 2" xfId="47" xr:uid="{00000000-0005-0000-0000-000030000000}"/>
    <cellStyle name="Millares 3 12 3" xfId="48" xr:uid="{00000000-0005-0000-0000-000031000000}"/>
    <cellStyle name="Millares 3 2" xfId="49" xr:uid="{00000000-0005-0000-0000-000032000000}"/>
    <cellStyle name="Millares 3 2 2" xfId="50" xr:uid="{00000000-0005-0000-0000-000033000000}"/>
    <cellStyle name="Millares 3 3" xfId="51" xr:uid="{00000000-0005-0000-0000-000034000000}"/>
    <cellStyle name="Millares 4" xfId="52" xr:uid="{00000000-0005-0000-0000-000035000000}"/>
    <cellStyle name="Millares 4 2" xfId="53" xr:uid="{00000000-0005-0000-0000-000036000000}"/>
    <cellStyle name="Millares 4 2 2" xfId="54" xr:uid="{00000000-0005-0000-0000-000037000000}"/>
    <cellStyle name="Millares 4 3" xfId="55" xr:uid="{00000000-0005-0000-0000-000038000000}"/>
    <cellStyle name="Millares 4 4" xfId="56" xr:uid="{00000000-0005-0000-0000-000039000000}"/>
    <cellStyle name="Millares 4 5" xfId="57" xr:uid="{00000000-0005-0000-0000-00003A000000}"/>
    <cellStyle name="Millares 5" xfId="58" xr:uid="{00000000-0005-0000-0000-00003B000000}"/>
    <cellStyle name="Millares 5 2" xfId="59" xr:uid="{00000000-0005-0000-0000-00003C000000}"/>
    <cellStyle name="Millares 6" xfId="60" xr:uid="{00000000-0005-0000-0000-00003D000000}"/>
    <cellStyle name="Millares 7" xfId="61" xr:uid="{00000000-0005-0000-0000-00003E000000}"/>
    <cellStyle name="Millares 8" xfId="62" xr:uid="{00000000-0005-0000-0000-00003F000000}"/>
    <cellStyle name="Millares 9" xfId="63" xr:uid="{00000000-0005-0000-0000-000040000000}"/>
    <cellStyle name="Moneda" xfId="2" builtinId="4"/>
    <cellStyle name="Moneda [0] 2" xfId="117" xr:uid="{00000000-0005-0000-0000-000076000000}"/>
    <cellStyle name="Moneda [0] 2 2" xfId="118" xr:uid="{00000000-0005-0000-0000-000077000000}"/>
    <cellStyle name="Moneda [0] 2 2 2" xfId="119" xr:uid="{00000000-0005-0000-0000-000078000000}"/>
    <cellStyle name="Moneda [0] 3" xfId="120" xr:uid="{00000000-0005-0000-0000-000079000000}"/>
    <cellStyle name="Moneda 10" xfId="80" xr:uid="{00000000-0005-0000-0000-000051000000}"/>
    <cellStyle name="Moneda 11" xfId="81" xr:uid="{00000000-0005-0000-0000-000052000000}"/>
    <cellStyle name="Moneda 12" xfId="82" xr:uid="{00000000-0005-0000-0000-000053000000}"/>
    <cellStyle name="Moneda 13" xfId="83" xr:uid="{00000000-0005-0000-0000-000054000000}"/>
    <cellStyle name="Moneda 14" xfId="84" xr:uid="{00000000-0005-0000-0000-000055000000}"/>
    <cellStyle name="Moneda 15" xfId="85" xr:uid="{00000000-0005-0000-0000-000056000000}"/>
    <cellStyle name="Moneda 16" xfId="86" xr:uid="{00000000-0005-0000-0000-000057000000}"/>
    <cellStyle name="Moneda 17" xfId="87" xr:uid="{00000000-0005-0000-0000-000058000000}"/>
    <cellStyle name="Moneda 18" xfId="88" xr:uid="{00000000-0005-0000-0000-000059000000}"/>
    <cellStyle name="Moneda 2" xfId="89" xr:uid="{00000000-0005-0000-0000-00005A000000}"/>
    <cellStyle name="Moneda 2 2" xfId="90" xr:uid="{00000000-0005-0000-0000-00005B000000}"/>
    <cellStyle name="Moneda 2 2 2" xfId="91" xr:uid="{00000000-0005-0000-0000-00005C000000}"/>
    <cellStyle name="Moneda 2 2 2 2" xfId="92" xr:uid="{00000000-0005-0000-0000-00005D000000}"/>
    <cellStyle name="Moneda 2 2 2 2 2" xfId="93" xr:uid="{00000000-0005-0000-0000-00005E000000}"/>
    <cellStyle name="Moneda 2 2 3" xfId="94" xr:uid="{00000000-0005-0000-0000-00005F000000}"/>
    <cellStyle name="Moneda 2 3" xfId="95" xr:uid="{00000000-0005-0000-0000-000060000000}"/>
    <cellStyle name="Moneda 2 3 2" xfId="96" xr:uid="{00000000-0005-0000-0000-000061000000}"/>
    <cellStyle name="Moneda 2 4" xfId="97" xr:uid="{00000000-0005-0000-0000-000062000000}"/>
    <cellStyle name="Moneda 2 4 2" xfId="98" xr:uid="{00000000-0005-0000-0000-000063000000}"/>
    <cellStyle name="Moneda 3" xfId="99" xr:uid="{00000000-0005-0000-0000-000064000000}"/>
    <cellStyle name="Moneda 3 2" xfId="100" xr:uid="{00000000-0005-0000-0000-000065000000}"/>
    <cellStyle name="Moneda 3 2 2" xfId="101" xr:uid="{00000000-0005-0000-0000-000066000000}"/>
    <cellStyle name="Moneda 3 2 3" xfId="102" xr:uid="{00000000-0005-0000-0000-000067000000}"/>
    <cellStyle name="Moneda 3 3" xfId="103" xr:uid="{00000000-0005-0000-0000-000068000000}"/>
    <cellStyle name="Moneda 3 4" xfId="104" xr:uid="{00000000-0005-0000-0000-000069000000}"/>
    <cellStyle name="Moneda 4" xfId="105" xr:uid="{00000000-0005-0000-0000-00006A000000}"/>
    <cellStyle name="Moneda 4 2" xfId="106" xr:uid="{00000000-0005-0000-0000-00006B000000}"/>
    <cellStyle name="Moneda 4 2 2" xfId="107" xr:uid="{00000000-0005-0000-0000-00006C000000}"/>
    <cellStyle name="Moneda 4 4" xfId="108" xr:uid="{00000000-0005-0000-0000-00006D000000}"/>
    <cellStyle name="Moneda 5" xfId="109" xr:uid="{00000000-0005-0000-0000-00006E000000}"/>
    <cellStyle name="Moneda 5 2" xfId="110" xr:uid="{00000000-0005-0000-0000-00006F000000}"/>
    <cellStyle name="Moneda 6" xfId="111" xr:uid="{00000000-0005-0000-0000-000070000000}"/>
    <cellStyle name="Moneda 6 2" xfId="112" xr:uid="{00000000-0005-0000-0000-000071000000}"/>
    <cellStyle name="Moneda 7" xfId="113" xr:uid="{00000000-0005-0000-0000-000072000000}"/>
    <cellStyle name="Moneda 7 2" xfId="114" xr:uid="{00000000-0005-0000-0000-000073000000}"/>
    <cellStyle name="Moneda 8" xfId="115" xr:uid="{00000000-0005-0000-0000-000074000000}"/>
    <cellStyle name="Moneda 9" xfId="116" xr:uid="{00000000-0005-0000-0000-000075000000}"/>
    <cellStyle name="Moneda_la arboleda 2" xfId="121" xr:uid="{00000000-0005-0000-0000-00007A000000}"/>
    <cellStyle name="Normal" xfId="0" builtinId="0"/>
    <cellStyle name="Normal 11 3 2 2" xfId="122" xr:uid="{00000000-0005-0000-0000-00007B000000}"/>
    <cellStyle name="Normal 11 3 2 3" xfId="123" xr:uid="{00000000-0005-0000-0000-00007C000000}"/>
    <cellStyle name="Normal 12" xfId="124" xr:uid="{00000000-0005-0000-0000-00007D000000}"/>
    <cellStyle name="Normal 12 3 2 2" xfId="125" xr:uid="{00000000-0005-0000-0000-00007E000000}"/>
    <cellStyle name="Normal 12 3 2 3" xfId="126" xr:uid="{00000000-0005-0000-0000-00007F000000}"/>
    <cellStyle name="Normal 15" xfId="127" xr:uid="{00000000-0005-0000-0000-000080000000}"/>
    <cellStyle name="Normal 17" xfId="128" xr:uid="{00000000-0005-0000-0000-000081000000}"/>
    <cellStyle name="Normal 17 2" xfId="129" xr:uid="{00000000-0005-0000-0000-000082000000}"/>
    <cellStyle name="Normal 18" xfId="130" xr:uid="{00000000-0005-0000-0000-000083000000}"/>
    <cellStyle name="Normal 18 2" xfId="131" xr:uid="{00000000-0005-0000-0000-000084000000}"/>
    <cellStyle name="Normal 2" xfId="132" xr:uid="{00000000-0005-0000-0000-000085000000}"/>
    <cellStyle name="Normal 2 10" xfId="133" xr:uid="{00000000-0005-0000-0000-000086000000}"/>
    <cellStyle name="Normal 2 10 3" xfId="134" xr:uid="{00000000-0005-0000-0000-000087000000}"/>
    <cellStyle name="Normal 2 12" xfId="135" xr:uid="{00000000-0005-0000-0000-000088000000}"/>
    <cellStyle name="Normal 2 2" xfId="136" xr:uid="{00000000-0005-0000-0000-000089000000}"/>
    <cellStyle name="Normal 2 2 2" xfId="137" xr:uid="{00000000-0005-0000-0000-00008A000000}"/>
    <cellStyle name="Normal 2 2 2 2" xfId="138" xr:uid="{00000000-0005-0000-0000-00008B000000}"/>
    <cellStyle name="Normal 2 2 2 3" xfId="139" xr:uid="{00000000-0005-0000-0000-00008C000000}"/>
    <cellStyle name="Normal 2 2 3" xfId="140" xr:uid="{00000000-0005-0000-0000-00008D000000}"/>
    <cellStyle name="Normal 2 2 4" xfId="141" xr:uid="{00000000-0005-0000-0000-00008E000000}"/>
    <cellStyle name="Normal 2 2 5" xfId="142" xr:uid="{00000000-0005-0000-0000-00008F000000}"/>
    <cellStyle name="Normal 2 3" xfId="143" xr:uid="{00000000-0005-0000-0000-000090000000}"/>
    <cellStyle name="Normal 2 3 2" xfId="144" xr:uid="{00000000-0005-0000-0000-000091000000}"/>
    <cellStyle name="Normal 2 3 5" xfId="145" xr:uid="{00000000-0005-0000-0000-000092000000}"/>
    <cellStyle name="Normal 2 4" xfId="146" xr:uid="{00000000-0005-0000-0000-000093000000}"/>
    <cellStyle name="Normal 2 4 2" xfId="147" xr:uid="{00000000-0005-0000-0000-000094000000}"/>
    <cellStyle name="Normal 2 4 3" xfId="148" xr:uid="{00000000-0005-0000-0000-000095000000}"/>
    <cellStyle name="Normal 2 5" xfId="149" xr:uid="{00000000-0005-0000-0000-000096000000}"/>
    <cellStyle name="Normal 20 3" xfId="150" xr:uid="{00000000-0005-0000-0000-000097000000}"/>
    <cellStyle name="Normal 22" xfId="151" xr:uid="{00000000-0005-0000-0000-000098000000}"/>
    <cellStyle name="Normal 3" xfId="152" xr:uid="{00000000-0005-0000-0000-000099000000}"/>
    <cellStyle name="Normal 3 10 10" xfId="153" xr:uid="{00000000-0005-0000-0000-00009A000000}"/>
    <cellStyle name="Normal 3 10 10 2" xfId="154" xr:uid="{00000000-0005-0000-0000-00009B000000}"/>
    <cellStyle name="Normal 3 10 10 3" xfId="155" xr:uid="{00000000-0005-0000-0000-00009C000000}"/>
    <cellStyle name="Normal 3 11" xfId="156" xr:uid="{00000000-0005-0000-0000-00009D000000}"/>
    <cellStyle name="Normal 3 11 2" xfId="157" xr:uid="{00000000-0005-0000-0000-00009E000000}"/>
    <cellStyle name="Normal 3 11 3" xfId="158" xr:uid="{00000000-0005-0000-0000-00009F000000}"/>
    <cellStyle name="Normal 3 2" xfId="159" xr:uid="{00000000-0005-0000-0000-0000A0000000}"/>
    <cellStyle name="Normal 3 2 2" xfId="160" xr:uid="{00000000-0005-0000-0000-0000A1000000}"/>
    <cellStyle name="Normal 3 2 2 2" xfId="161" xr:uid="{00000000-0005-0000-0000-0000A2000000}"/>
    <cellStyle name="Normal 3 2 2 2 2" xfId="162" xr:uid="{00000000-0005-0000-0000-0000A3000000}"/>
    <cellStyle name="Normal 3 2 2 3" xfId="163" xr:uid="{00000000-0005-0000-0000-0000A4000000}"/>
    <cellStyle name="Normal 3 2 3" xfId="164" xr:uid="{00000000-0005-0000-0000-0000A5000000}"/>
    <cellStyle name="Normal 3 3" xfId="165" xr:uid="{00000000-0005-0000-0000-0000A6000000}"/>
    <cellStyle name="Normal 3 3 2 2" xfId="166" xr:uid="{00000000-0005-0000-0000-0000A7000000}"/>
    <cellStyle name="Normal 3 4" xfId="167" xr:uid="{00000000-0005-0000-0000-0000A8000000}"/>
    <cellStyle name="Normal 4" xfId="168" xr:uid="{00000000-0005-0000-0000-0000A9000000}"/>
    <cellStyle name="Normal 4 2" xfId="169" xr:uid="{00000000-0005-0000-0000-0000AA000000}"/>
    <cellStyle name="Normal 4 2 2" xfId="170" xr:uid="{00000000-0005-0000-0000-0000AB000000}"/>
    <cellStyle name="Normal 4 3" xfId="171" xr:uid="{00000000-0005-0000-0000-0000AC000000}"/>
    <cellStyle name="Normal 4 4" xfId="172" xr:uid="{00000000-0005-0000-0000-0000AD000000}"/>
    <cellStyle name="Normal 4 4 2" xfId="173" xr:uid="{00000000-0005-0000-0000-0000AE000000}"/>
    <cellStyle name="Normal 4 4 2 2" xfId="174" xr:uid="{00000000-0005-0000-0000-0000AF000000}"/>
    <cellStyle name="Normal 4 4 3" xfId="175" xr:uid="{00000000-0005-0000-0000-0000B0000000}"/>
    <cellStyle name="Normal 4 5 2" xfId="176" xr:uid="{00000000-0005-0000-0000-0000B1000000}"/>
    <cellStyle name="Normal 5" xfId="177" xr:uid="{00000000-0005-0000-0000-0000B2000000}"/>
    <cellStyle name="Normal 5 2" xfId="178" xr:uid="{00000000-0005-0000-0000-0000B3000000}"/>
    <cellStyle name="Normal 6" xfId="179" xr:uid="{00000000-0005-0000-0000-0000B4000000}"/>
    <cellStyle name="Normal 6 2" xfId="180" xr:uid="{00000000-0005-0000-0000-0000B5000000}"/>
    <cellStyle name="Normal 6 3" xfId="181" xr:uid="{00000000-0005-0000-0000-0000B6000000}"/>
    <cellStyle name="Normal 6 4" xfId="182" xr:uid="{00000000-0005-0000-0000-0000B7000000}"/>
    <cellStyle name="Normal 7" xfId="183" xr:uid="{00000000-0005-0000-0000-0000B8000000}"/>
    <cellStyle name="Normal 7 2" xfId="184" xr:uid="{00000000-0005-0000-0000-0000B9000000}"/>
    <cellStyle name="Normal 8" xfId="185" xr:uid="{00000000-0005-0000-0000-0000BA000000}"/>
    <cellStyle name="Normal 8 2" xfId="186" xr:uid="{00000000-0005-0000-0000-0000BB000000}"/>
    <cellStyle name="Normal 8 3" xfId="187" xr:uid="{00000000-0005-0000-0000-0000BC000000}"/>
    <cellStyle name="Normal 9" xfId="188" xr:uid="{00000000-0005-0000-0000-0000BD000000}"/>
    <cellStyle name="Notas 2" xfId="189" xr:uid="{00000000-0005-0000-0000-0000BE000000}"/>
    <cellStyle name="Percent" xfId="190" xr:uid="{00000000-0005-0000-0000-0000BF000000}"/>
    <cellStyle name="Porcentaje" xfId="3" builtinId="5"/>
    <cellStyle name="Porcentaje 2" xfId="191" xr:uid="{00000000-0005-0000-0000-0000C0000000}"/>
    <cellStyle name="Porcentaje 2 2" xfId="192" xr:uid="{00000000-0005-0000-0000-0000C1000000}"/>
    <cellStyle name="Porcentaje 2 3" xfId="193" xr:uid="{00000000-0005-0000-0000-0000C2000000}"/>
    <cellStyle name="Porcentaje 2 5" xfId="194" xr:uid="{00000000-0005-0000-0000-0000C3000000}"/>
    <cellStyle name="Porcentaje 3" xfId="195" xr:uid="{00000000-0005-0000-0000-0000C4000000}"/>
    <cellStyle name="Porcentaje 3 2" xfId="196" xr:uid="{00000000-0005-0000-0000-0000C5000000}"/>
    <cellStyle name="Porcentaje 4" xfId="197" xr:uid="{00000000-0005-0000-0000-0000C6000000}"/>
    <cellStyle name="Porcentual 2" xfId="198" xr:uid="{00000000-0005-0000-0000-0000C7000000}"/>
    <cellStyle name="Porcentual 2 2" xfId="199" xr:uid="{00000000-0005-0000-0000-0000C8000000}"/>
    <cellStyle name="t3" xfId="200" xr:uid="{00000000-0005-0000-0000-0000C9000000}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80FFFFFF"/>
      <rgbColor rgb="FF9C0006"/>
      <rgbColor rgb="FF008000"/>
      <rgbColor rgb="FF000080"/>
      <rgbColor rgb="FF9BBB59"/>
      <rgbColor rgb="FF800080"/>
      <rgbColor rgb="FF008080"/>
      <rgbColor rgb="FFCCC1DA"/>
      <rgbColor rgb="FF4F81BD"/>
      <rgbColor rgb="FFB2B2B2"/>
      <rgbColor rgb="FF7030A0"/>
      <rgbColor rgb="FFFFFFCC"/>
      <rgbColor rgb="FFE6E6E6"/>
      <rgbColor rgb="FF660066"/>
      <rgbColor rgb="FFD99694"/>
      <rgbColor rgb="FF0066CC"/>
      <rgbColor rgb="FFC6D9F1"/>
      <rgbColor rgb="FF000080"/>
      <rgbColor rgb="FFFF00FF"/>
      <rgbColor rgb="FFD9D9D9"/>
      <rgbColor rgb="FF00FFFF"/>
      <rgbColor rgb="FF800080"/>
      <rgbColor rgb="FFED0000"/>
      <rgbColor rgb="FF008080"/>
      <rgbColor rgb="FF0000FF"/>
      <rgbColor rgb="FF00CCFF"/>
      <rgbColor rgb="FFEEECE1"/>
      <rgbColor rgb="FFEBF1DE"/>
      <rgbColor rgb="FFFDEADA"/>
      <rgbColor rgb="FF8EB4E3"/>
      <rgbColor rgb="FFFFC7CE"/>
      <rgbColor rgb="FFB3A2C7"/>
      <rgbColor rgb="FFFAC090"/>
      <rgbColor rgb="FF3366FF"/>
      <rgbColor rgb="FFE6E0EC"/>
      <rgbColor rgb="FF92D050"/>
      <rgbColor rgb="FFF2DCDB"/>
      <rgbColor rgb="FFF79646"/>
      <rgbColor rgb="FFC86765"/>
      <rgbColor rgb="FF8064A2"/>
      <rgbColor rgb="FFA6A6A6"/>
      <rgbColor rgb="FF003366"/>
      <rgbColor rgb="FF00B050"/>
      <rgbColor rgb="FF003300"/>
      <rgbColor rgb="FF404040"/>
      <rgbColor rgb="FF772C2A"/>
      <rgbColor rgb="FFC0504D"/>
      <rgbColor rgb="FF595959"/>
      <rgbColor rgb="FF40315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12600</xdr:colOff>
      <xdr:row>0</xdr:row>
      <xdr:rowOff>12600</xdr:rowOff>
    </xdr:from>
    <xdr:to>
      <xdr:col>1</xdr:col>
      <xdr:colOff>565546</xdr:colOff>
      <xdr:row>1</xdr:row>
      <xdr:rowOff>255984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600" y="12600"/>
          <a:ext cx="1320900" cy="404119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12600</xdr:colOff>
      <xdr:row>0</xdr:row>
      <xdr:rowOff>12600</xdr:rowOff>
    </xdr:from>
    <xdr:to>
      <xdr:col>1</xdr:col>
      <xdr:colOff>565546</xdr:colOff>
      <xdr:row>1</xdr:row>
      <xdr:rowOff>255984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AC5F83A-E10A-4795-8C29-716D5514116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600" y="12600"/>
          <a:ext cx="1267321" cy="405309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869673</xdr:colOff>
      <xdr:row>201</xdr:row>
      <xdr:rowOff>24847</xdr:rowOff>
    </xdr:from>
    <xdr:to>
      <xdr:col>1</xdr:col>
      <xdr:colOff>2736340</xdr:colOff>
      <xdr:row>204</xdr:row>
      <xdr:rowOff>156462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148740-9328-43F9-9F03-D2573C40E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1977" y="47036934"/>
          <a:ext cx="1866667" cy="6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DEADA"/>
  </sheetPr>
  <dimension ref="A1:H224"/>
  <sheetViews>
    <sheetView showGridLines="0" view="pageBreakPreview" zoomScale="115" zoomScaleNormal="80" zoomScaleSheetLayoutView="115" zoomScalePageLayoutView="90" workbookViewId="0">
      <pane ySplit="4" topLeftCell="A181" activePane="bottomLeft" state="frozen"/>
      <selection activeCell="D205" sqref="D205"/>
      <selection pane="bottomLeft" activeCell="E6" sqref="E6:E158"/>
    </sheetView>
  </sheetViews>
  <sheetFormatPr baseColWidth="10" defaultColWidth="10.7109375" defaultRowHeight="12.75"/>
  <cols>
    <col min="1" max="1" width="10.7109375" style="29"/>
    <col min="2" max="2" width="70.7109375" style="1" customWidth="1"/>
    <col min="3" max="3" width="11.7109375" style="23" customWidth="1"/>
    <col min="4" max="4" width="12.7109375" style="1" customWidth="1"/>
    <col min="5" max="5" width="14.5703125" style="36" customWidth="1"/>
    <col min="6" max="6" width="17.5703125" style="60" customWidth="1"/>
    <col min="7" max="7" width="8.7109375" style="1" bestFit="1" customWidth="1"/>
    <col min="8" max="8" width="10.7109375" style="1" customWidth="1"/>
    <col min="9" max="16384" width="10.7109375" style="1"/>
  </cols>
  <sheetData>
    <row r="1" spans="1:7" s="9" customFormat="1">
      <c r="A1" s="125" t="s">
        <v>0</v>
      </c>
      <c r="B1" s="125"/>
      <c r="C1" s="125"/>
      <c r="D1" s="125"/>
      <c r="E1" s="125"/>
      <c r="F1" s="125"/>
      <c r="G1" s="125"/>
    </row>
    <row r="2" spans="1:7" s="9" customFormat="1" ht="43.5" customHeight="1">
      <c r="A2" s="125" t="s">
        <v>356</v>
      </c>
      <c r="B2" s="125"/>
      <c r="C2" s="125"/>
      <c r="D2" s="125"/>
      <c r="E2" s="125"/>
      <c r="F2" s="125"/>
      <c r="G2" s="125"/>
    </row>
    <row r="3" spans="1:7" s="9" customFormat="1">
      <c r="A3" s="125" t="s">
        <v>1</v>
      </c>
      <c r="B3" s="125"/>
      <c r="C3" s="125"/>
      <c r="D3" s="125"/>
      <c r="E3" s="125"/>
      <c r="F3" s="125"/>
      <c r="G3" s="125"/>
    </row>
    <row r="4" spans="1:7" ht="13.5" thickBot="1">
      <c r="A4" s="10" t="s">
        <v>2</v>
      </c>
      <c r="B4" s="11" t="s">
        <v>3</v>
      </c>
      <c r="C4" s="11" t="s">
        <v>143</v>
      </c>
      <c r="D4" s="11" t="s">
        <v>4</v>
      </c>
      <c r="E4" s="12" t="s">
        <v>394</v>
      </c>
      <c r="F4" s="51" t="s">
        <v>5</v>
      </c>
      <c r="G4" s="12" t="s">
        <v>6</v>
      </c>
    </row>
    <row r="5" spans="1:7">
      <c r="A5" s="41" t="s">
        <v>7</v>
      </c>
      <c r="B5" s="42" t="s">
        <v>8</v>
      </c>
      <c r="C5" s="43"/>
      <c r="D5" s="44"/>
      <c r="E5" s="45"/>
      <c r="F5" s="52">
        <f>SUM(F6:F19)</f>
        <v>531108793</v>
      </c>
      <c r="G5" s="8">
        <f>IFERROR(F5/$F$160,"")</f>
        <v>1.7519627765005718E-2</v>
      </c>
    </row>
    <row r="6" spans="1:7">
      <c r="A6" s="18" t="s">
        <v>9</v>
      </c>
      <c r="B6" s="66" t="s">
        <v>378</v>
      </c>
      <c r="C6" s="3" t="s">
        <v>22</v>
      </c>
      <c r="D6" s="19">
        <v>36</v>
      </c>
      <c r="E6" s="37">
        <v>974205</v>
      </c>
      <c r="F6" s="53">
        <f t="shared" ref="F6:F19" si="0">IFERROR(E6*D6,"")</f>
        <v>35071380</v>
      </c>
    </row>
    <row r="7" spans="1:7">
      <c r="A7" s="18" t="s">
        <v>11</v>
      </c>
      <c r="B7" s="66" t="s">
        <v>12</v>
      </c>
      <c r="C7" s="3" t="s">
        <v>25</v>
      </c>
      <c r="D7" s="19">
        <v>102</v>
      </c>
      <c r="E7" s="37">
        <v>713293</v>
      </c>
      <c r="F7" s="53">
        <f t="shared" si="0"/>
        <v>72755886</v>
      </c>
    </row>
    <row r="8" spans="1:7">
      <c r="A8" s="18" t="s">
        <v>14</v>
      </c>
      <c r="B8" s="66" t="s">
        <v>15</v>
      </c>
      <c r="C8" s="3" t="s">
        <v>10</v>
      </c>
      <c r="D8" s="19">
        <v>210</v>
      </c>
      <c r="E8" s="37">
        <v>202417</v>
      </c>
      <c r="F8" s="53">
        <f t="shared" si="0"/>
        <v>42507570</v>
      </c>
    </row>
    <row r="9" spans="1:7">
      <c r="A9" s="18" t="s">
        <v>16</v>
      </c>
      <c r="B9" s="66" t="s">
        <v>379</v>
      </c>
      <c r="C9" s="3" t="s">
        <v>13</v>
      </c>
      <c r="D9" s="19">
        <v>520</v>
      </c>
      <c r="E9" s="37">
        <v>19736</v>
      </c>
      <c r="F9" s="53">
        <f t="shared" si="0"/>
        <v>10262720</v>
      </c>
    </row>
    <row r="10" spans="1:7">
      <c r="A10" s="18" t="s">
        <v>17</v>
      </c>
      <c r="B10" s="66" t="s">
        <v>18</v>
      </c>
      <c r="C10" s="3" t="s">
        <v>13</v>
      </c>
      <c r="D10" s="19">
        <v>20500</v>
      </c>
      <c r="E10" s="37">
        <v>409</v>
      </c>
      <c r="F10" s="53">
        <f t="shared" si="0"/>
        <v>8384500</v>
      </c>
    </row>
    <row r="11" spans="1:7">
      <c r="A11" s="18" t="s">
        <v>19</v>
      </c>
      <c r="B11" s="66" t="s">
        <v>20</v>
      </c>
      <c r="C11" s="3" t="s">
        <v>25</v>
      </c>
      <c r="D11" s="19">
        <v>310</v>
      </c>
      <c r="E11" s="37">
        <v>80576</v>
      </c>
      <c r="F11" s="53">
        <f t="shared" si="0"/>
        <v>24978560</v>
      </c>
    </row>
    <row r="12" spans="1:7">
      <c r="A12" s="18" t="s">
        <v>23</v>
      </c>
      <c r="B12" s="66" t="s">
        <v>24</v>
      </c>
      <c r="C12" s="3" t="s">
        <v>25</v>
      </c>
      <c r="D12" s="19">
        <v>2150</v>
      </c>
      <c r="E12" s="37">
        <v>52282</v>
      </c>
      <c r="F12" s="53">
        <f t="shared" si="0"/>
        <v>112406300</v>
      </c>
    </row>
    <row r="13" spans="1:7">
      <c r="A13" s="18" t="s">
        <v>26</v>
      </c>
      <c r="B13" s="67" t="s">
        <v>27</v>
      </c>
      <c r="C13" s="3" t="s">
        <v>13</v>
      </c>
      <c r="D13" s="19">
        <f>1013+10</f>
        <v>1023</v>
      </c>
      <c r="E13" s="37">
        <v>8766</v>
      </c>
      <c r="F13" s="53">
        <f t="shared" si="0"/>
        <v>8967618</v>
      </c>
    </row>
    <row r="14" spans="1:7">
      <c r="A14" s="18" t="s">
        <v>28</v>
      </c>
      <c r="B14" s="67" t="s">
        <v>29</v>
      </c>
      <c r="C14" s="3" t="s">
        <v>25</v>
      </c>
      <c r="D14" s="19">
        <v>11</v>
      </c>
      <c r="E14" s="37">
        <v>355516</v>
      </c>
      <c r="F14" s="53">
        <f t="shared" si="0"/>
        <v>3910676</v>
      </c>
    </row>
    <row r="15" spans="1:7">
      <c r="A15" s="18" t="s">
        <v>30</v>
      </c>
      <c r="B15" s="66" t="s">
        <v>31</v>
      </c>
      <c r="C15" s="3" t="s">
        <v>13</v>
      </c>
      <c r="D15" s="19">
        <v>500</v>
      </c>
      <c r="E15" s="37">
        <v>21881</v>
      </c>
      <c r="F15" s="53">
        <f t="shared" si="0"/>
        <v>10940500</v>
      </c>
    </row>
    <row r="16" spans="1:7">
      <c r="A16" s="18" t="s">
        <v>32</v>
      </c>
      <c r="B16" s="66" t="s">
        <v>33</v>
      </c>
      <c r="C16" s="3" t="s">
        <v>13</v>
      </c>
      <c r="D16" s="19">
        <v>500</v>
      </c>
      <c r="E16" s="37">
        <v>31123</v>
      </c>
      <c r="F16" s="53">
        <f t="shared" si="0"/>
        <v>15561500</v>
      </c>
    </row>
    <row r="17" spans="1:7">
      <c r="A17" s="18" t="s">
        <v>34</v>
      </c>
      <c r="B17" s="68" t="s">
        <v>35</v>
      </c>
      <c r="C17" s="20" t="s">
        <v>25</v>
      </c>
      <c r="D17" s="86">
        <v>203</v>
      </c>
      <c r="E17" s="37">
        <v>757976</v>
      </c>
      <c r="F17" s="53">
        <f t="shared" si="0"/>
        <v>153869128</v>
      </c>
    </row>
    <row r="18" spans="1:7">
      <c r="A18" s="18" t="s">
        <v>36</v>
      </c>
      <c r="B18" s="68" t="s">
        <v>37</v>
      </c>
      <c r="C18" s="20" t="s">
        <v>25</v>
      </c>
      <c r="D18" s="19">
        <v>71</v>
      </c>
      <c r="E18" s="37">
        <v>356097</v>
      </c>
      <c r="F18" s="53">
        <f t="shared" si="0"/>
        <v>25282887</v>
      </c>
    </row>
    <row r="19" spans="1:7">
      <c r="A19" s="18" t="s">
        <v>38</v>
      </c>
      <c r="B19" s="68" t="s">
        <v>39</v>
      </c>
      <c r="C19" s="20" t="s">
        <v>10</v>
      </c>
      <c r="D19" s="19">
        <v>32</v>
      </c>
      <c r="E19" s="37">
        <v>194049</v>
      </c>
      <c r="F19" s="53">
        <f t="shared" si="0"/>
        <v>6209568</v>
      </c>
    </row>
    <row r="20" spans="1:7" s="21" customFormat="1">
      <c r="A20" s="13" t="s">
        <v>40</v>
      </c>
      <c r="B20" s="14" t="s">
        <v>41</v>
      </c>
      <c r="C20" s="15"/>
      <c r="D20" s="16"/>
      <c r="E20" s="17"/>
      <c r="F20" s="54">
        <f>SUM(F21:F23)</f>
        <v>63793555.640000008</v>
      </c>
      <c r="G20" s="8">
        <f>IFERROR(F20/$F$160,"")</f>
        <v>2.1043510545286363E-3</v>
      </c>
    </row>
    <row r="21" spans="1:7">
      <c r="A21" s="18" t="s">
        <v>42</v>
      </c>
      <c r="B21" s="68" t="s">
        <v>43</v>
      </c>
      <c r="C21" s="20" t="s">
        <v>10</v>
      </c>
      <c r="D21" s="19">
        <v>25</v>
      </c>
      <c r="E21" s="37">
        <v>15692</v>
      </c>
      <c r="F21" s="53">
        <f t="shared" ref="F21:F23" si="1">IFERROR(E21*D21,"")</f>
        <v>392300</v>
      </c>
    </row>
    <row r="22" spans="1:7">
      <c r="A22" s="18" t="s">
        <v>44</v>
      </c>
      <c r="B22" s="68" t="s">
        <v>45</v>
      </c>
      <c r="C22" s="20" t="s">
        <v>21</v>
      </c>
      <c r="D22" s="19">
        <v>26</v>
      </c>
      <c r="E22" s="37">
        <v>273176</v>
      </c>
      <c r="F22" s="53">
        <f t="shared" si="1"/>
        <v>7102576</v>
      </c>
    </row>
    <row r="23" spans="1:7">
      <c r="A23" s="18" t="s">
        <v>46</v>
      </c>
      <c r="B23" s="68" t="s">
        <v>47</v>
      </c>
      <c r="C23" s="20" t="s">
        <v>10</v>
      </c>
      <c r="D23" s="19">
        <v>2820.01</v>
      </c>
      <c r="E23" s="37">
        <v>19964</v>
      </c>
      <c r="F23" s="53">
        <f t="shared" si="1"/>
        <v>56298679.640000008</v>
      </c>
    </row>
    <row r="24" spans="1:7" s="21" customFormat="1">
      <c r="A24" s="13" t="s">
        <v>48</v>
      </c>
      <c r="B24" s="14" t="s">
        <v>49</v>
      </c>
      <c r="C24" s="15"/>
      <c r="D24" s="16"/>
      <c r="E24" s="17"/>
      <c r="F24" s="54">
        <f>SUM(F25:F27)</f>
        <v>1659643075.7800002</v>
      </c>
      <c r="G24" s="8">
        <f>IFERROR(F24/$F$160,"")</f>
        <v>5.4746464930839095E-2</v>
      </c>
    </row>
    <row r="25" spans="1:7">
      <c r="A25" s="18" t="s">
        <v>50</v>
      </c>
      <c r="B25" s="68" t="s">
        <v>51</v>
      </c>
      <c r="C25" s="20" t="s">
        <v>21</v>
      </c>
      <c r="D25" s="19">
        <f>16200.19+400</f>
        <v>16600.190000000002</v>
      </c>
      <c r="E25" s="37">
        <v>50555</v>
      </c>
      <c r="F25" s="53">
        <f t="shared" ref="F25:F27" si="2">IFERROR(E25*D25,"")</f>
        <v>839222605.45000017</v>
      </c>
    </row>
    <row r="26" spans="1:7">
      <c r="A26" s="18" t="s">
        <v>52</v>
      </c>
      <c r="B26" s="68" t="s">
        <v>53</v>
      </c>
      <c r="C26" s="20" t="s">
        <v>21</v>
      </c>
      <c r="D26" s="19">
        <f>2521.77+7</f>
        <v>2528.77</v>
      </c>
      <c r="E26" s="37">
        <v>58644</v>
      </c>
      <c r="F26" s="53">
        <f t="shared" si="2"/>
        <v>148297187.88</v>
      </c>
    </row>
    <row r="27" spans="1:7">
      <c r="A27" s="18" t="s">
        <v>54</v>
      </c>
      <c r="B27" s="68" t="s">
        <v>55</v>
      </c>
      <c r="C27" s="20" t="s">
        <v>21</v>
      </c>
      <c r="D27" s="19">
        <f>43083.78+377+0.15</f>
        <v>43460.93</v>
      </c>
      <c r="E27" s="37">
        <v>15465</v>
      </c>
      <c r="F27" s="53">
        <f t="shared" si="2"/>
        <v>672123282.45000005</v>
      </c>
    </row>
    <row r="28" spans="1:7" s="21" customFormat="1">
      <c r="A28" s="22" t="s">
        <v>56</v>
      </c>
      <c r="B28" s="14" t="s">
        <v>57</v>
      </c>
      <c r="C28" s="15"/>
      <c r="D28" s="16"/>
      <c r="E28" s="17"/>
      <c r="F28" s="54">
        <f>SUM(F29:F30)</f>
        <v>151031731.40000001</v>
      </c>
      <c r="G28" s="8">
        <f>IFERROR(F28/$F$160,"")</f>
        <v>4.9820672331296273E-3</v>
      </c>
    </row>
    <row r="29" spans="1:7">
      <c r="A29" s="18" t="s">
        <v>58</v>
      </c>
      <c r="B29" s="66" t="s">
        <v>59</v>
      </c>
      <c r="C29" s="3" t="s">
        <v>60</v>
      </c>
      <c r="D29" s="19">
        <f>13159+3007</f>
        <v>16166</v>
      </c>
      <c r="E29" s="37">
        <v>8986</v>
      </c>
      <c r="F29" s="53">
        <f t="shared" ref="F29" si="3">IFERROR(E29*D29,"")</f>
        <v>145267676</v>
      </c>
    </row>
    <row r="30" spans="1:7">
      <c r="A30" s="18" t="s">
        <v>61</v>
      </c>
      <c r="B30" s="66" t="s">
        <v>62</v>
      </c>
      <c r="C30" s="3" t="s">
        <v>21</v>
      </c>
      <c r="D30" s="19">
        <f>7+1.6</f>
        <v>8.6</v>
      </c>
      <c r="E30" s="37">
        <v>670239</v>
      </c>
      <c r="F30" s="53">
        <f t="shared" ref="F30:F38" si="4">IFERROR(E30*D30,"")</f>
        <v>5764055.3999999994</v>
      </c>
    </row>
    <row r="31" spans="1:7">
      <c r="A31" s="22" t="s">
        <v>333</v>
      </c>
      <c r="B31" s="14" t="s">
        <v>334</v>
      </c>
      <c r="C31" s="15"/>
      <c r="D31" s="16"/>
      <c r="E31" s="17"/>
      <c r="F31" s="54">
        <f>SUM(F32:F38)</f>
        <v>1302001793.78</v>
      </c>
      <c r="G31" s="8">
        <f>IFERROR(F31/$F$160,"")</f>
        <v>4.2948991010953452E-2</v>
      </c>
    </row>
    <row r="32" spans="1:7">
      <c r="A32" s="18" t="s">
        <v>335</v>
      </c>
      <c r="B32" s="2" t="s">
        <v>336</v>
      </c>
      <c r="C32" s="3" t="s">
        <v>13</v>
      </c>
      <c r="D32" s="19">
        <v>3293.41</v>
      </c>
      <c r="E32" s="37">
        <v>33602</v>
      </c>
      <c r="F32" s="53">
        <f t="shared" si="4"/>
        <v>110665162.81999999</v>
      </c>
    </row>
    <row r="33" spans="1:7">
      <c r="A33" s="18" t="s">
        <v>337</v>
      </c>
      <c r="B33" s="2" t="s">
        <v>338</v>
      </c>
      <c r="C33" s="3" t="s">
        <v>13</v>
      </c>
      <c r="D33" s="19">
        <v>587.01</v>
      </c>
      <c r="E33" s="37">
        <v>63239</v>
      </c>
      <c r="F33" s="53">
        <f t="shared" si="4"/>
        <v>37121925.390000001</v>
      </c>
    </row>
    <row r="34" spans="1:7">
      <c r="A34" s="18" t="s">
        <v>339</v>
      </c>
      <c r="B34" s="2" t="s">
        <v>380</v>
      </c>
      <c r="C34" s="3" t="s">
        <v>10</v>
      </c>
      <c r="D34" s="19">
        <v>11115.49</v>
      </c>
      <c r="E34" s="37">
        <v>56297</v>
      </c>
      <c r="F34" s="53">
        <f t="shared" si="4"/>
        <v>625768740.52999997</v>
      </c>
    </row>
    <row r="35" spans="1:7">
      <c r="A35" s="18" t="s">
        <v>340</v>
      </c>
      <c r="B35" s="2" t="s">
        <v>381</v>
      </c>
      <c r="C35" s="3" t="s">
        <v>10</v>
      </c>
      <c r="D35" s="19">
        <v>1320.02</v>
      </c>
      <c r="E35" s="37">
        <v>41006</v>
      </c>
      <c r="F35" s="53">
        <f t="shared" si="4"/>
        <v>54128740.119999997</v>
      </c>
    </row>
    <row r="36" spans="1:7">
      <c r="A36" s="18" t="s">
        <v>341</v>
      </c>
      <c r="B36" s="2" t="s">
        <v>342</v>
      </c>
      <c r="C36" s="3" t="s">
        <v>10</v>
      </c>
      <c r="D36" s="19">
        <v>3058.34</v>
      </c>
      <c r="E36" s="37">
        <v>31888</v>
      </c>
      <c r="F36" s="53">
        <f t="shared" si="4"/>
        <v>97524345.920000002</v>
      </c>
    </row>
    <row r="37" spans="1:7">
      <c r="A37" s="18" t="s">
        <v>343</v>
      </c>
      <c r="B37" s="2" t="s">
        <v>344</v>
      </c>
      <c r="C37" s="3" t="s">
        <v>21</v>
      </c>
      <c r="D37" s="19">
        <v>5396</v>
      </c>
      <c r="E37" s="37">
        <v>63370</v>
      </c>
      <c r="F37" s="53">
        <f t="shared" si="4"/>
        <v>341944520</v>
      </c>
    </row>
    <row r="38" spans="1:7">
      <c r="A38" s="18" t="s">
        <v>345</v>
      </c>
      <c r="B38" s="2" t="s">
        <v>346</v>
      </c>
      <c r="C38" s="3" t="s">
        <v>21</v>
      </c>
      <c r="D38" s="19">
        <v>317.8</v>
      </c>
      <c r="E38" s="37">
        <v>109655</v>
      </c>
      <c r="F38" s="53">
        <f t="shared" si="4"/>
        <v>34848359</v>
      </c>
    </row>
    <row r="39" spans="1:7" s="21" customFormat="1">
      <c r="A39" s="13" t="s">
        <v>63</v>
      </c>
      <c r="B39" s="14" t="s">
        <v>64</v>
      </c>
      <c r="C39" s="15"/>
      <c r="D39" s="16"/>
      <c r="E39" s="17"/>
      <c r="F39" s="54">
        <f>SUM(F40:F41)</f>
        <v>5042486870</v>
      </c>
      <c r="G39" s="8">
        <f>IFERROR(F39/$F$160,"")</f>
        <v>0.16633596381133306</v>
      </c>
    </row>
    <row r="40" spans="1:7">
      <c r="A40" s="18" t="s">
        <v>65</v>
      </c>
      <c r="B40" s="66" t="s">
        <v>66</v>
      </c>
      <c r="C40" s="3" t="s">
        <v>21</v>
      </c>
      <c r="D40" s="19">
        <f>8019+100</f>
        <v>8119</v>
      </c>
      <c r="E40" s="37">
        <v>175696</v>
      </c>
      <c r="F40" s="53">
        <f t="shared" ref="F40:F41" si="5">IFERROR(E40*D40,"")</f>
        <v>1426475824</v>
      </c>
    </row>
    <row r="41" spans="1:7">
      <c r="A41" s="18" t="s">
        <v>67</v>
      </c>
      <c r="B41" s="66" t="s">
        <v>68</v>
      </c>
      <c r="C41" s="3" t="s">
        <v>21</v>
      </c>
      <c r="D41" s="19">
        <f>24057+137</f>
        <v>24194</v>
      </c>
      <c r="E41" s="37">
        <v>149459</v>
      </c>
      <c r="F41" s="53">
        <f t="shared" si="5"/>
        <v>3616011046</v>
      </c>
    </row>
    <row r="42" spans="1:7" s="21" customFormat="1">
      <c r="A42" s="13" t="s">
        <v>69</v>
      </c>
      <c r="B42" s="14" t="s">
        <v>70</v>
      </c>
      <c r="C42" s="15"/>
      <c r="D42" s="16"/>
      <c r="E42" s="17"/>
      <c r="F42" s="54">
        <f>SUM(F43:F44)</f>
        <v>7948785222</v>
      </c>
      <c r="G42" s="8">
        <f>IFERROR(F42/$F$160,"")</f>
        <v>0.26220571022144296</v>
      </c>
    </row>
    <row r="43" spans="1:7">
      <c r="A43" s="18" t="s">
        <v>146</v>
      </c>
      <c r="B43" s="66" t="s">
        <v>147</v>
      </c>
      <c r="C43" s="3" t="s">
        <v>10</v>
      </c>
      <c r="D43" s="19">
        <f>53460+400*10</f>
        <v>57460</v>
      </c>
      <c r="E43" s="37">
        <v>6930</v>
      </c>
      <c r="F43" s="53">
        <f t="shared" ref="F43" si="6">IFERROR(E43*D43,"")</f>
        <v>398197800</v>
      </c>
    </row>
    <row r="44" spans="1:7">
      <c r="A44" s="18" t="s">
        <v>71</v>
      </c>
      <c r="B44" s="66" t="s">
        <v>72</v>
      </c>
      <c r="C44" s="3" t="s">
        <v>21</v>
      </c>
      <c r="D44" s="19">
        <f>5880.6+36</f>
        <v>5916.6</v>
      </c>
      <c r="E44" s="37">
        <v>1276170</v>
      </c>
      <c r="F44" s="53">
        <f t="shared" ref="F44" si="7">IFERROR(E44*D44,"")</f>
        <v>7550587422</v>
      </c>
    </row>
    <row r="45" spans="1:7" s="21" customFormat="1">
      <c r="A45" s="13" t="s">
        <v>73</v>
      </c>
      <c r="B45" s="14" t="s">
        <v>74</v>
      </c>
      <c r="C45" s="15"/>
      <c r="D45" s="16"/>
      <c r="E45" s="17"/>
      <c r="F45" s="54">
        <f>SUM(F46:F47)</f>
        <v>19289308.48</v>
      </c>
      <c r="G45" s="8">
        <f>IFERROR(F45/$F$160,"")</f>
        <v>6.3629431270584942E-4</v>
      </c>
    </row>
    <row r="46" spans="1:7" ht="25.5">
      <c r="A46" s="18" t="s">
        <v>75</v>
      </c>
      <c r="B46" s="66" t="s">
        <v>76</v>
      </c>
      <c r="C46" s="3" t="s">
        <v>25</v>
      </c>
      <c r="D46" s="19">
        <v>20</v>
      </c>
      <c r="E46" s="37">
        <v>935786</v>
      </c>
      <c r="F46" s="53">
        <f t="shared" ref="F46:F47" si="8">IFERROR(E46*D46,"")</f>
        <v>18715720</v>
      </c>
    </row>
    <row r="47" spans="1:7">
      <c r="A47" s="18" t="s">
        <v>77</v>
      </c>
      <c r="B47" s="66" t="s">
        <v>144</v>
      </c>
      <c r="C47" s="3" t="s">
        <v>10</v>
      </c>
      <c r="D47" s="19">
        <f>135+70.44</f>
        <v>205.44</v>
      </c>
      <c r="E47" s="37">
        <v>2792</v>
      </c>
      <c r="F47" s="53">
        <f t="shared" si="8"/>
        <v>573588.47999999998</v>
      </c>
    </row>
    <row r="48" spans="1:7" s="21" customFormat="1">
      <c r="A48" s="13" t="s">
        <v>78</v>
      </c>
      <c r="B48" s="14" t="s">
        <v>79</v>
      </c>
      <c r="C48" s="15"/>
      <c r="D48" s="16"/>
      <c r="E48" s="17"/>
      <c r="F48" s="54">
        <f>SUM(F49:F51)</f>
        <v>21241840</v>
      </c>
      <c r="G48" s="8">
        <f>IFERROR(F48/$F$160,"")</f>
        <v>7.0070225676683359E-4</v>
      </c>
    </row>
    <row r="49" spans="1:7">
      <c r="A49" s="18" t="s">
        <v>82</v>
      </c>
      <c r="B49" s="66" t="s">
        <v>80</v>
      </c>
      <c r="C49" s="3" t="s">
        <v>13</v>
      </c>
      <c r="D49" s="19">
        <v>224.4</v>
      </c>
      <c r="E49" s="37">
        <v>83090</v>
      </c>
      <c r="F49" s="53">
        <f t="shared" ref="F49:F51" si="9">IFERROR(E49*D49,"")</f>
        <v>18645396</v>
      </c>
    </row>
    <row r="50" spans="1:7">
      <c r="A50" s="18" t="s">
        <v>84</v>
      </c>
      <c r="B50" s="66" t="s">
        <v>81</v>
      </c>
      <c r="C50" s="3" t="s">
        <v>13</v>
      </c>
      <c r="D50" s="19">
        <v>18</v>
      </c>
      <c r="E50" s="37">
        <v>107762</v>
      </c>
      <c r="F50" s="53">
        <f t="shared" si="9"/>
        <v>1939716</v>
      </c>
    </row>
    <row r="51" spans="1:7">
      <c r="A51" s="18" t="s">
        <v>85</v>
      </c>
      <c r="B51" s="66" t="s">
        <v>83</v>
      </c>
      <c r="C51" s="3" t="s">
        <v>13</v>
      </c>
      <c r="D51" s="19">
        <v>4</v>
      </c>
      <c r="E51" s="37">
        <v>164182</v>
      </c>
      <c r="F51" s="53">
        <f t="shared" si="9"/>
        <v>656728</v>
      </c>
    </row>
    <row r="52" spans="1:7" s="21" customFormat="1">
      <c r="A52" s="13" t="s">
        <v>86</v>
      </c>
      <c r="B52" s="14" t="s">
        <v>87</v>
      </c>
      <c r="C52" s="15"/>
      <c r="D52" s="16"/>
      <c r="E52" s="17"/>
      <c r="F52" s="54">
        <f>SUM(F53:F55)</f>
        <v>539705540</v>
      </c>
      <c r="G52" s="8">
        <f>IFERROR(F52/$F$160,"")</f>
        <v>1.7803207719649643E-2</v>
      </c>
    </row>
    <row r="53" spans="1:7">
      <c r="A53" s="18" t="s">
        <v>88</v>
      </c>
      <c r="B53" s="66" t="s">
        <v>148</v>
      </c>
      <c r="C53" s="3" t="s">
        <v>25</v>
      </c>
      <c r="D53" s="19">
        <f>148+20</f>
        <v>168</v>
      </c>
      <c r="E53" s="37">
        <v>507268</v>
      </c>
      <c r="F53" s="53">
        <f t="shared" ref="F53:F54" si="10">IFERROR(E53*D53,"")</f>
        <v>85221024</v>
      </c>
    </row>
    <row r="54" spans="1:7">
      <c r="A54" s="18" t="s">
        <v>89</v>
      </c>
      <c r="B54" s="66" t="s">
        <v>382</v>
      </c>
      <c r="C54" s="3" t="s">
        <v>25</v>
      </c>
      <c r="D54" s="19">
        <f>6368.44+768</f>
        <v>7136.44</v>
      </c>
      <c r="E54" s="37">
        <v>52235</v>
      </c>
      <c r="F54" s="53">
        <f t="shared" si="10"/>
        <v>372771943.39999998</v>
      </c>
    </row>
    <row r="55" spans="1:7" ht="25.5">
      <c r="A55" s="18" t="s">
        <v>90</v>
      </c>
      <c r="B55" s="66" t="s">
        <v>149</v>
      </c>
      <c r="C55" s="3" t="s">
        <v>13</v>
      </c>
      <c r="D55" s="19">
        <f>2300.74+336</f>
        <v>2636.74</v>
      </c>
      <c r="E55" s="37">
        <v>30990</v>
      </c>
      <c r="F55" s="53">
        <f t="shared" ref="F55" si="11">IFERROR(E55*D55,"")</f>
        <v>81712572.599999994</v>
      </c>
    </row>
    <row r="56" spans="1:7" s="21" customFormat="1">
      <c r="A56" s="22" t="s">
        <v>91</v>
      </c>
      <c r="B56" s="14" t="s">
        <v>92</v>
      </c>
      <c r="C56" s="15"/>
      <c r="D56" s="16"/>
      <c r="E56" s="17"/>
      <c r="F56" s="54">
        <f>SUM(F57:F59)</f>
        <v>262410541.5</v>
      </c>
      <c r="G56" s="8">
        <f>IFERROR(F56/$F$160,"")</f>
        <v>8.656107880883052E-3</v>
      </c>
    </row>
    <row r="57" spans="1:7">
      <c r="A57" s="18" t="s">
        <v>93</v>
      </c>
      <c r="B57" s="66" t="s">
        <v>94</v>
      </c>
      <c r="C57" s="3" t="s">
        <v>10</v>
      </c>
      <c r="D57" s="19">
        <f>1687.5+88</f>
        <v>1775.5</v>
      </c>
      <c r="E57" s="37">
        <v>28381</v>
      </c>
      <c r="F57" s="53">
        <f t="shared" ref="F57:F59" si="12">IFERROR(E57*D57,"")</f>
        <v>50390465.5</v>
      </c>
    </row>
    <row r="58" spans="1:7">
      <c r="A58" s="18" t="s">
        <v>95</v>
      </c>
      <c r="B58" s="66" t="s">
        <v>96</v>
      </c>
      <c r="C58" s="3" t="s">
        <v>13</v>
      </c>
      <c r="D58" s="19">
        <f>21250+460</f>
        <v>21710</v>
      </c>
      <c r="E58" s="37">
        <v>8134</v>
      </c>
      <c r="F58" s="53">
        <f t="shared" si="12"/>
        <v>176589140</v>
      </c>
    </row>
    <row r="59" spans="1:7">
      <c r="A59" s="18" t="s">
        <v>97</v>
      </c>
      <c r="B59" s="66" t="s">
        <v>98</v>
      </c>
      <c r="C59" s="3" t="s">
        <v>25</v>
      </c>
      <c r="D59" s="19">
        <f>1291+90</f>
        <v>1381</v>
      </c>
      <c r="E59" s="37">
        <v>25656</v>
      </c>
      <c r="F59" s="53">
        <f t="shared" si="12"/>
        <v>35430936</v>
      </c>
    </row>
    <row r="60" spans="1:7" s="21" customFormat="1">
      <c r="A60" s="22" t="s">
        <v>99</v>
      </c>
      <c r="B60" s="14" t="s">
        <v>100</v>
      </c>
      <c r="C60" s="15"/>
      <c r="D60" s="16"/>
      <c r="E60" s="17"/>
      <c r="F60" s="54">
        <f>SUM(F61:F69)</f>
        <v>2806297520.7200003</v>
      </c>
      <c r="G60" s="8">
        <f>IFERROR(F60/$F$160,"")</f>
        <v>9.257102990737498E-2</v>
      </c>
    </row>
    <row r="61" spans="1:7">
      <c r="A61" s="18" t="s">
        <v>101</v>
      </c>
      <c r="B61" s="66" t="s">
        <v>102</v>
      </c>
      <c r="C61" s="3" t="s">
        <v>10</v>
      </c>
      <c r="D61" s="19">
        <f>3289.93+200*2*2</f>
        <v>4089.93</v>
      </c>
      <c r="E61" s="37">
        <v>93054</v>
      </c>
      <c r="F61" s="53">
        <f t="shared" ref="F61:F69" si="13">IFERROR(E61*D61,"")</f>
        <v>380584346.21999997</v>
      </c>
    </row>
    <row r="62" spans="1:7">
      <c r="A62" s="18" t="s">
        <v>104</v>
      </c>
      <c r="B62" s="66" t="s">
        <v>103</v>
      </c>
      <c r="C62" s="3" t="s">
        <v>25</v>
      </c>
      <c r="D62" s="19">
        <v>62</v>
      </c>
      <c r="E62" s="37">
        <v>445646</v>
      </c>
      <c r="F62" s="53">
        <f t="shared" si="13"/>
        <v>27630052</v>
      </c>
    </row>
    <row r="63" spans="1:7">
      <c r="A63" s="18" t="s">
        <v>108</v>
      </c>
      <c r="B63" s="66" t="s">
        <v>105</v>
      </c>
      <c r="C63" s="3" t="s">
        <v>25</v>
      </c>
      <c r="D63" s="19">
        <v>53</v>
      </c>
      <c r="E63" s="37">
        <v>2722649</v>
      </c>
      <c r="F63" s="53">
        <f t="shared" si="13"/>
        <v>144300397</v>
      </c>
    </row>
    <row r="64" spans="1:7">
      <c r="A64" s="18" t="s">
        <v>109</v>
      </c>
      <c r="B64" s="66" t="s">
        <v>106</v>
      </c>
      <c r="C64" s="3" t="s">
        <v>25</v>
      </c>
      <c r="D64" s="19">
        <f>342+45</f>
        <v>387</v>
      </c>
      <c r="E64" s="37">
        <v>1268899</v>
      </c>
      <c r="F64" s="53">
        <f t="shared" si="13"/>
        <v>491063913</v>
      </c>
    </row>
    <row r="65" spans="1:7">
      <c r="A65" s="18" t="s">
        <v>110</v>
      </c>
      <c r="B65" s="66" t="s">
        <v>107</v>
      </c>
      <c r="C65" s="3" t="s">
        <v>10</v>
      </c>
      <c r="D65" s="19">
        <f>2420+903</f>
        <v>3323</v>
      </c>
      <c r="E65" s="37">
        <v>16543</v>
      </c>
      <c r="F65" s="53">
        <f t="shared" si="13"/>
        <v>54972389</v>
      </c>
    </row>
    <row r="66" spans="1:7">
      <c r="A66" s="18" t="s">
        <v>112</v>
      </c>
      <c r="B66" s="66" t="s">
        <v>111</v>
      </c>
      <c r="C66" s="3" t="s">
        <v>25</v>
      </c>
      <c r="D66" s="19">
        <f>381.5+63</f>
        <v>444.5</v>
      </c>
      <c r="E66" s="37">
        <v>157903</v>
      </c>
      <c r="F66" s="53">
        <f t="shared" si="13"/>
        <v>70187883.5</v>
      </c>
    </row>
    <row r="67" spans="1:7">
      <c r="A67" s="18" t="s">
        <v>114</v>
      </c>
      <c r="B67" s="66" t="s">
        <v>113</v>
      </c>
      <c r="C67" s="3" t="s">
        <v>13</v>
      </c>
      <c r="D67" s="19">
        <f>12071+228</f>
        <v>12299</v>
      </c>
      <c r="E67" s="37">
        <v>125004</v>
      </c>
      <c r="F67" s="53">
        <f t="shared" si="13"/>
        <v>1537424196</v>
      </c>
    </row>
    <row r="68" spans="1:7">
      <c r="A68" s="18" t="s">
        <v>116</v>
      </c>
      <c r="B68" s="66" t="s">
        <v>115</v>
      </c>
      <c r="C68" s="3" t="s">
        <v>25</v>
      </c>
      <c r="D68" s="19">
        <f>2573+502</f>
        <v>3075</v>
      </c>
      <c r="E68" s="37">
        <v>29512</v>
      </c>
      <c r="F68" s="53">
        <f t="shared" si="13"/>
        <v>90749400</v>
      </c>
    </row>
    <row r="69" spans="1:7" ht="25.5">
      <c r="A69" s="18" t="s">
        <v>145</v>
      </c>
      <c r="B69" s="66" t="s">
        <v>117</v>
      </c>
      <c r="C69" s="3" t="s">
        <v>25</v>
      </c>
      <c r="D69" s="19">
        <f>188+6</f>
        <v>194</v>
      </c>
      <c r="E69" s="37">
        <v>48376</v>
      </c>
      <c r="F69" s="53">
        <f t="shared" si="13"/>
        <v>9384944</v>
      </c>
    </row>
    <row r="70" spans="1:7" s="21" customFormat="1">
      <c r="A70" s="13" t="s">
        <v>118</v>
      </c>
      <c r="B70" s="14" t="s">
        <v>119</v>
      </c>
      <c r="C70" s="15"/>
      <c r="D70" s="16"/>
      <c r="E70" s="17"/>
      <c r="F70" s="54">
        <f>SUM(F71:F72)</f>
        <v>2093559126.2699997</v>
      </c>
      <c r="G70" s="8">
        <f>IFERROR(F70/$F$160,"")</f>
        <v>6.9060006310761646E-2</v>
      </c>
    </row>
    <row r="71" spans="1:7" ht="25.5">
      <c r="A71" s="18" t="s">
        <v>120</v>
      </c>
      <c r="B71" s="66" t="s">
        <v>383</v>
      </c>
      <c r="C71" s="3" t="s">
        <v>21</v>
      </c>
      <c r="D71" s="19">
        <f>34305.27+675</f>
        <v>34980.269999999997</v>
      </c>
      <c r="E71" s="37">
        <v>59801</v>
      </c>
      <c r="F71" s="53">
        <f t="shared" ref="F71:F72" si="14">IFERROR(E71*D71,"")</f>
        <v>2091855126.2699997</v>
      </c>
    </row>
    <row r="72" spans="1:7">
      <c r="A72" s="18" t="s">
        <v>123</v>
      </c>
      <c r="B72" s="66" t="s">
        <v>121</v>
      </c>
      <c r="C72" s="3" t="s">
        <v>122</v>
      </c>
      <c r="D72" s="19">
        <v>1000</v>
      </c>
      <c r="E72" s="37">
        <v>1704</v>
      </c>
      <c r="F72" s="53">
        <f t="shared" si="14"/>
        <v>1704000</v>
      </c>
    </row>
    <row r="73" spans="1:7" s="21" customFormat="1">
      <c r="A73" s="13" t="s">
        <v>124</v>
      </c>
      <c r="B73" s="14" t="s">
        <v>125</v>
      </c>
      <c r="C73" s="15"/>
      <c r="D73" s="16"/>
      <c r="E73" s="17"/>
      <c r="F73" s="54">
        <f>SUM(F74:F158)</f>
        <v>7873717988.4499998</v>
      </c>
      <c r="G73" s="8">
        <f>IFERROR(F73/$F$160,"")</f>
        <v>0.25972947558462584</v>
      </c>
    </row>
    <row r="74" spans="1:7">
      <c r="A74" s="18" t="s">
        <v>126</v>
      </c>
      <c r="B74" s="66" t="s">
        <v>150</v>
      </c>
      <c r="C74" s="3" t="s">
        <v>10</v>
      </c>
      <c r="D74" s="19">
        <v>53460</v>
      </c>
      <c r="E74" s="85">
        <v>3480</v>
      </c>
      <c r="F74" s="53">
        <f t="shared" ref="F74:F158" si="15">IFERROR(E74*D74,"")</f>
        <v>186040800</v>
      </c>
    </row>
    <row r="75" spans="1:7">
      <c r="A75" s="18" t="s">
        <v>127</v>
      </c>
      <c r="B75" s="66" t="s">
        <v>151</v>
      </c>
      <c r="C75" s="3" t="s">
        <v>25</v>
      </c>
      <c r="D75" s="19">
        <v>85</v>
      </c>
      <c r="E75" s="85">
        <v>1799714</v>
      </c>
      <c r="F75" s="53">
        <f t="shared" si="15"/>
        <v>152975690</v>
      </c>
    </row>
    <row r="76" spans="1:7" ht="25.5">
      <c r="A76" s="18" t="s">
        <v>237</v>
      </c>
      <c r="B76" s="66" t="s">
        <v>384</v>
      </c>
      <c r="C76" s="3" t="s">
        <v>25</v>
      </c>
      <c r="D76" s="19">
        <v>9</v>
      </c>
      <c r="E76" s="85">
        <v>4305545</v>
      </c>
      <c r="F76" s="53">
        <f t="shared" si="15"/>
        <v>38749905</v>
      </c>
    </row>
    <row r="77" spans="1:7">
      <c r="A77" s="18" t="s">
        <v>238</v>
      </c>
      <c r="B77" s="66" t="s">
        <v>152</v>
      </c>
      <c r="C77" s="3" t="s">
        <v>25</v>
      </c>
      <c r="D77" s="19">
        <v>5</v>
      </c>
      <c r="E77" s="85">
        <v>4801413</v>
      </c>
      <c r="F77" s="53">
        <f t="shared" si="15"/>
        <v>24007065</v>
      </c>
    </row>
    <row r="78" spans="1:7" ht="25.5">
      <c r="A78" s="18" t="s">
        <v>239</v>
      </c>
      <c r="B78" s="66" t="s">
        <v>153</v>
      </c>
      <c r="C78" s="3" t="s">
        <v>25</v>
      </c>
      <c r="D78" s="19">
        <v>3</v>
      </c>
      <c r="E78" s="85">
        <v>1677622</v>
      </c>
      <c r="F78" s="53">
        <f t="shared" si="15"/>
        <v>5032866</v>
      </c>
    </row>
    <row r="79" spans="1:7">
      <c r="A79" s="18" t="s">
        <v>240</v>
      </c>
      <c r="B79" s="66" t="s">
        <v>385</v>
      </c>
      <c r="C79" s="3" t="s">
        <v>25</v>
      </c>
      <c r="D79" s="19">
        <v>3</v>
      </c>
      <c r="E79" s="85">
        <v>643374</v>
      </c>
      <c r="F79" s="53">
        <f t="shared" si="15"/>
        <v>1930122</v>
      </c>
    </row>
    <row r="80" spans="1:7" ht="25.5">
      <c r="A80" s="18" t="s">
        <v>241</v>
      </c>
      <c r="B80" s="66" t="s">
        <v>386</v>
      </c>
      <c r="C80" s="3" t="s">
        <v>25</v>
      </c>
      <c r="D80" s="19">
        <f>148+20</f>
        <v>168</v>
      </c>
      <c r="E80" s="85">
        <v>27722</v>
      </c>
      <c r="F80" s="53">
        <f t="shared" si="15"/>
        <v>4657296</v>
      </c>
    </row>
    <row r="81" spans="1:6" ht="38.25">
      <c r="A81" s="18" t="s">
        <v>242</v>
      </c>
      <c r="B81" s="66" t="s">
        <v>387</v>
      </c>
      <c r="C81" s="3" t="s">
        <v>25</v>
      </c>
      <c r="D81" s="19">
        <f>148+38</f>
        <v>186</v>
      </c>
      <c r="E81" s="85">
        <v>1448286</v>
      </c>
      <c r="F81" s="53">
        <f t="shared" si="15"/>
        <v>269381196</v>
      </c>
    </row>
    <row r="82" spans="1:6">
      <c r="A82" s="18" t="s">
        <v>243</v>
      </c>
      <c r="B82" s="66" t="s">
        <v>154</v>
      </c>
      <c r="C82" s="3" t="s">
        <v>25</v>
      </c>
      <c r="D82" s="19">
        <v>119</v>
      </c>
      <c r="E82" s="85">
        <v>446869</v>
      </c>
      <c r="F82" s="53">
        <f t="shared" si="15"/>
        <v>53177411</v>
      </c>
    </row>
    <row r="83" spans="1:6">
      <c r="A83" s="18" t="s">
        <v>244</v>
      </c>
      <c r="B83" s="66" t="s">
        <v>155</v>
      </c>
      <c r="C83" s="3" t="s">
        <v>25</v>
      </c>
      <c r="D83" s="19">
        <v>52</v>
      </c>
      <c r="E83" s="85">
        <v>446869</v>
      </c>
      <c r="F83" s="53">
        <f t="shared" si="15"/>
        <v>23237188</v>
      </c>
    </row>
    <row r="84" spans="1:6">
      <c r="A84" s="18" t="s">
        <v>245</v>
      </c>
      <c r="B84" s="66" t="s">
        <v>156</v>
      </c>
      <c r="C84" s="3" t="s">
        <v>25</v>
      </c>
      <c r="D84" s="19">
        <v>45</v>
      </c>
      <c r="E84" s="85">
        <v>490107</v>
      </c>
      <c r="F84" s="53">
        <f t="shared" si="15"/>
        <v>22054815</v>
      </c>
    </row>
    <row r="85" spans="1:6">
      <c r="A85" s="18" t="s">
        <v>246</v>
      </c>
      <c r="B85" s="66" t="s">
        <v>157</v>
      </c>
      <c r="C85" s="3" t="s">
        <v>13</v>
      </c>
      <c r="D85" s="19">
        <v>507</v>
      </c>
      <c r="E85" s="85">
        <v>754673</v>
      </c>
      <c r="F85" s="53">
        <f t="shared" si="15"/>
        <v>382619211</v>
      </c>
    </row>
    <row r="86" spans="1:6">
      <c r="A86" s="18" t="s">
        <v>247</v>
      </c>
      <c r="B86" s="66" t="s">
        <v>158</v>
      </c>
      <c r="C86" s="3" t="s">
        <v>13</v>
      </c>
      <c r="D86" s="19">
        <v>526.25</v>
      </c>
      <c r="E86" s="85">
        <v>239394</v>
      </c>
      <c r="F86" s="53">
        <f t="shared" si="15"/>
        <v>125981092.5</v>
      </c>
    </row>
    <row r="87" spans="1:6">
      <c r="A87" s="18" t="s">
        <v>248</v>
      </c>
      <c r="B87" s="66" t="s">
        <v>159</v>
      </c>
      <c r="C87" s="3" t="s">
        <v>25</v>
      </c>
      <c r="D87" s="19">
        <v>51</v>
      </c>
      <c r="E87" s="85">
        <v>197305</v>
      </c>
      <c r="F87" s="53">
        <f t="shared" si="15"/>
        <v>10062555</v>
      </c>
    </row>
    <row r="88" spans="1:6">
      <c r="A88" s="18" t="s">
        <v>249</v>
      </c>
      <c r="B88" s="66" t="s">
        <v>160</v>
      </c>
      <c r="C88" s="3" t="s">
        <v>22</v>
      </c>
      <c r="D88" s="19">
        <v>54</v>
      </c>
      <c r="E88" s="85">
        <v>3530744</v>
      </c>
      <c r="F88" s="53">
        <f t="shared" si="15"/>
        <v>190660176</v>
      </c>
    </row>
    <row r="89" spans="1:6">
      <c r="A89" s="18" t="s">
        <v>250</v>
      </c>
      <c r="B89" s="66" t="s">
        <v>161</v>
      </c>
      <c r="C89" s="3" t="s">
        <v>22</v>
      </c>
      <c r="D89" s="19">
        <v>18</v>
      </c>
      <c r="E89" s="85">
        <v>7979481</v>
      </c>
      <c r="F89" s="53">
        <f t="shared" si="15"/>
        <v>143630658</v>
      </c>
    </row>
    <row r="90" spans="1:6">
      <c r="A90" s="18" t="s">
        <v>251</v>
      </c>
      <c r="B90" s="66" t="s">
        <v>162</v>
      </c>
      <c r="C90" s="3" t="s">
        <v>13</v>
      </c>
      <c r="D90" s="19">
        <f>123+20</f>
        <v>143</v>
      </c>
      <c r="E90" s="85">
        <v>2177235</v>
      </c>
      <c r="F90" s="53">
        <f t="shared" si="15"/>
        <v>311344605</v>
      </c>
    </row>
    <row r="91" spans="1:6">
      <c r="A91" s="18" t="s">
        <v>252</v>
      </c>
      <c r="B91" s="66" t="s">
        <v>163</v>
      </c>
      <c r="C91" s="3" t="s">
        <v>13</v>
      </c>
      <c r="D91" s="19">
        <f>3870.5+1063</f>
        <v>4933.5</v>
      </c>
      <c r="E91" s="85">
        <v>42152</v>
      </c>
      <c r="F91" s="53">
        <f t="shared" si="15"/>
        <v>207956892</v>
      </c>
    </row>
    <row r="92" spans="1:6">
      <c r="A92" s="18" t="s">
        <v>253</v>
      </c>
      <c r="B92" s="66" t="s">
        <v>164</v>
      </c>
      <c r="C92" s="3" t="s">
        <v>13</v>
      </c>
      <c r="D92" s="19">
        <f>387.05+8</f>
        <v>395.05</v>
      </c>
      <c r="E92" s="85">
        <v>49787</v>
      </c>
      <c r="F92" s="53">
        <f t="shared" si="15"/>
        <v>19668354.350000001</v>
      </c>
    </row>
    <row r="93" spans="1:6">
      <c r="A93" s="18" t="s">
        <v>254</v>
      </c>
      <c r="B93" s="66" t="s">
        <v>165</v>
      </c>
      <c r="C93" s="3" t="s">
        <v>25</v>
      </c>
      <c r="D93" s="19">
        <v>10</v>
      </c>
      <c r="E93" s="85">
        <v>12241048</v>
      </c>
      <c r="F93" s="53">
        <f t="shared" si="15"/>
        <v>122410480</v>
      </c>
    </row>
    <row r="94" spans="1:6">
      <c r="A94" s="18" t="s">
        <v>255</v>
      </c>
      <c r="B94" s="66" t="s">
        <v>166</v>
      </c>
      <c r="C94" s="3" t="s">
        <v>25</v>
      </c>
      <c r="D94" s="19">
        <v>39</v>
      </c>
      <c r="E94" s="85">
        <v>842316</v>
      </c>
      <c r="F94" s="53">
        <f t="shared" si="15"/>
        <v>32850324</v>
      </c>
    </row>
    <row r="95" spans="1:6" ht="25.5">
      <c r="A95" s="18" t="s">
        <v>256</v>
      </c>
      <c r="B95" s="66" t="s">
        <v>168</v>
      </c>
      <c r="C95" s="3" t="s">
        <v>25</v>
      </c>
      <c r="D95" s="19">
        <v>13</v>
      </c>
      <c r="E95" s="85">
        <v>541008</v>
      </c>
      <c r="F95" s="53">
        <f t="shared" si="15"/>
        <v>7033104</v>
      </c>
    </row>
    <row r="96" spans="1:6" ht="38.25">
      <c r="A96" s="18" t="s">
        <v>257</v>
      </c>
      <c r="B96" s="66" t="s">
        <v>169</v>
      </c>
      <c r="C96" s="3" t="s">
        <v>25</v>
      </c>
      <c r="D96" s="19">
        <v>53</v>
      </c>
      <c r="E96" s="85">
        <v>1002843</v>
      </c>
      <c r="F96" s="53">
        <f t="shared" si="15"/>
        <v>53150679</v>
      </c>
    </row>
    <row r="97" spans="1:6" ht="25.5">
      <c r="A97" s="18" t="s">
        <v>258</v>
      </c>
      <c r="B97" s="66" t="s">
        <v>170</v>
      </c>
      <c r="C97" s="3" t="s">
        <v>25</v>
      </c>
      <c r="D97" s="19">
        <v>19</v>
      </c>
      <c r="E97" s="85">
        <v>1747476</v>
      </c>
      <c r="F97" s="53">
        <f t="shared" si="15"/>
        <v>33202044</v>
      </c>
    </row>
    <row r="98" spans="1:6" ht="25.5">
      <c r="A98" s="18" t="s">
        <v>259</v>
      </c>
      <c r="B98" s="66" t="s">
        <v>171</v>
      </c>
      <c r="C98" s="3" t="s">
        <v>25</v>
      </c>
      <c r="D98" s="19">
        <v>4</v>
      </c>
      <c r="E98" s="85">
        <v>2612656</v>
      </c>
      <c r="F98" s="53">
        <f t="shared" si="15"/>
        <v>10450624</v>
      </c>
    </row>
    <row r="99" spans="1:6" ht="25.5">
      <c r="A99" s="18" t="s">
        <v>260</v>
      </c>
      <c r="B99" s="66" t="s">
        <v>172</v>
      </c>
      <c r="C99" s="3" t="s">
        <v>25</v>
      </c>
      <c r="D99" s="19">
        <v>1473</v>
      </c>
      <c r="E99" s="85">
        <v>28381</v>
      </c>
      <c r="F99" s="53">
        <f t="shared" si="15"/>
        <v>41805213</v>
      </c>
    </row>
    <row r="100" spans="1:6">
      <c r="A100" s="18" t="s">
        <v>261</v>
      </c>
      <c r="B100" s="66" t="s">
        <v>173</v>
      </c>
      <c r="C100" s="3" t="s">
        <v>25</v>
      </c>
      <c r="D100" s="19">
        <v>55</v>
      </c>
      <c r="E100" s="85">
        <v>52084</v>
      </c>
      <c r="F100" s="53">
        <f t="shared" si="15"/>
        <v>2864620</v>
      </c>
    </row>
    <row r="101" spans="1:6">
      <c r="A101" s="18" t="s">
        <v>262</v>
      </c>
      <c r="B101" s="66" t="s">
        <v>174</v>
      </c>
      <c r="C101" s="3" t="s">
        <v>25</v>
      </c>
      <c r="D101" s="19">
        <v>9</v>
      </c>
      <c r="E101" s="85">
        <v>65105</v>
      </c>
      <c r="F101" s="53">
        <f t="shared" si="15"/>
        <v>585945</v>
      </c>
    </row>
    <row r="102" spans="1:6">
      <c r="A102" s="18" t="s">
        <v>263</v>
      </c>
      <c r="B102" s="66" t="s">
        <v>175</v>
      </c>
      <c r="C102" s="3" t="s">
        <v>25</v>
      </c>
      <c r="D102" s="19">
        <v>5</v>
      </c>
      <c r="E102" s="85">
        <v>86807</v>
      </c>
      <c r="F102" s="53">
        <f t="shared" si="15"/>
        <v>434035</v>
      </c>
    </row>
    <row r="103" spans="1:6" ht="25.5">
      <c r="A103" s="18" t="s">
        <v>264</v>
      </c>
      <c r="B103" s="66" t="s">
        <v>176</v>
      </c>
      <c r="C103" s="3" t="s">
        <v>25</v>
      </c>
      <c r="D103" s="19">
        <v>1459</v>
      </c>
      <c r="E103" s="85">
        <v>35869</v>
      </c>
      <c r="F103" s="53">
        <f t="shared" si="15"/>
        <v>52332871</v>
      </c>
    </row>
    <row r="104" spans="1:6" ht="25.5">
      <c r="A104" s="18" t="s">
        <v>265</v>
      </c>
      <c r="B104" s="66" t="s">
        <v>177</v>
      </c>
      <c r="C104" s="3" t="s">
        <v>230</v>
      </c>
      <c r="D104" s="19">
        <v>267</v>
      </c>
      <c r="E104" s="85">
        <v>45678</v>
      </c>
      <c r="F104" s="53">
        <f t="shared" si="15"/>
        <v>12196026</v>
      </c>
    </row>
    <row r="105" spans="1:6" ht="38.25">
      <c r="A105" s="18" t="s">
        <v>266</v>
      </c>
      <c r="B105" s="66" t="s">
        <v>178</v>
      </c>
      <c r="C105" s="3" t="s">
        <v>231</v>
      </c>
      <c r="D105" s="19">
        <v>0.90999999999999992</v>
      </c>
      <c r="E105" s="85">
        <v>10658096</v>
      </c>
      <c r="F105" s="53">
        <f t="shared" si="15"/>
        <v>9698867.3599999994</v>
      </c>
    </row>
    <row r="106" spans="1:6">
      <c r="A106" s="18" t="s">
        <v>267</v>
      </c>
      <c r="B106" s="66" t="s">
        <v>179</v>
      </c>
      <c r="C106" s="3" t="s">
        <v>25</v>
      </c>
      <c r="D106" s="19">
        <v>5933</v>
      </c>
      <c r="E106" s="85">
        <v>55370</v>
      </c>
      <c r="F106" s="53">
        <f t="shared" si="15"/>
        <v>328510210</v>
      </c>
    </row>
    <row r="107" spans="1:6" ht="25.5">
      <c r="A107" s="18" t="s">
        <v>268</v>
      </c>
      <c r="B107" s="66" t="s">
        <v>180</v>
      </c>
      <c r="C107" s="3" t="s">
        <v>25</v>
      </c>
      <c r="D107" s="19">
        <v>165</v>
      </c>
      <c r="E107" s="85">
        <v>224438</v>
      </c>
      <c r="F107" s="53">
        <f t="shared" si="15"/>
        <v>37032270</v>
      </c>
    </row>
    <row r="108" spans="1:6" ht="25.5">
      <c r="A108" s="18" t="s">
        <v>269</v>
      </c>
      <c r="B108" s="66" t="s">
        <v>181</v>
      </c>
      <c r="C108" s="3" t="s">
        <v>25</v>
      </c>
      <c r="D108" s="19">
        <v>1322</v>
      </c>
      <c r="E108" s="85">
        <v>55370</v>
      </c>
      <c r="F108" s="53">
        <f t="shared" si="15"/>
        <v>73199140</v>
      </c>
    </row>
    <row r="109" spans="1:6">
      <c r="A109" s="18" t="s">
        <v>270</v>
      </c>
      <c r="B109" s="66" t="s">
        <v>182</v>
      </c>
      <c r="C109" s="3" t="s">
        <v>25</v>
      </c>
      <c r="D109" s="19">
        <v>109</v>
      </c>
      <c r="E109" s="85">
        <v>240147</v>
      </c>
      <c r="F109" s="53">
        <f t="shared" si="15"/>
        <v>26176023</v>
      </c>
    </row>
    <row r="110" spans="1:6">
      <c r="A110" s="18" t="s">
        <v>271</v>
      </c>
      <c r="B110" s="66" t="s">
        <v>183</v>
      </c>
      <c r="C110" s="3" t="s">
        <v>25</v>
      </c>
      <c r="D110" s="19">
        <v>203</v>
      </c>
      <c r="E110" s="85">
        <v>212838</v>
      </c>
      <c r="F110" s="53">
        <f t="shared" si="15"/>
        <v>43206114</v>
      </c>
    </row>
    <row r="111" spans="1:6" ht="25.5">
      <c r="A111" s="18" t="s">
        <v>272</v>
      </c>
      <c r="B111" s="66" t="s">
        <v>184</v>
      </c>
      <c r="C111" s="3" t="s">
        <v>10</v>
      </c>
      <c r="D111" s="19">
        <v>22</v>
      </c>
      <c r="E111" s="85">
        <v>42571</v>
      </c>
      <c r="F111" s="53">
        <f t="shared" si="15"/>
        <v>936562</v>
      </c>
    </row>
    <row r="112" spans="1:6">
      <c r="A112" s="18" t="s">
        <v>273</v>
      </c>
      <c r="B112" s="66" t="s">
        <v>185</v>
      </c>
      <c r="C112" s="3" t="s">
        <v>13</v>
      </c>
      <c r="D112" s="19">
        <v>108.54999999999995</v>
      </c>
      <c r="E112" s="85">
        <v>422319</v>
      </c>
      <c r="F112" s="53">
        <f t="shared" si="15"/>
        <v>45842727.449999981</v>
      </c>
    </row>
    <row r="113" spans="1:6">
      <c r="A113" s="18" t="s">
        <v>274</v>
      </c>
      <c r="B113" s="66" t="s">
        <v>332</v>
      </c>
      <c r="C113" s="3" t="s">
        <v>25</v>
      </c>
      <c r="D113" s="19">
        <v>400</v>
      </c>
      <c r="E113" s="85">
        <v>8850</v>
      </c>
      <c r="F113" s="53">
        <f t="shared" si="15"/>
        <v>3540000</v>
      </c>
    </row>
    <row r="114" spans="1:6">
      <c r="A114" s="18" t="s">
        <v>279</v>
      </c>
      <c r="B114" s="66" t="s">
        <v>186</v>
      </c>
      <c r="C114" s="3" t="s">
        <v>13</v>
      </c>
      <c r="D114" s="19">
        <v>2338.52</v>
      </c>
      <c r="E114" s="85">
        <v>253737</v>
      </c>
      <c r="F114" s="53">
        <f t="shared" si="15"/>
        <v>593369049.24000001</v>
      </c>
    </row>
    <row r="115" spans="1:6">
      <c r="A115" s="18" t="s">
        <v>278</v>
      </c>
      <c r="B115" s="66" t="s">
        <v>187</v>
      </c>
      <c r="C115" s="3" t="s">
        <v>13</v>
      </c>
      <c r="D115" s="19">
        <v>545.75</v>
      </c>
      <c r="E115" s="85">
        <v>39677</v>
      </c>
      <c r="F115" s="53">
        <f t="shared" si="15"/>
        <v>21653722.75</v>
      </c>
    </row>
    <row r="116" spans="1:6">
      <c r="A116" s="18" t="s">
        <v>280</v>
      </c>
      <c r="B116" s="66" t="s">
        <v>188</v>
      </c>
      <c r="C116" s="3" t="s">
        <v>13</v>
      </c>
      <c r="D116" s="19">
        <v>3522.2</v>
      </c>
      <c r="E116" s="85">
        <v>40703</v>
      </c>
      <c r="F116" s="53">
        <f t="shared" si="15"/>
        <v>143364106.59999999</v>
      </c>
    </row>
    <row r="117" spans="1:6" ht="38.25">
      <c r="A117" s="18" t="s">
        <v>281</v>
      </c>
      <c r="B117" s="66" t="s">
        <v>189</v>
      </c>
      <c r="C117" s="3" t="s">
        <v>25</v>
      </c>
      <c r="D117" s="19">
        <v>12</v>
      </c>
      <c r="E117" s="85">
        <v>1836969</v>
      </c>
      <c r="F117" s="53">
        <f t="shared" si="15"/>
        <v>22043628</v>
      </c>
    </row>
    <row r="118" spans="1:6" ht="38.25">
      <c r="A118" s="18" t="s">
        <v>277</v>
      </c>
      <c r="B118" s="66" t="s">
        <v>190</v>
      </c>
      <c r="C118" s="3" t="s">
        <v>25</v>
      </c>
      <c r="D118" s="19">
        <v>7</v>
      </c>
      <c r="E118" s="85">
        <v>3912849</v>
      </c>
      <c r="F118" s="53">
        <f t="shared" si="15"/>
        <v>27389943</v>
      </c>
    </row>
    <row r="119" spans="1:6" ht="38.25">
      <c r="A119" s="18" t="s">
        <v>275</v>
      </c>
      <c r="B119" s="66" t="s">
        <v>191</v>
      </c>
      <c r="C119" s="3" t="s">
        <v>25</v>
      </c>
      <c r="D119" s="19">
        <v>10</v>
      </c>
      <c r="E119" s="85">
        <v>1708371</v>
      </c>
      <c r="F119" s="53">
        <f t="shared" si="15"/>
        <v>17083710</v>
      </c>
    </row>
    <row r="120" spans="1:6" ht="38.25">
      <c r="A120" s="18" t="s">
        <v>276</v>
      </c>
      <c r="B120" s="66" t="s">
        <v>192</v>
      </c>
      <c r="C120" s="3" t="s">
        <v>25</v>
      </c>
      <c r="D120" s="19">
        <v>5</v>
      </c>
      <c r="E120" s="85">
        <v>2382280</v>
      </c>
      <c r="F120" s="53">
        <f t="shared" si="15"/>
        <v>11911400</v>
      </c>
    </row>
    <row r="121" spans="1:6" ht="25.5">
      <c r="A121" s="18" t="s">
        <v>282</v>
      </c>
      <c r="B121" s="66" t="s">
        <v>193</v>
      </c>
      <c r="C121" s="3" t="s">
        <v>25</v>
      </c>
      <c r="D121" s="19">
        <v>5</v>
      </c>
      <c r="E121" s="85">
        <v>2382280</v>
      </c>
      <c r="F121" s="53">
        <f t="shared" si="15"/>
        <v>11911400</v>
      </c>
    </row>
    <row r="122" spans="1:6" ht="38.25">
      <c r="A122" s="18" t="s">
        <v>283</v>
      </c>
      <c r="B122" s="66" t="s">
        <v>194</v>
      </c>
      <c r="C122" s="3" t="s">
        <v>25</v>
      </c>
      <c r="D122" s="19">
        <v>148</v>
      </c>
      <c r="E122" s="85">
        <v>588198</v>
      </c>
      <c r="F122" s="53">
        <f t="shared" si="15"/>
        <v>87053304</v>
      </c>
    </row>
    <row r="123" spans="1:6" ht="25.5">
      <c r="A123" s="18" t="s">
        <v>284</v>
      </c>
      <c r="B123" s="66" t="s">
        <v>195</v>
      </c>
      <c r="C123" s="3" t="s">
        <v>25</v>
      </c>
      <c r="D123" s="19">
        <v>36</v>
      </c>
      <c r="E123" s="85">
        <v>1614048</v>
      </c>
      <c r="F123" s="53">
        <f t="shared" si="15"/>
        <v>58105728</v>
      </c>
    </row>
    <row r="124" spans="1:6" ht="25.5">
      <c r="A124" s="18" t="s">
        <v>285</v>
      </c>
      <c r="B124" s="66" t="s">
        <v>196</v>
      </c>
      <c r="C124" s="3" t="s">
        <v>25</v>
      </c>
      <c r="D124" s="19">
        <v>22</v>
      </c>
      <c r="E124" s="85">
        <v>11392711</v>
      </c>
      <c r="F124" s="53">
        <f t="shared" si="15"/>
        <v>250639642</v>
      </c>
    </row>
    <row r="125" spans="1:6" ht="38.25">
      <c r="A125" s="18" t="s">
        <v>286</v>
      </c>
      <c r="B125" s="66" t="s">
        <v>197</v>
      </c>
      <c r="C125" s="3" t="s">
        <v>25</v>
      </c>
      <c r="D125" s="19">
        <v>10</v>
      </c>
      <c r="E125" s="85">
        <v>6668559</v>
      </c>
      <c r="F125" s="53">
        <f t="shared" si="15"/>
        <v>66685590</v>
      </c>
    </row>
    <row r="126" spans="1:6">
      <c r="A126" s="18" t="s">
        <v>287</v>
      </c>
      <c r="B126" s="66" t="s">
        <v>198</v>
      </c>
      <c r="C126" s="3" t="s">
        <v>13</v>
      </c>
      <c r="D126" s="19">
        <v>3172.4</v>
      </c>
      <c r="E126" s="85">
        <v>152868</v>
      </c>
      <c r="F126" s="53">
        <f t="shared" si="15"/>
        <v>484958443.19999999</v>
      </c>
    </row>
    <row r="127" spans="1:6" ht="25.5">
      <c r="A127" s="18" t="s">
        <v>288</v>
      </c>
      <c r="B127" s="66" t="s">
        <v>199</v>
      </c>
      <c r="C127" s="3" t="s">
        <v>25</v>
      </c>
      <c r="D127" s="19">
        <v>21</v>
      </c>
      <c r="E127" s="85">
        <v>2016976</v>
      </c>
      <c r="F127" s="53">
        <f t="shared" si="15"/>
        <v>42356496</v>
      </c>
    </row>
    <row r="128" spans="1:6">
      <c r="A128" s="18" t="s">
        <v>289</v>
      </c>
      <c r="B128" s="66" t="s">
        <v>200</v>
      </c>
      <c r="C128" s="3" t="s">
        <v>25</v>
      </c>
      <c r="D128" s="19">
        <v>11</v>
      </c>
      <c r="E128" s="85">
        <v>977400</v>
      </c>
      <c r="F128" s="53">
        <f t="shared" si="15"/>
        <v>10751400</v>
      </c>
    </row>
    <row r="129" spans="1:6">
      <c r="A129" s="18" t="s">
        <v>290</v>
      </c>
      <c r="B129" s="66" t="s">
        <v>201</v>
      </c>
      <c r="C129" s="3" t="s">
        <v>25</v>
      </c>
      <c r="D129" s="19">
        <v>6</v>
      </c>
      <c r="E129" s="85">
        <v>6981425</v>
      </c>
      <c r="F129" s="53">
        <f t="shared" si="15"/>
        <v>41888550</v>
      </c>
    </row>
    <row r="130" spans="1:6" ht="25.5">
      <c r="A130" s="18" t="s">
        <v>291</v>
      </c>
      <c r="B130" s="66" t="s">
        <v>202</v>
      </c>
      <c r="C130" s="3" t="s">
        <v>25</v>
      </c>
      <c r="D130" s="19">
        <v>6</v>
      </c>
      <c r="E130" s="85">
        <v>977400</v>
      </c>
      <c r="F130" s="53">
        <f t="shared" si="15"/>
        <v>5864400</v>
      </c>
    </row>
    <row r="131" spans="1:6" ht="25.5">
      <c r="A131" s="18" t="s">
        <v>292</v>
      </c>
      <c r="B131" s="66" t="s">
        <v>203</v>
      </c>
      <c r="C131" s="3" t="s">
        <v>25</v>
      </c>
      <c r="D131" s="19">
        <v>5</v>
      </c>
      <c r="E131" s="85">
        <v>977400</v>
      </c>
      <c r="F131" s="53">
        <f t="shared" si="15"/>
        <v>4887000</v>
      </c>
    </row>
    <row r="132" spans="1:6" ht="25.5">
      <c r="A132" s="18" t="s">
        <v>293</v>
      </c>
      <c r="B132" s="66" t="s">
        <v>204</v>
      </c>
      <c r="C132" s="3" t="s">
        <v>25</v>
      </c>
      <c r="D132" s="19">
        <v>12</v>
      </c>
      <c r="E132" s="85">
        <v>888545</v>
      </c>
      <c r="F132" s="53">
        <f t="shared" si="15"/>
        <v>10662540</v>
      </c>
    </row>
    <row r="133" spans="1:6" ht="25.5">
      <c r="A133" s="18" t="s">
        <v>294</v>
      </c>
      <c r="B133" s="66" t="s">
        <v>205</v>
      </c>
      <c r="C133" s="3" t="s">
        <v>25</v>
      </c>
      <c r="D133" s="19">
        <v>14</v>
      </c>
      <c r="E133" s="85">
        <v>651600</v>
      </c>
      <c r="F133" s="53">
        <f t="shared" si="15"/>
        <v>9122400</v>
      </c>
    </row>
    <row r="134" spans="1:6" ht="25.5">
      <c r="A134" s="18" t="s">
        <v>295</v>
      </c>
      <c r="B134" s="66" t="s">
        <v>206</v>
      </c>
      <c r="C134" s="3" t="s">
        <v>25</v>
      </c>
      <c r="D134" s="19">
        <v>10</v>
      </c>
      <c r="E134" s="85">
        <v>888545</v>
      </c>
      <c r="F134" s="53">
        <f t="shared" si="15"/>
        <v>8885450</v>
      </c>
    </row>
    <row r="135" spans="1:6" ht="25.5">
      <c r="A135" s="18" t="s">
        <v>296</v>
      </c>
      <c r="B135" s="66" t="s">
        <v>207</v>
      </c>
      <c r="C135" s="3" t="s">
        <v>25</v>
      </c>
      <c r="D135" s="19">
        <v>17</v>
      </c>
      <c r="E135" s="85">
        <v>888545</v>
      </c>
      <c r="F135" s="53">
        <f t="shared" si="15"/>
        <v>15105265</v>
      </c>
    </row>
    <row r="136" spans="1:6" ht="25.5">
      <c r="A136" s="18" t="s">
        <v>297</v>
      </c>
      <c r="B136" s="66" t="s">
        <v>208</v>
      </c>
      <c r="C136" s="3" t="s">
        <v>25</v>
      </c>
      <c r="D136" s="19">
        <v>10</v>
      </c>
      <c r="E136" s="85">
        <v>888545</v>
      </c>
      <c r="F136" s="53">
        <f t="shared" si="15"/>
        <v>8885450</v>
      </c>
    </row>
    <row r="137" spans="1:6">
      <c r="A137" s="18" t="s">
        <v>298</v>
      </c>
      <c r="B137" s="66" t="s">
        <v>209</v>
      </c>
      <c r="C137" s="3" t="s">
        <v>25</v>
      </c>
      <c r="D137" s="19">
        <v>3</v>
      </c>
      <c r="E137" s="85">
        <v>678750</v>
      </c>
      <c r="F137" s="53">
        <f t="shared" si="15"/>
        <v>2036250</v>
      </c>
    </row>
    <row r="138" spans="1:6" ht="25.5">
      <c r="A138" s="18" t="s">
        <v>299</v>
      </c>
      <c r="B138" s="66" t="s">
        <v>210</v>
      </c>
      <c r="C138" s="3" t="s">
        <v>25</v>
      </c>
      <c r="D138" s="19">
        <v>17</v>
      </c>
      <c r="E138" s="85">
        <v>364701</v>
      </c>
      <c r="F138" s="53">
        <f t="shared" si="15"/>
        <v>6199917</v>
      </c>
    </row>
    <row r="139" spans="1:6" ht="25.5">
      <c r="A139" s="18" t="s">
        <v>300</v>
      </c>
      <c r="B139" s="66" t="s">
        <v>211</v>
      </c>
      <c r="C139" s="3" t="s">
        <v>25</v>
      </c>
      <c r="D139" s="19">
        <v>10</v>
      </c>
      <c r="E139" s="85">
        <v>814500</v>
      </c>
      <c r="F139" s="53">
        <f t="shared" si="15"/>
        <v>8145000</v>
      </c>
    </row>
    <row r="140" spans="1:6" ht="25.5">
      <c r="A140" s="18" t="s">
        <v>301</v>
      </c>
      <c r="B140" s="66" t="s">
        <v>212</v>
      </c>
      <c r="C140" s="3" t="s">
        <v>25</v>
      </c>
      <c r="D140" s="19">
        <v>41</v>
      </c>
      <c r="E140" s="85">
        <v>977400</v>
      </c>
      <c r="F140" s="53">
        <f t="shared" si="15"/>
        <v>40073400</v>
      </c>
    </row>
    <row r="141" spans="1:6">
      <c r="A141" s="18" t="s">
        <v>302</v>
      </c>
      <c r="B141" s="66" t="s">
        <v>213</v>
      </c>
      <c r="C141" s="3" t="s">
        <v>25</v>
      </c>
      <c r="D141" s="19">
        <v>18</v>
      </c>
      <c r="E141" s="85">
        <v>244350</v>
      </c>
      <c r="F141" s="53">
        <f t="shared" si="15"/>
        <v>4398300</v>
      </c>
    </row>
    <row r="142" spans="1:6" ht="25.5">
      <c r="A142" s="18" t="s">
        <v>303</v>
      </c>
      <c r="B142" s="66" t="s">
        <v>214</v>
      </c>
      <c r="C142" s="3" t="s">
        <v>25</v>
      </c>
      <c r="D142" s="19">
        <f>98+9</f>
        <v>107</v>
      </c>
      <c r="E142" s="85">
        <v>2401152</v>
      </c>
      <c r="F142" s="53">
        <f t="shared" si="15"/>
        <v>256923264</v>
      </c>
    </row>
    <row r="143" spans="1:6" ht="38.25">
      <c r="A143" s="18" t="s">
        <v>304</v>
      </c>
      <c r="B143" s="66" t="s">
        <v>215</v>
      </c>
      <c r="C143" s="3" t="s">
        <v>25</v>
      </c>
      <c r="D143" s="19">
        <v>72</v>
      </c>
      <c r="E143" s="85">
        <v>1714751</v>
      </c>
      <c r="F143" s="53">
        <f t="shared" si="15"/>
        <v>123462072</v>
      </c>
    </row>
    <row r="144" spans="1:6" ht="25.5">
      <c r="A144" s="18" t="s">
        <v>305</v>
      </c>
      <c r="B144" s="66" t="s">
        <v>216</v>
      </c>
      <c r="C144" s="3" t="s">
        <v>25</v>
      </c>
      <c r="D144" s="19">
        <f>5+11</f>
        <v>16</v>
      </c>
      <c r="E144" s="85">
        <v>2309681</v>
      </c>
      <c r="F144" s="53">
        <f t="shared" si="15"/>
        <v>36954896</v>
      </c>
    </row>
    <row r="145" spans="1:7" ht="25.5">
      <c r="A145" s="18" t="s">
        <v>306</v>
      </c>
      <c r="B145" s="66" t="s">
        <v>217</v>
      </c>
      <c r="C145" s="3" t="s">
        <v>25</v>
      </c>
      <c r="D145" s="19">
        <f>77+9</f>
        <v>86</v>
      </c>
      <c r="E145" s="85">
        <v>4359737</v>
      </c>
      <c r="F145" s="53">
        <f t="shared" si="15"/>
        <v>374937382</v>
      </c>
    </row>
    <row r="146" spans="1:7" ht="25.5">
      <c r="A146" s="18" t="s">
        <v>307</v>
      </c>
      <c r="B146" s="66" t="s">
        <v>218</v>
      </c>
      <c r="C146" s="3" t="s">
        <v>25</v>
      </c>
      <c r="D146" s="19">
        <f>72+11</f>
        <v>83</v>
      </c>
      <c r="E146" s="85">
        <v>4522105</v>
      </c>
      <c r="F146" s="53">
        <f t="shared" si="15"/>
        <v>375334715</v>
      </c>
    </row>
    <row r="147" spans="1:7" ht="25.5">
      <c r="A147" s="18" t="s">
        <v>308</v>
      </c>
      <c r="B147" s="66" t="s">
        <v>219</v>
      </c>
      <c r="C147" s="3" t="s">
        <v>25</v>
      </c>
      <c r="D147" s="19">
        <v>14</v>
      </c>
      <c r="E147" s="85">
        <v>2262773</v>
      </c>
      <c r="F147" s="53">
        <f t="shared" si="15"/>
        <v>31678822</v>
      </c>
    </row>
    <row r="148" spans="1:7">
      <c r="A148" s="18" t="s">
        <v>309</v>
      </c>
      <c r="B148" s="66" t="s">
        <v>220</v>
      </c>
      <c r="C148" s="3" t="s">
        <v>25</v>
      </c>
      <c r="D148" s="19">
        <v>3</v>
      </c>
      <c r="E148" s="85">
        <v>760792</v>
      </c>
      <c r="F148" s="53">
        <f t="shared" si="15"/>
        <v>2282376</v>
      </c>
    </row>
    <row r="149" spans="1:7" ht="25.5">
      <c r="A149" s="18" t="s">
        <v>310</v>
      </c>
      <c r="B149" s="66" t="s">
        <v>221</v>
      </c>
      <c r="C149" s="3" t="s">
        <v>13</v>
      </c>
      <c r="D149" s="19">
        <v>280</v>
      </c>
      <c r="E149" s="85">
        <v>37592</v>
      </c>
      <c r="F149" s="53">
        <f t="shared" si="15"/>
        <v>10525760</v>
      </c>
    </row>
    <row r="150" spans="1:7" ht="38.25">
      <c r="A150" s="18" t="s">
        <v>311</v>
      </c>
      <c r="B150" s="66" t="s">
        <v>222</v>
      </c>
      <c r="C150" s="3" t="s">
        <v>25</v>
      </c>
      <c r="D150" s="19">
        <v>8</v>
      </c>
      <c r="E150" s="85">
        <v>2286527</v>
      </c>
      <c r="F150" s="53">
        <f t="shared" si="15"/>
        <v>18292216</v>
      </c>
    </row>
    <row r="151" spans="1:7" ht="38.25">
      <c r="A151" s="18" t="s">
        <v>312</v>
      </c>
      <c r="B151" s="66" t="s">
        <v>223</v>
      </c>
      <c r="C151" s="3" t="s">
        <v>25</v>
      </c>
      <c r="D151" s="19">
        <v>7</v>
      </c>
      <c r="E151" s="85">
        <v>2598326</v>
      </c>
      <c r="F151" s="53">
        <f t="shared" si="15"/>
        <v>18188282</v>
      </c>
    </row>
    <row r="152" spans="1:7" ht="25.5">
      <c r="A152" s="18" t="s">
        <v>313</v>
      </c>
      <c r="B152" s="66" t="s">
        <v>224</v>
      </c>
      <c r="C152" s="3" t="s">
        <v>25</v>
      </c>
      <c r="D152" s="19">
        <v>17</v>
      </c>
      <c r="E152" s="85">
        <v>1633234</v>
      </c>
      <c r="F152" s="53">
        <f t="shared" si="15"/>
        <v>27764978</v>
      </c>
    </row>
    <row r="153" spans="1:7">
      <c r="A153" s="18" t="s">
        <v>314</v>
      </c>
      <c r="B153" s="66" t="s">
        <v>225</v>
      </c>
      <c r="C153" s="3" t="s">
        <v>25</v>
      </c>
      <c r="D153" s="19">
        <v>19</v>
      </c>
      <c r="E153" s="85">
        <v>6145046</v>
      </c>
      <c r="F153" s="53">
        <f t="shared" si="15"/>
        <v>116755874</v>
      </c>
    </row>
    <row r="154" spans="1:7">
      <c r="A154" s="18" t="s">
        <v>315</v>
      </c>
      <c r="B154" s="66" t="s">
        <v>226</v>
      </c>
      <c r="C154" s="3" t="s">
        <v>25</v>
      </c>
      <c r="D154" s="19">
        <v>18</v>
      </c>
      <c r="E154" s="85">
        <v>4526783</v>
      </c>
      <c r="F154" s="53">
        <f t="shared" si="15"/>
        <v>81482094</v>
      </c>
    </row>
    <row r="155" spans="1:7">
      <c r="A155" s="18" t="s">
        <v>316</v>
      </c>
      <c r="B155" s="66" t="s">
        <v>227</v>
      </c>
      <c r="C155" s="3" t="s">
        <v>25</v>
      </c>
      <c r="D155" s="19">
        <v>3</v>
      </c>
      <c r="E155" s="85">
        <v>4082928</v>
      </c>
      <c r="F155" s="53">
        <f t="shared" si="15"/>
        <v>12248784</v>
      </c>
    </row>
    <row r="156" spans="1:7">
      <c r="A156" s="18" t="s">
        <v>317</v>
      </c>
      <c r="B156" s="66" t="s">
        <v>228</v>
      </c>
      <c r="C156" s="3" t="s">
        <v>25</v>
      </c>
      <c r="D156" s="19">
        <v>11</v>
      </c>
      <c r="E156" s="85">
        <v>601302</v>
      </c>
      <c r="F156" s="53">
        <f t="shared" si="15"/>
        <v>6614322</v>
      </c>
    </row>
    <row r="157" spans="1:7" ht="25.5">
      <c r="A157" s="18" t="s">
        <v>318</v>
      </c>
      <c r="B157" s="66" t="s">
        <v>229</v>
      </c>
      <c r="C157" s="3" t="s">
        <v>25</v>
      </c>
      <c r="D157" s="19">
        <v>3</v>
      </c>
      <c r="E157" s="85">
        <v>5450315</v>
      </c>
      <c r="F157" s="53">
        <f t="shared" si="15"/>
        <v>16350945</v>
      </c>
    </row>
    <row r="158" spans="1:7" ht="25.5">
      <c r="A158" s="18" t="s">
        <v>319</v>
      </c>
      <c r="B158" s="66" t="s">
        <v>398</v>
      </c>
      <c r="C158" s="3" t="s">
        <v>13</v>
      </c>
      <c r="D158" s="19">
        <v>641</v>
      </c>
      <c r="E158" s="85">
        <v>1931145</v>
      </c>
      <c r="F158" s="53">
        <f t="shared" si="15"/>
        <v>1237863945</v>
      </c>
    </row>
    <row r="159" spans="1:7">
      <c r="A159" s="24"/>
      <c r="B159" s="25"/>
      <c r="C159" s="26"/>
      <c r="D159" s="27"/>
      <c r="E159" s="28"/>
      <c r="F159" s="55"/>
    </row>
    <row r="160" spans="1:7">
      <c r="B160" s="95" t="s">
        <v>375</v>
      </c>
      <c r="C160" s="103"/>
      <c r="D160" s="104"/>
      <c r="E160" s="105"/>
      <c r="F160" s="101">
        <f>SUM(F5:F159)/2</f>
        <v>30315072907.019989</v>
      </c>
      <c r="G160" s="8">
        <f>IFERROR(F160/$F$160,"")</f>
        <v>1</v>
      </c>
    </row>
    <row r="161" spans="1:8">
      <c r="B161" s="100" t="s">
        <v>371</v>
      </c>
      <c r="C161" s="20" t="s">
        <v>6</v>
      </c>
      <c r="D161" s="99">
        <v>0.27360000000000001</v>
      </c>
      <c r="E161" s="91"/>
      <c r="F161" s="98">
        <f>+F160*D161</f>
        <v>8294203947.3606691</v>
      </c>
      <c r="G161" s="8"/>
    </row>
    <row r="162" spans="1:8">
      <c r="B162" s="100" t="s">
        <v>372</v>
      </c>
      <c r="C162" s="20" t="s">
        <v>6</v>
      </c>
      <c r="D162" s="97">
        <v>0</v>
      </c>
      <c r="E162" s="91"/>
      <c r="F162" s="98">
        <f>+F160*D162</f>
        <v>0</v>
      </c>
      <c r="G162" s="8"/>
    </row>
    <row r="163" spans="1:8">
      <c r="B163" s="100" t="s">
        <v>373</v>
      </c>
      <c r="C163" s="20" t="s">
        <v>6</v>
      </c>
      <c r="D163" s="97">
        <v>0.05</v>
      </c>
      <c r="E163" s="91"/>
      <c r="F163" s="98">
        <f>+F160*D163</f>
        <v>1515753645.3509996</v>
      </c>
      <c r="G163" s="8"/>
    </row>
    <row r="164" spans="1:8">
      <c r="B164" s="106" t="s">
        <v>374</v>
      </c>
      <c r="C164" s="107" t="s">
        <v>6</v>
      </c>
      <c r="D164" s="96">
        <v>0.3236</v>
      </c>
      <c r="E164" s="102"/>
      <c r="F164" s="101">
        <f>SUM(F161:F163)</f>
        <v>9809957592.711668</v>
      </c>
      <c r="G164" s="8"/>
    </row>
    <row r="165" spans="1:8">
      <c r="B165" s="6"/>
      <c r="C165" s="5"/>
      <c r="D165" s="6"/>
      <c r="E165" s="7"/>
      <c r="F165" s="56"/>
      <c r="G165" s="8"/>
    </row>
    <row r="166" spans="1:8">
      <c r="B166" s="95" t="s">
        <v>376</v>
      </c>
      <c r="C166" s="103"/>
      <c r="D166" s="104"/>
      <c r="E166" s="105"/>
      <c r="F166" s="101">
        <f>+F164+F160</f>
        <v>40125030499.731659</v>
      </c>
      <c r="G166" s="8">
        <f>IFERROR(F166/$F$160,"")</f>
        <v>1.3236000000000001</v>
      </c>
    </row>
    <row r="167" spans="1:8">
      <c r="A167" s="126" t="s">
        <v>128</v>
      </c>
      <c r="B167" s="127"/>
      <c r="C167" s="127"/>
      <c r="D167" s="127"/>
      <c r="E167" s="127"/>
      <c r="F167" s="127"/>
      <c r="G167" s="8"/>
    </row>
    <row r="168" spans="1:8">
      <c r="A168" s="30" t="s">
        <v>129</v>
      </c>
      <c r="B168" s="30" t="s">
        <v>130</v>
      </c>
      <c r="C168" s="31" t="s">
        <v>395</v>
      </c>
      <c r="D168" s="30" t="s">
        <v>396</v>
      </c>
      <c r="E168" s="38" t="s">
        <v>131</v>
      </c>
      <c r="F168" s="57" t="s">
        <v>397</v>
      </c>
      <c r="G168" s="8"/>
    </row>
    <row r="169" spans="1:8" ht="25.5">
      <c r="A169" s="87">
        <v>1</v>
      </c>
      <c r="B169" s="32" t="s">
        <v>132</v>
      </c>
      <c r="C169" s="33" t="s">
        <v>236</v>
      </c>
      <c r="D169" s="19">
        <v>1</v>
      </c>
      <c r="E169" s="119">
        <v>320685379</v>
      </c>
      <c r="F169" s="37">
        <f>+D169*E169</f>
        <v>320685379</v>
      </c>
      <c r="G169" s="8"/>
    </row>
    <row r="170" spans="1:8" ht="25.5">
      <c r="A170" s="87">
        <v>2</v>
      </c>
      <c r="B170" s="32" t="s">
        <v>354</v>
      </c>
      <c r="C170" s="33" t="s">
        <v>25</v>
      </c>
      <c r="D170" s="19">
        <v>1</v>
      </c>
      <c r="E170" s="37">
        <v>15000000</v>
      </c>
      <c r="F170" s="37">
        <f t="shared" ref="F170:F181" si="16">+D170*E170</f>
        <v>15000000</v>
      </c>
      <c r="G170" s="8"/>
    </row>
    <row r="171" spans="1:8" ht="25.5">
      <c r="A171" s="87">
        <v>3</v>
      </c>
      <c r="B171" s="32" t="s">
        <v>389</v>
      </c>
      <c r="C171" s="33" t="s">
        <v>236</v>
      </c>
      <c r="D171" s="19">
        <v>1</v>
      </c>
      <c r="E171" s="37">
        <v>500000000</v>
      </c>
      <c r="F171" s="37">
        <f t="shared" si="16"/>
        <v>500000000</v>
      </c>
      <c r="G171" s="8"/>
    </row>
    <row r="172" spans="1:8" ht="25.5">
      <c r="A172" s="87">
        <v>4</v>
      </c>
      <c r="B172" s="32" t="s">
        <v>349</v>
      </c>
      <c r="C172" s="33" t="s">
        <v>236</v>
      </c>
      <c r="D172" s="19">
        <v>1</v>
      </c>
      <c r="E172" s="37">
        <v>250000000</v>
      </c>
      <c r="F172" s="37">
        <f t="shared" si="16"/>
        <v>250000000</v>
      </c>
      <c r="G172" s="8"/>
      <c r="H172" s="90"/>
    </row>
    <row r="173" spans="1:8" ht="25.5">
      <c r="A173" s="87">
        <v>5</v>
      </c>
      <c r="B173" s="32" t="s">
        <v>350</v>
      </c>
      <c r="C173" s="33" t="s">
        <v>236</v>
      </c>
      <c r="D173" s="19">
        <v>1</v>
      </c>
      <c r="E173" s="37">
        <v>130000000</v>
      </c>
      <c r="F173" s="37">
        <f t="shared" si="16"/>
        <v>130000000</v>
      </c>
      <c r="G173" s="8"/>
    </row>
    <row r="174" spans="1:8" ht="25.5">
      <c r="A174" s="87">
        <v>6</v>
      </c>
      <c r="B174" s="32" t="s">
        <v>167</v>
      </c>
      <c r="C174" s="33" t="s">
        <v>236</v>
      </c>
      <c r="D174" s="19">
        <v>1</v>
      </c>
      <c r="E174" s="37">
        <v>25000000</v>
      </c>
      <c r="F174" s="37">
        <f t="shared" si="16"/>
        <v>25000000</v>
      </c>
      <c r="G174" s="8"/>
    </row>
    <row r="175" spans="1:8" ht="25.5">
      <c r="A175" s="87">
        <v>7</v>
      </c>
      <c r="B175" s="32" t="s">
        <v>232</v>
      </c>
      <c r="C175" s="33" t="s">
        <v>236</v>
      </c>
      <c r="D175" s="19">
        <v>14</v>
      </c>
      <c r="E175" s="37">
        <v>14000000</v>
      </c>
      <c r="F175" s="37">
        <f t="shared" si="16"/>
        <v>196000000</v>
      </c>
      <c r="G175" s="8"/>
    </row>
    <row r="176" spans="1:8" ht="25.5">
      <c r="A176" s="87">
        <v>8</v>
      </c>
      <c r="B176" s="32" t="s">
        <v>353</v>
      </c>
      <c r="C176" s="33" t="s">
        <v>236</v>
      </c>
      <c r="D176" s="19">
        <v>1</v>
      </c>
      <c r="E176" s="37">
        <v>70000000</v>
      </c>
      <c r="F176" s="37">
        <f t="shared" si="16"/>
        <v>70000000</v>
      </c>
      <c r="G176" s="8"/>
    </row>
    <row r="177" spans="1:7" ht="25.5">
      <c r="A177" s="87">
        <v>9</v>
      </c>
      <c r="B177" s="32" t="s">
        <v>351</v>
      </c>
      <c r="C177" s="33" t="s">
        <v>236</v>
      </c>
      <c r="D177" s="19">
        <v>1</v>
      </c>
      <c r="E177" s="37">
        <v>12000000</v>
      </c>
      <c r="F177" s="37">
        <f t="shared" si="16"/>
        <v>12000000</v>
      </c>
      <c r="G177" s="8"/>
    </row>
    <row r="178" spans="1:7" ht="25.5">
      <c r="A178" s="87">
        <v>10</v>
      </c>
      <c r="B178" s="32" t="s">
        <v>388</v>
      </c>
      <c r="C178" s="33" t="s">
        <v>355</v>
      </c>
      <c r="D178" s="19">
        <v>1</v>
      </c>
      <c r="E178" s="37">
        <v>200000000</v>
      </c>
      <c r="F178" s="37">
        <f t="shared" si="16"/>
        <v>200000000</v>
      </c>
      <c r="G178" s="8"/>
    </row>
    <row r="179" spans="1:7" ht="25.5">
      <c r="A179" s="87">
        <v>11</v>
      </c>
      <c r="B179" s="32" t="s">
        <v>357</v>
      </c>
      <c r="C179" s="33" t="s">
        <v>348</v>
      </c>
      <c r="D179" s="19">
        <v>14</v>
      </c>
      <c r="E179" s="37">
        <v>8500000</v>
      </c>
      <c r="F179" s="37">
        <f t="shared" si="16"/>
        <v>119000000</v>
      </c>
      <c r="G179" s="8"/>
    </row>
    <row r="180" spans="1:7" ht="25.5">
      <c r="A180" s="87">
        <v>12</v>
      </c>
      <c r="B180" s="32" t="s">
        <v>233</v>
      </c>
      <c r="C180" s="33" t="s">
        <v>236</v>
      </c>
      <c r="D180" s="19">
        <v>6</v>
      </c>
      <c r="E180" s="37">
        <v>3037993.8304999997</v>
      </c>
      <c r="F180" s="37">
        <f t="shared" si="16"/>
        <v>18227962.982999999</v>
      </c>
      <c r="G180" s="8"/>
    </row>
    <row r="181" spans="1:7" ht="25.5">
      <c r="A181" s="87">
        <v>13</v>
      </c>
      <c r="B181" s="32" t="s">
        <v>234</v>
      </c>
      <c r="C181" s="33" t="s">
        <v>236</v>
      </c>
      <c r="D181" s="19">
        <v>13</v>
      </c>
      <c r="E181" s="37">
        <v>6751097.2484999998</v>
      </c>
      <c r="F181" s="37">
        <f t="shared" si="16"/>
        <v>87764264.230499998</v>
      </c>
      <c r="G181" s="8"/>
    </row>
    <row r="182" spans="1:7" ht="25.5">
      <c r="A182" s="87">
        <v>14</v>
      </c>
      <c r="B182" s="32" t="s">
        <v>235</v>
      </c>
      <c r="C182" s="33" t="s">
        <v>236</v>
      </c>
      <c r="D182" s="19">
        <v>13</v>
      </c>
      <c r="E182" s="37">
        <v>6751097.2484999998</v>
      </c>
      <c r="F182" s="37">
        <f t="shared" ref="F182:F184" si="17">+D182*E182</f>
        <v>87764264.230499998</v>
      </c>
      <c r="G182" s="8"/>
    </row>
    <row r="183" spans="1:7" ht="25.5">
      <c r="A183" s="87">
        <v>15</v>
      </c>
      <c r="B183" s="32" t="s">
        <v>347</v>
      </c>
      <c r="C183" s="33" t="s">
        <v>236</v>
      </c>
      <c r="D183" s="19">
        <v>14</v>
      </c>
      <c r="E183" s="37">
        <f>128000*30</f>
        <v>3840000</v>
      </c>
      <c r="F183" s="37">
        <f t="shared" ref="F183" si="18">+D183*E183</f>
        <v>53760000</v>
      </c>
      <c r="G183" s="8"/>
    </row>
    <row r="184" spans="1:7" ht="25.5">
      <c r="A184" s="87">
        <v>16</v>
      </c>
      <c r="B184" s="32" t="s">
        <v>390</v>
      </c>
      <c r="C184" s="33" t="s">
        <v>236</v>
      </c>
      <c r="D184" s="19">
        <v>1</v>
      </c>
      <c r="E184" s="37">
        <v>150000000</v>
      </c>
      <c r="F184" s="37">
        <f t="shared" si="17"/>
        <v>150000000</v>
      </c>
      <c r="G184" s="8"/>
    </row>
    <row r="185" spans="1:7">
      <c r="A185" s="89"/>
      <c r="B185" s="9"/>
      <c r="C185" s="40"/>
      <c r="D185" s="27"/>
      <c r="E185" s="39"/>
      <c r="F185" s="65"/>
      <c r="G185" s="8"/>
    </row>
    <row r="186" spans="1:7">
      <c r="A186" s="46"/>
      <c r="B186" s="9"/>
      <c r="C186" s="40"/>
      <c r="D186" s="27"/>
      <c r="E186" s="39"/>
      <c r="F186" s="65"/>
      <c r="G186" s="8"/>
    </row>
    <row r="187" spans="1:7">
      <c r="A187" s="46"/>
      <c r="B187" s="9"/>
      <c r="C187" s="40"/>
      <c r="D187" s="27"/>
      <c r="E187" s="39"/>
      <c r="F187" s="58"/>
      <c r="G187" s="8"/>
    </row>
    <row r="188" spans="1:7" s="34" customFormat="1">
      <c r="A188" s="47"/>
      <c r="B188" s="113" t="s">
        <v>133</v>
      </c>
      <c r="C188" s="114"/>
      <c r="D188" s="115"/>
      <c r="E188" s="116" t="s">
        <v>134</v>
      </c>
      <c r="F188" s="59">
        <f>SUM(F169:F186)</f>
        <v>2235201870.4440002</v>
      </c>
      <c r="G188" s="8"/>
    </row>
    <row r="189" spans="1:7" s="34" customFormat="1">
      <c r="A189" s="47"/>
      <c r="B189" s="113" t="s">
        <v>135</v>
      </c>
      <c r="C189" s="114"/>
      <c r="D189" s="117">
        <v>0.16550000000000001</v>
      </c>
      <c r="E189" s="116" t="s">
        <v>136</v>
      </c>
      <c r="F189" s="59">
        <f>F188*D189</f>
        <v>369925909.55848205</v>
      </c>
      <c r="G189" s="8"/>
    </row>
    <row r="190" spans="1:7">
      <c r="A190" s="48"/>
      <c r="B190" s="113" t="s">
        <v>137</v>
      </c>
      <c r="C190" s="114"/>
      <c r="D190" s="115"/>
      <c r="E190" s="116" t="s">
        <v>138</v>
      </c>
      <c r="F190" s="59">
        <f>SUM(F188:F189)</f>
        <v>2605127780.0024824</v>
      </c>
      <c r="G190" s="8"/>
    </row>
    <row r="191" spans="1:7">
      <c r="A191" s="94"/>
      <c r="B191" s="49"/>
      <c r="C191" s="50"/>
      <c r="D191" s="49"/>
      <c r="E191" s="93"/>
      <c r="F191" s="92"/>
      <c r="G191" s="8"/>
    </row>
    <row r="192" spans="1:7" ht="25.5">
      <c r="B192" s="108" t="s">
        <v>377</v>
      </c>
      <c r="C192" s="109"/>
      <c r="D192" s="110"/>
      <c r="E192" s="111"/>
      <c r="F192" s="112">
        <f>+F190+F166</f>
        <v>42730158279.734138</v>
      </c>
      <c r="G192" s="8"/>
    </row>
    <row r="193" spans="1:7">
      <c r="A193" s="35"/>
      <c r="G193" s="8"/>
    </row>
    <row r="194" spans="1:7">
      <c r="A194" s="61" t="s">
        <v>391</v>
      </c>
      <c r="B194" s="4"/>
      <c r="C194" s="62"/>
      <c r="D194" s="63"/>
      <c r="E194" s="64"/>
      <c r="F194" s="64"/>
      <c r="G194" s="118"/>
    </row>
    <row r="195" spans="1:7">
      <c r="A195" s="124" t="s">
        <v>358</v>
      </c>
      <c r="B195" s="124"/>
      <c r="C195" s="124"/>
      <c r="D195" s="124"/>
      <c r="E195" s="124"/>
      <c r="F195" s="124"/>
    </row>
    <row r="196" spans="1:7">
      <c r="A196" s="124" t="s">
        <v>359</v>
      </c>
      <c r="B196" s="124"/>
      <c r="C196" s="124"/>
      <c r="D196" s="124"/>
      <c r="E196" s="124"/>
      <c r="F196" s="124"/>
    </row>
    <row r="197" spans="1:7" ht="26.1" customHeight="1">
      <c r="A197" s="124" t="s">
        <v>360</v>
      </c>
      <c r="B197" s="124"/>
      <c r="C197" s="124"/>
      <c r="D197" s="124"/>
      <c r="E197" s="124"/>
      <c r="F197" s="124"/>
    </row>
    <row r="198" spans="1:7" ht="26.1" customHeight="1">
      <c r="A198" s="124" t="s">
        <v>361</v>
      </c>
      <c r="B198" s="124"/>
      <c r="C198" s="124"/>
      <c r="D198" s="124"/>
      <c r="E198" s="124"/>
      <c r="F198" s="124"/>
    </row>
    <row r="199" spans="1:7" ht="26.1" customHeight="1">
      <c r="A199" s="124" t="s">
        <v>362</v>
      </c>
      <c r="B199" s="124"/>
      <c r="C199" s="124"/>
      <c r="D199" s="124"/>
      <c r="E199" s="124"/>
      <c r="F199" s="124"/>
    </row>
    <row r="200" spans="1:7">
      <c r="A200" s="124" t="s">
        <v>363</v>
      </c>
      <c r="B200" s="124"/>
      <c r="C200" s="124"/>
      <c r="D200" s="124"/>
      <c r="E200" s="124"/>
      <c r="F200" s="124"/>
    </row>
    <row r="201" spans="1:7" ht="26.1" customHeight="1">
      <c r="A201" s="124" t="s">
        <v>364</v>
      </c>
      <c r="B201" s="124"/>
      <c r="C201" s="124"/>
      <c r="D201" s="124"/>
      <c r="E201" s="124"/>
      <c r="F201" s="124"/>
    </row>
    <row r="207" spans="1:7" s="21" customFormat="1" ht="12.75" customHeight="1">
      <c r="A207" s="130" t="s">
        <v>369</v>
      </c>
      <c r="B207" s="130"/>
      <c r="C207" s="128" t="s">
        <v>365</v>
      </c>
      <c r="D207" s="128"/>
      <c r="E207" s="128"/>
      <c r="F207" s="128"/>
    </row>
    <row r="208" spans="1:7" ht="12.75" customHeight="1">
      <c r="A208" s="131" t="s">
        <v>368</v>
      </c>
      <c r="B208" s="131"/>
      <c r="C208" s="129" t="s">
        <v>367</v>
      </c>
      <c r="D208" s="129"/>
      <c r="E208" s="129"/>
      <c r="F208" s="129"/>
    </row>
    <row r="209" spans="1:7">
      <c r="B209" s="29"/>
      <c r="D209" s="23"/>
      <c r="E209" s="23"/>
      <c r="F209" s="23"/>
      <c r="G209" s="23"/>
    </row>
    <row r="210" spans="1:7">
      <c r="B210" s="29"/>
      <c r="D210" s="23"/>
      <c r="E210" s="23"/>
      <c r="F210" s="23"/>
      <c r="G210" s="23"/>
    </row>
    <row r="211" spans="1:7">
      <c r="B211" s="29"/>
      <c r="D211" s="23"/>
      <c r="E211" s="23"/>
      <c r="F211" s="23"/>
      <c r="G211" s="23"/>
    </row>
    <row r="212" spans="1:7">
      <c r="B212" s="29"/>
      <c r="D212" s="23"/>
      <c r="E212" s="23"/>
      <c r="F212" s="23"/>
      <c r="G212" s="23"/>
    </row>
    <row r="213" spans="1:7">
      <c r="E213" s="1"/>
      <c r="F213" s="1"/>
    </row>
    <row r="214" spans="1:7" s="21" customFormat="1" ht="12.75" customHeight="1">
      <c r="A214" s="130" t="s">
        <v>370</v>
      </c>
      <c r="B214" s="130"/>
      <c r="C214" s="128" t="s">
        <v>366</v>
      </c>
      <c r="D214" s="128"/>
      <c r="E214" s="128"/>
      <c r="F214" s="128"/>
    </row>
    <row r="215" spans="1:7" ht="12.75" customHeight="1">
      <c r="A215" s="131" t="s">
        <v>392</v>
      </c>
      <c r="B215" s="131"/>
      <c r="C215" s="129" t="s">
        <v>393</v>
      </c>
      <c r="D215" s="129"/>
      <c r="E215" s="129"/>
      <c r="F215" s="129"/>
    </row>
    <row r="217" spans="1:7">
      <c r="F217" s="60">
        <v>41062909666.390701</v>
      </c>
    </row>
    <row r="218" spans="1:7">
      <c r="F218" s="60">
        <f>+F192-F217</f>
        <v>1667248613.3434372</v>
      </c>
    </row>
    <row r="223" spans="1:7">
      <c r="C223" s="128"/>
      <c r="D223" s="128"/>
      <c r="E223" s="128"/>
      <c r="F223" s="128"/>
    </row>
    <row r="224" spans="1:7">
      <c r="C224" s="129"/>
      <c r="D224" s="129"/>
      <c r="E224" s="129"/>
      <c r="F224" s="129"/>
    </row>
  </sheetData>
  <autoFilter ref="G5:G158" xr:uid="{00000000-0001-0000-0000-000000000000}"/>
  <mergeCells count="21">
    <mergeCell ref="C214:F214"/>
    <mergeCell ref="C215:F215"/>
    <mergeCell ref="C223:F223"/>
    <mergeCell ref="C224:F224"/>
    <mergeCell ref="A207:B207"/>
    <mergeCell ref="A208:B208"/>
    <mergeCell ref="A214:B214"/>
    <mergeCell ref="A215:B215"/>
    <mergeCell ref="A199:F199"/>
    <mergeCell ref="A200:F200"/>
    <mergeCell ref="A201:F201"/>
    <mergeCell ref="C207:F207"/>
    <mergeCell ref="C208:F208"/>
    <mergeCell ref="A195:F195"/>
    <mergeCell ref="A196:F196"/>
    <mergeCell ref="A197:F197"/>
    <mergeCell ref="A198:F198"/>
    <mergeCell ref="A1:G1"/>
    <mergeCell ref="A2:G2"/>
    <mergeCell ref="A3:G3"/>
    <mergeCell ref="A167:F167"/>
  </mergeCells>
  <phoneticPr fontId="16" type="noConversion"/>
  <conditionalFormatting sqref="B169:B187">
    <cfRule type="duplicateValues" dxfId="2" priority="14"/>
  </conditionalFormatting>
  <printOptions horizontalCentered="1"/>
  <pageMargins left="0.59055118110236227" right="0.59055118110236227" top="0.59055118110236227" bottom="0.59055118110236227" header="0.51181102362204722" footer="0.51181102362204722"/>
  <pageSetup scale="65" orientation="portrait" horizontalDpi="300" verticalDpi="300" r:id="rId1"/>
  <ignoredErrors>
    <ignoredError sqref="F20 F24 F28 F31 F39 F42 F45 F48 F52 F56 F60 F70 F7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2EA82-7C71-49F9-82B6-9644DD494B07}">
  <sheetPr>
    <tabColor rgb="FFFFFF00"/>
  </sheetPr>
  <dimension ref="A1:G224"/>
  <sheetViews>
    <sheetView showGridLines="0" tabSelected="1" view="pageBreakPreview" zoomScale="115" zoomScaleNormal="80" zoomScaleSheetLayoutView="115" zoomScalePageLayoutView="90" workbookViewId="0">
      <pane ySplit="4" topLeftCell="A187" activePane="bottomLeft" state="frozen"/>
      <selection activeCell="D205" sqref="D205"/>
      <selection pane="bottomLeft" activeCell="F192" sqref="F192"/>
    </sheetView>
  </sheetViews>
  <sheetFormatPr baseColWidth="10" defaultColWidth="10.7109375" defaultRowHeight="12.75"/>
  <cols>
    <col min="1" max="1" width="10.7109375" style="29"/>
    <col min="2" max="2" width="70.7109375" style="1" customWidth="1"/>
    <col min="3" max="3" width="11.7109375" style="23" customWidth="1"/>
    <col min="4" max="4" width="12.7109375" style="1" customWidth="1"/>
    <col min="5" max="5" width="14.5703125" style="36" customWidth="1"/>
    <col min="6" max="6" width="17.5703125" style="60" customWidth="1"/>
    <col min="7" max="7" width="8.7109375" style="1" bestFit="1" customWidth="1"/>
    <col min="8" max="16384" width="10.7109375" style="1"/>
  </cols>
  <sheetData>
    <row r="1" spans="1:7" s="9" customFormat="1">
      <c r="A1" s="125" t="s">
        <v>0</v>
      </c>
      <c r="B1" s="125"/>
      <c r="C1" s="125"/>
      <c r="D1" s="125"/>
      <c r="E1" s="125"/>
      <c r="F1" s="125"/>
      <c r="G1" s="125"/>
    </row>
    <row r="2" spans="1:7" s="9" customFormat="1" ht="43.5" customHeight="1">
      <c r="A2" s="125" t="s">
        <v>356</v>
      </c>
      <c r="B2" s="125"/>
      <c r="C2" s="125"/>
      <c r="D2" s="125"/>
      <c r="E2" s="125"/>
      <c r="F2" s="125"/>
      <c r="G2" s="125"/>
    </row>
    <row r="3" spans="1:7" s="9" customFormat="1">
      <c r="A3" s="125" t="s">
        <v>1</v>
      </c>
      <c r="B3" s="125"/>
      <c r="C3" s="125"/>
      <c r="D3" s="125"/>
      <c r="E3" s="125"/>
      <c r="F3" s="125"/>
      <c r="G3" s="125"/>
    </row>
    <row r="4" spans="1:7" ht="13.5" thickBot="1">
      <c r="A4" s="10" t="s">
        <v>2</v>
      </c>
      <c r="B4" s="11" t="s">
        <v>3</v>
      </c>
      <c r="C4" s="11" t="s">
        <v>143</v>
      </c>
      <c r="D4" s="11" t="s">
        <v>4</v>
      </c>
      <c r="E4" s="12" t="s">
        <v>394</v>
      </c>
      <c r="F4" s="51" t="s">
        <v>5</v>
      </c>
      <c r="G4" s="12" t="s">
        <v>6</v>
      </c>
    </row>
    <row r="5" spans="1:7">
      <c r="A5" s="41" t="s">
        <v>7</v>
      </c>
      <c r="B5" s="42" t="s">
        <v>8</v>
      </c>
      <c r="C5" s="43"/>
      <c r="D5" s="44" t="s">
        <v>399</v>
      </c>
      <c r="E5" s="45" t="s">
        <v>399</v>
      </c>
      <c r="F5" s="52">
        <f>SUM(F6:F19)</f>
        <v>484998826</v>
      </c>
      <c r="G5" s="8">
        <f>IFERROR(F5/$F$160,"")</f>
        <v>1.7187614044743213E-2</v>
      </c>
    </row>
    <row r="6" spans="1:7">
      <c r="A6" s="18" t="s">
        <v>9</v>
      </c>
      <c r="B6" s="66" t="s">
        <v>378</v>
      </c>
      <c r="C6" s="3" t="s">
        <v>22</v>
      </c>
      <c r="D6" s="19">
        <v>36</v>
      </c>
      <c r="E6" s="37">
        <v>889644</v>
      </c>
      <c r="F6" s="53">
        <f t="shared" ref="F6:F19" si="0">IFERROR(E6*D6,"")</f>
        <v>32027184</v>
      </c>
    </row>
    <row r="7" spans="1:7">
      <c r="A7" s="18" t="s">
        <v>11</v>
      </c>
      <c r="B7" s="66" t="s">
        <v>12</v>
      </c>
      <c r="C7" s="3" t="s">
        <v>25</v>
      </c>
      <c r="D7" s="19">
        <v>102</v>
      </c>
      <c r="E7" s="37">
        <v>651379</v>
      </c>
      <c r="F7" s="53">
        <f t="shared" si="0"/>
        <v>66440658</v>
      </c>
    </row>
    <row r="8" spans="1:7">
      <c r="A8" s="18" t="s">
        <v>14</v>
      </c>
      <c r="B8" s="66" t="s">
        <v>15</v>
      </c>
      <c r="C8" s="3" t="s">
        <v>10</v>
      </c>
      <c r="D8" s="19">
        <v>210</v>
      </c>
      <c r="E8" s="37">
        <v>184847</v>
      </c>
      <c r="F8" s="53">
        <f t="shared" si="0"/>
        <v>38817870</v>
      </c>
    </row>
    <row r="9" spans="1:7">
      <c r="A9" s="18" t="s">
        <v>16</v>
      </c>
      <c r="B9" s="66" t="s">
        <v>379</v>
      </c>
      <c r="C9" s="3" t="s">
        <v>13</v>
      </c>
      <c r="D9" s="19">
        <v>520</v>
      </c>
      <c r="E9" s="37">
        <v>18023</v>
      </c>
      <c r="F9" s="53">
        <f t="shared" si="0"/>
        <v>9371960</v>
      </c>
    </row>
    <row r="10" spans="1:7">
      <c r="A10" s="18" t="s">
        <v>17</v>
      </c>
      <c r="B10" s="66" t="s">
        <v>18</v>
      </c>
      <c r="C10" s="3" t="s">
        <v>13</v>
      </c>
      <c r="D10" s="19">
        <v>20500</v>
      </c>
      <c r="E10" s="37">
        <v>373</v>
      </c>
      <c r="F10" s="53">
        <f t="shared" si="0"/>
        <v>7646500</v>
      </c>
    </row>
    <row r="11" spans="1:7">
      <c r="A11" s="18" t="s">
        <v>19</v>
      </c>
      <c r="B11" s="66" t="s">
        <v>20</v>
      </c>
      <c r="C11" s="3" t="s">
        <v>25</v>
      </c>
      <c r="D11" s="19">
        <v>310</v>
      </c>
      <c r="E11" s="37">
        <v>73582</v>
      </c>
      <c r="F11" s="53">
        <f t="shared" si="0"/>
        <v>22810420</v>
      </c>
    </row>
    <row r="12" spans="1:7">
      <c r="A12" s="18" t="s">
        <v>23</v>
      </c>
      <c r="B12" s="66" t="s">
        <v>24</v>
      </c>
      <c r="C12" s="3" t="s">
        <v>25</v>
      </c>
      <c r="D12" s="19">
        <v>2150</v>
      </c>
      <c r="E12" s="37">
        <v>47744</v>
      </c>
      <c r="F12" s="53">
        <f t="shared" si="0"/>
        <v>102649600</v>
      </c>
    </row>
    <row r="13" spans="1:7">
      <c r="A13" s="18" t="s">
        <v>26</v>
      </c>
      <c r="B13" s="67" t="s">
        <v>27</v>
      </c>
      <c r="C13" s="3" t="s">
        <v>13</v>
      </c>
      <c r="D13" s="19">
        <v>1023</v>
      </c>
      <c r="E13" s="37">
        <v>8005</v>
      </c>
      <c r="F13" s="53">
        <f t="shared" si="0"/>
        <v>8189115</v>
      </c>
    </row>
    <row r="14" spans="1:7">
      <c r="A14" s="18" t="s">
        <v>28</v>
      </c>
      <c r="B14" s="67" t="s">
        <v>29</v>
      </c>
      <c r="C14" s="3" t="s">
        <v>25</v>
      </c>
      <c r="D14" s="19">
        <v>11</v>
      </c>
      <c r="E14" s="37">
        <v>324657</v>
      </c>
      <c r="F14" s="53">
        <f t="shared" si="0"/>
        <v>3571227</v>
      </c>
    </row>
    <row r="15" spans="1:7">
      <c r="A15" s="18" t="s">
        <v>30</v>
      </c>
      <c r="B15" s="66" t="s">
        <v>31</v>
      </c>
      <c r="C15" s="3" t="s">
        <v>13</v>
      </c>
      <c r="D15" s="19">
        <v>500</v>
      </c>
      <c r="E15" s="37">
        <v>19982</v>
      </c>
      <c r="F15" s="53">
        <f t="shared" si="0"/>
        <v>9991000</v>
      </c>
    </row>
    <row r="16" spans="1:7">
      <c r="A16" s="18" t="s">
        <v>32</v>
      </c>
      <c r="B16" s="66" t="s">
        <v>33</v>
      </c>
      <c r="C16" s="3" t="s">
        <v>13</v>
      </c>
      <c r="D16" s="19">
        <v>500</v>
      </c>
      <c r="E16" s="37">
        <v>28422</v>
      </c>
      <c r="F16" s="53">
        <f t="shared" si="0"/>
        <v>14211000</v>
      </c>
    </row>
    <row r="17" spans="1:7">
      <c r="A17" s="18" t="s">
        <v>34</v>
      </c>
      <c r="B17" s="68" t="s">
        <v>35</v>
      </c>
      <c r="C17" s="20" t="s">
        <v>25</v>
      </c>
      <c r="D17" s="86">
        <v>203</v>
      </c>
      <c r="E17" s="37">
        <v>692184</v>
      </c>
      <c r="F17" s="53">
        <f t="shared" si="0"/>
        <v>140513352</v>
      </c>
    </row>
    <row r="18" spans="1:7">
      <c r="A18" s="18" t="s">
        <v>36</v>
      </c>
      <c r="B18" s="68" t="s">
        <v>37</v>
      </c>
      <c r="C18" s="20" t="s">
        <v>25</v>
      </c>
      <c r="D18" s="19">
        <v>71</v>
      </c>
      <c r="E18" s="37">
        <v>325188</v>
      </c>
      <c r="F18" s="53">
        <f t="shared" si="0"/>
        <v>23088348</v>
      </c>
    </row>
    <row r="19" spans="1:7">
      <c r="A19" s="18" t="s">
        <v>38</v>
      </c>
      <c r="B19" s="68" t="s">
        <v>39</v>
      </c>
      <c r="C19" s="20" t="s">
        <v>10</v>
      </c>
      <c r="D19" s="19">
        <v>32</v>
      </c>
      <c r="E19" s="37">
        <v>177206</v>
      </c>
      <c r="F19" s="53">
        <f t="shared" si="0"/>
        <v>5670592</v>
      </c>
    </row>
    <row r="20" spans="1:7" s="21" customFormat="1">
      <c r="A20" s="13" t="s">
        <v>40</v>
      </c>
      <c r="B20" s="14" t="s">
        <v>41</v>
      </c>
      <c r="C20" s="15"/>
      <c r="D20" s="16" t="s">
        <v>399</v>
      </c>
      <c r="E20" s="120">
        <v>0</v>
      </c>
      <c r="F20" s="54">
        <f>SUM(F21:F23)</f>
        <v>58255916.310000002</v>
      </c>
      <c r="G20" s="8">
        <f>IFERROR(F20/$F$160,"")</f>
        <v>2.0645002661493893E-3</v>
      </c>
    </row>
    <row r="21" spans="1:7">
      <c r="A21" s="18" t="s">
        <v>42</v>
      </c>
      <c r="B21" s="68" t="s">
        <v>43</v>
      </c>
      <c r="C21" s="20" t="s">
        <v>10</v>
      </c>
      <c r="D21" s="19">
        <v>25</v>
      </c>
      <c r="E21" s="37">
        <v>14330</v>
      </c>
      <c r="F21" s="53">
        <f t="shared" ref="F21:F23" si="1">IFERROR(E21*D21,"")</f>
        <v>358250</v>
      </c>
    </row>
    <row r="22" spans="1:7">
      <c r="A22" s="18" t="s">
        <v>44</v>
      </c>
      <c r="B22" s="68" t="s">
        <v>45</v>
      </c>
      <c r="C22" s="20" t="s">
        <v>21</v>
      </c>
      <c r="D22" s="19">
        <v>26</v>
      </c>
      <c r="E22" s="37">
        <v>249464</v>
      </c>
      <c r="F22" s="53">
        <f t="shared" si="1"/>
        <v>6486064</v>
      </c>
    </row>
    <row r="23" spans="1:7">
      <c r="A23" s="18" t="s">
        <v>46</v>
      </c>
      <c r="B23" s="68" t="s">
        <v>47</v>
      </c>
      <c r="C23" s="20" t="s">
        <v>10</v>
      </c>
      <c r="D23" s="19">
        <v>2820.01</v>
      </c>
      <c r="E23" s="37">
        <v>18231</v>
      </c>
      <c r="F23" s="53">
        <f t="shared" si="1"/>
        <v>51411602.310000002</v>
      </c>
    </row>
    <row r="24" spans="1:7" s="21" customFormat="1">
      <c r="A24" s="13" t="s">
        <v>48</v>
      </c>
      <c r="B24" s="14" t="s">
        <v>49</v>
      </c>
      <c r="C24" s="15"/>
      <c r="D24" s="16" t="s">
        <v>399</v>
      </c>
      <c r="E24" s="120">
        <v>0</v>
      </c>
      <c r="F24" s="54">
        <f>SUM(F25:F27)</f>
        <v>1573930002.7600002</v>
      </c>
      <c r="G24" s="8">
        <f>IFERROR(F24/$F$160,"")</f>
        <v>5.5777663719294247E-2</v>
      </c>
    </row>
    <row r="25" spans="1:7">
      <c r="A25" s="18" t="s">
        <v>50</v>
      </c>
      <c r="B25" s="68" t="s">
        <v>51</v>
      </c>
      <c r="C25" s="20" t="s">
        <v>21</v>
      </c>
      <c r="D25" s="19">
        <v>16600.190000000002</v>
      </c>
      <c r="E25" s="37">
        <v>46167</v>
      </c>
      <c r="F25" s="53">
        <f t="shared" ref="F25:F27" si="2">IFERROR(E25*D25,"")</f>
        <v>766380971.73000014</v>
      </c>
    </row>
    <row r="26" spans="1:7">
      <c r="A26" s="18" t="s">
        <v>52</v>
      </c>
      <c r="B26" s="68" t="s">
        <v>53</v>
      </c>
      <c r="C26" s="20" t="s">
        <v>21</v>
      </c>
      <c r="D26" s="19">
        <v>2528.77</v>
      </c>
      <c r="E26" s="37">
        <v>53554</v>
      </c>
      <c r="F26" s="53">
        <f t="shared" si="2"/>
        <v>135425748.58000001</v>
      </c>
    </row>
    <row r="27" spans="1:7">
      <c r="A27" s="18" t="s">
        <v>54</v>
      </c>
      <c r="B27" s="68" t="s">
        <v>55</v>
      </c>
      <c r="C27" s="20" t="s">
        <v>21</v>
      </c>
      <c r="D27" s="19">
        <v>43460.93</v>
      </c>
      <c r="E27" s="37">
        <v>15465</v>
      </c>
      <c r="F27" s="53">
        <f t="shared" si="2"/>
        <v>672123282.45000005</v>
      </c>
    </row>
    <row r="28" spans="1:7" s="21" customFormat="1">
      <c r="A28" s="22" t="s">
        <v>56</v>
      </c>
      <c r="B28" s="14" t="s">
        <v>57</v>
      </c>
      <c r="C28" s="15"/>
      <c r="D28" s="16" t="s">
        <v>399</v>
      </c>
      <c r="E28" s="120">
        <v>0</v>
      </c>
      <c r="F28" s="54">
        <f>SUM(F29:F30)</f>
        <v>137921929.19999999</v>
      </c>
      <c r="G28" s="8">
        <f>IFERROR(F28/$F$160,"")</f>
        <v>4.8877414960917841E-3</v>
      </c>
    </row>
    <row r="29" spans="1:7">
      <c r="A29" s="18" t="s">
        <v>58</v>
      </c>
      <c r="B29" s="66" t="s">
        <v>59</v>
      </c>
      <c r="C29" s="3" t="s">
        <v>60</v>
      </c>
      <c r="D29" s="19">
        <v>16166</v>
      </c>
      <c r="E29" s="37">
        <v>8206</v>
      </c>
      <c r="F29" s="53">
        <f t="shared" ref="F29:F38" si="3">IFERROR(E29*D29,"")</f>
        <v>132658196</v>
      </c>
    </row>
    <row r="30" spans="1:7">
      <c r="A30" s="18" t="s">
        <v>61</v>
      </c>
      <c r="B30" s="66" t="s">
        <v>62</v>
      </c>
      <c r="C30" s="3" t="s">
        <v>21</v>
      </c>
      <c r="D30" s="19">
        <v>8.6</v>
      </c>
      <c r="E30" s="37">
        <v>612062</v>
      </c>
      <c r="F30" s="53">
        <f t="shared" si="3"/>
        <v>5263733.2</v>
      </c>
    </row>
    <row r="31" spans="1:7">
      <c r="A31" s="22" t="s">
        <v>333</v>
      </c>
      <c r="B31" s="14" t="s">
        <v>334</v>
      </c>
      <c r="C31" s="15"/>
      <c r="D31" s="16" t="s">
        <v>399</v>
      </c>
      <c r="E31" s="120">
        <v>0</v>
      </c>
      <c r="F31" s="54">
        <f>SUM(F32:F38)</f>
        <v>1188979766.5899999</v>
      </c>
      <c r="G31" s="8">
        <f>IFERROR(F31/$F$160,"")</f>
        <v>4.2135618149223709E-2</v>
      </c>
    </row>
    <row r="32" spans="1:7">
      <c r="A32" s="18" t="s">
        <v>335</v>
      </c>
      <c r="B32" s="2" t="s">
        <v>336</v>
      </c>
      <c r="C32" s="3" t="s">
        <v>13</v>
      </c>
      <c r="D32" s="19">
        <v>3293.41</v>
      </c>
      <c r="E32" s="37">
        <v>30685</v>
      </c>
      <c r="F32" s="53">
        <f t="shared" si="3"/>
        <v>101058285.84999999</v>
      </c>
    </row>
    <row r="33" spans="1:7">
      <c r="A33" s="18" t="s">
        <v>337</v>
      </c>
      <c r="B33" s="2" t="s">
        <v>338</v>
      </c>
      <c r="C33" s="3" t="s">
        <v>13</v>
      </c>
      <c r="D33" s="19">
        <v>587.01</v>
      </c>
      <c r="E33" s="37">
        <v>57750</v>
      </c>
      <c r="F33" s="53">
        <f t="shared" si="3"/>
        <v>33899827.5</v>
      </c>
    </row>
    <row r="34" spans="1:7">
      <c r="A34" s="18" t="s">
        <v>339</v>
      </c>
      <c r="B34" s="2" t="s">
        <v>380</v>
      </c>
      <c r="C34" s="3" t="s">
        <v>10</v>
      </c>
      <c r="D34" s="19">
        <v>11115.49</v>
      </c>
      <c r="E34" s="37">
        <v>51410</v>
      </c>
      <c r="F34" s="53">
        <f t="shared" si="3"/>
        <v>571447340.89999998</v>
      </c>
    </row>
    <row r="35" spans="1:7">
      <c r="A35" s="18" t="s">
        <v>340</v>
      </c>
      <c r="B35" s="2" t="s">
        <v>381</v>
      </c>
      <c r="C35" s="3" t="s">
        <v>10</v>
      </c>
      <c r="D35" s="19">
        <v>1320.02</v>
      </c>
      <c r="E35" s="37">
        <v>37447</v>
      </c>
      <c r="F35" s="53">
        <f t="shared" si="3"/>
        <v>49430788.939999998</v>
      </c>
    </row>
    <row r="36" spans="1:7">
      <c r="A36" s="18" t="s">
        <v>341</v>
      </c>
      <c r="B36" s="2" t="s">
        <v>342</v>
      </c>
      <c r="C36" s="3" t="s">
        <v>10</v>
      </c>
      <c r="D36" s="19">
        <v>3058.34</v>
      </c>
      <c r="E36" s="37">
        <v>29120</v>
      </c>
      <c r="F36" s="53">
        <f t="shared" si="3"/>
        <v>89058860.799999997</v>
      </c>
    </row>
    <row r="37" spans="1:7">
      <c r="A37" s="18" t="s">
        <v>343</v>
      </c>
      <c r="B37" s="2" t="s">
        <v>344</v>
      </c>
      <c r="C37" s="3" t="s">
        <v>21</v>
      </c>
      <c r="D37" s="19">
        <v>5396</v>
      </c>
      <c r="E37" s="37">
        <v>57869</v>
      </c>
      <c r="F37" s="53">
        <f t="shared" si="3"/>
        <v>312261124</v>
      </c>
    </row>
    <row r="38" spans="1:7">
      <c r="A38" s="18" t="s">
        <v>345</v>
      </c>
      <c r="B38" s="2" t="s">
        <v>346</v>
      </c>
      <c r="C38" s="3" t="s">
        <v>21</v>
      </c>
      <c r="D38" s="19">
        <v>317.8</v>
      </c>
      <c r="E38" s="37">
        <v>100137</v>
      </c>
      <c r="F38" s="53">
        <f t="shared" si="3"/>
        <v>31823538.600000001</v>
      </c>
    </row>
    <row r="39" spans="1:7" s="21" customFormat="1">
      <c r="A39" s="13" t="s">
        <v>63</v>
      </c>
      <c r="B39" s="14" t="s">
        <v>64</v>
      </c>
      <c r="C39" s="15"/>
      <c r="D39" s="16" t="s">
        <v>399</v>
      </c>
      <c r="E39" s="120">
        <v>0</v>
      </c>
      <c r="F39" s="54">
        <f>SUM(F40:F41)</f>
        <v>4604803358</v>
      </c>
      <c r="G39" s="8">
        <f>IFERROR(F39/$F$160,"")</f>
        <v>0.16318716381643678</v>
      </c>
    </row>
    <row r="40" spans="1:7">
      <c r="A40" s="18" t="s">
        <v>65</v>
      </c>
      <c r="B40" s="66" t="s">
        <v>66</v>
      </c>
      <c r="C40" s="3" t="s">
        <v>21</v>
      </c>
      <c r="D40" s="19">
        <v>8119</v>
      </c>
      <c r="E40" s="37">
        <v>160446</v>
      </c>
      <c r="F40" s="53">
        <f t="shared" ref="F40:F41" si="4">IFERROR(E40*D40,"")</f>
        <v>1302661074</v>
      </c>
    </row>
    <row r="41" spans="1:7">
      <c r="A41" s="18" t="s">
        <v>67</v>
      </c>
      <c r="B41" s="66" t="s">
        <v>68</v>
      </c>
      <c r="C41" s="3" t="s">
        <v>21</v>
      </c>
      <c r="D41" s="19">
        <v>24194</v>
      </c>
      <c r="E41" s="37">
        <v>136486</v>
      </c>
      <c r="F41" s="53">
        <f t="shared" si="4"/>
        <v>3302142284</v>
      </c>
    </row>
    <row r="42" spans="1:7" s="21" customFormat="1">
      <c r="A42" s="13" t="s">
        <v>69</v>
      </c>
      <c r="B42" s="14" t="s">
        <v>70</v>
      </c>
      <c r="C42" s="15"/>
      <c r="D42" s="16" t="s">
        <v>399</v>
      </c>
      <c r="E42" s="120">
        <v>0</v>
      </c>
      <c r="F42" s="54">
        <f>SUM(F43:F44)</f>
        <v>7258800686.8000002</v>
      </c>
      <c r="G42" s="8">
        <f>IFERROR(F42/$F$160,"")</f>
        <v>0.25724075594450069</v>
      </c>
    </row>
    <row r="43" spans="1:7">
      <c r="A43" s="18" t="s">
        <v>146</v>
      </c>
      <c r="B43" s="66" t="s">
        <v>147</v>
      </c>
      <c r="C43" s="3" t="s">
        <v>10</v>
      </c>
      <c r="D43" s="19">
        <v>57460</v>
      </c>
      <c r="E43" s="37">
        <v>6328</v>
      </c>
      <c r="F43" s="53">
        <f t="shared" ref="F43:F44" si="5">IFERROR(E43*D43,"")</f>
        <v>363606880</v>
      </c>
    </row>
    <row r="44" spans="1:7">
      <c r="A44" s="18" t="s">
        <v>71</v>
      </c>
      <c r="B44" s="66" t="s">
        <v>72</v>
      </c>
      <c r="C44" s="3" t="s">
        <v>21</v>
      </c>
      <c r="D44" s="19">
        <v>5916.6</v>
      </c>
      <c r="E44" s="37">
        <v>1165398</v>
      </c>
      <c r="F44" s="53">
        <f t="shared" si="5"/>
        <v>6895193806.8000002</v>
      </c>
    </row>
    <row r="45" spans="1:7" s="21" customFormat="1">
      <c r="A45" s="13" t="s">
        <v>73</v>
      </c>
      <c r="B45" s="14" t="s">
        <v>74</v>
      </c>
      <c r="C45" s="15"/>
      <c r="D45" s="16" t="s">
        <v>399</v>
      </c>
      <c r="E45" s="120">
        <v>0</v>
      </c>
      <c r="F45" s="54">
        <f>SUM(F46:F47)</f>
        <v>17615072</v>
      </c>
      <c r="G45" s="8">
        <f>IFERROR(F45/$F$160,"")</f>
        <v>6.2425111706633887E-4</v>
      </c>
    </row>
    <row r="46" spans="1:7" ht="25.5">
      <c r="A46" s="18" t="s">
        <v>75</v>
      </c>
      <c r="B46" s="66" t="s">
        <v>76</v>
      </c>
      <c r="C46" s="3" t="s">
        <v>25</v>
      </c>
      <c r="D46" s="19">
        <v>20</v>
      </c>
      <c r="E46" s="37">
        <v>854560</v>
      </c>
      <c r="F46" s="53">
        <f t="shared" ref="F46:F47" si="6">IFERROR(E46*D46,"")</f>
        <v>17091200</v>
      </c>
    </row>
    <row r="47" spans="1:7">
      <c r="A47" s="18" t="s">
        <v>77</v>
      </c>
      <c r="B47" s="66" t="s">
        <v>144</v>
      </c>
      <c r="C47" s="3" t="s">
        <v>10</v>
      </c>
      <c r="D47" s="19">
        <v>205.44</v>
      </c>
      <c r="E47" s="37">
        <v>2550</v>
      </c>
      <c r="F47" s="53">
        <f t="shared" si="6"/>
        <v>523872</v>
      </c>
    </row>
    <row r="48" spans="1:7" s="21" customFormat="1">
      <c r="A48" s="13" t="s">
        <v>78</v>
      </c>
      <c r="B48" s="14" t="s">
        <v>79</v>
      </c>
      <c r="C48" s="15"/>
      <c r="D48" s="16" t="s">
        <v>399</v>
      </c>
      <c r="E48" s="120">
        <v>0</v>
      </c>
      <c r="F48" s="54">
        <f>SUM(F49:F51)</f>
        <v>19398091.199999999</v>
      </c>
      <c r="G48" s="8">
        <f>IFERROR(F48/$F$160,"")</f>
        <v>6.87438581037575E-4</v>
      </c>
    </row>
    <row r="49" spans="1:7">
      <c r="A49" s="18" t="s">
        <v>82</v>
      </c>
      <c r="B49" s="66" t="s">
        <v>80</v>
      </c>
      <c r="C49" s="3" t="s">
        <v>13</v>
      </c>
      <c r="D49" s="19">
        <v>224.4</v>
      </c>
      <c r="E49" s="37">
        <v>75878</v>
      </c>
      <c r="F49" s="53">
        <f t="shared" ref="F49:F51" si="7">IFERROR(E49*D49,"")</f>
        <v>17027023.199999999</v>
      </c>
    </row>
    <row r="50" spans="1:7">
      <c r="A50" s="18" t="s">
        <v>84</v>
      </c>
      <c r="B50" s="66" t="s">
        <v>81</v>
      </c>
      <c r="C50" s="3" t="s">
        <v>13</v>
      </c>
      <c r="D50" s="19">
        <v>18</v>
      </c>
      <c r="E50" s="37">
        <v>98408</v>
      </c>
      <c r="F50" s="53">
        <f t="shared" si="7"/>
        <v>1771344</v>
      </c>
    </row>
    <row r="51" spans="1:7">
      <c r="A51" s="18" t="s">
        <v>85</v>
      </c>
      <c r="B51" s="66" t="s">
        <v>83</v>
      </c>
      <c r="C51" s="3" t="s">
        <v>13</v>
      </c>
      <c r="D51" s="19">
        <v>4</v>
      </c>
      <c r="E51" s="37">
        <v>149931</v>
      </c>
      <c r="F51" s="53">
        <f t="shared" si="7"/>
        <v>599724</v>
      </c>
    </row>
    <row r="52" spans="1:7" s="21" customFormat="1">
      <c r="A52" s="13" t="s">
        <v>86</v>
      </c>
      <c r="B52" s="14" t="s">
        <v>87</v>
      </c>
      <c r="C52" s="15"/>
      <c r="D52" s="16" t="s">
        <v>399</v>
      </c>
      <c r="E52" s="120">
        <v>0</v>
      </c>
      <c r="F52" s="54">
        <f>SUM(F53:F55)</f>
        <v>539705540</v>
      </c>
      <c r="G52" s="8">
        <f>IFERROR(F52/$F$160,"")</f>
        <v>1.9126336028140654E-2</v>
      </c>
    </row>
    <row r="53" spans="1:7">
      <c r="A53" s="18" t="s">
        <v>88</v>
      </c>
      <c r="B53" s="66" t="s">
        <v>148</v>
      </c>
      <c r="C53" s="3" t="s">
        <v>25</v>
      </c>
      <c r="D53" s="19">
        <v>168</v>
      </c>
      <c r="E53" s="37">
        <v>507268</v>
      </c>
      <c r="F53" s="53">
        <f t="shared" ref="F53:F55" si="8">IFERROR(E53*D53,"")</f>
        <v>85221024</v>
      </c>
    </row>
    <row r="54" spans="1:7">
      <c r="A54" s="18" t="s">
        <v>89</v>
      </c>
      <c r="B54" s="66" t="s">
        <v>382</v>
      </c>
      <c r="C54" s="3" t="s">
        <v>25</v>
      </c>
      <c r="D54" s="19">
        <v>7136.44</v>
      </c>
      <c r="E54" s="37">
        <v>52235</v>
      </c>
      <c r="F54" s="53">
        <f t="shared" si="8"/>
        <v>372771943.39999998</v>
      </c>
    </row>
    <row r="55" spans="1:7" ht="25.5">
      <c r="A55" s="18" t="s">
        <v>90</v>
      </c>
      <c r="B55" s="66" t="s">
        <v>149</v>
      </c>
      <c r="C55" s="3" t="s">
        <v>13</v>
      </c>
      <c r="D55" s="19">
        <v>2636.74</v>
      </c>
      <c r="E55" s="37">
        <v>30990</v>
      </c>
      <c r="F55" s="53">
        <f t="shared" si="8"/>
        <v>81712572.599999994</v>
      </c>
    </row>
    <row r="56" spans="1:7" s="21" customFormat="1">
      <c r="A56" s="22" t="s">
        <v>91</v>
      </c>
      <c r="B56" s="14" t="s">
        <v>92</v>
      </c>
      <c r="C56" s="15"/>
      <c r="D56" s="16" t="s">
        <v>399</v>
      </c>
      <c r="E56" s="120">
        <v>0</v>
      </c>
      <c r="F56" s="54">
        <f>SUM(F57:F59)</f>
        <v>239634738</v>
      </c>
      <c r="G56" s="8">
        <f>IFERROR(F56/$F$160,"")</f>
        <v>8.4922873369123585E-3</v>
      </c>
    </row>
    <row r="57" spans="1:7">
      <c r="A57" s="18" t="s">
        <v>93</v>
      </c>
      <c r="B57" s="66" t="s">
        <v>94</v>
      </c>
      <c r="C57" s="3" t="s">
        <v>10</v>
      </c>
      <c r="D57" s="19">
        <v>1775.5</v>
      </c>
      <c r="E57" s="37">
        <v>25918</v>
      </c>
      <c r="F57" s="53">
        <f t="shared" ref="F57:F59" si="9">IFERROR(E57*D57,"")</f>
        <v>46017409</v>
      </c>
    </row>
    <row r="58" spans="1:7">
      <c r="A58" s="18" t="s">
        <v>95</v>
      </c>
      <c r="B58" s="66" t="s">
        <v>96</v>
      </c>
      <c r="C58" s="3" t="s">
        <v>13</v>
      </c>
      <c r="D58" s="19">
        <v>21710</v>
      </c>
      <c r="E58" s="37">
        <v>7428</v>
      </c>
      <c r="F58" s="53">
        <f t="shared" si="9"/>
        <v>161261880</v>
      </c>
    </row>
    <row r="59" spans="1:7">
      <c r="A59" s="18" t="s">
        <v>97</v>
      </c>
      <c r="B59" s="66" t="s">
        <v>98</v>
      </c>
      <c r="C59" s="3" t="s">
        <v>25</v>
      </c>
      <c r="D59" s="19">
        <v>1381</v>
      </c>
      <c r="E59" s="37">
        <v>23429</v>
      </c>
      <c r="F59" s="53">
        <f t="shared" si="9"/>
        <v>32355449</v>
      </c>
    </row>
    <row r="60" spans="1:7" s="21" customFormat="1">
      <c r="A60" s="22" t="s">
        <v>99</v>
      </c>
      <c r="B60" s="14" t="s">
        <v>100</v>
      </c>
      <c r="C60" s="15"/>
      <c r="D60" s="16" t="s">
        <v>399</v>
      </c>
      <c r="E60" s="120">
        <v>0</v>
      </c>
      <c r="F60" s="54">
        <f>SUM(F61:F69)</f>
        <v>2562714363.1100001</v>
      </c>
      <c r="G60" s="8">
        <f>IFERROR(F60/$F$160,"")</f>
        <v>9.0818663919929973E-2</v>
      </c>
    </row>
    <row r="61" spans="1:7">
      <c r="A61" s="18" t="s">
        <v>101</v>
      </c>
      <c r="B61" s="66" t="s">
        <v>102</v>
      </c>
      <c r="C61" s="3" t="s">
        <v>10</v>
      </c>
      <c r="D61" s="19">
        <v>4089.93</v>
      </c>
      <c r="E61" s="37">
        <v>84977</v>
      </c>
      <c r="F61" s="53">
        <f t="shared" ref="F61:F69" si="10">IFERROR(E61*D61,"")</f>
        <v>347549981.61000001</v>
      </c>
    </row>
    <row r="62" spans="1:7">
      <c r="A62" s="18" t="s">
        <v>104</v>
      </c>
      <c r="B62" s="66" t="s">
        <v>103</v>
      </c>
      <c r="C62" s="3" t="s">
        <v>25</v>
      </c>
      <c r="D62" s="19">
        <v>62</v>
      </c>
      <c r="E62" s="37">
        <v>406964</v>
      </c>
      <c r="F62" s="53">
        <f t="shared" si="10"/>
        <v>25231768</v>
      </c>
    </row>
    <row r="63" spans="1:7">
      <c r="A63" s="18" t="s">
        <v>108</v>
      </c>
      <c r="B63" s="66" t="s">
        <v>105</v>
      </c>
      <c r="C63" s="3" t="s">
        <v>25</v>
      </c>
      <c r="D63" s="19">
        <v>53</v>
      </c>
      <c r="E63" s="37">
        <v>2486323</v>
      </c>
      <c r="F63" s="53">
        <f t="shared" si="10"/>
        <v>131775119</v>
      </c>
    </row>
    <row r="64" spans="1:7">
      <c r="A64" s="18" t="s">
        <v>109</v>
      </c>
      <c r="B64" s="66" t="s">
        <v>106</v>
      </c>
      <c r="C64" s="3" t="s">
        <v>25</v>
      </c>
      <c r="D64" s="19">
        <v>387</v>
      </c>
      <c r="E64" s="37">
        <v>1158759</v>
      </c>
      <c r="F64" s="53">
        <f t="shared" si="10"/>
        <v>448439733</v>
      </c>
    </row>
    <row r="65" spans="1:7">
      <c r="A65" s="18" t="s">
        <v>110</v>
      </c>
      <c r="B65" s="66" t="s">
        <v>107</v>
      </c>
      <c r="C65" s="3" t="s">
        <v>10</v>
      </c>
      <c r="D65" s="19">
        <v>3323</v>
      </c>
      <c r="E65" s="37">
        <v>15107</v>
      </c>
      <c r="F65" s="53">
        <f t="shared" si="10"/>
        <v>50200561</v>
      </c>
    </row>
    <row r="66" spans="1:7">
      <c r="A66" s="18" t="s">
        <v>112</v>
      </c>
      <c r="B66" s="66" t="s">
        <v>111</v>
      </c>
      <c r="C66" s="3" t="s">
        <v>25</v>
      </c>
      <c r="D66" s="19">
        <v>444.5</v>
      </c>
      <c r="E66" s="37">
        <v>144197</v>
      </c>
      <c r="F66" s="53">
        <f t="shared" si="10"/>
        <v>64095566.5</v>
      </c>
    </row>
    <row r="67" spans="1:7">
      <c r="A67" s="18" t="s">
        <v>114</v>
      </c>
      <c r="B67" s="66" t="s">
        <v>113</v>
      </c>
      <c r="C67" s="3" t="s">
        <v>13</v>
      </c>
      <c r="D67" s="19">
        <v>12299</v>
      </c>
      <c r="E67" s="37">
        <v>114154</v>
      </c>
      <c r="F67" s="53">
        <f t="shared" si="10"/>
        <v>1403980046</v>
      </c>
    </row>
    <row r="68" spans="1:7">
      <c r="A68" s="18" t="s">
        <v>116</v>
      </c>
      <c r="B68" s="66" t="s">
        <v>115</v>
      </c>
      <c r="C68" s="3" t="s">
        <v>25</v>
      </c>
      <c r="D68" s="19">
        <v>3075</v>
      </c>
      <c r="E68" s="37">
        <v>26950</v>
      </c>
      <c r="F68" s="53">
        <f t="shared" si="10"/>
        <v>82871250</v>
      </c>
    </row>
    <row r="69" spans="1:7" ht="25.5">
      <c r="A69" s="18" t="s">
        <v>145</v>
      </c>
      <c r="B69" s="66" t="s">
        <v>117</v>
      </c>
      <c r="C69" s="3" t="s">
        <v>25</v>
      </c>
      <c r="D69" s="19">
        <v>194</v>
      </c>
      <c r="E69" s="37">
        <v>44177</v>
      </c>
      <c r="F69" s="53">
        <f t="shared" si="10"/>
        <v>8570338</v>
      </c>
    </row>
    <row r="70" spans="1:7" s="21" customFormat="1">
      <c r="A70" s="13" t="s">
        <v>118</v>
      </c>
      <c r="B70" s="14" t="s">
        <v>119</v>
      </c>
      <c r="C70" s="15"/>
      <c r="D70" s="16" t="s">
        <v>399</v>
      </c>
      <c r="E70" s="120">
        <v>0</v>
      </c>
      <c r="F70" s="54">
        <f>SUM(F71:F72)</f>
        <v>2093411126.2699997</v>
      </c>
      <c r="G70" s="8">
        <f>IFERROR(F70/$F$160,"")</f>
        <v>7.4187277466316912E-2</v>
      </c>
    </row>
    <row r="71" spans="1:7" ht="25.5">
      <c r="A71" s="18" t="s">
        <v>120</v>
      </c>
      <c r="B71" s="66" t="s">
        <v>383</v>
      </c>
      <c r="C71" s="3" t="s">
        <v>21</v>
      </c>
      <c r="D71" s="19">
        <v>34980.269999999997</v>
      </c>
      <c r="E71" s="37">
        <v>59801</v>
      </c>
      <c r="F71" s="53">
        <f t="shared" ref="F71:F72" si="11">IFERROR(E71*D71,"")</f>
        <v>2091855126.2699997</v>
      </c>
    </row>
    <row r="72" spans="1:7">
      <c r="A72" s="18" t="s">
        <v>123</v>
      </c>
      <c r="B72" s="66" t="s">
        <v>121</v>
      </c>
      <c r="C72" s="3" t="s">
        <v>122</v>
      </c>
      <c r="D72" s="19">
        <v>1000</v>
      </c>
      <c r="E72" s="37">
        <v>1556</v>
      </c>
      <c r="F72" s="53">
        <f t="shared" si="11"/>
        <v>1556000</v>
      </c>
    </row>
    <row r="73" spans="1:7" s="21" customFormat="1">
      <c r="A73" s="13" t="s">
        <v>124</v>
      </c>
      <c r="B73" s="14" t="s">
        <v>125</v>
      </c>
      <c r="C73" s="15"/>
      <c r="D73" s="16" t="s">
        <v>399</v>
      </c>
      <c r="E73" s="120">
        <v>0</v>
      </c>
      <c r="F73" s="54">
        <f>SUM(F74:F158)</f>
        <v>7437756861.2199993</v>
      </c>
      <c r="G73" s="8">
        <f>IFERROR(F73/$F$160,"")</f>
        <v>0.26358268811415653</v>
      </c>
    </row>
    <row r="74" spans="1:7">
      <c r="A74" s="18" t="s">
        <v>126</v>
      </c>
      <c r="B74" s="66" t="s">
        <v>150</v>
      </c>
      <c r="C74" s="3" t="s">
        <v>10</v>
      </c>
      <c r="D74" s="19">
        <v>53460</v>
      </c>
      <c r="E74" s="85">
        <v>3178</v>
      </c>
      <c r="F74" s="53">
        <f t="shared" ref="F74:F158" si="12">IFERROR(E74*D74,"")</f>
        <v>169895880</v>
      </c>
    </row>
    <row r="75" spans="1:7">
      <c r="A75" s="18" t="s">
        <v>127</v>
      </c>
      <c r="B75" s="66" t="s">
        <v>151</v>
      </c>
      <c r="C75" s="3" t="s">
        <v>25</v>
      </c>
      <c r="D75" s="19">
        <v>85</v>
      </c>
      <c r="E75" s="85">
        <v>1643499</v>
      </c>
      <c r="F75" s="53">
        <f t="shared" si="12"/>
        <v>139697415</v>
      </c>
    </row>
    <row r="76" spans="1:7" ht="25.5">
      <c r="A76" s="18" t="s">
        <v>237</v>
      </c>
      <c r="B76" s="66" t="s">
        <v>384</v>
      </c>
      <c r="C76" s="3" t="s">
        <v>25</v>
      </c>
      <c r="D76" s="19">
        <v>9</v>
      </c>
      <c r="E76" s="85">
        <v>3931824</v>
      </c>
      <c r="F76" s="53">
        <f t="shared" si="12"/>
        <v>35386416</v>
      </c>
    </row>
    <row r="77" spans="1:7">
      <c r="A77" s="18" t="s">
        <v>238</v>
      </c>
      <c r="B77" s="66" t="s">
        <v>152</v>
      </c>
      <c r="C77" s="3" t="s">
        <v>25</v>
      </c>
      <c r="D77" s="19">
        <v>5</v>
      </c>
      <c r="E77" s="85">
        <v>4384650</v>
      </c>
      <c r="F77" s="53">
        <f t="shared" si="12"/>
        <v>21923250</v>
      </c>
    </row>
    <row r="78" spans="1:7" ht="25.5">
      <c r="A78" s="18" t="s">
        <v>239</v>
      </c>
      <c r="B78" s="66" t="s">
        <v>153</v>
      </c>
      <c r="C78" s="3" t="s">
        <v>25</v>
      </c>
      <c r="D78" s="19">
        <v>3</v>
      </c>
      <c r="E78" s="85">
        <v>1532004</v>
      </c>
      <c r="F78" s="53">
        <f t="shared" si="12"/>
        <v>4596012</v>
      </c>
    </row>
    <row r="79" spans="1:7">
      <c r="A79" s="18" t="s">
        <v>240</v>
      </c>
      <c r="B79" s="66" t="s">
        <v>385</v>
      </c>
      <c r="C79" s="3" t="s">
        <v>25</v>
      </c>
      <c r="D79" s="19">
        <v>3</v>
      </c>
      <c r="E79" s="85">
        <v>587529</v>
      </c>
      <c r="F79" s="53">
        <f t="shared" si="12"/>
        <v>1762587</v>
      </c>
    </row>
    <row r="80" spans="1:7" ht="25.5">
      <c r="A80" s="18" t="s">
        <v>241</v>
      </c>
      <c r="B80" s="66" t="s">
        <v>386</v>
      </c>
      <c r="C80" s="3" t="s">
        <v>25</v>
      </c>
      <c r="D80" s="19">
        <v>168</v>
      </c>
      <c r="E80" s="85">
        <v>25316</v>
      </c>
      <c r="F80" s="53">
        <f t="shared" si="12"/>
        <v>4253088</v>
      </c>
    </row>
    <row r="81" spans="1:6" ht="38.25">
      <c r="A81" s="18" t="s">
        <v>242</v>
      </c>
      <c r="B81" s="66" t="s">
        <v>387</v>
      </c>
      <c r="C81" s="3" t="s">
        <v>25</v>
      </c>
      <c r="D81" s="19">
        <v>186</v>
      </c>
      <c r="E81" s="85">
        <v>1322575</v>
      </c>
      <c r="F81" s="53">
        <f t="shared" si="12"/>
        <v>245998950</v>
      </c>
    </row>
    <row r="82" spans="1:6">
      <c r="A82" s="18" t="s">
        <v>243</v>
      </c>
      <c r="B82" s="66" t="s">
        <v>154</v>
      </c>
      <c r="C82" s="3" t="s">
        <v>25</v>
      </c>
      <c r="D82" s="19">
        <v>119</v>
      </c>
      <c r="E82" s="85">
        <v>408081</v>
      </c>
      <c r="F82" s="53">
        <f t="shared" si="12"/>
        <v>48561639</v>
      </c>
    </row>
    <row r="83" spans="1:6">
      <c r="A83" s="18" t="s">
        <v>244</v>
      </c>
      <c r="B83" s="66" t="s">
        <v>155</v>
      </c>
      <c r="C83" s="3" t="s">
        <v>25</v>
      </c>
      <c r="D83" s="19">
        <v>52</v>
      </c>
      <c r="E83" s="85">
        <v>408081</v>
      </c>
      <c r="F83" s="53">
        <f t="shared" si="12"/>
        <v>21220212</v>
      </c>
    </row>
    <row r="84" spans="1:6">
      <c r="A84" s="18" t="s">
        <v>245</v>
      </c>
      <c r="B84" s="66" t="s">
        <v>156</v>
      </c>
      <c r="C84" s="3" t="s">
        <v>25</v>
      </c>
      <c r="D84" s="19">
        <v>45</v>
      </c>
      <c r="E84" s="85">
        <v>447566</v>
      </c>
      <c r="F84" s="53">
        <f t="shared" si="12"/>
        <v>20140470</v>
      </c>
    </row>
    <row r="85" spans="1:6">
      <c r="A85" s="18" t="s">
        <v>246</v>
      </c>
      <c r="B85" s="66" t="s">
        <v>157</v>
      </c>
      <c r="C85" s="3" t="s">
        <v>13</v>
      </c>
      <c r="D85" s="19">
        <v>507</v>
      </c>
      <c r="E85" s="85">
        <v>754673</v>
      </c>
      <c r="F85" s="53">
        <f t="shared" si="12"/>
        <v>382619211</v>
      </c>
    </row>
    <row r="86" spans="1:6">
      <c r="A86" s="18" t="s">
        <v>247</v>
      </c>
      <c r="B86" s="66" t="s">
        <v>158</v>
      </c>
      <c r="C86" s="3" t="s">
        <v>13</v>
      </c>
      <c r="D86" s="19">
        <v>526.25</v>
      </c>
      <c r="E86" s="85">
        <v>218615</v>
      </c>
      <c r="F86" s="53">
        <f t="shared" si="12"/>
        <v>115046143.75</v>
      </c>
    </row>
    <row r="87" spans="1:6">
      <c r="A87" s="18" t="s">
        <v>248</v>
      </c>
      <c r="B87" s="66" t="s">
        <v>159</v>
      </c>
      <c r="C87" s="3" t="s">
        <v>25</v>
      </c>
      <c r="D87" s="19">
        <v>51</v>
      </c>
      <c r="E87" s="85">
        <v>180179</v>
      </c>
      <c r="F87" s="53">
        <f t="shared" si="12"/>
        <v>9189129</v>
      </c>
    </row>
    <row r="88" spans="1:6">
      <c r="A88" s="18" t="s">
        <v>249</v>
      </c>
      <c r="B88" s="66" t="s">
        <v>160</v>
      </c>
      <c r="C88" s="3" t="s">
        <v>22</v>
      </c>
      <c r="D88" s="19">
        <v>54</v>
      </c>
      <c r="E88" s="85">
        <v>3224275</v>
      </c>
      <c r="F88" s="53">
        <f t="shared" si="12"/>
        <v>174110850</v>
      </c>
    </row>
    <row r="89" spans="1:6">
      <c r="A89" s="18" t="s">
        <v>250</v>
      </c>
      <c r="B89" s="66" t="s">
        <v>161</v>
      </c>
      <c r="C89" s="3" t="s">
        <v>22</v>
      </c>
      <c r="D89" s="19">
        <v>18</v>
      </c>
      <c r="E89" s="85">
        <v>7286862</v>
      </c>
      <c r="F89" s="53">
        <f t="shared" si="12"/>
        <v>131163516</v>
      </c>
    </row>
    <row r="90" spans="1:6">
      <c r="A90" s="18" t="s">
        <v>251</v>
      </c>
      <c r="B90" s="66" t="s">
        <v>162</v>
      </c>
      <c r="C90" s="3" t="s">
        <v>13</v>
      </c>
      <c r="D90" s="19">
        <v>143</v>
      </c>
      <c r="E90" s="85">
        <v>2177235</v>
      </c>
      <c r="F90" s="53">
        <f t="shared" si="12"/>
        <v>311344605</v>
      </c>
    </row>
    <row r="91" spans="1:6">
      <c r="A91" s="18" t="s">
        <v>252</v>
      </c>
      <c r="B91" s="66" t="s">
        <v>163</v>
      </c>
      <c r="C91" s="3" t="s">
        <v>13</v>
      </c>
      <c r="D91" s="19">
        <v>4933.5</v>
      </c>
      <c r="E91" s="85">
        <v>38493</v>
      </c>
      <c r="F91" s="53">
        <f t="shared" si="12"/>
        <v>189905215.5</v>
      </c>
    </row>
    <row r="92" spans="1:6">
      <c r="A92" s="18" t="s">
        <v>253</v>
      </c>
      <c r="B92" s="66" t="s">
        <v>164</v>
      </c>
      <c r="C92" s="3" t="s">
        <v>13</v>
      </c>
      <c r="D92" s="19">
        <v>395.05</v>
      </c>
      <c r="E92" s="85">
        <v>45465</v>
      </c>
      <c r="F92" s="53">
        <f t="shared" si="12"/>
        <v>17960948.25</v>
      </c>
    </row>
    <row r="93" spans="1:6">
      <c r="A93" s="18" t="s">
        <v>254</v>
      </c>
      <c r="B93" s="66" t="s">
        <v>165</v>
      </c>
      <c r="C93" s="3" t="s">
        <v>25</v>
      </c>
      <c r="D93" s="19">
        <v>10</v>
      </c>
      <c r="E93" s="85">
        <v>11178525</v>
      </c>
      <c r="F93" s="53">
        <f t="shared" si="12"/>
        <v>111785250</v>
      </c>
    </row>
    <row r="94" spans="1:6">
      <c r="A94" s="18" t="s">
        <v>255</v>
      </c>
      <c r="B94" s="66" t="s">
        <v>166</v>
      </c>
      <c r="C94" s="3" t="s">
        <v>25</v>
      </c>
      <c r="D94" s="19">
        <v>39</v>
      </c>
      <c r="E94" s="85">
        <v>769203</v>
      </c>
      <c r="F94" s="53">
        <f t="shared" si="12"/>
        <v>29998917</v>
      </c>
    </row>
    <row r="95" spans="1:6" ht="25.5">
      <c r="A95" s="18" t="s">
        <v>256</v>
      </c>
      <c r="B95" s="66" t="s">
        <v>168</v>
      </c>
      <c r="C95" s="3" t="s">
        <v>25</v>
      </c>
      <c r="D95" s="19">
        <v>13</v>
      </c>
      <c r="E95" s="85">
        <v>494049</v>
      </c>
      <c r="F95" s="53">
        <f t="shared" si="12"/>
        <v>6422637</v>
      </c>
    </row>
    <row r="96" spans="1:6" ht="38.25">
      <c r="A96" s="18" t="s">
        <v>257</v>
      </c>
      <c r="B96" s="66" t="s">
        <v>169</v>
      </c>
      <c r="C96" s="3" t="s">
        <v>25</v>
      </c>
      <c r="D96" s="19">
        <v>53</v>
      </c>
      <c r="E96" s="85">
        <v>915796</v>
      </c>
      <c r="F96" s="53">
        <f t="shared" si="12"/>
        <v>48537188</v>
      </c>
    </row>
    <row r="97" spans="1:6" ht="25.5">
      <c r="A97" s="18" t="s">
        <v>258</v>
      </c>
      <c r="B97" s="66" t="s">
        <v>170</v>
      </c>
      <c r="C97" s="3" t="s">
        <v>25</v>
      </c>
      <c r="D97" s="19">
        <v>19</v>
      </c>
      <c r="E97" s="85">
        <v>1595795</v>
      </c>
      <c r="F97" s="53">
        <f t="shared" si="12"/>
        <v>30320105</v>
      </c>
    </row>
    <row r="98" spans="1:6" ht="25.5">
      <c r="A98" s="18" t="s">
        <v>259</v>
      </c>
      <c r="B98" s="66" t="s">
        <v>171</v>
      </c>
      <c r="C98" s="3" t="s">
        <v>25</v>
      </c>
      <c r="D98" s="19">
        <v>4</v>
      </c>
      <c r="E98" s="85">
        <v>2385877</v>
      </c>
      <c r="F98" s="53">
        <f t="shared" si="12"/>
        <v>9543508</v>
      </c>
    </row>
    <row r="99" spans="1:6" ht="25.5">
      <c r="A99" s="18" t="s">
        <v>260</v>
      </c>
      <c r="B99" s="66" t="s">
        <v>172</v>
      </c>
      <c r="C99" s="3" t="s">
        <v>25</v>
      </c>
      <c r="D99" s="19">
        <v>1473</v>
      </c>
      <c r="E99" s="85">
        <v>25918</v>
      </c>
      <c r="F99" s="53">
        <f t="shared" si="12"/>
        <v>38177214</v>
      </c>
    </row>
    <row r="100" spans="1:6">
      <c r="A100" s="18" t="s">
        <v>261</v>
      </c>
      <c r="B100" s="66" t="s">
        <v>173</v>
      </c>
      <c r="C100" s="3" t="s">
        <v>25</v>
      </c>
      <c r="D100" s="19">
        <v>55</v>
      </c>
      <c r="E100" s="85">
        <v>47563</v>
      </c>
      <c r="F100" s="53">
        <f t="shared" si="12"/>
        <v>2615965</v>
      </c>
    </row>
    <row r="101" spans="1:6">
      <c r="A101" s="18" t="s">
        <v>262</v>
      </c>
      <c r="B101" s="66" t="s">
        <v>174</v>
      </c>
      <c r="C101" s="3" t="s">
        <v>25</v>
      </c>
      <c r="D101" s="19">
        <v>9</v>
      </c>
      <c r="E101" s="85">
        <v>59454</v>
      </c>
      <c r="F101" s="53">
        <f t="shared" si="12"/>
        <v>535086</v>
      </c>
    </row>
    <row r="102" spans="1:6">
      <c r="A102" s="18" t="s">
        <v>263</v>
      </c>
      <c r="B102" s="66" t="s">
        <v>175</v>
      </c>
      <c r="C102" s="3" t="s">
        <v>25</v>
      </c>
      <c r="D102" s="19">
        <v>5</v>
      </c>
      <c r="E102" s="85">
        <v>79272</v>
      </c>
      <c r="F102" s="53">
        <f t="shared" si="12"/>
        <v>396360</v>
      </c>
    </row>
    <row r="103" spans="1:6" ht="25.5">
      <c r="A103" s="18" t="s">
        <v>264</v>
      </c>
      <c r="B103" s="66" t="s">
        <v>176</v>
      </c>
      <c r="C103" s="3" t="s">
        <v>25</v>
      </c>
      <c r="D103" s="19">
        <v>1459</v>
      </c>
      <c r="E103" s="85">
        <v>32756</v>
      </c>
      <c r="F103" s="53">
        <f t="shared" si="12"/>
        <v>47791004</v>
      </c>
    </row>
    <row r="104" spans="1:6" ht="25.5">
      <c r="A104" s="18" t="s">
        <v>265</v>
      </c>
      <c r="B104" s="66" t="s">
        <v>177</v>
      </c>
      <c r="C104" s="3" t="s">
        <v>230</v>
      </c>
      <c r="D104" s="19">
        <v>267</v>
      </c>
      <c r="E104" s="85">
        <v>41713</v>
      </c>
      <c r="F104" s="53">
        <f t="shared" si="12"/>
        <v>11137371</v>
      </c>
    </row>
    <row r="105" spans="1:6" ht="38.25">
      <c r="A105" s="18" t="s">
        <v>266</v>
      </c>
      <c r="B105" s="66" t="s">
        <v>178</v>
      </c>
      <c r="C105" s="3" t="s">
        <v>231</v>
      </c>
      <c r="D105" s="19">
        <v>0.90999999999999992</v>
      </c>
      <c r="E105" s="85">
        <v>9732973</v>
      </c>
      <c r="F105" s="53">
        <f t="shared" si="12"/>
        <v>8857005.4299999997</v>
      </c>
    </row>
    <row r="106" spans="1:6">
      <c r="A106" s="18" t="s">
        <v>267</v>
      </c>
      <c r="B106" s="66" t="s">
        <v>179</v>
      </c>
      <c r="C106" s="3" t="s">
        <v>25</v>
      </c>
      <c r="D106" s="19">
        <v>5933</v>
      </c>
      <c r="E106" s="85">
        <v>55370</v>
      </c>
      <c r="F106" s="53">
        <f t="shared" si="12"/>
        <v>328510210</v>
      </c>
    </row>
    <row r="107" spans="1:6" ht="25.5">
      <c r="A107" s="18" t="s">
        <v>268</v>
      </c>
      <c r="B107" s="66" t="s">
        <v>180</v>
      </c>
      <c r="C107" s="3" t="s">
        <v>25</v>
      </c>
      <c r="D107" s="19">
        <v>165</v>
      </c>
      <c r="E107" s="85">
        <v>204957</v>
      </c>
      <c r="F107" s="53">
        <f t="shared" si="12"/>
        <v>33817905</v>
      </c>
    </row>
    <row r="108" spans="1:6" ht="25.5">
      <c r="A108" s="18" t="s">
        <v>269</v>
      </c>
      <c r="B108" s="66" t="s">
        <v>181</v>
      </c>
      <c r="C108" s="3" t="s">
        <v>25</v>
      </c>
      <c r="D108" s="19">
        <v>1322</v>
      </c>
      <c r="E108" s="85">
        <v>50564</v>
      </c>
      <c r="F108" s="53">
        <f t="shared" si="12"/>
        <v>66845608</v>
      </c>
    </row>
    <row r="109" spans="1:6">
      <c r="A109" s="18" t="s">
        <v>270</v>
      </c>
      <c r="B109" s="66" t="s">
        <v>182</v>
      </c>
      <c r="C109" s="3" t="s">
        <v>25</v>
      </c>
      <c r="D109" s="19">
        <v>109</v>
      </c>
      <c r="E109" s="85">
        <v>219302</v>
      </c>
      <c r="F109" s="53">
        <f t="shared" si="12"/>
        <v>23903918</v>
      </c>
    </row>
    <row r="110" spans="1:6">
      <c r="A110" s="18" t="s">
        <v>271</v>
      </c>
      <c r="B110" s="66" t="s">
        <v>183</v>
      </c>
      <c r="C110" s="3" t="s">
        <v>25</v>
      </c>
      <c r="D110" s="19">
        <v>203</v>
      </c>
      <c r="E110" s="85">
        <v>194364</v>
      </c>
      <c r="F110" s="53">
        <f t="shared" si="12"/>
        <v>39455892</v>
      </c>
    </row>
    <row r="111" spans="1:6" ht="25.5">
      <c r="A111" s="18" t="s">
        <v>272</v>
      </c>
      <c r="B111" s="66" t="s">
        <v>184</v>
      </c>
      <c r="C111" s="3" t="s">
        <v>10</v>
      </c>
      <c r="D111" s="19">
        <v>22</v>
      </c>
      <c r="E111" s="85">
        <v>38876</v>
      </c>
      <c r="F111" s="53">
        <f t="shared" si="12"/>
        <v>855272</v>
      </c>
    </row>
    <row r="112" spans="1:6">
      <c r="A112" s="18" t="s">
        <v>273</v>
      </c>
      <c r="B112" s="66" t="s">
        <v>185</v>
      </c>
      <c r="C112" s="3" t="s">
        <v>13</v>
      </c>
      <c r="D112" s="19">
        <v>108.54999999999995</v>
      </c>
      <c r="E112" s="85">
        <v>385662</v>
      </c>
      <c r="F112" s="53">
        <f t="shared" si="12"/>
        <v>41863610.099999979</v>
      </c>
    </row>
    <row r="113" spans="1:6">
      <c r="A113" s="18" t="s">
        <v>274</v>
      </c>
      <c r="B113" s="66" t="s">
        <v>332</v>
      </c>
      <c r="C113" s="3" t="s">
        <v>25</v>
      </c>
      <c r="D113" s="19">
        <v>400</v>
      </c>
      <c r="E113" s="85">
        <v>8082</v>
      </c>
      <c r="F113" s="53">
        <f t="shared" si="12"/>
        <v>3232800</v>
      </c>
    </row>
    <row r="114" spans="1:6">
      <c r="A114" s="18" t="s">
        <v>279</v>
      </c>
      <c r="B114" s="66" t="s">
        <v>186</v>
      </c>
      <c r="C114" s="3" t="s">
        <v>13</v>
      </c>
      <c r="D114" s="19">
        <v>2338.52</v>
      </c>
      <c r="E114" s="85">
        <v>253737</v>
      </c>
      <c r="F114" s="53">
        <f t="shared" si="12"/>
        <v>593369049.24000001</v>
      </c>
    </row>
    <row r="115" spans="1:6">
      <c r="A115" s="18" t="s">
        <v>278</v>
      </c>
      <c r="B115" s="66" t="s">
        <v>187</v>
      </c>
      <c r="C115" s="3" t="s">
        <v>13</v>
      </c>
      <c r="D115" s="19">
        <v>545.75</v>
      </c>
      <c r="E115" s="85">
        <v>36233</v>
      </c>
      <c r="F115" s="53">
        <f t="shared" si="12"/>
        <v>19774159.75</v>
      </c>
    </row>
    <row r="116" spans="1:6">
      <c r="A116" s="18" t="s">
        <v>280</v>
      </c>
      <c r="B116" s="66" t="s">
        <v>188</v>
      </c>
      <c r="C116" s="3" t="s">
        <v>13</v>
      </c>
      <c r="D116" s="19">
        <v>3522.2</v>
      </c>
      <c r="E116" s="85">
        <v>37170</v>
      </c>
      <c r="F116" s="53">
        <f t="shared" si="12"/>
        <v>130920174</v>
      </c>
    </row>
    <row r="117" spans="1:6" ht="38.25">
      <c r="A117" s="18" t="s">
        <v>281</v>
      </c>
      <c r="B117" s="66" t="s">
        <v>189</v>
      </c>
      <c r="C117" s="3" t="s">
        <v>25</v>
      </c>
      <c r="D117" s="19">
        <v>12</v>
      </c>
      <c r="E117" s="85">
        <v>1677520</v>
      </c>
      <c r="F117" s="53">
        <f t="shared" si="12"/>
        <v>20130240</v>
      </c>
    </row>
    <row r="118" spans="1:6" ht="38.25">
      <c r="A118" s="18" t="s">
        <v>277</v>
      </c>
      <c r="B118" s="66" t="s">
        <v>190</v>
      </c>
      <c r="C118" s="3" t="s">
        <v>25</v>
      </c>
      <c r="D118" s="19">
        <v>7</v>
      </c>
      <c r="E118" s="85">
        <v>3573214</v>
      </c>
      <c r="F118" s="53">
        <f t="shared" si="12"/>
        <v>25012498</v>
      </c>
    </row>
    <row r="119" spans="1:6" ht="38.25">
      <c r="A119" s="18" t="s">
        <v>275</v>
      </c>
      <c r="B119" s="66" t="s">
        <v>191</v>
      </c>
      <c r="C119" s="3" t="s">
        <v>25</v>
      </c>
      <c r="D119" s="19">
        <v>10</v>
      </c>
      <c r="E119" s="85">
        <v>1560084</v>
      </c>
      <c r="F119" s="53">
        <f t="shared" si="12"/>
        <v>15600840</v>
      </c>
    </row>
    <row r="120" spans="1:6" ht="38.25">
      <c r="A120" s="18" t="s">
        <v>276</v>
      </c>
      <c r="B120" s="66" t="s">
        <v>192</v>
      </c>
      <c r="C120" s="3" t="s">
        <v>25</v>
      </c>
      <c r="D120" s="19">
        <v>5</v>
      </c>
      <c r="E120" s="85">
        <v>2175498</v>
      </c>
      <c r="F120" s="53">
        <f t="shared" si="12"/>
        <v>10877490</v>
      </c>
    </row>
    <row r="121" spans="1:6" ht="25.5">
      <c r="A121" s="18" t="s">
        <v>282</v>
      </c>
      <c r="B121" s="66" t="s">
        <v>193</v>
      </c>
      <c r="C121" s="3" t="s">
        <v>25</v>
      </c>
      <c r="D121" s="19">
        <v>5</v>
      </c>
      <c r="E121" s="85">
        <v>2175498</v>
      </c>
      <c r="F121" s="53">
        <f t="shared" si="12"/>
        <v>10877490</v>
      </c>
    </row>
    <row r="122" spans="1:6" ht="38.25">
      <c r="A122" s="18" t="s">
        <v>283</v>
      </c>
      <c r="B122" s="66" t="s">
        <v>194</v>
      </c>
      <c r="C122" s="3" t="s">
        <v>25</v>
      </c>
      <c r="D122" s="19">
        <v>148</v>
      </c>
      <c r="E122" s="85">
        <v>537142</v>
      </c>
      <c r="F122" s="53">
        <f t="shared" si="12"/>
        <v>79497016</v>
      </c>
    </row>
    <row r="123" spans="1:6" ht="25.5">
      <c r="A123" s="18" t="s">
        <v>284</v>
      </c>
      <c r="B123" s="66" t="s">
        <v>195</v>
      </c>
      <c r="C123" s="3" t="s">
        <v>25</v>
      </c>
      <c r="D123" s="19">
        <v>36</v>
      </c>
      <c r="E123" s="85">
        <v>1473949</v>
      </c>
      <c r="F123" s="53">
        <f t="shared" si="12"/>
        <v>53062164</v>
      </c>
    </row>
    <row r="124" spans="1:6" ht="25.5">
      <c r="A124" s="18" t="s">
        <v>285</v>
      </c>
      <c r="B124" s="66" t="s">
        <v>196</v>
      </c>
      <c r="C124" s="3" t="s">
        <v>25</v>
      </c>
      <c r="D124" s="19">
        <v>22</v>
      </c>
      <c r="E124" s="85">
        <v>10403824</v>
      </c>
      <c r="F124" s="53">
        <f t="shared" si="12"/>
        <v>228884128</v>
      </c>
    </row>
    <row r="125" spans="1:6" ht="38.25">
      <c r="A125" s="18" t="s">
        <v>286</v>
      </c>
      <c r="B125" s="66" t="s">
        <v>197</v>
      </c>
      <c r="C125" s="3" t="s">
        <v>25</v>
      </c>
      <c r="D125" s="19">
        <v>10</v>
      </c>
      <c r="E125" s="85">
        <v>6089728</v>
      </c>
      <c r="F125" s="53">
        <f t="shared" si="12"/>
        <v>60897280</v>
      </c>
    </row>
    <row r="126" spans="1:6">
      <c r="A126" s="18" t="s">
        <v>287</v>
      </c>
      <c r="B126" s="66" t="s">
        <v>198</v>
      </c>
      <c r="C126" s="3" t="s">
        <v>13</v>
      </c>
      <c r="D126" s="19">
        <v>3172.4</v>
      </c>
      <c r="E126" s="85">
        <v>152868</v>
      </c>
      <c r="F126" s="53">
        <f t="shared" si="12"/>
        <v>484958443.19999999</v>
      </c>
    </row>
    <row r="127" spans="1:6" ht="25.5">
      <c r="A127" s="18" t="s">
        <v>288</v>
      </c>
      <c r="B127" s="66" t="s">
        <v>199</v>
      </c>
      <c r="C127" s="3" t="s">
        <v>25</v>
      </c>
      <c r="D127" s="19">
        <v>21</v>
      </c>
      <c r="E127" s="85">
        <v>1841902</v>
      </c>
      <c r="F127" s="53">
        <f t="shared" si="12"/>
        <v>38679942</v>
      </c>
    </row>
    <row r="128" spans="1:6">
      <c r="A128" s="18" t="s">
        <v>289</v>
      </c>
      <c r="B128" s="66" t="s">
        <v>200</v>
      </c>
      <c r="C128" s="3" t="s">
        <v>25</v>
      </c>
      <c r="D128" s="19">
        <v>11</v>
      </c>
      <c r="E128" s="85">
        <v>892562</v>
      </c>
      <c r="F128" s="53">
        <f t="shared" si="12"/>
        <v>9818182</v>
      </c>
    </row>
    <row r="129" spans="1:6">
      <c r="A129" s="18" t="s">
        <v>290</v>
      </c>
      <c r="B129" s="66" t="s">
        <v>201</v>
      </c>
      <c r="C129" s="3" t="s">
        <v>25</v>
      </c>
      <c r="D129" s="19">
        <v>6</v>
      </c>
      <c r="E129" s="85">
        <v>6375437</v>
      </c>
      <c r="F129" s="53">
        <f t="shared" si="12"/>
        <v>38252622</v>
      </c>
    </row>
    <row r="130" spans="1:6" ht="25.5">
      <c r="A130" s="18" t="s">
        <v>291</v>
      </c>
      <c r="B130" s="66" t="s">
        <v>202</v>
      </c>
      <c r="C130" s="3" t="s">
        <v>25</v>
      </c>
      <c r="D130" s="19">
        <v>6</v>
      </c>
      <c r="E130" s="85">
        <v>892562</v>
      </c>
      <c r="F130" s="53">
        <f t="shared" si="12"/>
        <v>5355372</v>
      </c>
    </row>
    <row r="131" spans="1:6" ht="25.5">
      <c r="A131" s="18" t="s">
        <v>292</v>
      </c>
      <c r="B131" s="66" t="s">
        <v>203</v>
      </c>
      <c r="C131" s="3" t="s">
        <v>25</v>
      </c>
      <c r="D131" s="19">
        <v>5</v>
      </c>
      <c r="E131" s="85">
        <v>892562</v>
      </c>
      <c r="F131" s="53">
        <f t="shared" si="12"/>
        <v>4462810</v>
      </c>
    </row>
    <row r="132" spans="1:6" ht="25.5">
      <c r="A132" s="18" t="s">
        <v>293</v>
      </c>
      <c r="B132" s="66" t="s">
        <v>204</v>
      </c>
      <c r="C132" s="3" t="s">
        <v>25</v>
      </c>
      <c r="D132" s="19">
        <v>12</v>
      </c>
      <c r="E132" s="85">
        <v>811419</v>
      </c>
      <c r="F132" s="53">
        <f t="shared" si="12"/>
        <v>9737028</v>
      </c>
    </row>
    <row r="133" spans="1:6" ht="25.5">
      <c r="A133" s="18" t="s">
        <v>294</v>
      </c>
      <c r="B133" s="66" t="s">
        <v>205</v>
      </c>
      <c r="C133" s="3" t="s">
        <v>25</v>
      </c>
      <c r="D133" s="19">
        <v>14</v>
      </c>
      <c r="E133" s="85">
        <v>595041</v>
      </c>
      <c r="F133" s="53">
        <f t="shared" si="12"/>
        <v>8330574</v>
      </c>
    </row>
    <row r="134" spans="1:6" ht="25.5">
      <c r="A134" s="18" t="s">
        <v>295</v>
      </c>
      <c r="B134" s="66" t="s">
        <v>206</v>
      </c>
      <c r="C134" s="3" t="s">
        <v>25</v>
      </c>
      <c r="D134" s="19">
        <v>10</v>
      </c>
      <c r="E134" s="85">
        <v>811419</v>
      </c>
      <c r="F134" s="53">
        <f t="shared" si="12"/>
        <v>8114190</v>
      </c>
    </row>
    <row r="135" spans="1:6" ht="25.5">
      <c r="A135" s="18" t="s">
        <v>296</v>
      </c>
      <c r="B135" s="66" t="s">
        <v>207</v>
      </c>
      <c r="C135" s="3" t="s">
        <v>25</v>
      </c>
      <c r="D135" s="19">
        <v>17</v>
      </c>
      <c r="E135" s="85">
        <v>811419</v>
      </c>
      <c r="F135" s="53">
        <f t="shared" si="12"/>
        <v>13794123</v>
      </c>
    </row>
    <row r="136" spans="1:6" ht="25.5">
      <c r="A136" s="18" t="s">
        <v>297</v>
      </c>
      <c r="B136" s="66" t="s">
        <v>208</v>
      </c>
      <c r="C136" s="3" t="s">
        <v>25</v>
      </c>
      <c r="D136" s="19">
        <v>10</v>
      </c>
      <c r="E136" s="85">
        <v>811419</v>
      </c>
      <c r="F136" s="53">
        <f t="shared" si="12"/>
        <v>8114190</v>
      </c>
    </row>
    <row r="137" spans="1:6">
      <c r="A137" s="18" t="s">
        <v>298</v>
      </c>
      <c r="B137" s="66" t="s">
        <v>209</v>
      </c>
      <c r="C137" s="3" t="s">
        <v>25</v>
      </c>
      <c r="D137" s="19">
        <v>3</v>
      </c>
      <c r="E137" s="85">
        <v>619835</v>
      </c>
      <c r="F137" s="53">
        <f t="shared" si="12"/>
        <v>1859505</v>
      </c>
    </row>
    <row r="138" spans="1:6" ht="25.5">
      <c r="A138" s="18" t="s">
        <v>299</v>
      </c>
      <c r="B138" s="66" t="s">
        <v>210</v>
      </c>
      <c r="C138" s="3" t="s">
        <v>25</v>
      </c>
      <c r="D138" s="19">
        <v>17</v>
      </c>
      <c r="E138" s="85">
        <v>333045</v>
      </c>
      <c r="F138" s="53">
        <f t="shared" si="12"/>
        <v>5661765</v>
      </c>
    </row>
    <row r="139" spans="1:6" ht="25.5">
      <c r="A139" s="18" t="s">
        <v>300</v>
      </c>
      <c r="B139" s="66" t="s">
        <v>211</v>
      </c>
      <c r="C139" s="3" t="s">
        <v>25</v>
      </c>
      <c r="D139" s="19">
        <v>10</v>
      </c>
      <c r="E139" s="85">
        <v>743801</v>
      </c>
      <c r="F139" s="53">
        <f t="shared" si="12"/>
        <v>7438010</v>
      </c>
    </row>
    <row r="140" spans="1:6" ht="25.5">
      <c r="A140" s="18" t="s">
        <v>301</v>
      </c>
      <c r="B140" s="66" t="s">
        <v>212</v>
      </c>
      <c r="C140" s="3" t="s">
        <v>25</v>
      </c>
      <c r="D140" s="19">
        <v>41</v>
      </c>
      <c r="E140" s="85">
        <v>892562</v>
      </c>
      <c r="F140" s="53">
        <f t="shared" si="12"/>
        <v>36595042</v>
      </c>
    </row>
    <row r="141" spans="1:6">
      <c r="A141" s="18" t="s">
        <v>302</v>
      </c>
      <c r="B141" s="66" t="s">
        <v>213</v>
      </c>
      <c r="C141" s="3" t="s">
        <v>25</v>
      </c>
      <c r="D141" s="19">
        <v>18</v>
      </c>
      <c r="E141" s="85">
        <v>223140</v>
      </c>
      <c r="F141" s="53">
        <f t="shared" si="12"/>
        <v>4016520</v>
      </c>
    </row>
    <row r="142" spans="1:6" ht="25.5">
      <c r="A142" s="18" t="s">
        <v>303</v>
      </c>
      <c r="B142" s="66" t="s">
        <v>214</v>
      </c>
      <c r="C142" s="3" t="s">
        <v>25</v>
      </c>
      <c r="D142" s="19">
        <v>107</v>
      </c>
      <c r="E142" s="85">
        <v>2192732</v>
      </c>
      <c r="F142" s="53">
        <f t="shared" si="12"/>
        <v>234622324</v>
      </c>
    </row>
    <row r="143" spans="1:6" ht="38.25">
      <c r="A143" s="18" t="s">
        <v>304</v>
      </c>
      <c r="B143" s="66" t="s">
        <v>215</v>
      </c>
      <c r="C143" s="3" t="s">
        <v>25</v>
      </c>
      <c r="D143" s="19">
        <v>72</v>
      </c>
      <c r="E143" s="85">
        <v>1565911</v>
      </c>
      <c r="F143" s="53">
        <f t="shared" si="12"/>
        <v>112745592</v>
      </c>
    </row>
    <row r="144" spans="1:6" ht="25.5">
      <c r="A144" s="18" t="s">
        <v>305</v>
      </c>
      <c r="B144" s="66" t="s">
        <v>216</v>
      </c>
      <c r="C144" s="3" t="s">
        <v>25</v>
      </c>
      <c r="D144" s="19">
        <v>16</v>
      </c>
      <c r="E144" s="85">
        <v>2109201</v>
      </c>
      <c r="F144" s="53">
        <f t="shared" si="12"/>
        <v>33747216</v>
      </c>
    </row>
    <row r="145" spans="1:7" ht="25.5">
      <c r="A145" s="18" t="s">
        <v>306</v>
      </c>
      <c r="B145" s="66" t="s">
        <v>217</v>
      </c>
      <c r="C145" s="3" t="s">
        <v>25</v>
      </c>
      <c r="D145" s="19">
        <v>86</v>
      </c>
      <c r="E145" s="85">
        <v>4359737</v>
      </c>
      <c r="F145" s="53">
        <f t="shared" si="12"/>
        <v>374937382</v>
      </c>
    </row>
    <row r="146" spans="1:7" ht="25.5">
      <c r="A146" s="18" t="s">
        <v>307</v>
      </c>
      <c r="B146" s="66" t="s">
        <v>218</v>
      </c>
      <c r="C146" s="3" t="s">
        <v>25</v>
      </c>
      <c r="D146" s="19">
        <v>83</v>
      </c>
      <c r="E146" s="85">
        <v>4522105</v>
      </c>
      <c r="F146" s="53">
        <f t="shared" si="12"/>
        <v>375334715</v>
      </c>
    </row>
    <row r="147" spans="1:7" ht="25.5">
      <c r="A147" s="18" t="s">
        <v>308</v>
      </c>
      <c r="B147" s="66" t="s">
        <v>219</v>
      </c>
      <c r="C147" s="3" t="s">
        <v>25</v>
      </c>
      <c r="D147" s="19">
        <v>14</v>
      </c>
      <c r="E147" s="85">
        <v>2066364</v>
      </c>
      <c r="F147" s="53">
        <f t="shared" si="12"/>
        <v>28929096</v>
      </c>
    </row>
    <row r="148" spans="1:7">
      <c r="A148" s="18" t="s">
        <v>309</v>
      </c>
      <c r="B148" s="66" t="s">
        <v>220</v>
      </c>
      <c r="C148" s="3" t="s">
        <v>25</v>
      </c>
      <c r="D148" s="19">
        <v>3</v>
      </c>
      <c r="E148" s="85">
        <v>694755</v>
      </c>
      <c r="F148" s="53">
        <f t="shared" si="12"/>
        <v>2084265</v>
      </c>
    </row>
    <row r="149" spans="1:7" ht="25.5">
      <c r="A149" s="18" t="s">
        <v>310</v>
      </c>
      <c r="B149" s="66" t="s">
        <v>221</v>
      </c>
      <c r="C149" s="3" t="s">
        <v>13</v>
      </c>
      <c r="D149" s="19">
        <v>280</v>
      </c>
      <c r="E149" s="85">
        <v>34329</v>
      </c>
      <c r="F149" s="53">
        <f t="shared" si="12"/>
        <v>9612120</v>
      </c>
    </row>
    <row r="150" spans="1:7" ht="38.25">
      <c r="A150" s="18" t="s">
        <v>311</v>
      </c>
      <c r="B150" s="66" t="s">
        <v>222</v>
      </c>
      <c r="C150" s="3" t="s">
        <v>25</v>
      </c>
      <c r="D150" s="19">
        <v>8</v>
      </c>
      <c r="E150" s="85">
        <v>2088056</v>
      </c>
      <c r="F150" s="53">
        <f t="shared" si="12"/>
        <v>16704448</v>
      </c>
    </row>
    <row r="151" spans="1:7" ht="38.25">
      <c r="A151" s="18" t="s">
        <v>312</v>
      </c>
      <c r="B151" s="66" t="s">
        <v>223</v>
      </c>
      <c r="C151" s="3" t="s">
        <v>25</v>
      </c>
      <c r="D151" s="19">
        <v>7</v>
      </c>
      <c r="E151" s="85">
        <v>2372791</v>
      </c>
      <c r="F151" s="53">
        <f t="shared" si="12"/>
        <v>16609537</v>
      </c>
    </row>
    <row r="152" spans="1:7" ht="25.5">
      <c r="A152" s="18" t="s">
        <v>313</v>
      </c>
      <c r="B152" s="66" t="s">
        <v>224</v>
      </c>
      <c r="C152" s="3" t="s">
        <v>25</v>
      </c>
      <c r="D152" s="19">
        <v>17</v>
      </c>
      <c r="E152" s="85">
        <v>1491469</v>
      </c>
      <c r="F152" s="53">
        <f t="shared" si="12"/>
        <v>25354973</v>
      </c>
    </row>
    <row r="153" spans="1:7">
      <c r="A153" s="18" t="s">
        <v>314</v>
      </c>
      <c r="B153" s="66" t="s">
        <v>225</v>
      </c>
      <c r="C153" s="3" t="s">
        <v>25</v>
      </c>
      <c r="D153" s="19">
        <v>19</v>
      </c>
      <c r="E153" s="85">
        <v>5611656</v>
      </c>
      <c r="F153" s="53">
        <f t="shared" si="12"/>
        <v>106621464</v>
      </c>
    </row>
    <row r="154" spans="1:7">
      <c r="A154" s="18" t="s">
        <v>315</v>
      </c>
      <c r="B154" s="66" t="s">
        <v>226</v>
      </c>
      <c r="C154" s="3" t="s">
        <v>25</v>
      </c>
      <c r="D154" s="19">
        <v>18</v>
      </c>
      <c r="E154" s="85">
        <v>4133858</v>
      </c>
      <c r="F154" s="53">
        <f t="shared" si="12"/>
        <v>74409444</v>
      </c>
    </row>
    <row r="155" spans="1:7">
      <c r="A155" s="18" t="s">
        <v>316</v>
      </c>
      <c r="B155" s="66" t="s">
        <v>227</v>
      </c>
      <c r="C155" s="3" t="s">
        <v>25</v>
      </c>
      <c r="D155" s="19">
        <v>3</v>
      </c>
      <c r="E155" s="85">
        <v>3728530</v>
      </c>
      <c r="F155" s="53">
        <f t="shared" si="12"/>
        <v>11185590</v>
      </c>
    </row>
    <row r="156" spans="1:7">
      <c r="A156" s="18" t="s">
        <v>317</v>
      </c>
      <c r="B156" s="66" t="s">
        <v>228</v>
      </c>
      <c r="C156" s="3" t="s">
        <v>25</v>
      </c>
      <c r="D156" s="19">
        <v>11</v>
      </c>
      <c r="E156" s="85">
        <v>549109</v>
      </c>
      <c r="F156" s="53">
        <f t="shared" si="12"/>
        <v>6040199</v>
      </c>
    </row>
    <row r="157" spans="1:7" ht="25.5">
      <c r="A157" s="18" t="s">
        <v>318</v>
      </c>
      <c r="B157" s="66" t="s">
        <v>229</v>
      </c>
      <c r="C157" s="3" t="s">
        <v>25</v>
      </c>
      <c r="D157" s="19">
        <v>3</v>
      </c>
      <c r="E157" s="85">
        <v>4977228</v>
      </c>
      <c r="F157" s="53">
        <f t="shared" si="12"/>
        <v>14931684</v>
      </c>
    </row>
    <row r="158" spans="1:7" ht="25.5">
      <c r="A158" s="18" t="s">
        <v>319</v>
      </c>
      <c r="B158" s="66" t="s">
        <v>398</v>
      </c>
      <c r="C158" s="3" t="s">
        <v>13</v>
      </c>
      <c r="D158" s="19">
        <v>641</v>
      </c>
      <c r="E158" s="85">
        <v>1763522</v>
      </c>
      <c r="F158" s="53">
        <f t="shared" si="12"/>
        <v>1130417602</v>
      </c>
    </row>
    <row r="159" spans="1:7">
      <c r="A159" s="24"/>
      <c r="B159" s="25"/>
      <c r="C159" s="26"/>
      <c r="D159" s="27"/>
      <c r="E159" s="28"/>
      <c r="F159" s="55"/>
    </row>
    <row r="160" spans="1:7">
      <c r="B160" s="95" t="s">
        <v>375</v>
      </c>
      <c r="C160" s="103"/>
      <c r="D160" s="104"/>
      <c r="E160" s="105"/>
      <c r="F160" s="101">
        <f>SUM(F5:F159)/2</f>
        <v>28217926277.459995</v>
      </c>
      <c r="G160" s="8">
        <f>IFERROR(F160/$F$160,"")</f>
        <v>1</v>
      </c>
    </row>
    <row r="161" spans="1:7">
      <c r="B161" s="100" t="s">
        <v>371</v>
      </c>
      <c r="C161" s="20" t="s">
        <v>6</v>
      </c>
      <c r="D161" s="99">
        <v>0.27360000000000001</v>
      </c>
      <c r="E161" s="91"/>
      <c r="F161" s="98">
        <f>+F160*D161</f>
        <v>7720424629.5130548</v>
      </c>
      <c r="G161" s="8"/>
    </row>
    <row r="162" spans="1:7">
      <c r="B162" s="100" t="s">
        <v>372</v>
      </c>
      <c r="C162" s="20" t="s">
        <v>6</v>
      </c>
      <c r="D162" s="97">
        <v>0</v>
      </c>
      <c r="E162" s="91"/>
      <c r="F162" s="98">
        <f>+F160*D162</f>
        <v>0</v>
      </c>
      <c r="G162" s="8"/>
    </row>
    <row r="163" spans="1:7">
      <c r="B163" s="100" t="s">
        <v>373</v>
      </c>
      <c r="C163" s="20" t="s">
        <v>6</v>
      </c>
      <c r="D163" s="97">
        <v>0.05</v>
      </c>
      <c r="E163" s="91"/>
      <c r="F163" s="98">
        <f>+F160*D163</f>
        <v>1410896313.8729999</v>
      </c>
      <c r="G163" s="8"/>
    </row>
    <row r="164" spans="1:7">
      <c r="B164" s="106" t="s">
        <v>374</v>
      </c>
      <c r="C164" s="107" t="s">
        <v>6</v>
      </c>
      <c r="D164" s="96">
        <f>+D161+D162+D163</f>
        <v>0.3236</v>
      </c>
      <c r="E164" s="102"/>
      <c r="F164" s="101">
        <f>SUM(F161:F163)</f>
        <v>9131320943.386055</v>
      </c>
      <c r="G164" s="8"/>
    </row>
    <row r="165" spans="1:7">
      <c r="B165" s="6"/>
      <c r="C165" s="5"/>
      <c r="D165" s="6"/>
      <c r="E165" s="7"/>
      <c r="F165" s="56"/>
      <c r="G165" s="8"/>
    </row>
    <row r="166" spans="1:7">
      <c r="B166" s="95" t="s">
        <v>376</v>
      </c>
      <c r="C166" s="103"/>
      <c r="D166" s="104"/>
      <c r="E166" s="105"/>
      <c r="F166" s="101">
        <f>+F164+F160</f>
        <v>37349247220.846054</v>
      </c>
      <c r="G166" s="8">
        <f>IFERROR(F166/$F$160,"")</f>
        <v>1.3236000000000001</v>
      </c>
    </row>
    <row r="167" spans="1:7">
      <c r="A167" s="126" t="s">
        <v>128</v>
      </c>
      <c r="B167" s="127"/>
      <c r="C167" s="127"/>
      <c r="D167" s="127"/>
      <c r="E167" s="127"/>
      <c r="F167" s="127"/>
      <c r="G167" s="8"/>
    </row>
    <row r="168" spans="1:7">
      <c r="A168" s="30" t="s">
        <v>129</v>
      </c>
      <c r="B168" s="30" t="s">
        <v>130</v>
      </c>
      <c r="C168" s="31" t="s">
        <v>395</v>
      </c>
      <c r="D168" s="30" t="s">
        <v>396</v>
      </c>
      <c r="E168" s="38" t="s">
        <v>131</v>
      </c>
      <c r="F168" s="57" t="s">
        <v>397</v>
      </c>
      <c r="G168" s="8"/>
    </row>
    <row r="169" spans="1:7" ht="25.5">
      <c r="A169" s="87">
        <v>1</v>
      </c>
      <c r="B169" s="32" t="s">
        <v>132</v>
      </c>
      <c r="C169" s="33" t="s">
        <v>236</v>
      </c>
      <c r="D169" s="19">
        <v>1</v>
      </c>
      <c r="E169" s="119">
        <f>321001843-316464</f>
        <v>320685379</v>
      </c>
      <c r="F169" s="37">
        <f>+D169*E169</f>
        <v>320685379</v>
      </c>
      <c r="G169" s="8"/>
    </row>
    <row r="170" spans="1:7" ht="25.5">
      <c r="A170" s="87">
        <v>2</v>
      </c>
      <c r="B170" s="32" t="s">
        <v>354</v>
      </c>
      <c r="C170" s="33" t="s">
        <v>25</v>
      </c>
      <c r="D170" s="19">
        <v>1</v>
      </c>
      <c r="E170" s="37">
        <v>15000000</v>
      </c>
      <c r="F170" s="37">
        <f t="shared" ref="F170:F184" si="13">+D170*E170</f>
        <v>15000000</v>
      </c>
      <c r="G170" s="8"/>
    </row>
    <row r="171" spans="1:7" ht="25.5">
      <c r="A171" s="87">
        <v>3</v>
      </c>
      <c r="B171" s="32" t="s">
        <v>389</v>
      </c>
      <c r="C171" s="33" t="s">
        <v>236</v>
      </c>
      <c r="D171" s="19">
        <v>1</v>
      </c>
      <c r="E171" s="37">
        <v>500000000</v>
      </c>
      <c r="F171" s="37">
        <f t="shared" si="13"/>
        <v>500000000</v>
      </c>
      <c r="G171" s="8"/>
    </row>
    <row r="172" spans="1:7" ht="25.5">
      <c r="A172" s="87">
        <v>4</v>
      </c>
      <c r="B172" s="32" t="s">
        <v>349</v>
      </c>
      <c r="C172" s="33" t="s">
        <v>236</v>
      </c>
      <c r="D172" s="19">
        <v>1</v>
      </c>
      <c r="E172" s="37">
        <v>250000000</v>
      </c>
      <c r="F172" s="37">
        <f t="shared" si="13"/>
        <v>250000000</v>
      </c>
      <c r="G172" s="8"/>
    </row>
    <row r="173" spans="1:7" ht="25.5">
      <c r="A173" s="87">
        <v>5</v>
      </c>
      <c r="B173" s="32" t="s">
        <v>350</v>
      </c>
      <c r="C173" s="33" t="s">
        <v>236</v>
      </c>
      <c r="D173" s="19">
        <v>1</v>
      </c>
      <c r="E173" s="37">
        <v>130000000</v>
      </c>
      <c r="F173" s="37">
        <f t="shared" si="13"/>
        <v>130000000</v>
      </c>
      <c r="G173" s="8"/>
    </row>
    <row r="174" spans="1:7" ht="25.5">
      <c r="A174" s="87">
        <v>6</v>
      </c>
      <c r="B174" s="32" t="s">
        <v>167</v>
      </c>
      <c r="C174" s="33" t="s">
        <v>236</v>
      </c>
      <c r="D174" s="19">
        <v>1</v>
      </c>
      <c r="E174" s="37">
        <v>25000000</v>
      </c>
      <c r="F174" s="37">
        <f t="shared" si="13"/>
        <v>25000000</v>
      </c>
      <c r="G174" s="8"/>
    </row>
    <row r="175" spans="1:7" ht="25.5">
      <c r="A175" s="87">
        <v>7</v>
      </c>
      <c r="B175" s="32" t="s">
        <v>232</v>
      </c>
      <c r="C175" s="33" t="s">
        <v>236</v>
      </c>
      <c r="D175" s="19">
        <v>14</v>
      </c>
      <c r="E175" s="37">
        <v>14000000</v>
      </c>
      <c r="F175" s="37">
        <f t="shared" si="13"/>
        <v>196000000</v>
      </c>
      <c r="G175" s="8"/>
    </row>
    <row r="176" spans="1:7" ht="25.5">
      <c r="A176" s="87">
        <v>8</v>
      </c>
      <c r="B176" s="32" t="s">
        <v>353</v>
      </c>
      <c r="C176" s="33" t="s">
        <v>236</v>
      </c>
      <c r="D176" s="19">
        <v>1</v>
      </c>
      <c r="E176" s="37">
        <v>70000000</v>
      </c>
      <c r="F176" s="37">
        <f t="shared" si="13"/>
        <v>70000000</v>
      </c>
      <c r="G176" s="8"/>
    </row>
    <row r="177" spans="1:7" ht="25.5">
      <c r="A177" s="87">
        <v>9</v>
      </c>
      <c r="B177" s="32" t="s">
        <v>351</v>
      </c>
      <c r="C177" s="33" t="s">
        <v>236</v>
      </c>
      <c r="D177" s="19">
        <v>1</v>
      </c>
      <c r="E177" s="37">
        <v>12000000</v>
      </c>
      <c r="F177" s="37">
        <f t="shared" si="13"/>
        <v>12000000</v>
      </c>
      <c r="G177" s="8"/>
    </row>
    <row r="178" spans="1:7" ht="25.5">
      <c r="A178" s="87">
        <v>10</v>
      </c>
      <c r="B178" s="32" t="s">
        <v>388</v>
      </c>
      <c r="C178" s="33" t="s">
        <v>355</v>
      </c>
      <c r="D178" s="19">
        <v>1</v>
      </c>
      <c r="E178" s="37">
        <v>200000000</v>
      </c>
      <c r="F178" s="37">
        <f t="shared" si="13"/>
        <v>200000000</v>
      </c>
      <c r="G178" s="8"/>
    </row>
    <row r="179" spans="1:7" ht="25.5">
      <c r="A179" s="87">
        <v>11</v>
      </c>
      <c r="B179" s="32" t="s">
        <v>357</v>
      </c>
      <c r="C179" s="33" t="s">
        <v>348</v>
      </c>
      <c r="D179" s="19">
        <v>14</v>
      </c>
      <c r="E179" s="37">
        <v>8500000</v>
      </c>
      <c r="F179" s="37">
        <f t="shared" si="13"/>
        <v>119000000</v>
      </c>
      <c r="G179" s="8"/>
    </row>
    <row r="180" spans="1:7" ht="25.5">
      <c r="A180" s="87">
        <v>12</v>
      </c>
      <c r="B180" s="32" t="s">
        <v>233</v>
      </c>
      <c r="C180" s="33" t="s">
        <v>236</v>
      </c>
      <c r="D180" s="19">
        <v>6</v>
      </c>
      <c r="E180" s="37">
        <v>3037993.8304999997</v>
      </c>
      <c r="F180" s="37">
        <f t="shared" si="13"/>
        <v>18227962.982999999</v>
      </c>
      <c r="G180" s="8"/>
    </row>
    <row r="181" spans="1:7" ht="25.5">
      <c r="A181" s="87">
        <v>13</v>
      </c>
      <c r="B181" s="32" t="s">
        <v>234</v>
      </c>
      <c r="C181" s="33" t="s">
        <v>236</v>
      </c>
      <c r="D181" s="19">
        <v>13</v>
      </c>
      <c r="E181" s="37">
        <v>6751097.2484999998</v>
      </c>
      <c r="F181" s="37">
        <f t="shared" si="13"/>
        <v>87764264.230499998</v>
      </c>
      <c r="G181" s="8"/>
    </row>
    <row r="182" spans="1:7" ht="25.5">
      <c r="A182" s="87">
        <v>14</v>
      </c>
      <c r="B182" s="32" t="s">
        <v>235</v>
      </c>
      <c r="C182" s="33" t="s">
        <v>236</v>
      </c>
      <c r="D182" s="19">
        <v>13</v>
      </c>
      <c r="E182" s="37">
        <v>6751097.2484999998</v>
      </c>
      <c r="F182" s="37">
        <f t="shared" si="13"/>
        <v>87764264.230499998</v>
      </c>
      <c r="G182" s="8"/>
    </row>
    <row r="183" spans="1:7" ht="25.5">
      <c r="A183" s="87">
        <v>15</v>
      </c>
      <c r="B183" s="32" t="s">
        <v>347</v>
      </c>
      <c r="C183" s="33" t="s">
        <v>236</v>
      </c>
      <c r="D183" s="19">
        <v>14</v>
      </c>
      <c r="E183" s="37">
        <f>128000*30</f>
        <v>3840000</v>
      </c>
      <c r="F183" s="37">
        <f t="shared" si="13"/>
        <v>53760000</v>
      </c>
      <c r="G183" s="8"/>
    </row>
    <row r="184" spans="1:7" ht="25.5">
      <c r="A184" s="87">
        <v>16</v>
      </c>
      <c r="B184" s="32" t="s">
        <v>390</v>
      </c>
      <c r="C184" s="33" t="s">
        <v>236</v>
      </c>
      <c r="D184" s="19">
        <v>1</v>
      </c>
      <c r="E184" s="37">
        <v>150000000</v>
      </c>
      <c r="F184" s="37">
        <f t="shared" si="13"/>
        <v>150000000</v>
      </c>
      <c r="G184" s="8"/>
    </row>
    <row r="185" spans="1:7">
      <c r="A185" s="89"/>
      <c r="B185" s="9"/>
      <c r="C185" s="40"/>
      <c r="D185" s="27"/>
      <c r="E185" s="39"/>
      <c r="F185" s="65"/>
      <c r="G185" s="8"/>
    </row>
    <row r="186" spans="1:7">
      <c r="A186" s="46"/>
      <c r="B186" s="9"/>
      <c r="C186" s="40"/>
      <c r="D186" s="27"/>
      <c r="E186" s="39"/>
      <c r="F186" s="65"/>
      <c r="G186" s="8"/>
    </row>
    <row r="187" spans="1:7">
      <c r="A187" s="46"/>
      <c r="B187" s="9"/>
      <c r="C187" s="40"/>
      <c r="D187" s="27"/>
      <c r="E187" s="39"/>
      <c r="F187" s="58"/>
      <c r="G187" s="8"/>
    </row>
    <row r="188" spans="1:7" s="34" customFormat="1">
      <c r="A188" s="47"/>
      <c r="B188" s="113" t="s">
        <v>133</v>
      </c>
      <c r="C188" s="114"/>
      <c r="D188" s="115"/>
      <c r="E188" s="116" t="s">
        <v>134</v>
      </c>
      <c r="F188" s="59">
        <f>SUM(F169:F186)</f>
        <v>2235201870.4440002</v>
      </c>
      <c r="G188" s="8"/>
    </row>
    <row r="189" spans="1:7" s="34" customFormat="1">
      <c r="A189" s="47"/>
      <c r="B189" s="113" t="s">
        <v>135</v>
      </c>
      <c r="C189" s="114"/>
      <c r="D189" s="117">
        <v>0.16550000000000001</v>
      </c>
      <c r="E189" s="116" t="s">
        <v>136</v>
      </c>
      <c r="F189" s="59">
        <f>F188*D189</f>
        <v>369925909.55848205</v>
      </c>
      <c r="G189" s="8"/>
    </row>
    <row r="190" spans="1:7">
      <c r="A190" s="48"/>
      <c r="B190" s="113" t="s">
        <v>137</v>
      </c>
      <c r="C190" s="114"/>
      <c r="D190" s="115"/>
      <c r="E190" s="116" t="s">
        <v>138</v>
      </c>
      <c r="F190" s="59">
        <f>SUM(F188:F189)</f>
        <v>2605127780.0024824</v>
      </c>
      <c r="G190" s="8"/>
    </row>
    <row r="191" spans="1:7">
      <c r="A191" s="94"/>
      <c r="B191" s="49"/>
      <c r="C191" s="50"/>
      <c r="D191" s="49"/>
      <c r="E191" s="93"/>
      <c r="F191" s="92"/>
      <c r="G191" s="8"/>
    </row>
    <row r="192" spans="1:7" ht="25.5">
      <c r="B192" s="108" t="s">
        <v>377</v>
      </c>
      <c r="C192" s="109"/>
      <c r="D192" s="110"/>
      <c r="E192" s="111"/>
      <c r="F192" s="112">
        <f>ROUND(+F190+F166,0)</f>
        <v>39954375001</v>
      </c>
      <c r="G192" s="8"/>
    </row>
    <row r="193" spans="1:7">
      <c r="A193" s="35"/>
      <c r="G193" s="8"/>
    </row>
    <row r="194" spans="1:7">
      <c r="A194" s="61" t="s">
        <v>391</v>
      </c>
      <c r="B194" s="4"/>
      <c r="C194" s="62"/>
      <c r="D194" s="63"/>
      <c r="E194" s="64"/>
      <c r="F194" s="64"/>
      <c r="G194" s="118"/>
    </row>
    <row r="195" spans="1:7">
      <c r="A195" s="124" t="s">
        <v>358</v>
      </c>
      <c r="B195" s="124"/>
      <c r="C195" s="124"/>
      <c r="D195" s="124"/>
      <c r="E195" s="124"/>
      <c r="F195" s="124"/>
    </row>
    <row r="196" spans="1:7">
      <c r="A196" s="124" t="s">
        <v>359</v>
      </c>
      <c r="B196" s="124"/>
      <c r="C196" s="124"/>
      <c r="D196" s="124"/>
      <c r="E196" s="124"/>
      <c r="F196" s="124"/>
    </row>
    <row r="197" spans="1:7" ht="26.1" customHeight="1">
      <c r="A197" s="124" t="s">
        <v>360</v>
      </c>
      <c r="B197" s="124"/>
      <c r="C197" s="124"/>
      <c r="D197" s="124"/>
      <c r="E197" s="124"/>
      <c r="F197" s="124"/>
    </row>
    <row r="198" spans="1:7" ht="26.1" customHeight="1">
      <c r="A198" s="124" t="s">
        <v>361</v>
      </c>
      <c r="B198" s="124"/>
      <c r="C198" s="124"/>
      <c r="D198" s="124"/>
      <c r="E198" s="124"/>
      <c r="F198" s="124"/>
    </row>
    <row r="199" spans="1:7" ht="26.1" customHeight="1">
      <c r="A199" s="124" t="s">
        <v>362</v>
      </c>
      <c r="B199" s="124"/>
      <c r="C199" s="124"/>
      <c r="D199" s="124"/>
      <c r="E199" s="124"/>
      <c r="F199" s="124"/>
    </row>
    <row r="200" spans="1:7">
      <c r="A200" s="124" t="s">
        <v>363</v>
      </c>
      <c r="B200" s="124"/>
      <c r="C200" s="124"/>
      <c r="D200" s="124"/>
      <c r="E200" s="124"/>
      <c r="F200" s="124"/>
    </row>
    <row r="201" spans="1:7" ht="26.1" customHeight="1">
      <c r="A201" s="124" t="s">
        <v>364</v>
      </c>
      <c r="B201" s="124"/>
      <c r="C201" s="124"/>
      <c r="D201" s="124"/>
      <c r="E201" s="124"/>
      <c r="F201" s="124"/>
    </row>
    <row r="206" spans="1:7">
      <c r="B206" s="123" t="s">
        <v>401</v>
      </c>
    </row>
    <row r="207" spans="1:7" s="21" customFormat="1" ht="12.75" customHeight="1">
      <c r="A207" s="121"/>
      <c r="B207" s="121"/>
      <c r="C207" s="122"/>
      <c r="D207" s="122"/>
      <c r="E207" s="122"/>
      <c r="F207" s="122"/>
    </row>
    <row r="208" spans="1:7" ht="12.75" customHeight="1">
      <c r="A208" s="130" t="s">
        <v>400</v>
      </c>
      <c r="B208" s="130"/>
      <c r="C208" s="130"/>
      <c r="D208" s="130"/>
      <c r="E208" s="130"/>
      <c r="F208" s="130"/>
    </row>
    <row r="209" spans="1:7">
      <c r="B209" s="29"/>
      <c r="D209" s="23"/>
      <c r="E209" s="23"/>
      <c r="F209" s="23"/>
      <c r="G209" s="23"/>
    </row>
    <row r="210" spans="1:7">
      <c r="B210" s="29"/>
      <c r="D210" s="23"/>
      <c r="E210" s="23"/>
      <c r="F210" s="23"/>
      <c r="G210" s="23"/>
    </row>
    <row r="211" spans="1:7">
      <c r="B211" s="29"/>
      <c r="D211" s="23"/>
      <c r="E211" s="23"/>
      <c r="F211" s="23"/>
      <c r="G211" s="23"/>
    </row>
    <row r="212" spans="1:7">
      <c r="B212" s="29"/>
      <c r="D212" s="23"/>
      <c r="E212" s="23"/>
      <c r="F212" s="23"/>
      <c r="G212" s="23"/>
    </row>
    <row r="213" spans="1:7">
      <c r="E213" s="1"/>
      <c r="F213" s="1"/>
    </row>
    <row r="214" spans="1:7" s="21" customFormat="1" ht="12.75" customHeight="1">
      <c r="A214" s="130"/>
      <c r="B214" s="130"/>
      <c r="C214" s="128"/>
      <c r="D214" s="128"/>
      <c r="E214" s="128"/>
      <c r="F214" s="128"/>
    </row>
    <row r="215" spans="1:7" ht="12.75" customHeight="1">
      <c r="A215" s="131"/>
      <c r="B215" s="131"/>
      <c r="C215" s="129"/>
      <c r="D215" s="129"/>
      <c r="E215" s="129"/>
      <c r="F215" s="129"/>
    </row>
    <row r="223" spans="1:7">
      <c r="C223" s="128"/>
      <c r="D223" s="128"/>
      <c r="E223" s="128"/>
      <c r="F223" s="128"/>
    </row>
    <row r="224" spans="1:7">
      <c r="C224" s="129"/>
      <c r="D224" s="129"/>
      <c r="E224" s="129"/>
      <c r="F224" s="129"/>
    </row>
  </sheetData>
  <autoFilter ref="G5:G158" xr:uid="{00000000-0001-0000-0000-000000000000}"/>
  <mergeCells count="18">
    <mergeCell ref="A196:F196"/>
    <mergeCell ref="A1:G1"/>
    <mergeCell ref="A2:G2"/>
    <mergeCell ref="A3:G3"/>
    <mergeCell ref="A167:F167"/>
    <mergeCell ref="A195:F195"/>
    <mergeCell ref="A197:F197"/>
    <mergeCell ref="A198:F198"/>
    <mergeCell ref="A199:F199"/>
    <mergeCell ref="A200:F200"/>
    <mergeCell ref="A201:F201"/>
    <mergeCell ref="C223:F223"/>
    <mergeCell ref="C224:F224"/>
    <mergeCell ref="A208:F208"/>
    <mergeCell ref="A214:B214"/>
    <mergeCell ref="C214:F214"/>
    <mergeCell ref="A215:B215"/>
    <mergeCell ref="C215:F215"/>
  </mergeCells>
  <conditionalFormatting sqref="B169:B187">
    <cfRule type="duplicateValues" dxfId="1" priority="2"/>
  </conditionalFormatting>
  <conditionalFormatting sqref="B209:F1048576 B1:F205 B207:F207 C206:F206">
    <cfRule type="containsText" dxfId="0" priority="1" operator="containsText" text="DIGITAR">
      <formula>NOT(ISERROR(SEARCH("DIGITAR",B1)))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scale="6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C11A8-CD28-4EBB-B51E-E3CF1AFCC68E}">
  <sheetPr>
    <tabColor rgb="FFFFFF00"/>
  </sheetPr>
  <dimension ref="A2:F13"/>
  <sheetViews>
    <sheetView zoomScale="130" zoomScaleNormal="130" workbookViewId="0">
      <selection activeCell="C19" sqref="C19"/>
    </sheetView>
  </sheetViews>
  <sheetFormatPr baseColWidth="10" defaultRowHeight="15"/>
  <cols>
    <col min="1" max="1" width="36.42578125" customWidth="1"/>
    <col min="2" max="2" width="17.28515625" style="84" bestFit="1" customWidth="1"/>
    <col min="3" max="3" width="17.7109375" style="80" bestFit="1" customWidth="1"/>
    <col min="4" max="4" width="15.140625" hidden="1" customWidth="1"/>
    <col min="6" max="6" width="17.7109375" style="80" bestFit="1" customWidth="1"/>
  </cols>
  <sheetData>
    <row r="2" spans="1:6" s="72" customFormat="1" ht="30">
      <c r="A2" s="69" t="s">
        <v>320</v>
      </c>
      <c r="B2" s="81" t="s">
        <v>321</v>
      </c>
      <c r="C2" s="70" t="s">
        <v>322</v>
      </c>
      <c r="D2" s="71" t="s">
        <v>323</v>
      </c>
      <c r="F2" s="70" t="s">
        <v>352</v>
      </c>
    </row>
    <row r="3" spans="1:6">
      <c r="A3" s="73" t="s">
        <v>324</v>
      </c>
      <c r="B3" s="82"/>
      <c r="C3" s="74">
        <f>'ppto oficial'!F160</f>
        <v>30315072907.019989</v>
      </c>
      <c r="D3" s="88" t="s">
        <v>331</v>
      </c>
      <c r="F3" s="74">
        <v>29637014008.792305</v>
      </c>
    </row>
    <row r="4" spans="1:6">
      <c r="A4" s="75" t="s">
        <v>139</v>
      </c>
      <c r="B4" s="83">
        <v>0.62</v>
      </c>
      <c r="C4" s="77">
        <f>B4*$C$3</f>
        <v>18795345202.352394</v>
      </c>
      <c r="D4" s="78">
        <v>9.1999999999999998E-2</v>
      </c>
      <c r="F4" s="77">
        <v>18365362369.928463</v>
      </c>
    </row>
    <row r="5" spans="1:6">
      <c r="A5" s="75" t="s">
        <v>140</v>
      </c>
      <c r="B5" s="83">
        <v>0.09</v>
      </c>
      <c r="C5" s="77">
        <f t="shared" ref="C5:C7" si="0">B5*$C$3</f>
        <v>2728356561.6317987</v>
      </c>
      <c r="D5" s="78">
        <v>9.1999999999999998E-2</v>
      </c>
      <c r="F5" s="77">
        <v>2665939698.8605828</v>
      </c>
    </row>
    <row r="6" spans="1:6">
      <c r="A6" s="75" t="s">
        <v>141</v>
      </c>
      <c r="B6" s="83">
        <v>0.1</v>
      </c>
      <c r="C6" s="77">
        <f t="shared" si="0"/>
        <v>3031507290.7019992</v>
      </c>
      <c r="D6" s="78">
        <v>9.1999999999999998E-2</v>
      </c>
      <c r="F6" s="77">
        <v>2962155220.9562039</v>
      </c>
    </row>
    <row r="7" spans="1:6">
      <c r="A7" s="75" t="s">
        <v>142</v>
      </c>
      <c r="B7" s="83">
        <v>0.19</v>
      </c>
      <c r="C7" s="77">
        <f t="shared" si="0"/>
        <v>5759863852.3337984</v>
      </c>
      <c r="D7" s="78">
        <v>9.5000000000000001E-2</v>
      </c>
      <c r="F7" s="77">
        <v>5643556719.0470533</v>
      </c>
    </row>
    <row r="8" spans="1:6">
      <c r="A8" s="75" t="s">
        <v>325</v>
      </c>
      <c r="B8" s="83">
        <f>'ppto oficial'!D164</f>
        <v>0.3236</v>
      </c>
      <c r="C8" s="77">
        <f>B8*$C$3</f>
        <v>9809957592.711668</v>
      </c>
      <c r="D8" s="78">
        <v>0.28999999999999998</v>
      </c>
      <c r="F8" s="77">
        <v>8594734062.5497684</v>
      </c>
    </row>
    <row r="9" spans="1:6">
      <c r="A9" s="73" t="s">
        <v>326</v>
      </c>
      <c r="B9" s="82"/>
      <c r="C9" s="74">
        <f>'ppto oficial'!F188</f>
        <v>2235201870.4440002</v>
      </c>
      <c r="D9" s="79">
        <v>7.0000000000000007E-2</v>
      </c>
      <c r="F9" s="74">
        <v>1402801316.9595551</v>
      </c>
    </row>
    <row r="10" spans="1:6">
      <c r="A10" s="75" t="s">
        <v>327</v>
      </c>
      <c r="B10" s="83">
        <f>'ppto oficial'!D189</f>
        <v>0.16550000000000001</v>
      </c>
      <c r="C10" s="77">
        <f>+C9*B10</f>
        <v>369925909.55848205</v>
      </c>
      <c r="D10" s="76">
        <v>0.14549999999999999</v>
      </c>
      <c r="F10" s="77">
        <v>204107591.61761525</v>
      </c>
    </row>
    <row r="11" spans="1:6">
      <c r="A11" s="73" t="s">
        <v>328</v>
      </c>
      <c r="B11" s="82"/>
      <c r="C11" s="74">
        <f>SUM(C4:C10)</f>
        <v>42730158279.734138</v>
      </c>
      <c r="D11" s="73"/>
      <c r="F11" s="74">
        <v>39838656979.919243</v>
      </c>
    </row>
    <row r="12" spans="1:6">
      <c r="A12" s="75" t="s">
        <v>329</v>
      </c>
      <c r="B12" s="83">
        <v>8.5000000000000006E-2</v>
      </c>
      <c r="C12" s="77">
        <f>C11*B12</f>
        <v>3632063453.7774019</v>
      </c>
      <c r="D12" s="78">
        <v>8.5000000000000006E-2</v>
      </c>
      <c r="F12" s="77">
        <v>3386285843.2931361</v>
      </c>
    </row>
    <row r="13" spans="1:6">
      <c r="A13" s="73" t="s">
        <v>330</v>
      </c>
      <c r="B13" s="82"/>
      <c r="C13" s="74">
        <f>SUM(C11:C12)</f>
        <v>46362221733.511543</v>
      </c>
      <c r="D13" s="73"/>
      <c r="F13" s="74">
        <v>43224942823.212379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ppto oficial</vt:lpstr>
      <vt:lpstr>Cuadro de la propuesta</vt:lpstr>
      <vt:lpstr>Resumen</vt:lpstr>
      <vt:lpstr>'Cuadro de la propuesta'!Área_de_impresión</vt:lpstr>
      <vt:lpstr>'ppto oficial'!Área_de_impresión</vt:lpstr>
      <vt:lpstr>'Cuadro de la propuesta'!Títulos_a_imprimir</vt:lpstr>
      <vt:lpstr>'ppto oficial'!Títulos_a_imprimir</vt:lpstr>
    </vt:vector>
  </TitlesOfParts>
  <Manager>Carlos Alberto Rojas Pineda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de datos presupuestos 2025</dc:title>
  <dc:subject/>
  <dc:creator>Secretaria de infraestructura de Pereira</dc:creator>
  <dc:description/>
  <cp:lastModifiedBy>USER</cp:lastModifiedBy>
  <cp:revision>2</cp:revision>
  <cp:lastPrinted>2026-01-26T14:08:48Z</cp:lastPrinted>
  <dcterms:created xsi:type="dcterms:W3CDTF">2025-02-13T13:00:16Z</dcterms:created>
  <dcterms:modified xsi:type="dcterms:W3CDTF">2026-04-17T05:32:46Z</dcterms:modified>
  <dc:language>es-CO</dc:language>
</cp:coreProperties>
</file>