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carol.ruiz\Downloads\"/>
    </mc:Choice>
  </mc:AlternateContent>
  <xr:revisionPtr revIDLastSave="0" documentId="8_{C658BE9E-4DAB-4846-AC38-354A8174F5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MPLEMENTACIÓN" sheetId="1" r:id="rId1"/>
    <sheet name="VALOR ELECTRICO" sheetId="2" r:id="rId2"/>
    <sheet name="VALOR OBRA CIVIL" sheetId="3" r:id="rId3"/>
    <sheet name="ML FIBRA" sheetId="4" r:id="rId4"/>
    <sheet name="VALOR PROYECTO" sheetId="5" r:id="rId5"/>
    <sheet name="Calculo consultorías (2)" sheetId="6" r:id="rId6"/>
  </sheets>
  <definedNames>
    <definedName name="_xlnm.Print_Area" localSheetId="0">IMPLEMENTACIÓN!$A$1:$F$59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d4bNbALzI/12mAR4sml43M0oujBMk0hrAlSzgvUisZU="/>
    </ext>
  </extLst>
</workbook>
</file>

<file path=xl/calcChain.xml><?xml version="1.0" encoding="utf-8"?>
<calcChain xmlns="http://schemas.openxmlformats.org/spreadsheetml/2006/main">
  <c r="E4" i="1" l="1"/>
  <c r="E44" i="1"/>
  <c r="E40" i="1" l="1"/>
  <c r="E41" i="1"/>
  <c r="E42" i="1"/>
  <c r="E43" i="1"/>
  <c r="E39" i="1"/>
  <c r="E29" i="1"/>
  <c r="E30" i="1"/>
  <c r="E31" i="1"/>
  <c r="E32" i="1"/>
  <c r="E33" i="1"/>
  <c r="E34" i="1"/>
  <c r="E35" i="1"/>
  <c r="E36" i="1"/>
  <c r="E37" i="1"/>
  <c r="E28" i="1"/>
  <c r="E24" i="1"/>
  <c r="E25" i="1"/>
  <c r="E26" i="1"/>
  <c r="E2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0" i="1"/>
  <c r="D41" i="1"/>
  <c r="D42" i="1"/>
  <c r="D43" i="1"/>
  <c r="D39" i="1"/>
  <c r="D29" i="1"/>
  <c r="D30" i="1"/>
  <c r="D31" i="1"/>
  <c r="D32" i="1"/>
  <c r="D33" i="1"/>
  <c r="D34" i="1"/>
  <c r="D35" i="1"/>
  <c r="D36" i="1"/>
  <c r="D37" i="1"/>
  <c r="D28" i="1"/>
  <c r="D24" i="1"/>
  <c r="D25" i="1"/>
  <c r="D26" i="1"/>
  <c r="D2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  <c r="DJ33" i="6" l="1"/>
  <c r="DK32" i="6"/>
  <c r="DJ32" i="6"/>
  <c r="Q23" i="6"/>
  <c r="R23" i="6" s="1"/>
  <c r="S22" i="6" s="1"/>
  <c r="R20" i="6" s="1"/>
  <c r="U22" i="6"/>
  <c r="V22" i="6" s="1"/>
  <c r="R22" i="6"/>
  <c r="N22" i="6"/>
  <c r="U20" i="6"/>
  <c r="Q20" i="6"/>
  <c r="O20" i="6"/>
  <c r="DK19" i="6"/>
  <c r="DL19" i="6" s="1"/>
  <c r="DK18" i="6"/>
  <c r="DL18" i="6" s="1"/>
  <c r="Q15" i="6"/>
  <c r="R15" i="6" s="1"/>
  <c r="S14" i="6" s="1"/>
  <c r="R12" i="6" s="1"/>
  <c r="M15" i="6"/>
  <c r="N15" i="6" s="1"/>
  <c r="U14" i="6"/>
  <c r="V14" i="6" s="1"/>
  <c r="W14" i="6" s="1"/>
  <c r="V12" i="6" s="1"/>
  <c r="R14" i="6"/>
  <c r="Q14" i="6"/>
  <c r="N14" i="6"/>
  <c r="O14" i="6" s="1"/>
  <c r="N12" i="6" s="1"/>
  <c r="W12" i="6"/>
  <c r="T15" i="6" s="1"/>
  <c r="V15" i="6" s="1"/>
  <c r="U12" i="6"/>
  <c r="S12" i="6"/>
  <c r="S20" i="6" s="1"/>
  <c r="Q12" i="6"/>
  <c r="O12" i="6"/>
  <c r="M12" i="6"/>
  <c r="M20" i="6" s="1"/>
  <c r="DK10" i="6"/>
  <c r="DL10" i="6" s="1"/>
  <c r="DM10" i="6" s="1"/>
  <c r="DO10" i="6" s="1"/>
  <c r="DJ10" i="6"/>
  <c r="DI10" i="6"/>
  <c r="BM10" i="6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9" i="6"/>
  <c r="DJ9" i="6" s="1"/>
  <c r="DK9" i="6" s="1"/>
  <c r="DL9" i="6" s="1"/>
  <c r="DM9" i="6" s="1"/>
  <c r="DO9" i="6" s="1"/>
  <c r="BM9" i="6"/>
  <c r="BN9" i="6" s="1"/>
  <c r="BO9" i="6" s="1"/>
  <c r="BP9" i="6" s="1"/>
  <c r="BQ9" i="6" s="1"/>
  <c r="BR9" i="6" s="1"/>
  <c r="BS9" i="6" s="1"/>
  <c r="BT9" i="6" s="1"/>
  <c r="BU9" i="6" s="1"/>
  <c r="BV9" i="6" s="1"/>
  <c r="BW9" i="6" s="1"/>
  <c r="BX9" i="6" s="1"/>
  <c r="BY9" i="6" s="1"/>
  <c r="BZ9" i="6" s="1"/>
  <c r="CA9" i="6" s="1"/>
  <c r="CB9" i="6" s="1"/>
  <c r="CC9" i="6" s="1"/>
  <c r="CD9" i="6" s="1"/>
  <c r="CE9" i="6" s="1"/>
  <c r="CF9" i="6" s="1"/>
  <c r="CG9" i="6" s="1"/>
  <c r="CH9" i="6" s="1"/>
  <c r="CI9" i="6" s="1"/>
  <c r="CJ9" i="6" s="1"/>
  <c r="CK9" i="6" s="1"/>
  <c r="CL9" i="6" s="1"/>
  <c r="CM9" i="6" s="1"/>
  <c r="CN9" i="6" s="1"/>
  <c r="CO9" i="6" s="1"/>
  <c r="CP9" i="6" s="1"/>
  <c r="CQ9" i="6" s="1"/>
  <c r="CR9" i="6" s="1"/>
  <c r="CS9" i="6" s="1"/>
  <c r="CT9" i="6" s="1"/>
  <c r="CU9" i="6" s="1"/>
  <c r="CV9" i="6" s="1"/>
  <c r="CW9" i="6" s="1"/>
  <c r="CX9" i="6" s="1"/>
  <c r="CY9" i="6" s="1"/>
  <c r="CZ9" i="6" s="1"/>
  <c r="DA9" i="6" s="1"/>
  <c r="DB9" i="6" s="1"/>
  <c r="DC9" i="6" s="1"/>
  <c r="DD9" i="6" s="1"/>
  <c r="DE9" i="6" s="1"/>
  <c r="DF9" i="6" s="1"/>
  <c r="DG9" i="6" s="1"/>
  <c r="DH9" i="6" s="1"/>
  <c r="DH8" i="6"/>
  <c r="DI8" i="6" s="1"/>
  <c r="DJ8" i="6" s="1"/>
  <c r="DK8" i="6" s="1"/>
  <c r="DL8" i="6" s="1"/>
  <c r="DM8" i="6" s="1"/>
  <c r="DO8" i="6" s="1"/>
  <c r="BN8" i="6"/>
  <c r="BO8" i="6" s="1"/>
  <c r="BP8" i="6" s="1"/>
  <c r="BQ8" i="6" s="1"/>
  <c r="BR8" i="6" s="1"/>
  <c r="BS8" i="6" s="1"/>
  <c r="BT8" i="6" s="1"/>
  <c r="BU8" i="6" s="1"/>
  <c r="BV8" i="6" s="1"/>
  <c r="BW8" i="6" s="1"/>
  <c r="BX8" i="6" s="1"/>
  <c r="BY8" i="6" s="1"/>
  <c r="BZ8" i="6" s="1"/>
  <c r="CA8" i="6" s="1"/>
  <c r="CB8" i="6" s="1"/>
  <c r="CC8" i="6" s="1"/>
  <c r="CD8" i="6" s="1"/>
  <c r="CE8" i="6" s="1"/>
  <c r="CF8" i="6" s="1"/>
  <c r="CG8" i="6" s="1"/>
  <c r="CH8" i="6" s="1"/>
  <c r="CI8" i="6" s="1"/>
  <c r="CJ8" i="6" s="1"/>
  <c r="CK8" i="6" s="1"/>
  <c r="CL8" i="6" s="1"/>
  <c r="CM8" i="6" s="1"/>
  <c r="CN8" i="6" s="1"/>
  <c r="CO8" i="6" s="1"/>
  <c r="CP8" i="6" s="1"/>
  <c r="CQ8" i="6" s="1"/>
  <c r="CR8" i="6" s="1"/>
  <c r="CS8" i="6" s="1"/>
  <c r="CT8" i="6" s="1"/>
  <c r="CU8" i="6" s="1"/>
  <c r="CV8" i="6" s="1"/>
  <c r="CW8" i="6" s="1"/>
  <c r="CX8" i="6" s="1"/>
  <c r="CY8" i="6" s="1"/>
  <c r="CZ8" i="6" s="1"/>
  <c r="DA8" i="6" s="1"/>
  <c r="DB8" i="6" s="1"/>
  <c r="DC8" i="6" s="1"/>
  <c r="DD8" i="6" s="1"/>
  <c r="DE8" i="6" s="1"/>
  <c r="DF8" i="6" s="1"/>
  <c r="DG8" i="6" s="1"/>
  <c r="BM8" i="6"/>
  <c r="T7" i="6"/>
  <c r="V7" i="6" s="1"/>
  <c r="R7" i="6"/>
  <c r="N7" i="6"/>
  <c r="V6" i="6"/>
  <c r="W6" i="6" s="1"/>
  <c r="V4" i="6" s="1"/>
  <c r="R6" i="6"/>
  <c r="S6" i="6" s="1"/>
  <c r="R4" i="6" s="1"/>
  <c r="N6" i="6"/>
  <c r="O6" i="6" s="1"/>
  <c r="N4" i="6" s="1"/>
  <c r="CL32" i="5"/>
  <c r="CM31" i="5"/>
  <c r="CL31" i="5"/>
  <c r="CN18" i="5"/>
  <c r="CN19" i="5" s="1"/>
  <c r="CN23" i="5" s="1"/>
  <c r="CN24" i="5" s="1"/>
  <c r="CN25" i="5" s="1"/>
  <c r="CM18" i="5"/>
  <c r="CN17" i="5"/>
  <c r="CM17" i="5"/>
  <c r="CK9" i="5"/>
  <c r="CL9" i="5" s="1"/>
  <c r="CM9" i="5" s="1"/>
  <c r="CN9" i="5" s="1"/>
  <c r="CO9" i="5" s="1"/>
  <c r="CQ9" i="5" s="1"/>
  <c r="AO9" i="5"/>
  <c r="AP9" i="5" s="1"/>
  <c r="AQ9" i="5" s="1"/>
  <c r="AR9" i="5" s="1"/>
  <c r="AS9" i="5" s="1"/>
  <c r="AT9" i="5" s="1"/>
  <c r="AU9" i="5" s="1"/>
  <c r="AV9" i="5" s="1"/>
  <c r="AW9" i="5" s="1"/>
  <c r="AX9" i="5" s="1"/>
  <c r="AY9" i="5" s="1"/>
  <c r="AZ9" i="5" s="1"/>
  <c r="BA9" i="5" s="1"/>
  <c r="BB9" i="5" s="1"/>
  <c r="BC9" i="5" s="1"/>
  <c r="BD9" i="5" s="1"/>
  <c r="BE9" i="5" s="1"/>
  <c r="BF9" i="5" s="1"/>
  <c r="BG9" i="5" s="1"/>
  <c r="BH9" i="5" s="1"/>
  <c r="BI9" i="5" s="1"/>
  <c r="BJ9" i="5" s="1"/>
  <c r="BK9" i="5" s="1"/>
  <c r="BL9" i="5" s="1"/>
  <c r="BM9" i="5" s="1"/>
  <c r="BN9" i="5" s="1"/>
  <c r="BO9" i="5" s="1"/>
  <c r="BP9" i="5" s="1"/>
  <c r="BQ9" i="5" s="1"/>
  <c r="BR9" i="5" s="1"/>
  <c r="BS9" i="5" s="1"/>
  <c r="BT9" i="5" s="1"/>
  <c r="BU9" i="5" s="1"/>
  <c r="BV9" i="5" s="1"/>
  <c r="BW9" i="5" s="1"/>
  <c r="BX9" i="5" s="1"/>
  <c r="BY9" i="5" s="1"/>
  <c r="BZ9" i="5" s="1"/>
  <c r="CA9" i="5" s="1"/>
  <c r="CB9" i="5" s="1"/>
  <c r="CC9" i="5" s="1"/>
  <c r="CD9" i="5" s="1"/>
  <c r="CE9" i="5" s="1"/>
  <c r="CF9" i="5" s="1"/>
  <c r="CG9" i="5" s="1"/>
  <c r="CH9" i="5" s="1"/>
  <c r="CI9" i="5" s="1"/>
  <c r="CJ9" i="5" s="1"/>
  <c r="CL8" i="5"/>
  <c r="CM8" i="5" s="1"/>
  <c r="CN8" i="5" s="1"/>
  <c r="CO8" i="5" s="1"/>
  <c r="CQ8" i="5" s="1"/>
  <c r="CK8" i="5"/>
  <c r="AP8" i="5"/>
  <c r="AQ8" i="5" s="1"/>
  <c r="AR8" i="5" s="1"/>
  <c r="AS8" i="5" s="1"/>
  <c r="AT8" i="5" s="1"/>
  <c r="AU8" i="5" s="1"/>
  <c r="AV8" i="5" s="1"/>
  <c r="AW8" i="5" s="1"/>
  <c r="AX8" i="5" s="1"/>
  <c r="AY8" i="5" s="1"/>
  <c r="AZ8" i="5" s="1"/>
  <c r="BA8" i="5" s="1"/>
  <c r="BB8" i="5" s="1"/>
  <c r="BC8" i="5" s="1"/>
  <c r="BD8" i="5" s="1"/>
  <c r="BE8" i="5" s="1"/>
  <c r="BF8" i="5" s="1"/>
  <c r="BG8" i="5" s="1"/>
  <c r="BH8" i="5" s="1"/>
  <c r="BI8" i="5" s="1"/>
  <c r="BJ8" i="5" s="1"/>
  <c r="BK8" i="5" s="1"/>
  <c r="BL8" i="5" s="1"/>
  <c r="BM8" i="5" s="1"/>
  <c r="BN8" i="5" s="1"/>
  <c r="BO8" i="5" s="1"/>
  <c r="BP8" i="5" s="1"/>
  <c r="BQ8" i="5" s="1"/>
  <c r="BR8" i="5" s="1"/>
  <c r="BS8" i="5" s="1"/>
  <c r="BT8" i="5" s="1"/>
  <c r="BU8" i="5" s="1"/>
  <c r="BV8" i="5" s="1"/>
  <c r="BW8" i="5" s="1"/>
  <c r="BX8" i="5" s="1"/>
  <c r="BY8" i="5" s="1"/>
  <c r="BZ8" i="5" s="1"/>
  <c r="CA8" i="5" s="1"/>
  <c r="CB8" i="5" s="1"/>
  <c r="CC8" i="5" s="1"/>
  <c r="CD8" i="5" s="1"/>
  <c r="CE8" i="5" s="1"/>
  <c r="CF8" i="5" s="1"/>
  <c r="CG8" i="5" s="1"/>
  <c r="CH8" i="5" s="1"/>
  <c r="CI8" i="5" s="1"/>
  <c r="CJ8" i="5" s="1"/>
  <c r="AO8" i="5"/>
  <c r="CJ7" i="5"/>
  <c r="CK7" i="5" s="1"/>
  <c r="CL7" i="5" s="1"/>
  <c r="CM7" i="5" s="1"/>
  <c r="CN7" i="5" s="1"/>
  <c r="CO7" i="5" s="1"/>
  <c r="CQ7" i="5" s="1"/>
  <c r="AP7" i="5"/>
  <c r="AQ7" i="5" s="1"/>
  <c r="AR7" i="5" s="1"/>
  <c r="AS7" i="5" s="1"/>
  <c r="AT7" i="5" s="1"/>
  <c r="AU7" i="5" s="1"/>
  <c r="AV7" i="5" s="1"/>
  <c r="AW7" i="5" s="1"/>
  <c r="AX7" i="5" s="1"/>
  <c r="AY7" i="5" s="1"/>
  <c r="AZ7" i="5" s="1"/>
  <c r="BA7" i="5" s="1"/>
  <c r="BB7" i="5" s="1"/>
  <c r="BC7" i="5" s="1"/>
  <c r="BD7" i="5" s="1"/>
  <c r="BE7" i="5" s="1"/>
  <c r="BF7" i="5" s="1"/>
  <c r="BG7" i="5" s="1"/>
  <c r="BH7" i="5" s="1"/>
  <c r="BI7" i="5" s="1"/>
  <c r="BJ7" i="5" s="1"/>
  <c r="BK7" i="5" s="1"/>
  <c r="BL7" i="5" s="1"/>
  <c r="BM7" i="5" s="1"/>
  <c r="BN7" i="5" s="1"/>
  <c r="BO7" i="5" s="1"/>
  <c r="BP7" i="5" s="1"/>
  <c r="BQ7" i="5" s="1"/>
  <c r="BR7" i="5" s="1"/>
  <c r="BS7" i="5" s="1"/>
  <c r="BT7" i="5" s="1"/>
  <c r="BU7" i="5" s="1"/>
  <c r="BV7" i="5" s="1"/>
  <c r="BW7" i="5" s="1"/>
  <c r="BX7" i="5" s="1"/>
  <c r="BY7" i="5" s="1"/>
  <c r="BZ7" i="5" s="1"/>
  <c r="CA7" i="5" s="1"/>
  <c r="CB7" i="5" s="1"/>
  <c r="CC7" i="5" s="1"/>
  <c r="CD7" i="5" s="1"/>
  <c r="CE7" i="5" s="1"/>
  <c r="CF7" i="5" s="1"/>
  <c r="CG7" i="5" s="1"/>
  <c r="CH7" i="5" s="1"/>
  <c r="CI7" i="5" s="1"/>
  <c r="AO7" i="5"/>
  <c r="G14" i="4"/>
  <c r="G16" i="4" s="1"/>
  <c r="F22" i="3"/>
  <c r="F27" i="3" s="1"/>
  <c r="F5" i="3"/>
  <c r="F5" i="2"/>
  <c r="F15" i="2" s="1"/>
  <c r="F20" i="2" s="1"/>
  <c r="D2" i="5" l="1"/>
  <c r="D3" i="6" s="1"/>
  <c r="J9" i="6" s="1"/>
  <c r="H9" i="6" s="1"/>
  <c r="D9" i="6" s="1"/>
  <c r="D7" i="5" s="1"/>
  <c r="C48" i="1" s="1"/>
  <c r="DL20" i="6"/>
  <c r="DL24" i="6" s="1"/>
  <c r="DL25" i="6" s="1"/>
  <c r="DL26" i="6" s="1"/>
  <c r="W22" i="6"/>
  <c r="V20" i="6" s="1"/>
  <c r="M23" i="6"/>
  <c r="N23" i="6" s="1"/>
  <c r="O22" i="6" s="1"/>
  <c r="N20" i="6" s="1"/>
  <c r="W20" i="6"/>
  <c r="T23" i="6" s="1"/>
  <c r="V23" i="6" s="1"/>
  <c r="D11" i="6" l="1"/>
  <c r="D9" i="5" s="1"/>
  <c r="C50" i="1" s="1"/>
  <c r="C52" i="1" s="1"/>
  <c r="J12" i="6"/>
  <c r="J8" i="6"/>
  <c r="J15" i="6"/>
  <c r="H15" i="6" s="1"/>
  <c r="D18" i="6" s="1"/>
  <c r="D16" i="5" s="1"/>
  <c r="J13" i="6"/>
  <c r="J11" i="6"/>
  <c r="H11" i="6" s="1"/>
  <c r="D12" i="6" s="1"/>
  <c r="D10" i="5" s="1"/>
  <c r="C51" i="1" s="1"/>
  <c r="J10" i="6"/>
  <c r="H10" i="6" s="1"/>
  <c r="D10" i="6" s="1"/>
  <c r="D8" i="5" s="1"/>
  <c r="C49" i="1" s="1"/>
  <c r="J16" i="6"/>
  <c r="H16" i="6" s="1"/>
  <c r="D20" i="6" s="1"/>
  <c r="D18" i="5" s="1"/>
  <c r="J14" i="6"/>
  <c r="D19" i="6" l="1"/>
  <c r="D17" i="5" s="1"/>
  <c r="D13" i="6"/>
  <c r="D11" i="5" s="1"/>
  <c r="D21" i="6"/>
  <c r="D19" i="5" s="1"/>
  <c r="D22" i="6" l="1"/>
  <c r="D20" i="5" s="1"/>
  <c r="C57" i="1"/>
  <c r="C58" i="1" s="1"/>
  <c r="C5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K7" authorId="0" shapeId="0" xr:uid="{00000000-0006-0000-0400-000001000000}">
      <text>
        <r>
          <rPr>
            <sz val="11"/>
            <color rgb="FF000000"/>
            <rFont val="Calibri"/>
            <family val="2"/>
            <scheme val="minor"/>
          </rPr>
          <t>======
ID#AAABTLuucCU
Neyra Yelitza Toloza Jaimes    (2024-09-15 15:13:35)
Es un pliego de condiciones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Ri62OVBAOFrqQdxJ5WdruyBbYv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I8" authorId="0" shapeId="0" xr:uid="{00000000-0006-0000-0500-000001000000}">
      <text>
        <r>
          <rPr>
            <sz val="11"/>
            <color rgb="FF000000"/>
            <rFont val="Calibri"/>
            <family val="2"/>
            <scheme val="minor"/>
          </rPr>
          <t>======
ID#AAABTLuucCY
Neyra Yelitza Toloza Jaimes    (2024-09-15 15:13:35)
Es un pliego de condiciones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dq6uxtT1rN1uSMdqoulkKjw+sKg=="/>
    </ext>
  </extLst>
</comments>
</file>

<file path=xl/sharedStrings.xml><?xml version="1.0" encoding="utf-8"?>
<sst xmlns="http://schemas.openxmlformats.org/spreadsheetml/2006/main" count="249" uniqueCount="116">
  <si>
    <t>SISTEMA DE VIGILANCIA</t>
  </si>
  <si>
    <t>Item</t>
  </si>
  <si>
    <t>Descripción</t>
  </si>
  <si>
    <t>Cantidad</t>
  </si>
  <si>
    <t>Valor con IPC</t>
  </si>
  <si>
    <t>Subtotal</t>
  </si>
  <si>
    <t>EQUIPOS</t>
  </si>
  <si>
    <t>FIBRA ÓPTICA MONOMODO</t>
  </si>
  <si>
    <t xml:space="preserve">SWITCH DE ACCESO TIPO 4 </t>
  </si>
  <si>
    <t>SWITCH TIPO 1</t>
  </si>
  <si>
    <t>SISTEMA DE VISUALIZACIÓN</t>
  </si>
  <si>
    <t xml:space="preserve">ESTACIÓN DE TRABAJO OPERADOR(WORKSTATION)  </t>
  </si>
  <si>
    <t>JOYSTICK DE OPERACIÓN</t>
  </si>
  <si>
    <t>UPS 2KVA</t>
  </si>
  <si>
    <t>SERVIDOR</t>
  </si>
  <si>
    <t>SERVIDOR DE ARCHIVOS</t>
  </si>
  <si>
    <t>SISTEMA DE ALMACENAMIENTO POR CAMARA</t>
  </si>
  <si>
    <t>SOFTWARE DE VISUALIZACIÓN, CONTROL Y ADMINISTRACIÓN</t>
  </si>
  <si>
    <t>AIRE ACONDICIONADO REFRIGERACIÓN VARIABLE SPLIT 36000 BTU</t>
  </si>
  <si>
    <t xml:space="preserve">EQUIPOS LPR </t>
  </si>
  <si>
    <t>CÁMARA FIJA PARA RECONOCIMIENTO DE PLACAS-LPR</t>
  </si>
  <si>
    <t>SOFTWARE SISTEMA LPR</t>
  </si>
  <si>
    <t>GABINETE</t>
  </si>
  <si>
    <t>ARCOS / PÓRTICOS MONTAJE DE SISTEMAS LPR</t>
  </si>
  <si>
    <t>ELEMENTOS PASIVOS DEL SISTEMA</t>
  </si>
  <si>
    <t>POSTES TIPO 1 E INSTALACIÓN</t>
  </si>
  <si>
    <t>GABINETES DE POSTE/FACHADA</t>
  </si>
  <si>
    <t>CORONAS ANTI-ESCALATORIAS</t>
  </si>
  <si>
    <t>BRAZOS DE SOPORTE PARA CÁMARAS</t>
  </si>
  <si>
    <t>PUNTOS DE CABLEADO ESTRUCTURADO</t>
  </si>
  <si>
    <t>PUNTOS DE ENERGÍA ELÉCTRICA NORMAL</t>
  </si>
  <si>
    <t>SISTEMAS DE PUESTA A TIERRA (Puntos de cámara y sala de control y nodo) TIPO 1</t>
  </si>
  <si>
    <t>MÓDULOS - PUESTOS DE TRABAJO</t>
  </si>
  <si>
    <t>SISTEMA DE DETECCIÓN DE INCENDIOS, ESTACIÓN MANUAL, EXTINTOR, LUZ ESTROBOSCÓPICA Y CONTROL DE ACCESO</t>
  </si>
  <si>
    <t>CONTROL DE ACCESO FACIAL A LA SALA DE CONTROL</t>
  </si>
  <si>
    <t>OBRA CIVILES</t>
  </si>
  <si>
    <t>SISTEMA DE APERTURA</t>
  </si>
  <si>
    <t>CANALIZACIÓN ELÉCTRICA DE CÁMARAS Y NODOS</t>
  </si>
  <si>
    <t>Valor total de implementación</t>
  </si>
  <si>
    <t>Ítem</t>
  </si>
  <si>
    <t>Valor</t>
  </si>
  <si>
    <t>Estudios y diseños</t>
  </si>
  <si>
    <t>Interventoría estudios y diseños</t>
  </si>
  <si>
    <t>Implementación</t>
  </si>
  <si>
    <t>Interventoría implementación</t>
  </si>
  <si>
    <t>Valor total del proyecto</t>
  </si>
  <si>
    <t>3. Acometida electrica</t>
  </si>
  <si>
    <t>Valor unitario</t>
  </si>
  <si>
    <t>Acometida eléctrica para la conexión de UPS planta eléctrica</t>
  </si>
  <si>
    <t>Administracion (A)</t>
  </si>
  <si>
    <t>Imprevistos (I)</t>
  </si>
  <si>
    <t>Utilidad (U)</t>
  </si>
  <si>
    <t>Iva</t>
  </si>
  <si>
    <t>Valor total Acometida eléctrica</t>
  </si>
  <si>
    <t>1. Obra civil</t>
  </si>
  <si>
    <t>Adecuación de la sala SIES</t>
  </si>
  <si>
    <t>|</t>
  </si>
  <si>
    <t>Valor total obra civil</t>
  </si>
  <si>
    <t>2. Relación Fibra</t>
  </si>
  <si>
    <t>Tramo</t>
  </si>
  <si>
    <t>Punto inicial</t>
  </si>
  <si>
    <t>Punto final</t>
  </si>
  <si>
    <t>Distancia</t>
  </si>
  <si>
    <t>Incremento por medicion</t>
  </si>
  <si>
    <t>Total fibra</t>
  </si>
  <si>
    <t>DIGITE EL VALOR OBTENIDO DE IMPLEMENTACION</t>
  </si>
  <si>
    <t>Valores implementación y consultorías</t>
  </si>
  <si>
    <t>AÑOS</t>
  </si>
  <si>
    <t>Valor Actual</t>
  </si>
  <si>
    <t>AREA INTERVENIDA</t>
  </si>
  <si>
    <t>VALOR M2</t>
  </si>
  <si>
    <t>IPC</t>
  </si>
  <si>
    <t>VALOR INICIAL</t>
  </si>
  <si>
    <t>AÑO CONVENIO</t>
  </si>
  <si>
    <t>ÁREA DESCUBIERTA</t>
  </si>
  <si>
    <t>POLIDEPORTIVO BARRIO FLORESTA</t>
  </si>
  <si>
    <t>DESARROLLO INFANTIUL CDI</t>
  </si>
  <si>
    <t>POLIDEPORTIVO VEREDA BUENOS AIRES</t>
  </si>
  <si>
    <t>ÁREA INTERVANIDA</t>
  </si>
  <si>
    <t>VALOR CONSTRUCCIÓN M2</t>
  </si>
  <si>
    <t>Cronograma implementación y consultorías</t>
  </si>
  <si>
    <t>meses</t>
  </si>
  <si>
    <t>Tiempo total del proyecto</t>
  </si>
  <si>
    <t>CONDICIONES ESTUDIOS Y DISEÑOS</t>
  </si>
  <si>
    <t>Rango de 0-50 camaras</t>
  </si>
  <si>
    <t>Rango de 51-150 camaras</t>
  </si>
  <si>
    <t>Rango de 151-300 camaras</t>
  </si>
  <si>
    <t>Valor inicial</t>
  </si>
  <si>
    <t>Valor 1</t>
  </si>
  <si>
    <t>PENDIENTE</t>
  </si>
  <si>
    <t>Valor 2</t>
  </si>
  <si>
    <t>punto final</t>
  </si>
  <si>
    <t>punto inicial</t>
  </si>
  <si>
    <t>pf-pi</t>
  </si>
  <si>
    <t>Pendiente</t>
  </si>
  <si>
    <t>Estudios y diseño</t>
  </si>
  <si>
    <t>CONDICIONES INTERVENTORIA ESTUDIOS Y DISEÑOS</t>
  </si>
  <si>
    <t>Interventoria estudios y diseños</t>
  </si>
  <si>
    <t>Interventoria implementacion</t>
  </si>
  <si>
    <t>cronograma</t>
  </si>
  <si>
    <t>Estudios y diseños e interventoria</t>
  </si>
  <si>
    <t>Implementacion e interventoria</t>
  </si>
  <si>
    <t>CONDICIONES INTERVENTORIA IMPLEMENTACION</t>
  </si>
  <si>
    <t>TOTAL</t>
  </si>
  <si>
    <t>APORTE MINISTERIO</t>
  </si>
  <si>
    <t>APORTE GOBERNACION</t>
  </si>
  <si>
    <t>ADAPTACIÓN CENTRO DE MONITOREO Y CUARTO DE EQUIPOS</t>
  </si>
  <si>
    <t xml:space="preserve">ALIMENTACIÓN Y DISTRIBUCIÓN ELÉCTRICA CENTRO DE CONTROL </t>
  </si>
  <si>
    <t>NODO DE CONCENTRACIÓN</t>
  </si>
  <si>
    <t>KIT SEGURIDAD CAI's Y/O ESTACIONES DE POLICÍA</t>
  </si>
  <si>
    <t xml:space="preserve">CÁMARA TIPO PTZ + ACCESORIO PANORÁMICO MULTISENSOR </t>
  </si>
  <si>
    <t>CÁMARAS FIJAS TIPO 2</t>
  </si>
  <si>
    <t>MONITOR DE VISUALIZACIÓN</t>
  </si>
  <si>
    <t>MONITOR OPERADOR CCTV</t>
  </si>
  <si>
    <t>EQUIPO DE TRANSMISION Y RECEPCION DE
MICROONDAS (VIDEO Y CONTROL) DE BACK BONE - ONDAS MILIMETRICAS</t>
  </si>
  <si>
    <t xml:space="preserve">Vr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</si>
</sst>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$&quot;\ #,##0"/>
    <numFmt numFmtId="165" formatCode="&quot;$&quot;#,##0"/>
    <numFmt numFmtId="166" formatCode="_-&quot;$&quot;\ * #,##0_-;\-&quot;$&quot;\ * #,##0_-;_-&quot;$&quot;\ * &quot;-&quot;??_-;_-@"/>
    <numFmt numFmtId="167" formatCode="_-&quot;$&quot;\ * #,##0_-;\-&quot;$&quot;\ * #,##0_-;_-&quot;$&quot;\ * &quot;-&quot;_-;_-@"/>
    <numFmt numFmtId="168" formatCode="_-* #,##0_-;\-* #,##0_-;_-* &quot;-&quot;_-;_-@"/>
    <numFmt numFmtId="169" formatCode="_-* #,##0.00_-;\-* #,##0.00_-;_-* &quot;-&quot;_-;_-@"/>
    <numFmt numFmtId="170" formatCode="_-* #,##0.0_-;\-* #,##0.0_-;_-* &quot;-&quot;_-;_-@"/>
    <numFmt numFmtId="171" formatCode="_-* #,##0.00_-;\-* #,##0.00_-;_-* &quot;-&quot;??_-;_-@"/>
    <numFmt numFmtId="172" formatCode="_-&quot;$&quot;\ * #,##0.00_-;\-&quot;$&quot;\ * #,##0.00_-;_-&quot;$&quot;\ * &quot;-&quot;??_-;_-@"/>
    <numFmt numFmtId="173" formatCode="0.0000"/>
    <numFmt numFmtId="174" formatCode="_-[$$-2C0A]\ * #,##0.00_-;\-[$$-2C0A]\ * #,##0.00_-;_-[$$-2C0A]\ * &quot;-&quot;??_-;_-@_-"/>
    <numFmt numFmtId="175" formatCode="_-[$$-2C0A]\ * #,##0_-;\-[$$-2C0A]\ * #,##0_-;_-[$$-2C0A]\ * &quot;-&quot;??_-;_-@_-"/>
    <numFmt numFmtId="176" formatCode="&quot;$&quot;\ #,##0.00"/>
  </numFmts>
  <fonts count="16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b/>
      <sz val="16"/>
      <color theme="1"/>
      <name val="Arial"/>
      <family val="2"/>
    </font>
    <font>
      <sz val="16"/>
      <color theme="1"/>
      <name val="Calibri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4" fillId="0" borderId="10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167" fontId="1" fillId="0" borderId="4" xfId="0" applyNumberFormat="1" applyFont="1" applyBorder="1"/>
    <xf numFmtId="0" fontId="4" fillId="0" borderId="4" xfId="0" applyFont="1" applyBorder="1"/>
    <xf numFmtId="0" fontId="1" fillId="4" borderId="5" xfId="0" applyFont="1" applyFill="1" applyBorder="1"/>
    <xf numFmtId="168" fontId="8" fillId="4" borderId="14" xfId="0" applyNumberFormat="1" applyFont="1" applyFill="1" applyBorder="1" applyAlignment="1">
      <alignment horizontal="center" vertical="center" wrapText="1"/>
    </xf>
    <xf numFmtId="168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/>
    <xf numFmtId="10" fontId="1" fillId="0" borderId="0" xfId="0" applyNumberFormat="1" applyFont="1" applyAlignment="1">
      <alignment horizontal="center"/>
    </xf>
    <xf numFmtId="10" fontId="1" fillId="0" borderId="0" xfId="0" applyNumberFormat="1" applyFont="1" applyAlignment="1">
      <alignment horizontal="center" vertical="center"/>
    </xf>
    <xf numFmtId="0" fontId="10" fillId="4" borderId="15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10" fontId="11" fillId="4" borderId="17" xfId="0" applyNumberFormat="1" applyFont="1" applyFill="1" applyBorder="1"/>
    <xf numFmtId="168" fontId="11" fillId="4" borderId="18" xfId="0" applyNumberFormat="1" applyFont="1" applyFill="1" applyBorder="1"/>
    <xf numFmtId="167" fontId="1" fillId="0" borderId="0" xfId="0" applyNumberFormat="1" applyFont="1" applyAlignment="1">
      <alignment horizontal="center" vertical="center"/>
    </xf>
    <xf numFmtId="168" fontId="1" fillId="0" borderId="0" xfId="0" applyNumberFormat="1" applyFont="1"/>
    <xf numFmtId="169" fontId="1" fillId="0" borderId="0" xfId="0" applyNumberFormat="1" applyFont="1"/>
    <xf numFmtId="0" fontId="11" fillId="4" borderId="19" xfId="0" applyFont="1" applyFill="1" applyBorder="1" applyAlignment="1">
      <alignment horizontal="center"/>
    </xf>
    <xf numFmtId="0" fontId="11" fillId="4" borderId="19" xfId="0" applyFont="1" applyFill="1" applyBorder="1"/>
    <xf numFmtId="168" fontId="11" fillId="4" borderId="20" xfId="0" applyNumberFormat="1" applyFont="1" applyFill="1" applyBorder="1"/>
    <xf numFmtId="0" fontId="10" fillId="4" borderId="5" xfId="0" applyFont="1" applyFill="1" applyBorder="1" applyAlignment="1">
      <alignment horizontal="center"/>
    </xf>
    <xf numFmtId="168" fontId="1" fillId="0" borderId="0" xfId="0" applyNumberFormat="1" applyFont="1" applyAlignment="1">
      <alignment horizontal="center" vertical="center"/>
    </xf>
    <xf numFmtId="0" fontId="11" fillId="4" borderId="21" xfId="0" applyFont="1" applyFill="1" applyBorder="1" applyAlignment="1">
      <alignment horizontal="center"/>
    </xf>
    <xf numFmtId="0" fontId="11" fillId="4" borderId="22" xfId="0" applyFont="1" applyFill="1" applyBorder="1"/>
    <xf numFmtId="168" fontId="11" fillId="4" borderId="23" xfId="0" applyNumberFormat="1" applyFont="1" applyFill="1" applyBorder="1"/>
    <xf numFmtId="168" fontId="11" fillId="4" borderId="5" xfId="0" applyNumberFormat="1" applyFont="1" applyFill="1" applyBorder="1"/>
    <xf numFmtId="168" fontId="10" fillId="4" borderId="14" xfId="0" applyNumberFormat="1" applyFont="1" applyFill="1" applyBorder="1"/>
    <xf numFmtId="0" fontId="1" fillId="4" borderId="5" xfId="0" applyFont="1" applyFill="1" applyBorder="1" applyAlignment="1">
      <alignment horizontal="center"/>
    </xf>
    <xf numFmtId="168" fontId="10" fillId="4" borderId="5" xfId="0" applyNumberFormat="1" applyFont="1" applyFill="1" applyBorder="1"/>
    <xf numFmtId="0" fontId="10" fillId="4" borderId="24" xfId="0" applyFont="1" applyFill="1" applyBorder="1" applyAlignment="1">
      <alignment horizontal="center"/>
    </xf>
    <xf numFmtId="10" fontId="11" fillId="4" borderId="20" xfId="0" applyNumberFormat="1" applyFont="1" applyFill="1" applyBorder="1"/>
    <xf numFmtId="170" fontId="11" fillId="4" borderId="25" xfId="0" applyNumberFormat="1" applyFont="1" applyFill="1" applyBorder="1" applyAlignment="1">
      <alignment horizontal="center" vertical="center"/>
    </xf>
    <xf numFmtId="0" fontId="11" fillId="4" borderId="26" xfId="0" applyFont="1" applyFill="1" applyBorder="1"/>
    <xf numFmtId="171" fontId="1" fillId="0" borderId="0" xfId="0" applyNumberFormat="1" applyFont="1"/>
    <xf numFmtId="0" fontId="11" fillId="4" borderId="27" xfId="0" applyFont="1" applyFill="1" applyBorder="1"/>
    <xf numFmtId="170" fontId="11" fillId="4" borderId="28" xfId="0" applyNumberFormat="1" applyFont="1" applyFill="1" applyBorder="1" applyAlignment="1">
      <alignment horizontal="center" vertical="center"/>
    </xf>
    <xf numFmtId="170" fontId="10" fillId="4" borderId="14" xfId="0" applyNumberFormat="1" applyFont="1" applyFill="1" applyBorder="1" applyAlignment="1">
      <alignment horizontal="center" vertical="center"/>
    </xf>
    <xf numFmtId="167" fontId="1" fillId="0" borderId="0" xfId="0" applyNumberFormat="1" applyFont="1"/>
    <xf numFmtId="9" fontId="1" fillId="0" borderId="0" xfId="0" applyNumberFormat="1" applyFont="1"/>
    <xf numFmtId="172" fontId="1" fillId="0" borderId="0" xfId="0" applyNumberFormat="1" applyFont="1"/>
    <xf numFmtId="0" fontId="1" fillId="4" borderId="5" xfId="0" applyFont="1" applyFill="1" applyBorder="1" applyAlignment="1">
      <alignment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8" fontId="1" fillId="0" borderId="35" xfId="0" applyNumberFormat="1" applyFont="1" applyBorder="1"/>
    <xf numFmtId="168" fontId="1" fillId="0" borderId="0" xfId="0" applyNumberFormat="1" applyFont="1" applyAlignment="1">
      <alignment horizontal="center"/>
    </xf>
    <xf numFmtId="168" fontId="1" fillId="0" borderId="34" xfId="0" applyNumberFormat="1" applyFont="1" applyBorder="1"/>
    <xf numFmtId="0" fontId="4" fillId="0" borderId="35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1" fillId="0" borderId="35" xfId="0" applyFont="1" applyBorder="1"/>
    <xf numFmtId="0" fontId="4" fillId="4" borderId="5" xfId="0" applyFont="1" applyFill="1" applyBorder="1" applyAlignment="1">
      <alignment horizontal="center"/>
    </xf>
    <xf numFmtId="168" fontId="1" fillId="0" borderId="36" xfId="0" applyNumberFormat="1" applyFont="1" applyBorder="1"/>
    <xf numFmtId="168" fontId="1" fillId="0" borderId="37" xfId="0" applyNumberFormat="1" applyFont="1" applyBorder="1"/>
    <xf numFmtId="168" fontId="1" fillId="4" borderId="5" xfId="0" applyNumberFormat="1" applyFont="1" applyFill="1" applyBorder="1"/>
    <xf numFmtId="168" fontId="11" fillId="4" borderId="25" xfId="0" applyNumberFormat="1" applyFont="1" applyFill="1" applyBorder="1"/>
    <xf numFmtId="168" fontId="11" fillId="4" borderId="4" xfId="0" applyNumberFormat="1" applyFont="1" applyFill="1" applyBorder="1"/>
    <xf numFmtId="168" fontId="11" fillId="0" borderId="0" xfId="0" applyNumberFormat="1" applyFont="1" applyAlignment="1">
      <alignment horizontal="center" vertical="center"/>
    </xf>
    <xf numFmtId="168" fontId="11" fillId="4" borderId="39" xfId="0" applyNumberFormat="1" applyFont="1" applyFill="1" applyBorder="1"/>
    <xf numFmtId="173" fontId="1" fillId="4" borderId="5" xfId="0" applyNumberFormat="1" applyFont="1" applyFill="1" applyBorder="1"/>
    <xf numFmtId="173" fontId="10" fillId="4" borderId="5" xfId="0" applyNumberFormat="1" applyFont="1" applyFill="1" applyBorder="1" applyAlignment="1">
      <alignment horizontal="center"/>
    </xf>
    <xf numFmtId="0" fontId="4" fillId="0" borderId="35" xfId="0" applyFont="1" applyBorder="1" applyAlignment="1">
      <alignment horizontal="center" vertical="center"/>
    </xf>
    <xf numFmtId="168" fontId="11" fillId="4" borderId="40" xfId="0" applyNumberFormat="1" applyFont="1" applyFill="1" applyBorder="1"/>
    <xf numFmtId="173" fontId="11" fillId="4" borderId="5" xfId="0" applyNumberFormat="1" applyFont="1" applyFill="1" applyBorder="1"/>
    <xf numFmtId="168" fontId="10" fillId="4" borderId="42" xfId="0" applyNumberFormat="1" applyFont="1" applyFill="1" applyBorder="1"/>
    <xf numFmtId="170" fontId="11" fillId="4" borderId="4" xfId="0" applyNumberFormat="1" applyFont="1" applyFill="1" applyBorder="1"/>
    <xf numFmtId="170" fontId="11" fillId="0" borderId="0" xfId="0" applyNumberFormat="1" applyFont="1" applyAlignment="1">
      <alignment horizontal="center" vertical="center"/>
    </xf>
    <xf numFmtId="170" fontId="11" fillId="4" borderId="25" xfId="0" applyNumberFormat="1" applyFont="1" applyFill="1" applyBorder="1"/>
    <xf numFmtId="170" fontId="11" fillId="4" borderId="39" xfId="0" applyNumberFormat="1" applyFont="1" applyFill="1" applyBorder="1"/>
    <xf numFmtId="170" fontId="10" fillId="4" borderId="42" xfId="0" applyNumberFormat="1" applyFont="1" applyFill="1" applyBorder="1"/>
    <xf numFmtId="0" fontId="3" fillId="3" borderId="9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12" fillId="6" borderId="4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3" borderId="43" xfId="0" applyFont="1" applyFill="1" applyBorder="1" applyAlignment="1">
      <alignment horizontal="left" vertical="center"/>
    </xf>
    <xf numFmtId="0" fontId="3" fillId="3" borderId="43" xfId="0" applyFont="1" applyFill="1" applyBorder="1" applyAlignment="1">
      <alignment horizontal="left" vertical="center" wrapText="1"/>
    </xf>
    <xf numFmtId="175" fontId="12" fillId="6" borderId="43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3" fillId="8" borderId="4" xfId="0" applyNumberFormat="1" applyFont="1" applyFill="1" applyBorder="1" applyAlignment="1">
      <alignment horizontal="center" vertical="center"/>
    </xf>
    <xf numFmtId="176" fontId="3" fillId="8" borderId="44" xfId="0" applyNumberFormat="1" applyFont="1" applyFill="1" applyBorder="1" applyAlignment="1">
      <alignment horizontal="center" vertical="center"/>
    </xf>
    <xf numFmtId="176" fontId="3" fillId="8" borderId="43" xfId="0" applyNumberFormat="1" applyFont="1" applyFill="1" applyBorder="1" applyAlignment="1">
      <alignment horizontal="center" vertical="center"/>
    </xf>
    <xf numFmtId="176" fontId="3" fillId="6" borderId="4" xfId="0" applyNumberFormat="1" applyFont="1" applyFill="1" applyBorder="1" applyAlignment="1">
      <alignment horizontal="center" vertical="center"/>
    </xf>
    <xf numFmtId="176" fontId="3" fillId="9" borderId="4" xfId="0" applyNumberFormat="1" applyFont="1" applyFill="1" applyBorder="1" applyAlignment="1">
      <alignment horizontal="center" vertical="center"/>
    </xf>
    <xf numFmtId="176" fontId="3" fillId="8" borderId="7" xfId="0" applyNumberFormat="1" applyFont="1" applyFill="1" applyBorder="1" applyAlignment="1">
      <alignment horizontal="center" vertical="center"/>
    </xf>
    <xf numFmtId="175" fontId="7" fillId="10" borderId="9" xfId="0" applyNumberFormat="1" applyFont="1" applyFill="1" applyBorder="1" applyAlignment="1">
      <alignment vertical="center"/>
    </xf>
    <xf numFmtId="175" fontId="6" fillId="7" borderId="43" xfId="0" applyNumberFormat="1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left" vertical="center" wrapText="1"/>
    </xf>
    <xf numFmtId="0" fontId="0" fillId="10" borderId="43" xfId="0" applyFill="1" applyBorder="1" applyAlignment="1">
      <alignment horizontal="left" vertical="center" wrapText="1"/>
    </xf>
    <xf numFmtId="164" fontId="3" fillId="10" borderId="4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14" fillId="10" borderId="5" xfId="0" applyNumberFormat="1" applyFont="1" applyFill="1" applyBorder="1" applyAlignment="1">
      <alignment horizontal="center" vertical="center"/>
    </xf>
    <xf numFmtId="174" fontId="0" fillId="0" borderId="5" xfId="0" applyNumberFormat="1" applyBorder="1" applyAlignment="1">
      <alignment horizontal="center" vertical="center"/>
    </xf>
    <xf numFmtId="174" fontId="12" fillId="6" borderId="43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7" fillId="0" borderId="11" xfId="0" applyFont="1" applyBorder="1"/>
    <xf numFmtId="0" fontId="7" fillId="0" borderId="9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7" fillId="0" borderId="10" xfId="0" applyFont="1" applyBorder="1"/>
    <xf numFmtId="0" fontId="10" fillId="4" borderId="12" xfId="0" applyFont="1" applyFill="1" applyBorder="1" applyAlignment="1">
      <alignment horizontal="center"/>
    </xf>
    <xf numFmtId="0" fontId="7" fillId="0" borderId="13" xfId="0" applyFont="1" applyBorder="1"/>
    <xf numFmtId="0" fontId="8" fillId="4" borderId="12" xfId="0" applyFont="1" applyFill="1" applyBorder="1" applyAlignment="1">
      <alignment horizontal="center" wrapText="1"/>
    </xf>
    <xf numFmtId="0" fontId="9" fillId="5" borderId="8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7" fillId="0" borderId="29" xfId="0" applyFont="1" applyBorder="1"/>
    <xf numFmtId="0" fontId="7" fillId="0" borderId="30" xfId="0" applyFont="1" applyBorder="1"/>
    <xf numFmtId="0" fontId="1" fillId="0" borderId="1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10" fontId="1" fillId="0" borderId="34" xfId="0" applyNumberFormat="1" applyFont="1" applyBorder="1" applyAlignment="1">
      <alignment horizontal="center" vertical="center"/>
    </xf>
    <xf numFmtId="0" fontId="7" fillId="0" borderId="38" xfId="0" applyFont="1" applyBorder="1"/>
    <xf numFmtId="0" fontId="4" fillId="0" borderId="31" xfId="0" applyFont="1" applyBorder="1" applyAlignment="1">
      <alignment horizontal="center"/>
    </xf>
    <xf numFmtId="0" fontId="7" fillId="0" borderId="32" xfId="0" applyFont="1" applyBorder="1"/>
    <xf numFmtId="0" fontId="7" fillId="0" borderId="33" xfId="0" applyFont="1" applyBorder="1"/>
    <xf numFmtId="0" fontId="7" fillId="0" borderId="4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9"/>
  <sheetViews>
    <sheetView tabSelected="1" view="pageBreakPreview" topLeftCell="A35" zoomScale="90" zoomScaleNormal="90" zoomScaleSheetLayoutView="90" workbookViewId="0">
      <selection activeCell="L56" sqref="L56"/>
    </sheetView>
  </sheetViews>
  <sheetFormatPr baseColWidth="10" defaultColWidth="14.42578125" defaultRowHeight="15" customHeight="1" x14ac:dyDescent="0.25"/>
  <cols>
    <col min="1" max="1" width="6.85546875" style="97" customWidth="1"/>
    <col min="2" max="2" width="45.140625" style="97" customWidth="1"/>
    <col min="3" max="3" width="22.28515625" style="97" customWidth="1"/>
    <col min="4" max="4" width="21.85546875" style="97" customWidth="1"/>
    <col min="5" max="5" width="21.7109375" style="97" customWidth="1"/>
    <col min="6" max="6" width="5.28515625" style="97" customWidth="1"/>
    <col min="7" max="7" width="3.7109375" style="97" customWidth="1"/>
    <col min="8" max="8" width="4.140625" style="97" customWidth="1"/>
    <col min="9" max="9" width="16.28515625" style="97" customWidth="1"/>
    <col min="10" max="10" width="5.5703125" style="97" customWidth="1"/>
    <col min="11" max="26" width="11.42578125" style="97" customWidth="1"/>
    <col min="27" max="16384" width="14.42578125" style="97"/>
  </cols>
  <sheetData>
    <row r="1" spans="1:9" ht="15" customHeight="1" x14ac:dyDescent="0.25">
      <c r="A1" s="135" t="s">
        <v>0</v>
      </c>
      <c r="B1" s="136"/>
      <c r="C1" s="136"/>
      <c r="D1" s="136"/>
      <c r="E1" s="137"/>
    </row>
    <row r="2" spans="1:9" ht="1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I2" s="3" t="s">
        <v>115</v>
      </c>
    </row>
    <row r="3" spans="1:9" ht="15" customHeight="1" x14ac:dyDescent="0.25">
      <c r="A3" s="1"/>
      <c r="B3" s="95" t="s">
        <v>6</v>
      </c>
      <c r="C3" s="2"/>
      <c r="D3" s="94"/>
      <c r="E3" s="96"/>
    </row>
    <row r="4" spans="1:9" ht="36" customHeight="1" x14ac:dyDescent="0.25">
      <c r="A4" s="4">
        <v>1</v>
      </c>
      <c r="B4" s="108" t="s">
        <v>110</v>
      </c>
      <c r="C4" s="5">
        <v>18</v>
      </c>
      <c r="D4" s="117">
        <f>ROUND((I4*5.2%)+I4,0)</f>
        <v>58420641</v>
      </c>
      <c r="E4" s="98">
        <f>+C4*D4</f>
        <v>1051571538</v>
      </c>
      <c r="I4" s="118">
        <v>55532929</v>
      </c>
    </row>
    <row r="5" spans="1:9" x14ac:dyDescent="0.25">
      <c r="A5" s="4">
        <v>2</v>
      </c>
      <c r="B5" s="108" t="s">
        <v>111</v>
      </c>
      <c r="C5" s="5">
        <v>40</v>
      </c>
      <c r="D5" s="117">
        <f t="shared" ref="D5:D21" si="0">ROUND((I5*5.2%)+I5,0)</f>
        <v>8751693</v>
      </c>
      <c r="E5" s="98">
        <f t="shared" ref="E5:E21" si="1">+C5*D5</f>
        <v>350067720</v>
      </c>
      <c r="I5" s="118">
        <v>8319100</v>
      </c>
    </row>
    <row r="6" spans="1:9" ht="15" customHeight="1" x14ac:dyDescent="0.25">
      <c r="A6" s="4">
        <v>3</v>
      </c>
      <c r="B6" s="108" t="s">
        <v>7</v>
      </c>
      <c r="C6" s="5">
        <v>100000</v>
      </c>
      <c r="D6" s="117">
        <f t="shared" si="0"/>
        <v>48394</v>
      </c>
      <c r="E6" s="98">
        <f t="shared" si="1"/>
        <v>4839400000</v>
      </c>
      <c r="I6" s="118">
        <v>46002</v>
      </c>
    </row>
    <row r="7" spans="1:9" ht="38.25" x14ac:dyDescent="0.25">
      <c r="A7" s="4">
        <v>4</v>
      </c>
      <c r="B7" s="108" t="s">
        <v>114</v>
      </c>
      <c r="C7" s="5">
        <v>3</v>
      </c>
      <c r="D7" s="117">
        <f t="shared" si="0"/>
        <v>89833751</v>
      </c>
      <c r="E7" s="98">
        <f t="shared" si="1"/>
        <v>269501253</v>
      </c>
      <c r="I7" s="118">
        <v>85393299</v>
      </c>
    </row>
    <row r="8" spans="1:9" ht="15" customHeight="1" x14ac:dyDescent="0.25">
      <c r="A8" s="4">
        <v>5</v>
      </c>
      <c r="B8" s="108" t="s">
        <v>8</v>
      </c>
      <c r="C8" s="5">
        <v>2</v>
      </c>
      <c r="D8" s="117">
        <f t="shared" si="0"/>
        <v>39121851</v>
      </c>
      <c r="E8" s="98">
        <f t="shared" si="1"/>
        <v>78243702</v>
      </c>
      <c r="I8" s="118">
        <v>37188071</v>
      </c>
    </row>
    <row r="9" spans="1:9" ht="15" customHeight="1" x14ac:dyDescent="0.25">
      <c r="A9" s="4">
        <v>6</v>
      </c>
      <c r="B9" s="108" t="s">
        <v>9</v>
      </c>
      <c r="C9" s="5">
        <v>28</v>
      </c>
      <c r="D9" s="117">
        <f t="shared" si="0"/>
        <v>6961413</v>
      </c>
      <c r="E9" s="98">
        <f t="shared" si="1"/>
        <v>194919564</v>
      </c>
      <c r="I9" s="118">
        <v>6617313</v>
      </c>
    </row>
    <row r="10" spans="1:9" ht="15" customHeight="1" x14ac:dyDescent="0.25">
      <c r="A10" s="4">
        <v>7</v>
      </c>
      <c r="B10" s="108" t="s">
        <v>10</v>
      </c>
      <c r="C10" s="5">
        <v>2</v>
      </c>
      <c r="D10" s="117">
        <f t="shared" si="0"/>
        <v>135757416</v>
      </c>
      <c r="E10" s="98">
        <f t="shared" si="1"/>
        <v>271514832</v>
      </c>
      <c r="I10" s="118">
        <v>129046973</v>
      </c>
    </row>
    <row r="11" spans="1:9" ht="15" customHeight="1" x14ac:dyDescent="0.25">
      <c r="A11" s="4">
        <v>8</v>
      </c>
      <c r="B11" s="108" t="s">
        <v>112</v>
      </c>
      <c r="C11" s="5">
        <v>4</v>
      </c>
      <c r="D11" s="117">
        <f t="shared" si="0"/>
        <v>32517215</v>
      </c>
      <c r="E11" s="98">
        <f t="shared" si="1"/>
        <v>130068860</v>
      </c>
      <c r="I11" s="118">
        <v>30909900</v>
      </c>
    </row>
    <row r="12" spans="1:9" ht="34.9" customHeight="1" x14ac:dyDescent="0.25">
      <c r="A12" s="4">
        <v>9</v>
      </c>
      <c r="B12" s="108" t="s">
        <v>11</v>
      </c>
      <c r="C12" s="5">
        <v>5</v>
      </c>
      <c r="D12" s="117">
        <f t="shared" si="0"/>
        <v>45166695</v>
      </c>
      <c r="E12" s="98">
        <f t="shared" si="1"/>
        <v>225833475</v>
      </c>
      <c r="I12" s="118">
        <v>42934121</v>
      </c>
    </row>
    <row r="13" spans="1:9" ht="15" customHeight="1" x14ac:dyDescent="0.25">
      <c r="A13" s="4">
        <v>10</v>
      </c>
      <c r="B13" s="108" t="s">
        <v>12</v>
      </c>
      <c r="C13" s="5">
        <v>1</v>
      </c>
      <c r="D13" s="117">
        <f t="shared" si="0"/>
        <v>10332283</v>
      </c>
      <c r="E13" s="98">
        <f t="shared" si="1"/>
        <v>10332283</v>
      </c>
      <c r="I13" s="118">
        <v>9821562</v>
      </c>
    </row>
    <row r="14" spans="1:9" ht="15" customHeight="1" x14ac:dyDescent="0.25">
      <c r="A14" s="4">
        <v>11</v>
      </c>
      <c r="B14" s="108" t="s">
        <v>13</v>
      </c>
      <c r="C14" s="5">
        <v>58</v>
      </c>
      <c r="D14" s="117">
        <f t="shared" si="0"/>
        <v>8473810</v>
      </c>
      <c r="E14" s="98">
        <f t="shared" si="1"/>
        <v>491480980</v>
      </c>
      <c r="I14" s="118">
        <v>8054952</v>
      </c>
    </row>
    <row r="15" spans="1:9" ht="15" customHeight="1" x14ac:dyDescent="0.25">
      <c r="A15" s="4">
        <v>12</v>
      </c>
      <c r="B15" s="108" t="s">
        <v>14</v>
      </c>
      <c r="C15" s="5">
        <v>1</v>
      </c>
      <c r="D15" s="117">
        <f t="shared" si="0"/>
        <v>158017212</v>
      </c>
      <c r="E15" s="98">
        <f t="shared" si="1"/>
        <v>158017212</v>
      </c>
      <c r="I15" s="118">
        <v>150206475</v>
      </c>
    </row>
    <row r="16" spans="1:9" ht="15" customHeight="1" x14ac:dyDescent="0.25">
      <c r="A16" s="4">
        <v>13</v>
      </c>
      <c r="B16" s="108" t="s">
        <v>15</v>
      </c>
      <c r="C16" s="5">
        <v>1</v>
      </c>
      <c r="D16" s="117">
        <f t="shared" si="0"/>
        <v>171932992</v>
      </c>
      <c r="E16" s="98">
        <f t="shared" si="1"/>
        <v>171932992</v>
      </c>
      <c r="I16" s="118">
        <v>163434403</v>
      </c>
    </row>
    <row r="17" spans="1:9" ht="15" customHeight="1" x14ac:dyDescent="0.25">
      <c r="A17" s="4">
        <v>14</v>
      </c>
      <c r="B17" s="108" t="s">
        <v>16</v>
      </c>
      <c r="C17" s="5">
        <v>121</v>
      </c>
      <c r="D17" s="117">
        <f t="shared" si="0"/>
        <v>22371786</v>
      </c>
      <c r="E17" s="98">
        <f t="shared" si="1"/>
        <v>2706986106</v>
      </c>
      <c r="F17" s="99"/>
      <c r="G17" s="100"/>
      <c r="H17" s="100"/>
      <c r="I17" s="118">
        <v>21265956</v>
      </c>
    </row>
    <row r="18" spans="1:9" ht="37.15" customHeight="1" x14ac:dyDescent="0.25">
      <c r="A18" s="4">
        <v>15</v>
      </c>
      <c r="B18" s="108" t="s">
        <v>17</v>
      </c>
      <c r="C18" s="5">
        <v>1</v>
      </c>
      <c r="D18" s="117">
        <f t="shared" si="0"/>
        <v>64068710</v>
      </c>
      <c r="E18" s="98">
        <f t="shared" si="1"/>
        <v>64068710</v>
      </c>
      <c r="F18" s="99"/>
      <c r="G18" s="100"/>
      <c r="H18" s="100"/>
      <c r="I18" s="118">
        <v>60901816</v>
      </c>
    </row>
    <row r="19" spans="1:9" ht="31.15" customHeight="1" x14ac:dyDescent="0.25">
      <c r="A19" s="4">
        <v>16</v>
      </c>
      <c r="B19" s="127" t="s">
        <v>18</v>
      </c>
      <c r="C19" s="89">
        <v>2</v>
      </c>
      <c r="D19" s="117">
        <f t="shared" si="0"/>
        <v>31192536</v>
      </c>
      <c r="E19" s="98">
        <f t="shared" si="1"/>
        <v>62385072</v>
      </c>
      <c r="F19" s="99"/>
      <c r="G19" s="100"/>
      <c r="H19" s="100"/>
      <c r="I19" s="119">
        <v>29650700</v>
      </c>
    </row>
    <row r="20" spans="1:9" x14ac:dyDescent="0.25">
      <c r="A20" s="4">
        <v>17</v>
      </c>
      <c r="B20" s="128" t="s">
        <v>108</v>
      </c>
      <c r="C20" s="92">
        <v>3</v>
      </c>
      <c r="D20" s="117">
        <f t="shared" si="0"/>
        <v>61695577</v>
      </c>
      <c r="E20" s="98">
        <f t="shared" si="1"/>
        <v>185086731</v>
      </c>
      <c r="F20" s="99"/>
      <c r="G20" s="100"/>
      <c r="H20" s="100"/>
      <c r="I20" s="120">
        <v>58645986</v>
      </c>
    </row>
    <row r="21" spans="1:9" ht="24.6" customHeight="1" x14ac:dyDescent="0.25">
      <c r="A21" s="4">
        <v>18</v>
      </c>
      <c r="B21" s="128" t="s">
        <v>113</v>
      </c>
      <c r="C21" s="92">
        <v>5</v>
      </c>
      <c r="D21" s="117">
        <f t="shared" si="0"/>
        <v>4372873</v>
      </c>
      <c r="E21" s="98">
        <f t="shared" si="1"/>
        <v>21864365</v>
      </c>
      <c r="F21" s="99"/>
      <c r="G21" s="100"/>
      <c r="H21" s="100"/>
      <c r="I21" s="120">
        <v>4156723</v>
      </c>
    </row>
    <row r="22" spans="1:9" ht="15" customHeight="1" x14ac:dyDescent="0.25">
      <c r="A22" s="90"/>
      <c r="B22" s="142" t="s">
        <v>19</v>
      </c>
      <c r="C22" s="142"/>
      <c r="D22" s="142"/>
      <c r="E22" s="143"/>
      <c r="F22" s="99"/>
      <c r="G22" s="100"/>
      <c r="H22" s="100"/>
    </row>
    <row r="23" spans="1:9" ht="28.9" customHeight="1" x14ac:dyDescent="0.25">
      <c r="A23" s="4">
        <v>19</v>
      </c>
      <c r="B23" s="111" t="s">
        <v>20</v>
      </c>
      <c r="C23" s="6">
        <v>63</v>
      </c>
      <c r="D23" s="129">
        <f>ROUND((I23*5.2%)+I23,0)</f>
        <v>34827127</v>
      </c>
      <c r="E23" s="116">
        <f>+C23*D23</f>
        <v>2194109001</v>
      </c>
      <c r="F23" s="99"/>
      <c r="G23" s="100"/>
      <c r="H23" s="100"/>
      <c r="I23" s="121">
        <v>33105634</v>
      </c>
    </row>
    <row r="24" spans="1:9" ht="18" customHeight="1" x14ac:dyDescent="0.25">
      <c r="A24" s="4">
        <v>20</v>
      </c>
      <c r="B24" s="111" t="s">
        <v>21</v>
      </c>
      <c r="C24" s="6">
        <v>1</v>
      </c>
      <c r="D24" s="129">
        <f t="shared" ref="D24:D26" si="2">ROUND((I24*5.2%)+I24,0)</f>
        <v>106982359</v>
      </c>
      <c r="E24" s="116">
        <f t="shared" ref="E24:E26" si="3">+C24*D24</f>
        <v>106982359</v>
      </c>
      <c r="F24" s="99"/>
      <c r="G24" s="100"/>
      <c r="H24" s="100"/>
      <c r="I24" s="121">
        <v>101694258</v>
      </c>
    </row>
    <row r="25" spans="1:9" ht="19.899999999999999" customHeight="1" x14ac:dyDescent="0.25">
      <c r="A25" s="4">
        <v>21</v>
      </c>
      <c r="B25" s="111" t="s">
        <v>22</v>
      </c>
      <c r="C25" s="6">
        <v>28</v>
      </c>
      <c r="D25" s="129">
        <f t="shared" si="2"/>
        <v>5835541</v>
      </c>
      <c r="E25" s="116">
        <f t="shared" si="3"/>
        <v>163395148</v>
      </c>
      <c r="F25" s="99"/>
      <c r="G25" s="100"/>
      <c r="H25" s="100"/>
      <c r="I25" s="121">
        <v>5547092</v>
      </c>
    </row>
    <row r="26" spans="1:9" ht="24.6" customHeight="1" x14ac:dyDescent="0.25">
      <c r="A26" s="4">
        <v>22</v>
      </c>
      <c r="B26" s="112" t="s">
        <v>23</v>
      </c>
      <c r="C26" s="6">
        <v>31</v>
      </c>
      <c r="D26" s="129">
        <f t="shared" si="2"/>
        <v>34382314</v>
      </c>
      <c r="E26" s="116">
        <f t="shared" si="3"/>
        <v>1065851734</v>
      </c>
      <c r="F26" s="99"/>
      <c r="G26" s="100"/>
      <c r="H26" s="100"/>
      <c r="I26" s="122">
        <v>32682808</v>
      </c>
    </row>
    <row r="27" spans="1:9" ht="15" customHeight="1" x14ac:dyDescent="0.25">
      <c r="A27" s="1"/>
      <c r="B27" s="136" t="s">
        <v>24</v>
      </c>
      <c r="C27" s="136"/>
      <c r="D27" s="136"/>
      <c r="E27" s="137"/>
      <c r="F27" s="99"/>
      <c r="G27" s="100"/>
      <c r="H27" s="100"/>
    </row>
    <row r="28" spans="1:9" ht="21" customHeight="1" x14ac:dyDescent="0.25">
      <c r="A28" s="7">
        <v>23</v>
      </c>
      <c r="B28" s="110" t="s">
        <v>25</v>
      </c>
      <c r="C28" s="8">
        <v>37</v>
      </c>
      <c r="D28" s="130">
        <f>ROUND((I28*5.2%)+I28,0)</f>
        <v>7808273</v>
      </c>
      <c r="E28" s="116">
        <f>+C28*D28</f>
        <v>288906101</v>
      </c>
      <c r="I28" s="123">
        <v>7422313</v>
      </c>
    </row>
    <row r="29" spans="1:9" ht="15" customHeight="1" x14ac:dyDescent="0.25">
      <c r="A29" s="4">
        <v>24</v>
      </c>
      <c r="B29" s="108" t="s">
        <v>26</v>
      </c>
      <c r="C29" s="8">
        <v>32</v>
      </c>
      <c r="D29" s="130">
        <f t="shared" ref="D29:D37" si="4">ROUND((I29*5.2%)+I29,0)</f>
        <v>5835541</v>
      </c>
      <c r="E29" s="116">
        <f t="shared" ref="E29:E37" si="5">+C29*D29</f>
        <v>186737312</v>
      </c>
      <c r="I29" s="117">
        <v>5547092</v>
      </c>
    </row>
    <row r="30" spans="1:9" ht="15" customHeight="1" x14ac:dyDescent="0.25">
      <c r="A30" s="7">
        <v>25</v>
      </c>
      <c r="B30" s="108" t="s">
        <v>27</v>
      </c>
      <c r="C30" s="8">
        <v>32</v>
      </c>
      <c r="D30" s="130">
        <f t="shared" si="4"/>
        <v>633135</v>
      </c>
      <c r="E30" s="116">
        <f t="shared" si="5"/>
        <v>20260320</v>
      </c>
      <c r="I30" s="117">
        <v>601839</v>
      </c>
    </row>
    <row r="31" spans="1:9" ht="15" customHeight="1" x14ac:dyDescent="0.25">
      <c r="A31" s="4">
        <v>26</v>
      </c>
      <c r="B31" s="108" t="s">
        <v>28</v>
      </c>
      <c r="C31" s="8">
        <v>47</v>
      </c>
      <c r="D31" s="130">
        <f t="shared" si="4"/>
        <v>754339</v>
      </c>
      <c r="E31" s="116">
        <f t="shared" si="5"/>
        <v>35453933</v>
      </c>
      <c r="I31" s="117">
        <v>717052</v>
      </c>
    </row>
    <row r="32" spans="1:9" ht="15" customHeight="1" x14ac:dyDescent="0.25">
      <c r="A32" s="7">
        <v>27</v>
      </c>
      <c r="B32" s="108" t="s">
        <v>29</v>
      </c>
      <c r="C32" s="5">
        <v>10</v>
      </c>
      <c r="D32" s="130">
        <f t="shared" si="4"/>
        <v>1972913</v>
      </c>
      <c r="E32" s="116">
        <f t="shared" si="5"/>
        <v>19729130</v>
      </c>
      <c r="I32" s="117">
        <v>1875393</v>
      </c>
    </row>
    <row r="33" spans="1:10" ht="15" customHeight="1" x14ac:dyDescent="0.25">
      <c r="A33" s="4">
        <v>28</v>
      </c>
      <c r="B33" s="108" t="s">
        <v>30</v>
      </c>
      <c r="C33" s="5">
        <v>10</v>
      </c>
      <c r="D33" s="130">
        <f t="shared" si="4"/>
        <v>1770893</v>
      </c>
      <c r="E33" s="116">
        <f t="shared" si="5"/>
        <v>17708930</v>
      </c>
      <c r="I33" s="117">
        <v>1683358</v>
      </c>
    </row>
    <row r="34" spans="1:10" ht="28.15" customHeight="1" x14ac:dyDescent="0.25">
      <c r="A34" s="7">
        <v>29</v>
      </c>
      <c r="B34" s="108" t="s">
        <v>31</v>
      </c>
      <c r="C34" s="8">
        <v>32</v>
      </c>
      <c r="D34" s="130">
        <f t="shared" si="4"/>
        <v>5928156</v>
      </c>
      <c r="E34" s="116">
        <f t="shared" si="5"/>
        <v>189700992</v>
      </c>
      <c r="I34" s="117">
        <v>5635129</v>
      </c>
    </row>
    <row r="35" spans="1:10" ht="25.9" customHeight="1" x14ac:dyDescent="0.25">
      <c r="A35" s="4">
        <v>30</v>
      </c>
      <c r="B35" s="108" t="s">
        <v>32</v>
      </c>
      <c r="C35" s="5">
        <v>5</v>
      </c>
      <c r="D35" s="130">
        <f t="shared" si="4"/>
        <v>8147857</v>
      </c>
      <c r="E35" s="116">
        <f t="shared" si="5"/>
        <v>40739285</v>
      </c>
      <c r="I35" s="117">
        <v>7745111</v>
      </c>
    </row>
    <row r="36" spans="1:10" ht="38.25" x14ac:dyDescent="0.25">
      <c r="A36" s="7">
        <v>31</v>
      </c>
      <c r="B36" s="108" t="s">
        <v>33</v>
      </c>
      <c r="C36" s="5">
        <v>1</v>
      </c>
      <c r="D36" s="130">
        <f t="shared" si="4"/>
        <v>44426309</v>
      </c>
      <c r="E36" s="116">
        <f t="shared" si="5"/>
        <v>44426309</v>
      </c>
      <c r="I36" s="117">
        <v>42230332</v>
      </c>
    </row>
    <row r="37" spans="1:10" ht="37.9" customHeight="1" x14ac:dyDescent="0.25">
      <c r="A37" s="4">
        <v>32</v>
      </c>
      <c r="B37" s="108" t="s">
        <v>34</v>
      </c>
      <c r="C37" s="5">
        <v>1</v>
      </c>
      <c r="D37" s="130">
        <f t="shared" si="4"/>
        <v>26522379</v>
      </c>
      <c r="E37" s="116">
        <f t="shared" si="5"/>
        <v>26522379</v>
      </c>
      <c r="I37" s="117">
        <v>25211387</v>
      </c>
    </row>
    <row r="38" spans="1:10" ht="15" customHeight="1" x14ac:dyDescent="0.25">
      <c r="A38" s="93"/>
      <c r="B38" s="101" t="s">
        <v>35</v>
      </c>
      <c r="C38" s="106"/>
      <c r="D38" s="106"/>
      <c r="E38" s="107"/>
    </row>
    <row r="39" spans="1:10" ht="25.15" customHeight="1" x14ac:dyDescent="0.25">
      <c r="A39" s="91">
        <v>33</v>
      </c>
      <c r="B39" s="113" t="s">
        <v>36</v>
      </c>
      <c r="C39" s="88">
        <v>1</v>
      </c>
      <c r="D39" s="126">
        <f>ROUND((I39*5.2%)+I39,0)</f>
        <v>8137283</v>
      </c>
      <c r="E39" s="116">
        <f>+C39*D39</f>
        <v>8137283</v>
      </c>
      <c r="I39" s="117">
        <v>7735060</v>
      </c>
    </row>
    <row r="40" spans="1:10" ht="25.5" x14ac:dyDescent="0.25">
      <c r="A40" s="91">
        <v>34</v>
      </c>
      <c r="B40" s="114" t="s">
        <v>109</v>
      </c>
      <c r="C40" s="88">
        <v>1</v>
      </c>
      <c r="D40" s="126">
        <f t="shared" ref="D40:D43" si="6">ROUND((I40*5.2%)+I40,0)</f>
        <v>52118279</v>
      </c>
      <c r="E40" s="116">
        <f t="shared" ref="E40:E43" si="7">+C40*D40</f>
        <v>52118279</v>
      </c>
      <c r="I40" s="117">
        <v>49542090</v>
      </c>
    </row>
    <row r="41" spans="1:10" ht="30" x14ac:dyDescent="0.25">
      <c r="A41" s="91">
        <v>35</v>
      </c>
      <c r="B41" s="109" t="s">
        <v>106</v>
      </c>
      <c r="C41" s="88">
        <v>1</v>
      </c>
      <c r="D41" s="126">
        <f t="shared" si="6"/>
        <v>210400000</v>
      </c>
      <c r="E41" s="116">
        <f t="shared" si="7"/>
        <v>210400000</v>
      </c>
      <c r="I41" s="117">
        <v>200000000</v>
      </c>
    </row>
    <row r="42" spans="1:10" ht="29.45" customHeight="1" x14ac:dyDescent="0.25">
      <c r="A42" s="91">
        <v>36</v>
      </c>
      <c r="B42" s="109" t="s">
        <v>107</v>
      </c>
      <c r="C42" s="88">
        <v>1</v>
      </c>
      <c r="D42" s="126">
        <f t="shared" si="6"/>
        <v>22859602</v>
      </c>
      <c r="E42" s="116">
        <f t="shared" si="7"/>
        <v>22859602</v>
      </c>
      <c r="I42" s="117">
        <v>21729660</v>
      </c>
    </row>
    <row r="43" spans="1:10" ht="28.15" customHeight="1" x14ac:dyDescent="0.25">
      <c r="A43" s="91">
        <v>37</v>
      </c>
      <c r="B43" s="110" t="s">
        <v>37</v>
      </c>
      <c r="C43" s="5">
        <v>32</v>
      </c>
      <c r="D43" s="126">
        <f t="shared" si="6"/>
        <v>6341297</v>
      </c>
      <c r="E43" s="116">
        <f t="shared" si="7"/>
        <v>202921504</v>
      </c>
      <c r="I43" s="117">
        <v>6027849</v>
      </c>
    </row>
    <row r="44" spans="1:10" ht="15" customHeight="1" x14ac:dyDescent="0.25">
      <c r="C44" s="138" t="s">
        <v>38</v>
      </c>
      <c r="D44" s="139"/>
      <c r="E44" s="125">
        <f>SUM(E4:E43)</f>
        <v>16180234996</v>
      </c>
      <c r="F44" s="124"/>
    </row>
    <row r="45" spans="1:10" ht="15.75" customHeight="1" x14ac:dyDescent="0.25"/>
    <row r="46" spans="1:10" ht="15.75" customHeight="1" x14ac:dyDescent="0.25"/>
    <row r="47" spans="1:10" ht="15" customHeight="1" x14ac:dyDescent="0.25">
      <c r="A47" s="3" t="s">
        <v>39</v>
      </c>
      <c r="B47" s="3" t="s">
        <v>2</v>
      </c>
      <c r="C47" s="3" t="s">
        <v>40</v>
      </c>
    </row>
    <row r="48" spans="1:10" ht="15" customHeight="1" x14ac:dyDescent="0.25">
      <c r="A48" s="4">
        <v>1</v>
      </c>
      <c r="B48" s="4" t="s">
        <v>41</v>
      </c>
      <c r="C48" s="102">
        <f>'VALOR PROYECTO'!D7</f>
        <v>120585486</v>
      </c>
      <c r="E48" s="103"/>
      <c r="H48" s="131"/>
      <c r="I48" s="131"/>
      <c r="J48" s="131"/>
    </row>
    <row r="49" spans="1:10" ht="15" customHeight="1" x14ac:dyDescent="0.25">
      <c r="A49" s="4">
        <v>2</v>
      </c>
      <c r="B49" s="4" t="s">
        <v>42</v>
      </c>
      <c r="C49" s="102">
        <f>'VALOR PROYECTO'!D8</f>
        <v>95458661</v>
      </c>
      <c r="E49" s="103"/>
      <c r="H49" s="131"/>
      <c r="I49" s="131"/>
      <c r="J49" s="131"/>
    </row>
    <row r="50" spans="1:10" ht="15" customHeight="1" x14ac:dyDescent="0.25">
      <c r="A50" s="4">
        <v>3</v>
      </c>
      <c r="B50" s="4" t="s">
        <v>43</v>
      </c>
      <c r="C50" s="102">
        <f>'VALOR PROYECTO'!D9</f>
        <v>16180234996</v>
      </c>
      <c r="E50" s="103"/>
      <c r="H50" s="131"/>
      <c r="I50" s="131"/>
      <c r="J50" s="131"/>
    </row>
    <row r="51" spans="1:10" ht="15" customHeight="1" x14ac:dyDescent="0.25">
      <c r="A51" s="4">
        <v>4</v>
      </c>
      <c r="B51" s="4" t="s">
        <v>44</v>
      </c>
      <c r="C51" s="102">
        <f>'VALOR PROYECTO'!D10</f>
        <v>385245556</v>
      </c>
      <c r="E51" s="103"/>
      <c r="H51" s="131"/>
      <c r="I51" s="131"/>
      <c r="J51" s="131"/>
    </row>
    <row r="52" spans="1:10" ht="15" customHeight="1" x14ac:dyDescent="0.25">
      <c r="A52" s="140" t="s">
        <v>45</v>
      </c>
      <c r="B52" s="141"/>
      <c r="C52" s="102">
        <f>SUM(C48:C51)</f>
        <v>16781524699</v>
      </c>
      <c r="H52" s="131"/>
      <c r="I52" s="132"/>
      <c r="J52" s="131"/>
    </row>
    <row r="53" spans="1:10" ht="15" customHeight="1" x14ac:dyDescent="0.25">
      <c r="H53" s="131"/>
      <c r="I53" s="133"/>
      <c r="J53" s="131"/>
    </row>
    <row r="54" spans="1:10" ht="15" customHeight="1" x14ac:dyDescent="0.25">
      <c r="C54" s="104"/>
      <c r="H54" s="131"/>
      <c r="I54" s="131"/>
      <c r="J54" s="131"/>
    </row>
    <row r="57" spans="1:10" ht="15" customHeight="1" x14ac:dyDescent="0.25">
      <c r="B57" s="105" t="s">
        <v>103</v>
      </c>
      <c r="C57" s="115">
        <f>C52</f>
        <v>16781524699</v>
      </c>
    </row>
    <row r="58" spans="1:10" ht="15" customHeight="1" x14ac:dyDescent="0.25">
      <c r="B58" s="105" t="s">
        <v>105</v>
      </c>
      <c r="C58" s="134">
        <f>C57*25%</f>
        <v>4195381174.75</v>
      </c>
    </row>
    <row r="59" spans="1:10" ht="15" customHeight="1" x14ac:dyDescent="0.25">
      <c r="B59" s="105" t="s">
        <v>104</v>
      </c>
      <c r="C59" s="134">
        <f>C57-C58</f>
        <v>12586143524.25</v>
      </c>
    </row>
  </sheetData>
  <mergeCells count="5">
    <mergeCell ref="A1:E1"/>
    <mergeCell ref="C44:D44"/>
    <mergeCell ref="A52:B52"/>
    <mergeCell ref="B27:E27"/>
    <mergeCell ref="B22:E22"/>
  </mergeCells>
  <pageMargins left="0.7" right="0.7" top="0.75" bottom="0.75" header="0" footer="0"/>
  <pageSetup paperSize="14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20"/>
  <sheetViews>
    <sheetView workbookViewId="0"/>
  </sheetViews>
  <sheetFormatPr baseColWidth="10" defaultColWidth="14.42578125" defaultRowHeight="15" customHeight="1" x14ac:dyDescent="0.25"/>
  <cols>
    <col min="1" max="26" width="11.42578125" customWidth="1"/>
  </cols>
  <sheetData>
    <row r="3" spans="2:6" x14ac:dyDescent="0.25">
      <c r="B3" s="148" t="s">
        <v>46</v>
      </c>
      <c r="C3" s="149"/>
      <c r="D3" s="149"/>
      <c r="E3" s="149"/>
      <c r="F3" s="149"/>
    </row>
    <row r="4" spans="2:6" x14ac:dyDescent="0.25">
      <c r="B4" s="12" t="s">
        <v>1</v>
      </c>
      <c r="C4" s="12" t="s">
        <v>2</v>
      </c>
      <c r="D4" s="12" t="s">
        <v>3</v>
      </c>
      <c r="E4" s="12" t="s">
        <v>47</v>
      </c>
      <c r="F4" s="12" t="s">
        <v>5</v>
      </c>
    </row>
    <row r="5" spans="2:6" x14ac:dyDescent="0.25">
      <c r="B5" s="10">
        <v>1</v>
      </c>
      <c r="C5" s="10" t="s">
        <v>48</v>
      </c>
      <c r="D5" s="10">
        <v>1</v>
      </c>
      <c r="E5" s="13">
        <v>7200000</v>
      </c>
      <c r="F5" s="13">
        <f>E5*D5</f>
        <v>7200000</v>
      </c>
    </row>
    <row r="6" spans="2:6" x14ac:dyDescent="0.25">
      <c r="B6" s="10"/>
      <c r="C6" s="10"/>
      <c r="D6" s="10"/>
      <c r="E6" s="10"/>
      <c r="F6" s="10"/>
    </row>
    <row r="7" spans="2:6" x14ac:dyDescent="0.25">
      <c r="B7" s="10"/>
      <c r="C7" s="10"/>
      <c r="D7" s="10"/>
      <c r="E7" s="10"/>
      <c r="F7" s="10"/>
    </row>
    <row r="8" spans="2:6" x14ac:dyDescent="0.25">
      <c r="B8" s="10"/>
      <c r="C8" s="10"/>
      <c r="D8" s="10"/>
      <c r="E8" s="10"/>
      <c r="F8" s="10"/>
    </row>
    <row r="9" spans="2:6" x14ac:dyDescent="0.25">
      <c r="B9" s="10"/>
      <c r="C9" s="10"/>
      <c r="D9" s="10"/>
      <c r="E9" s="10"/>
      <c r="F9" s="10"/>
    </row>
    <row r="10" spans="2:6" x14ac:dyDescent="0.25">
      <c r="B10" s="10"/>
      <c r="C10" s="10"/>
      <c r="D10" s="10"/>
      <c r="E10" s="10"/>
      <c r="F10" s="10"/>
    </row>
    <row r="11" spans="2:6" x14ac:dyDescent="0.25">
      <c r="B11" s="10"/>
      <c r="C11" s="10"/>
      <c r="D11" s="10"/>
      <c r="E11" s="10"/>
      <c r="F11" s="10"/>
    </row>
    <row r="12" spans="2:6" x14ac:dyDescent="0.25">
      <c r="B12" s="10"/>
      <c r="C12" s="10"/>
      <c r="D12" s="10"/>
      <c r="E12" s="10"/>
      <c r="F12" s="10"/>
    </row>
    <row r="13" spans="2:6" x14ac:dyDescent="0.25">
      <c r="B13" s="10"/>
      <c r="C13" s="10"/>
      <c r="D13" s="10"/>
      <c r="E13" s="10"/>
      <c r="F13" s="10"/>
    </row>
    <row r="14" spans="2:6" x14ac:dyDescent="0.25">
      <c r="B14" s="10"/>
      <c r="C14" s="10"/>
      <c r="D14" s="10"/>
      <c r="E14" s="10"/>
      <c r="F14" s="10"/>
    </row>
    <row r="15" spans="2:6" x14ac:dyDescent="0.25">
      <c r="B15" s="144" t="s">
        <v>5</v>
      </c>
      <c r="C15" s="145"/>
      <c r="D15" s="145"/>
      <c r="E15" s="146"/>
      <c r="F15" s="13">
        <f>SUM(F5:F14)</f>
        <v>7200000</v>
      </c>
    </row>
    <row r="16" spans="2:6" x14ac:dyDescent="0.25">
      <c r="B16" s="144" t="s">
        <v>49</v>
      </c>
      <c r="C16" s="145"/>
      <c r="D16" s="145"/>
      <c r="E16" s="146"/>
      <c r="F16" s="10"/>
    </row>
    <row r="17" spans="2:6" x14ac:dyDescent="0.25">
      <c r="B17" s="144" t="s">
        <v>50</v>
      </c>
      <c r="C17" s="145"/>
      <c r="D17" s="145"/>
      <c r="E17" s="146"/>
      <c r="F17" s="10"/>
    </row>
    <row r="18" spans="2:6" x14ac:dyDescent="0.25">
      <c r="B18" s="144" t="s">
        <v>51</v>
      </c>
      <c r="C18" s="145"/>
      <c r="D18" s="145"/>
      <c r="E18" s="146"/>
      <c r="F18" s="10"/>
    </row>
    <row r="19" spans="2:6" x14ac:dyDescent="0.25">
      <c r="B19" s="144" t="s">
        <v>52</v>
      </c>
      <c r="C19" s="145"/>
      <c r="D19" s="145"/>
      <c r="E19" s="146"/>
      <c r="F19" s="10"/>
    </row>
    <row r="20" spans="2:6" x14ac:dyDescent="0.25">
      <c r="B20" s="147" t="s">
        <v>53</v>
      </c>
      <c r="C20" s="145"/>
      <c r="D20" s="145"/>
      <c r="E20" s="146"/>
      <c r="F20" s="13">
        <f>SUM(F15:F19)</f>
        <v>7200000</v>
      </c>
    </row>
  </sheetData>
  <mergeCells count="7">
    <mergeCell ref="B19:E19"/>
    <mergeCell ref="B20:E20"/>
    <mergeCell ref="B3:F3"/>
    <mergeCell ref="B15:E15"/>
    <mergeCell ref="B16:E16"/>
    <mergeCell ref="B17:E17"/>
    <mergeCell ref="B18:E1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F27"/>
  <sheetViews>
    <sheetView workbookViewId="0"/>
  </sheetViews>
  <sheetFormatPr baseColWidth="10" defaultColWidth="14.42578125" defaultRowHeight="15" customHeight="1" x14ac:dyDescent="0.25"/>
  <cols>
    <col min="1" max="4" width="11.42578125" customWidth="1"/>
    <col min="5" max="5" width="13.85546875" customWidth="1"/>
    <col min="6" max="6" width="15.140625" customWidth="1"/>
    <col min="7" max="26" width="11.42578125" customWidth="1"/>
  </cols>
  <sheetData>
    <row r="3" spans="2:6" x14ac:dyDescent="0.25">
      <c r="B3" s="148" t="s">
        <v>54</v>
      </c>
      <c r="C3" s="149"/>
      <c r="D3" s="149"/>
      <c r="E3" s="149"/>
      <c r="F3" s="149"/>
    </row>
    <row r="4" spans="2:6" x14ac:dyDescent="0.25">
      <c r="B4" s="12" t="s">
        <v>1</v>
      </c>
      <c r="C4" s="12" t="s">
        <v>2</v>
      </c>
      <c r="D4" s="12" t="s">
        <v>3</v>
      </c>
      <c r="E4" s="12" t="s">
        <v>47</v>
      </c>
      <c r="F4" s="12" t="s">
        <v>5</v>
      </c>
    </row>
    <row r="5" spans="2:6" x14ac:dyDescent="0.25">
      <c r="B5" s="10">
        <v>1</v>
      </c>
      <c r="C5" s="10" t="s">
        <v>55</v>
      </c>
      <c r="D5" s="10">
        <v>1</v>
      </c>
      <c r="E5" s="13">
        <v>5000000</v>
      </c>
      <c r="F5" s="13">
        <f>E5*D5</f>
        <v>5000000</v>
      </c>
    </row>
    <row r="6" spans="2:6" x14ac:dyDescent="0.25">
      <c r="B6" s="10"/>
      <c r="C6" s="10"/>
      <c r="D6" s="10"/>
      <c r="E6" s="10"/>
      <c r="F6" s="10"/>
    </row>
    <row r="7" spans="2:6" x14ac:dyDescent="0.25">
      <c r="B7" s="10"/>
      <c r="C7" s="10"/>
      <c r="D7" s="10"/>
      <c r="E7" s="10"/>
      <c r="F7" s="10"/>
    </row>
    <row r="8" spans="2:6" x14ac:dyDescent="0.25">
      <c r="B8" s="10"/>
      <c r="C8" s="10"/>
      <c r="D8" s="10"/>
      <c r="E8" s="10"/>
      <c r="F8" s="10"/>
    </row>
    <row r="9" spans="2:6" x14ac:dyDescent="0.25">
      <c r="B9" s="10"/>
      <c r="C9" s="10"/>
      <c r="D9" s="10"/>
      <c r="E9" s="10"/>
      <c r="F9" s="10"/>
    </row>
    <row r="10" spans="2:6" x14ac:dyDescent="0.25">
      <c r="B10" s="10"/>
      <c r="C10" s="10"/>
      <c r="D10" s="10"/>
      <c r="E10" s="10"/>
      <c r="F10" s="10"/>
    </row>
    <row r="11" spans="2:6" x14ac:dyDescent="0.25">
      <c r="B11" s="10"/>
      <c r="C11" s="10"/>
      <c r="D11" s="10"/>
      <c r="E11" s="10" t="s">
        <v>56</v>
      </c>
      <c r="F11" s="10"/>
    </row>
    <row r="22" spans="2:6" ht="15.75" customHeight="1" x14ac:dyDescent="0.25">
      <c r="B22" s="144" t="s">
        <v>5</v>
      </c>
      <c r="C22" s="145"/>
      <c r="D22" s="145"/>
      <c r="E22" s="146"/>
      <c r="F22" s="13">
        <f>SUM(F5:F21)</f>
        <v>5000000</v>
      </c>
    </row>
    <row r="23" spans="2:6" ht="15.75" customHeight="1" x14ac:dyDescent="0.25">
      <c r="B23" s="144" t="s">
        <v>49</v>
      </c>
      <c r="C23" s="145"/>
      <c r="D23" s="145"/>
      <c r="E23" s="146"/>
      <c r="F23" s="10"/>
    </row>
    <row r="24" spans="2:6" ht="15.75" customHeight="1" x14ac:dyDescent="0.25">
      <c r="B24" s="144" t="s">
        <v>50</v>
      </c>
      <c r="C24" s="145"/>
      <c r="D24" s="145"/>
      <c r="E24" s="146"/>
      <c r="F24" s="10"/>
    </row>
    <row r="25" spans="2:6" ht="15.75" customHeight="1" x14ac:dyDescent="0.25">
      <c r="B25" s="144" t="s">
        <v>51</v>
      </c>
      <c r="C25" s="145"/>
      <c r="D25" s="145"/>
      <c r="E25" s="146"/>
      <c r="F25" s="10"/>
    </row>
    <row r="26" spans="2:6" ht="15.75" customHeight="1" x14ac:dyDescent="0.25">
      <c r="B26" s="144" t="s">
        <v>52</v>
      </c>
      <c r="C26" s="145"/>
      <c r="D26" s="145"/>
      <c r="E26" s="146"/>
      <c r="F26" s="10"/>
    </row>
    <row r="27" spans="2:6" ht="15.75" customHeight="1" x14ac:dyDescent="0.25">
      <c r="B27" s="147" t="s">
        <v>57</v>
      </c>
      <c r="C27" s="145"/>
      <c r="D27" s="145"/>
      <c r="E27" s="146"/>
      <c r="F27" s="13">
        <f>SUM(F22:F26)</f>
        <v>5000000</v>
      </c>
    </row>
  </sheetData>
  <mergeCells count="7">
    <mergeCell ref="B26:E26"/>
    <mergeCell ref="B27:E27"/>
    <mergeCell ref="B3:F3"/>
    <mergeCell ref="B22:E22"/>
    <mergeCell ref="B23:E23"/>
    <mergeCell ref="B24:E24"/>
    <mergeCell ref="B25:E2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G16"/>
  <sheetViews>
    <sheetView workbookViewId="0"/>
  </sheetViews>
  <sheetFormatPr baseColWidth="10" defaultColWidth="14.42578125" defaultRowHeight="15" customHeight="1" x14ac:dyDescent="0.25"/>
  <cols>
    <col min="1" max="26" width="11.42578125" customWidth="1"/>
  </cols>
  <sheetData>
    <row r="3" spans="4:7" x14ac:dyDescent="0.25">
      <c r="D3" s="11" t="s">
        <v>58</v>
      </c>
      <c r="E3" s="11"/>
      <c r="F3" s="11"/>
      <c r="G3" s="11"/>
    </row>
    <row r="4" spans="4:7" x14ac:dyDescent="0.25">
      <c r="D4" s="14" t="s">
        <v>59</v>
      </c>
      <c r="E4" s="12" t="s">
        <v>60</v>
      </c>
      <c r="F4" s="12" t="s">
        <v>61</v>
      </c>
      <c r="G4" s="12" t="s">
        <v>62</v>
      </c>
    </row>
    <row r="5" spans="4:7" x14ac:dyDescent="0.25">
      <c r="D5" s="10">
        <v>1</v>
      </c>
      <c r="E5" s="10"/>
      <c r="F5" s="10"/>
      <c r="G5" s="10">
        <v>300</v>
      </c>
    </row>
    <row r="6" spans="4:7" x14ac:dyDescent="0.25">
      <c r="D6" s="10">
        <v>2</v>
      </c>
      <c r="E6" s="10"/>
      <c r="F6" s="10"/>
      <c r="G6" s="10">
        <v>200</v>
      </c>
    </row>
    <row r="7" spans="4:7" x14ac:dyDescent="0.25">
      <c r="D7" s="10">
        <v>3</v>
      </c>
      <c r="E7" s="10"/>
      <c r="F7" s="10"/>
      <c r="G7" s="10">
        <v>10</v>
      </c>
    </row>
    <row r="8" spans="4:7" x14ac:dyDescent="0.25">
      <c r="D8" s="10">
        <v>4</v>
      </c>
      <c r="E8" s="10"/>
      <c r="F8" s="10"/>
      <c r="G8" s="10">
        <v>1000</v>
      </c>
    </row>
    <row r="9" spans="4:7" x14ac:dyDescent="0.25">
      <c r="D9" s="10"/>
      <c r="E9" s="10"/>
      <c r="F9" s="10"/>
      <c r="G9" s="10"/>
    </row>
    <row r="10" spans="4:7" x14ac:dyDescent="0.25">
      <c r="D10" s="10"/>
      <c r="E10" s="10"/>
      <c r="F10" s="10"/>
      <c r="G10" s="10"/>
    </row>
    <row r="11" spans="4:7" x14ac:dyDescent="0.25">
      <c r="D11" s="10"/>
      <c r="E11" s="10"/>
      <c r="F11" s="10"/>
      <c r="G11" s="10"/>
    </row>
    <row r="12" spans="4:7" x14ac:dyDescent="0.25">
      <c r="D12" s="10"/>
      <c r="E12" s="10"/>
      <c r="F12" s="10"/>
      <c r="G12" s="10"/>
    </row>
    <row r="13" spans="4:7" x14ac:dyDescent="0.25">
      <c r="D13" s="10"/>
      <c r="E13" s="10"/>
      <c r="F13" s="10"/>
      <c r="G13" s="10"/>
    </row>
    <row r="14" spans="4:7" x14ac:dyDescent="0.25">
      <c r="D14" s="144" t="s">
        <v>5</v>
      </c>
      <c r="E14" s="145"/>
      <c r="F14" s="146"/>
      <c r="G14" s="10">
        <f>SUM(G5:G13)</f>
        <v>1510</v>
      </c>
    </row>
    <row r="15" spans="4:7" x14ac:dyDescent="0.25">
      <c r="D15" s="144" t="s">
        <v>63</v>
      </c>
      <c r="E15" s="145"/>
      <c r="F15" s="146"/>
      <c r="G15" s="10"/>
    </row>
    <row r="16" spans="4:7" x14ac:dyDescent="0.25">
      <c r="D16" s="147" t="s">
        <v>64</v>
      </c>
      <c r="E16" s="145"/>
      <c r="F16" s="146"/>
      <c r="G16" s="10">
        <f>G14+G15</f>
        <v>1510</v>
      </c>
    </row>
  </sheetData>
  <mergeCells count="3">
    <mergeCell ref="D14:F14"/>
    <mergeCell ref="D15:F15"/>
    <mergeCell ref="D16:F16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CQ72"/>
  <sheetViews>
    <sheetView topLeftCell="A2" workbookViewId="0">
      <selection activeCell="D8" sqref="D8"/>
    </sheetView>
  </sheetViews>
  <sheetFormatPr baseColWidth="10" defaultColWidth="14.42578125" defaultRowHeight="15" customHeight="1" x14ac:dyDescent="0.25"/>
  <cols>
    <col min="1" max="1" width="7.28515625" customWidth="1"/>
    <col min="2" max="2" width="9" customWidth="1"/>
    <col min="3" max="3" width="51.7109375" customWidth="1"/>
    <col min="4" max="4" width="29.42578125" customWidth="1"/>
    <col min="5" max="5" width="8.140625" customWidth="1"/>
    <col min="6" max="95" width="17.7109375" customWidth="1"/>
  </cols>
  <sheetData>
    <row r="2" spans="2:95" ht="38.25" customHeight="1" x14ac:dyDescent="0.3">
      <c r="B2" s="152" t="s">
        <v>65</v>
      </c>
      <c r="C2" s="151"/>
      <c r="D2" s="16">
        <f>IMPLEMENTACIÓN!E44</f>
        <v>16180234996</v>
      </c>
      <c r="E2" s="15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</row>
    <row r="3" spans="2:95" ht="28.5" customHeight="1" x14ac:dyDescent="0.25">
      <c r="B3" s="15"/>
      <c r="C3" s="15"/>
      <c r="D3" s="15"/>
      <c r="E3" s="1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</row>
    <row r="4" spans="2:95" ht="22.5" customHeight="1" x14ac:dyDescent="0.35">
      <c r="B4" s="15"/>
      <c r="C4" s="153" t="s">
        <v>66</v>
      </c>
      <c r="D4" s="146"/>
      <c r="E4" s="18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9" t="s">
        <v>67</v>
      </c>
      <c r="AN4" s="20"/>
      <c r="AO4" s="9">
        <v>1967</v>
      </c>
      <c r="AP4" s="9">
        <v>1968</v>
      </c>
      <c r="AQ4" s="9">
        <v>1969</v>
      </c>
      <c r="AR4" s="9">
        <v>1970</v>
      </c>
      <c r="AS4" s="9">
        <v>1971</v>
      </c>
      <c r="AT4" s="9">
        <v>1972</v>
      </c>
      <c r="AU4" s="9">
        <v>1973</v>
      </c>
      <c r="AV4" s="9">
        <v>1974</v>
      </c>
      <c r="AW4" s="9">
        <v>1975</v>
      </c>
      <c r="AX4" s="9">
        <v>1976</v>
      </c>
      <c r="AY4" s="9">
        <v>1977</v>
      </c>
      <c r="AZ4" s="9">
        <v>1978</v>
      </c>
      <c r="BA4" s="9">
        <v>1979</v>
      </c>
      <c r="BB4" s="9">
        <v>1980</v>
      </c>
      <c r="BC4" s="9">
        <v>1981</v>
      </c>
      <c r="BD4" s="9">
        <v>1982</v>
      </c>
      <c r="BE4" s="9">
        <v>1983</v>
      </c>
      <c r="BF4" s="9">
        <v>1984</v>
      </c>
      <c r="BG4" s="9">
        <v>1985</v>
      </c>
      <c r="BH4" s="9">
        <v>1986</v>
      </c>
      <c r="BI4" s="9">
        <v>1987</v>
      </c>
      <c r="BJ4" s="9">
        <v>1988</v>
      </c>
      <c r="BK4" s="9">
        <v>1989</v>
      </c>
      <c r="BL4" s="9">
        <v>1990</v>
      </c>
      <c r="BM4" s="9">
        <v>1991</v>
      </c>
      <c r="BN4" s="9">
        <v>1992</v>
      </c>
      <c r="BO4" s="9">
        <v>1993</v>
      </c>
      <c r="BP4" s="9">
        <v>1994</v>
      </c>
      <c r="BQ4" s="9">
        <v>1995</v>
      </c>
      <c r="BR4" s="9">
        <v>1996</v>
      </c>
      <c r="BS4" s="9">
        <v>1997</v>
      </c>
      <c r="BT4" s="9">
        <v>1998</v>
      </c>
      <c r="BU4" s="9">
        <v>1999</v>
      </c>
      <c r="BV4" s="9">
        <v>2000</v>
      </c>
      <c r="BW4" s="9">
        <v>2001</v>
      </c>
      <c r="BX4" s="9">
        <v>2002</v>
      </c>
      <c r="BY4" s="9">
        <v>2003</v>
      </c>
      <c r="BZ4" s="9">
        <v>2004</v>
      </c>
      <c r="CA4" s="9">
        <v>2005</v>
      </c>
      <c r="CB4" s="9">
        <v>2006</v>
      </c>
      <c r="CC4" s="9">
        <v>2007</v>
      </c>
      <c r="CD4" s="9">
        <v>2008</v>
      </c>
      <c r="CE4" s="9">
        <v>2009</v>
      </c>
      <c r="CF4" s="9">
        <v>2010</v>
      </c>
      <c r="CG4" s="9">
        <v>2011</v>
      </c>
      <c r="CH4" s="9">
        <v>2012</v>
      </c>
      <c r="CI4" s="9">
        <v>2013</v>
      </c>
      <c r="CJ4" s="9">
        <v>2014</v>
      </c>
      <c r="CK4" s="9">
        <v>2015</v>
      </c>
      <c r="CL4" s="9">
        <v>2016</v>
      </c>
      <c r="CM4" s="9">
        <v>2017</v>
      </c>
      <c r="CN4" s="9">
        <v>2018</v>
      </c>
      <c r="CO4" s="154" t="s">
        <v>68</v>
      </c>
      <c r="CP4" s="156" t="s">
        <v>69</v>
      </c>
      <c r="CQ4" s="154" t="s">
        <v>70</v>
      </c>
    </row>
    <row r="5" spans="2:95" ht="12.75" customHeight="1" x14ac:dyDescent="0.25">
      <c r="B5" s="15"/>
      <c r="C5" s="15"/>
      <c r="D5" s="15"/>
      <c r="E5" s="15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2" t="s">
        <v>71</v>
      </c>
      <c r="AN5" s="23"/>
      <c r="AO5" s="21">
        <v>7.9000000000000001E-2</v>
      </c>
      <c r="AP5" s="21">
        <v>6.4600000000000005E-2</v>
      </c>
      <c r="AQ5" s="21">
        <v>8.8999999999999996E-2</v>
      </c>
      <c r="AR5" s="21">
        <v>7.0599999999999996E-2</v>
      </c>
      <c r="AS5" s="21">
        <v>0.12839999999999999</v>
      </c>
      <c r="AT5" s="21">
        <v>0.1353</v>
      </c>
      <c r="AU5" s="21">
        <v>0.22489999999999999</v>
      </c>
      <c r="AV5" s="21">
        <v>0.25</v>
      </c>
      <c r="AW5" s="21">
        <v>0.17519999999999999</v>
      </c>
      <c r="AX5" s="21">
        <v>0.25600000000000001</v>
      </c>
      <c r="AY5" s="21">
        <v>0.27450000000000002</v>
      </c>
      <c r="AZ5" s="21">
        <v>0.19750000000000001</v>
      </c>
      <c r="BA5" s="21">
        <v>0.28810000000000002</v>
      </c>
      <c r="BB5" s="21">
        <v>0.2596</v>
      </c>
      <c r="BC5" s="21">
        <v>0.2636</v>
      </c>
      <c r="BD5" s="21">
        <v>0.24030000000000001</v>
      </c>
      <c r="BE5" s="21">
        <v>0.16619999999999999</v>
      </c>
      <c r="BF5" s="21">
        <v>0.18279999999999999</v>
      </c>
      <c r="BG5" s="21">
        <v>0.22450000000000001</v>
      </c>
      <c r="BH5" s="21">
        <v>0.20949999999999999</v>
      </c>
      <c r="BI5" s="21">
        <v>0.2402</v>
      </c>
      <c r="BJ5" s="21">
        <v>0.28120000000000001</v>
      </c>
      <c r="BK5" s="21">
        <v>0.26119999999999999</v>
      </c>
      <c r="BL5" s="21">
        <v>0.3236</v>
      </c>
      <c r="BM5" s="21">
        <v>0.26819999999999999</v>
      </c>
      <c r="BN5" s="21">
        <v>0.25130000000000002</v>
      </c>
      <c r="BO5" s="21">
        <v>0.22600000000000001</v>
      </c>
      <c r="BP5" s="21">
        <v>0.22589999999999999</v>
      </c>
      <c r="BQ5" s="21">
        <v>0.1946</v>
      </c>
      <c r="BR5" s="21">
        <v>0.21629999999999999</v>
      </c>
      <c r="BS5" s="21">
        <v>0.17680000000000001</v>
      </c>
      <c r="BT5" s="21">
        <v>0.16700000000000001</v>
      </c>
      <c r="BU5" s="21">
        <v>9.2299999999999993E-2</v>
      </c>
      <c r="BV5" s="21">
        <v>8.7499999999999994E-2</v>
      </c>
      <c r="BW5" s="21">
        <v>7.6499999999999999E-2</v>
      </c>
      <c r="BX5" s="21">
        <v>6.9900000000000004E-2</v>
      </c>
      <c r="BY5" s="21">
        <v>6.4899999999999999E-2</v>
      </c>
      <c r="BZ5" s="21">
        <v>5.5E-2</v>
      </c>
      <c r="CA5" s="21">
        <v>4.8500000000000001E-2</v>
      </c>
      <c r="CB5" s="21">
        <v>4.48E-2</v>
      </c>
      <c r="CC5" s="21">
        <v>5.6899999999999999E-2</v>
      </c>
      <c r="CD5" s="21">
        <v>7.6700000000000004E-2</v>
      </c>
      <c r="CE5" s="21">
        <v>0.02</v>
      </c>
      <c r="CF5" s="21">
        <v>3.1699999999999999E-2</v>
      </c>
      <c r="CG5" s="21">
        <v>3.73E-2</v>
      </c>
      <c r="CH5" s="21">
        <v>2.4400000000000002E-2</v>
      </c>
      <c r="CI5" s="21">
        <v>1.9400000000000001E-2</v>
      </c>
      <c r="CJ5" s="21">
        <v>3.6600000000000001E-2</v>
      </c>
      <c r="CK5" s="21">
        <v>6.7699999999999996E-2</v>
      </c>
      <c r="CL5" s="21">
        <v>5.7500000000000002E-2</v>
      </c>
      <c r="CM5" s="21">
        <v>4.0899999999999999E-2</v>
      </c>
      <c r="CN5" s="21">
        <v>3.1800000000000002E-2</v>
      </c>
      <c r="CO5" s="155"/>
      <c r="CP5" s="155"/>
      <c r="CQ5" s="155"/>
    </row>
    <row r="6" spans="2:95" ht="24.75" customHeight="1" x14ac:dyDescent="0.35">
      <c r="B6" s="24" t="s">
        <v>39</v>
      </c>
      <c r="C6" s="25" t="s">
        <v>2</v>
      </c>
      <c r="D6" s="26" t="s">
        <v>40</v>
      </c>
      <c r="E6" s="15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20" t="s">
        <v>72</v>
      </c>
      <c r="AM6" s="20" t="s">
        <v>73</v>
      </c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</row>
    <row r="7" spans="2:95" ht="23.25" x14ac:dyDescent="0.35">
      <c r="B7" s="27">
        <v>1</v>
      </c>
      <c r="C7" s="28" t="s">
        <v>41</v>
      </c>
      <c r="D7" s="29">
        <f>+'Calculo consultorías (2)'!D9</f>
        <v>120585486</v>
      </c>
      <c r="E7" s="15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157" t="s">
        <v>74</v>
      </c>
      <c r="AK7" s="9" t="s">
        <v>75</v>
      </c>
      <c r="AL7" s="30">
        <v>248965183</v>
      </c>
      <c r="AM7" s="20">
        <v>2014</v>
      </c>
      <c r="AN7" s="9"/>
      <c r="AO7" s="31">
        <f t="shared" ref="AO7:CO7" si="0">IF($AM$7=AO4,$AL$7,IF(AN7&gt;0,AN7*(1+AN5),0))</f>
        <v>0</v>
      </c>
      <c r="AP7" s="31">
        <f t="shared" si="0"/>
        <v>0</v>
      </c>
      <c r="AQ7" s="31">
        <f t="shared" si="0"/>
        <v>0</v>
      </c>
      <c r="AR7" s="31">
        <f t="shared" si="0"/>
        <v>0</v>
      </c>
      <c r="AS7" s="31">
        <f t="shared" si="0"/>
        <v>0</v>
      </c>
      <c r="AT7" s="31">
        <f t="shared" si="0"/>
        <v>0</v>
      </c>
      <c r="AU7" s="31">
        <f t="shared" si="0"/>
        <v>0</v>
      </c>
      <c r="AV7" s="31">
        <f t="shared" si="0"/>
        <v>0</v>
      </c>
      <c r="AW7" s="31">
        <f t="shared" si="0"/>
        <v>0</v>
      </c>
      <c r="AX7" s="31">
        <f t="shared" si="0"/>
        <v>0</v>
      </c>
      <c r="AY7" s="31">
        <f t="shared" si="0"/>
        <v>0</v>
      </c>
      <c r="AZ7" s="31">
        <f t="shared" si="0"/>
        <v>0</v>
      </c>
      <c r="BA7" s="31">
        <f t="shared" si="0"/>
        <v>0</v>
      </c>
      <c r="BB7" s="31">
        <f t="shared" si="0"/>
        <v>0</v>
      </c>
      <c r="BC7" s="31">
        <f t="shared" si="0"/>
        <v>0</v>
      </c>
      <c r="BD7" s="31">
        <f t="shared" si="0"/>
        <v>0</v>
      </c>
      <c r="BE7" s="31">
        <f t="shared" si="0"/>
        <v>0</v>
      </c>
      <c r="BF7" s="31">
        <f t="shared" si="0"/>
        <v>0</v>
      </c>
      <c r="BG7" s="31">
        <f t="shared" si="0"/>
        <v>0</v>
      </c>
      <c r="BH7" s="31">
        <f t="shared" si="0"/>
        <v>0</v>
      </c>
      <c r="BI7" s="31">
        <f t="shared" si="0"/>
        <v>0</v>
      </c>
      <c r="BJ7" s="31">
        <f t="shared" si="0"/>
        <v>0</v>
      </c>
      <c r="BK7" s="31">
        <f t="shared" si="0"/>
        <v>0</v>
      </c>
      <c r="BL7" s="31">
        <f t="shared" si="0"/>
        <v>0</v>
      </c>
      <c r="BM7" s="31">
        <f t="shared" si="0"/>
        <v>0</v>
      </c>
      <c r="BN7" s="31">
        <f t="shared" si="0"/>
        <v>0</v>
      </c>
      <c r="BO7" s="31">
        <f t="shared" si="0"/>
        <v>0</v>
      </c>
      <c r="BP7" s="31">
        <f t="shared" si="0"/>
        <v>0</v>
      </c>
      <c r="BQ7" s="31">
        <f t="shared" si="0"/>
        <v>0</v>
      </c>
      <c r="BR7" s="31">
        <f t="shared" si="0"/>
        <v>0</v>
      </c>
      <c r="BS7" s="31">
        <f t="shared" si="0"/>
        <v>0</v>
      </c>
      <c r="BT7" s="31">
        <f t="shared" si="0"/>
        <v>0</v>
      </c>
      <c r="BU7" s="31">
        <f t="shared" si="0"/>
        <v>0</v>
      </c>
      <c r="BV7" s="31">
        <f t="shared" si="0"/>
        <v>0</v>
      </c>
      <c r="BW7" s="31">
        <f t="shared" si="0"/>
        <v>0</v>
      </c>
      <c r="BX7" s="31">
        <f t="shared" si="0"/>
        <v>0</v>
      </c>
      <c r="BY7" s="31">
        <f t="shared" si="0"/>
        <v>0</v>
      </c>
      <c r="BZ7" s="31">
        <f t="shared" si="0"/>
        <v>0</v>
      </c>
      <c r="CA7" s="31">
        <f t="shared" si="0"/>
        <v>0</v>
      </c>
      <c r="CB7" s="31">
        <f t="shared" si="0"/>
        <v>0</v>
      </c>
      <c r="CC7" s="31">
        <f t="shared" si="0"/>
        <v>0</v>
      </c>
      <c r="CD7" s="31">
        <f t="shared" si="0"/>
        <v>0</v>
      </c>
      <c r="CE7" s="31">
        <f t="shared" si="0"/>
        <v>0</v>
      </c>
      <c r="CF7" s="31">
        <f t="shared" si="0"/>
        <v>0</v>
      </c>
      <c r="CG7" s="31">
        <f t="shared" si="0"/>
        <v>0</v>
      </c>
      <c r="CH7" s="31">
        <f t="shared" si="0"/>
        <v>0</v>
      </c>
      <c r="CI7" s="31">
        <f t="shared" si="0"/>
        <v>0</v>
      </c>
      <c r="CJ7" s="31">
        <f t="shared" si="0"/>
        <v>248965183</v>
      </c>
      <c r="CK7" s="31">
        <f t="shared" si="0"/>
        <v>258077308.69779998</v>
      </c>
      <c r="CL7" s="31">
        <f t="shared" si="0"/>
        <v>275549142.49664104</v>
      </c>
      <c r="CM7" s="31">
        <f t="shared" si="0"/>
        <v>291393218.19019794</v>
      </c>
      <c r="CN7" s="31">
        <f t="shared" si="0"/>
        <v>303311200.81417704</v>
      </c>
      <c r="CO7" s="31">
        <f t="shared" si="0"/>
        <v>312956497.00006789</v>
      </c>
      <c r="CP7" s="20">
        <v>756</v>
      </c>
      <c r="CQ7" s="32">
        <f t="shared" ref="CQ7:CQ9" si="1">+ROUND((CO7/CP7),0)</f>
        <v>413964</v>
      </c>
    </row>
    <row r="8" spans="2:95" ht="23.25" x14ac:dyDescent="0.35">
      <c r="B8" s="33">
        <v>2</v>
      </c>
      <c r="C8" s="34" t="s">
        <v>42</v>
      </c>
      <c r="D8" s="35">
        <f>+'Calculo consultorías (2)'!D10</f>
        <v>95458661</v>
      </c>
      <c r="E8" s="15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155"/>
      <c r="AK8" s="9" t="s">
        <v>76</v>
      </c>
      <c r="AL8" s="30">
        <v>83107075</v>
      </c>
      <c r="AM8" s="20">
        <v>2015</v>
      </c>
      <c r="AN8" s="9"/>
      <c r="AO8" s="31">
        <f t="shared" ref="AO8:CO8" si="2">IF($AM$8=AO4,$AL$8,IF(AN8&gt;0,AN8*(1+AN5),0))</f>
        <v>0</v>
      </c>
      <c r="AP8" s="31">
        <f t="shared" si="2"/>
        <v>0</v>
      </c>
      <c r="AQ8" s="31">
        <f t="shared" si="2"/>
        <v>0</v>
      </c>
      <c r="AR8" s="31">
        <f t="shared" si="2"/>
        <v>0</v>
      </c>
      <c r="AS8" s="31">
        <f t="shared" si="2"/>
        <v>0</v>
      </c>
      <c r="AT8" s="31">
        <f t="shared" si="2"/>
        <v>0</v>
      </c>
      <c r="AU8" s="31">
        <f t="shared" si="2"/>
        <v>0</v>
      </c>
      <c r="AV8" s="31">
        <f t="shared" si="2"/>
        <v>0</v>
      </c>
      <c r="AW8" s="31">
        <f t="shared" si="2"/>
        <v>0</v>
      </c>
      <c r="AX8" s="31">
        <f t="shared" si="2"/>
        <v>0</v>
      </c>
      <c r="AY8" s="31">
        <f t="shared" si="2"/>
        <v>0</v>
      </c>
      <c r="AZ8" s="31">
        <f t="shared" si="2"/>
        <v>0</v>
      </c>
      <c r="BA8" s="31">
        <f t="shared" si="2"/>
        <v>0</v>
      </c>
      <c r="BB8" s="31">
        <f t="shared" si="2"/>
        <v>0</v>
      </c>
      <c r="BC8" s="31">
        <f t="shared" si="2"/>
        <v>0</v>
      </c>
      <c r="BD8" s="31">
        <f t="shared" si="2"/>
        <v>0</v>
      </c>
      <c r="BE8" s="31">
        <f t="shared" si="2"/>
        <v>0</v>
      </c>
      <c r="BF8" s="31">
        <f t="shared" si="2"/>
        <v>0</v>
      </c>
      <c r="BG8" s="31">
        <f t="shared" si="2"/>
        <v>0</v>
      </c>
      <c r="BH8" s="31">
        <f t="shared" si="2"/>
        <v>0</v>
      </c>
      <c r="BI8" s="31">
        <f t="shared" si="2"/>
        <v>0</v>
      </c>
      <c r="BJ8" s="31">
        <f t="shared" si="2"/>
        <v>0</v>
      </c>
      <c r="BK8" s="31">
        <f t="shared" si="2"/>
        <v>0</v>
      </c>
      <c r="BL8" s="31">
        <f t="shared" si="2"/>
        <v>0</v>
      </c>
      <c r="BM8" s="31">
        <f t="shared" si="2"/>
        <v>0</v>
      </c>
      <c r="BN8" s="31">
        <f t="shared" si="2"/>
        <v>0</v>
      </c>
      <c r="BO8" s="31">
        <f t="shared" si="2"/>
        <v>0</v>
      </c>
      <c r="BP8" s="31">
        <f t="shared" si="2"/>
        <v>0</v>
      </c>
      <c r="BQ8" s="31">
        <f t="shared" si="2"/>
        <v>0</v>
      </c>
      <c r="BR8" s="31">
        <f t="shared" si="2"/>
        <v>0</v>
      </c>
      <c r="BS8" s="31">
        <f t="shared" si="2"/>
        <v>0</v>
      </c>
      <c r="BT8" s="31">
        <f t="shared" si="2"/>
        <v>0</v>
      </c>
      <c r="BU8" s="31">
        <f t="shared" si="2"/>
        <v>0</v>
      </c>
      <c r="BV8" s="31">
        <f t="shared" si="2"/>
        <v>0</v>
      </c>
      <c r="BW8" s="31">
        <f t="shared" si="2"/>
        <v>0</v>
      </c>
      <c r="BX8" s="31">
        <f t="shared" si="2"/>
        <v>0</v>
      </c>
      <c r="BY8" s="31">
        <f t="shared" si="2"/>
        <v>0</v>
      </c>
      <c r="BZ8" s="31">
        <f t="shared" si="2"/>
        <v>0</v>
      </c>
      <c r="CA8" s="31">
        <f t="shared" si="2"/>
        <v>0</v>
      </c>
      <c r="CB8" s="31">
        <f t="shared" si="2"/>
        <v>0</v>
      </c>
      <c r="CC8" s="31">
        <f t="shared" si="2"/>
        <v>0</v>
      </c>
      <c r="CD8" s="31">
        <f t="shared" si="2"/>
        <v>0</v>
      </c>
      <c r="CE8" s="31">
        <f t="shared" si="2"/>
        <v>0</v>
      </c>
      <c r="CF8" s="31">
        <f t="shared" si="2"/>
        <v>0</v>
      </c>
      <c r="CG8" s="31">
        <f t="shared" si="2"/>
        <v>0</v>
      </c>
      <c r="CH8" s="31">
        <f t="shared" si="2"/>
        <v>0</v>
      </c>
      <c r="CI8" s="31">
        <f t="shared" si="2"/>
        <v>0</v>
      </c>
      <c r="CJ8" s="31">
        <f t="shared" si="2"/>
        <v>0</v>
      </c>
      <c r="CK8" s="31">
        <f t="shared" si="2"/>
        <v>83107075</v>
      </c>
      <c r="CL8" s="31">
        <f t="shared" si="2"/>
        <v>88733423.977500007</v>
      </c>
      <c r="CM8" s="31">
        <f t="shared" si="2"/>
        <v>93835595.856206268</v>
      </c>
      <c r="CN8" s="31">
        <f t="shared" si="2"/>
        <v>97673471.726725101</v>
      </c>
      <c r="CO8" s="31">
        <f t="shared" si="2"/>
        <v>100779488.12763496</v>
      </c>
      <c r="CP8" s="20">
        <v>201.5</v>
      </c>
      <c r="CQ8" s="32">
        <f t="shared" si="1"/>
        <v>500146</v>
      </c>
    </row>
    <row r="9" spans="2:95" ht="23.25" x14ac:dyDescent="0.35">
      <c r="B9" s="33">
        <v>3</v>
      </c>
      <c r="C9" s="34" t="s">
        <v>43</v>
      </c>
      <c r="D9" s="35">
        <f>+'Calculo consultorías (2)'!D11</f>
        <v>16180234996</v>
      </c>
      <c r="E9" s="36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155"/>
      <c r="AK9" s="9" t="s">
        <v>77</v>
      </c>
      <c r="AL9" s="30">
        <v>516111542</v>
      </c>
      <c r="AM9" s="20">
        <v>2015</v>
      </c>
      <c r="AN9" s="9"/>
      <c r="AO9" s="31">
        <f t="shared" ref="AO9:CO9" si="3">IF($AM$9=AO4,$AL$9,IF(AN9&gt;0,AN9*(1+AN5),0))</f>
        <v>0</v>
      </c>
      <c r="AP9" s="31">
        <f t="shared" si="3"/>
        <v>0</v>
      </c>
      <c r="AQ9" s="31">
        <f t="shared" si="3"/>
        <v>0</v>
      </c>
      <c r="AR9" s="31">
        <f t="shared" si="3"/>
        <v>0</v>
      </c>
      <c r="AS9" s="31">
        <f t="shared" si="3"/>
        <v>0</v>
      </c>
      <c r="AT9" s="31">
        <f t="shared" si="3"/>
        <v>0</v>
      </c>
      <c r="AU9" s="31">
        <f t="shared" si="3"/>
        <v>0</v>
      </c>
      <c r="AV9" s="31">
        <f t="shared" si="3"/>
        <v>0</v>
      </c>
      <c r="AW9" s="31">
        <f t="shared" si="3"/>
        <v>0</v>
      </c>
      <c r="AX9" s="31">
        <f t="shared" si="3"/>
        <v>0</v>
      </c>
      <c r="AY9" s="31">
        <f t="shared" si="3"/>
        <v>0</v>
      </c>
      <c r="AZ9" s="31">
        <f t="shared" si="3"/>
        <v>0</v>
      </c>
      <c r="BA9" s="31">
        <f t="shared" si="3"/>
        <v>0</v>
      </c>
      <c r="BB9" s="31">
        <f t="shared" si="3"/>
        <v>0</v>
      </c>
      <c r="BC9" s="31">
        <f t="shared" si="3"/>
        <v>0</v>
      </c>
      <c r="BD9" s="31">
        <f t="shared" si="3"/>
        <v>0</v>
      </c>
      <c r="BE9" s="31">
        <f t="shared" si="3"/>
        <v>0</v>
      </c>
      <c r="BF9" s="31">
        <f t="shared" si="3"/>
        <v>0</v>
      </c>
      <c r="BG9" s="31">
        <f t="shared" si="3"/>
        <v>0</v>
      </c>
      <c r="BH9" s="31">
        <f t="shared" si="3"/>
        <v>0</v>
      </c>
      <c r="BI9" s="31">
        <f t="shared" si="3"/>
        <v>0</v>
      </c>
      <c r="BJ9" s="31">
        <f t="shared" si="3"/>
        <v>0</v>
      </c>
      <c r="BK9" s="31">
        <f t="shared" si="3"/>
        <v>0</v>
      </c>
      <c r="BL9" s="31">
        <f t="shared" si="3"/>
        <v>0</v>
      </c>
      <c r="BM9" s="31">
        <f t="shared" si="3"/>
        <v>0</v>
      </c>
      <c r="BN9" s="31">
        <f t="shared" si="3"/>
        <v>0</v>
      </c>
      <c r="BO9" s="31">
        <f t="shared" si="3"/>
        <v>0</v>
      </c>
      <c r="BP9" s="31">
        <f t="shared" si="3"/>
        <v>0</v>
      </c>
      <c r="BQ9" s="31">
        <f t="shared" si="3"/>
        <v>0</v>
      </c>
      <c r="BR9" s="31">
        <f t="shared" si="3"/>
        <v>0</v>
      </c>
      <c r="BS9" s="31">
        <f t="shared" si="3"/>
        <v>0</v>
      </c>
      <c r="BT9" s="31">
        <f t="shared" si="3"/>
        <v>0</v>
      </c>
      <c r="BU9" s="31">
        <f t="shared" si="3"/>
        <v>0</v>
      </c>
      <c r="BV9" s="31">
        <f t="shared" si="3"/>
        <v>0</v>
      </c>
      <c r="BW9" s="31">
        <f t="shared" si="3"/>
        <v>0</v>
      </c>
      <c r="BX9" s="31">
        <f t="shared" si="3"/>
        <v>0</v>
      </c>
      <c r="BY9" s="31">
        <f t="shared" si="3"/>
        <v>0</v>
      </c>
      <c r="BZ9" s="31">
        <f t="shared" si="3"/>
        <v>0</v>
      </c>
      <c r="CA9" s="31">
        <f t="shared" si="3"/>
        <v>0</v>
      </c>
      <c r="CB9" s="31">
        <f t="shared" si="3"/>
        <v>0</v>
      </c>
      <c r="CC9" s="31">
        <f t="shared" si="3"/>
        <v>0</v>
      </c>
      <c r="CD9" s="31">
        <f t="shared" si="3"/>
        <v>0</v>
      </c>
      <c r="CE9" s="31">
        <f t="shared" si="3"/>
        <v>0</v>
      </c>
      <c r="CF9" s="31">
        <f t="shared" si="3"/>
        <v>0</v>
      </c>
      <c r="CG9" s="31">
        <f t="shared" si="3"/>
        <v>0</v>
      </c>
      <c r="CH9" s="31">
        <f t="shared" si="3"/>
        <v>0</v>
      </c>
      <c r="CI9" s="31">
        <f t="shared" si="3"/>
        <v>0</v>
      </c>
      <c r="CJ9" s="31">
        <f t="shared" si="3"/>
        <v>0</v>
      </c>
      <c r="CK9" s="31">
        <f t="shared" si="3"/>
        <v>516111542</v>
      </c>
      <c r="CL9" s="31">
        <f t="shared" si="3"/>
        <v>551052293.39340007</v>
      </c>
      <c r="CM9" s="31">
        <f t="shared" si="3"/>
        <v>582737800.2635206</v>
      </c>
      <c r="CN9" s="31">
        <f t="shared" si="3"/>
        <v>606571776.29429853</v>
      </c>
      <c r="CO9" s="31">
        <f t="shared" si="3"/>
        <v>625860758.78045726</v>
      </c>
      <c r="CP9" s="37">
        <v>1256.53</v>
      </c>
      <c r="CQ9" s="32">
        <f t="shared" si="1"/>
        <v>498087</v>
      </c>
    </row>
    <row r="10" spans="2:95" ht="23.25" x14ac:dyDescent="0.35">
      <c r="B10" s="38">
        <v>4</v>
      </c>
      <c r="C10" s="39" t="s">
        <v>44</v>
      </c>
      <c r="D10" s="40">
        <f>+'Calculo consultorías (2)'!D12</f>
        <v>385245556</v>
      </c>
      <c r="E10" s="41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 t="s">
        <v>78</v>
      </c>
      <c r="AK10" s="9" t="s">
        <v>79</v>
      </c>
      <c r="AL10" s="9"/>
      <c r="AM10" s="21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</row>
    <row r="11" spans="2:95" ht="23.25" x14ac:dyDescent="0.35">
      <c r="B11" s="150" t="s">
        <v>45</v>
      </c>
      <c r="C11" s="151"/>
      <c r="D11" s="42">
        <f>+'Calculo consultorías (2)'!D13</f>
        <v>16781524699</v>
      </c>
      <c r="E11" s="41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21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</row>
    <row r="12" spans="2:95" ht="27.75" customHeight="1" x14ac:dyDescent="0.35">
      <c r="B12" s="43"/>
      <c r="C12" s="15"/>
      <c r="D12" s="15"/>
      <c r="E12" s="41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21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</row>
    <row r="13" spans="2:95" ht="14.25" customHeight="1" x14ac:dyDescent="0.35">
      <c r="B13" s="15"/>
      <c r="C13" s="153" t="s">
        <v>80</v>
      </c>
      <c r="D13" s="146"/>
      <c r="E13" s="41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21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</row>
    <row r="14" spans="2:95" ht="12" customHeight="1" x14ac:dyDescent="0.35">
      <c r="B14" s="15"/>
      <c r="C14" s="15"/>
      <c r="D14" s="15"/>
      <c r="E14" s="44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21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</row>
    <row r="15" spans="2:95" ht="21" customHeight="1" x14ac:dyDescent="0.35">
      <c r="B15" s="24" t="s">
        <v>39</v>
      </c>
      <c r="C15" s="25" t="s">
        <v>2</v>
      </c>
      <c r="D15" s="45" t="s">
        <v>81</v>
      </c>
      <c r="E15" s="1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21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</row>
    <row r="16" spans="2:95" ht="21" customHeight="1" x14ac:dyDescent="0.35">
      <c r="B16" s="27">
        <v>1</v>
      </c>
      <c r="C16" s="46" t="s">
        <v>41</v>
      </c>
      <c r="D16" s="47">
        <f>+'Calculo consultorías (2)'!D18</f>
        <v>2</v>
      </c>
      <c r="E16" s="15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21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</row>
    <row r="17" spans="2:93" ht="21" customHeight="1" x14ac:dyDescent="0.35">
      <c r="B17" s="33">
        <v>2</v>
      </c>
      <c r="C17" s="48" t="s">
        <v>42</v>
      </c>
      <c r="D17" s="47">
        <f>+'Calculo consultorías (2)'!D19</f>
        <v>2</v>
      </c>
      <c r="E17" s="15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21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>
        <v>903</v>
      </c>
      <c r="CM17" s="32" t="e">
        <f t="shared" ref="CM17:CM18" si="4">+#REF!</f>
        <v>#REF!</v>
      </c>
      <c r="CN17" s="49" t="e">
        <f t="shared" ref="CN17:CN18" si="5">+CL17*CM17</f>
        <v>#REF!</v>
      </c>
      <c r="CO17" s="9"/>
    </row>
    <row r="18" spans="2:93" ht="21" customHeight="1" x14ac:dyDescent="0.35">
      <c r="B18" s="33">
        <v>3</v>
      </c>
      <c r="C18" s="48" t="s">
        <v>43</v>
      </c>
      <c r="D18" s="47">
        <f>+'Calculo consultorías (2)'!D20</f>
        <v>7</v>
      </c>
      <c r="E18" s="15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21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>
        <v>70</v>
      </c>
      <c r="CM18" s="32" t="e">
        <f t="shared" si="4"/>
        <v>#REF!</v>
      </c>
      <c r="CN18" s="49" t="e">
        <f t="shared" si="5"/>
        <v>#REF!</v>
      </c>
      <c r="CO18" s="9"/>
    </row>
    <row r="19" spans="2:93" ht="21" customHeight="1" x14ac:dyDescent="0.35">
      <c r="B19" s="38">
        <v>4</v>
      </c>
      <c r="C19" s="50" t="s">
        <v>44</v>
      </c>
      <c r="D19" s="51">
        <f>+'Calculo consultorías (2)'!D21</f>
        <v>7</v>
      </c>
      <c r="E19" s="15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21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49" t="e">
        <f>+CN18+CN17</f>
        <v>#REF!</v>
      </c>
      <c r="CO19" s="9"/>
    </row>
    <row r="20" spans="2:93" ht="27.75" customHeight="1" x14ac:dyDescent="0.35">
      <c r="B20" s="150" t="s">
        <v>82</v>
      </c>
      <c r="C20" s="151"/>
      <c r="D20" s="52">
        <f>+'Calculo consultorías (2)'!D22</f>
        <v>9</v>
      </c>
      <c r="E20" s="15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21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</row>
    <row r="21" spans="2:93" ht="14.25" customHeight="1" x14ac:dyDescent="0.25">
      <c r="B21" s="15"/>
      <c r="C21" s="15"/>
      <c r="D21" s="15"/>
      <c r="E21" s="15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21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53">
        <v>145500000</v>
      </c>
      <c r="CO21" s="9"/>
    </row>
    <row r="22" spans="2:93" ht="14.25" customHeight="1" x14ac:dyDescent="0.25">
      <c r="B22" s="15"/>
      <c r="C22" s="15"/>
      <c r="D22" s="15"/>
      <c r="E22" s="15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21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53">
        <v>58200000</v>
      </c>
      <c r="CO22" s="54">
        <v>7.0000000000000007E-2</v>
      </c>
    </row>
    <row r="23" spans="2:93" ht="14.25" customHeight="1" x14ac:dyDescent="0.25">
      <c r="B23" s="15"/>
      <c r="C23" s="15"/>
      <c r="D23" s="15"/>
      <c r="E23" s="15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21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53" t="e">
        <f>+CN19*CO22</f>
        <v>#REF!</v>
      </c>
      <c r="CO23" s="9"/>
    </row>
    <row r="24" spans="2:93" ht="14.25" customHeight="1" x14ac:dyDescent="0.25">
      <c r="B24" s="15"/>
      <c r="C24" s="15"/>
      <c r="D24" s="15"/>
      <c r="E24" s="15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21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55" t="e">
        <f>+CN23+CN22+CN21+CN19</f>
        <v>#REF!</v>
      </c>
      <c r="CO24" s="54">
        <v>0.15</v>
      </c>
    </row>
    <row r="25" spans="2:93" ht="14.25" customHeight="1" x14ac:dyDescent="0.25">
      <c r="B25" s="15"/>
      <c r="C25" s="15"/>
      <c r="D25" s="15"/>
      <c r="E25" s="15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21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53" t="e">
        <f>+CN24*CO24</f>
        <v>#REF!</v>
      </c>
      <c r="CO25" s="9"/>
    </row>
    <row r="26" spans="2:93" ht="14.25" customHeight="1" x14ac:dyDescent="0.25">
      <c r="B26" s="15"/>
      <c r="C26" s="15"/>
      <c r="D26" s="15"/>
      <c r="E26" s="15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21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</row>
    <row r="27" spans="2:93" ht="14.25" customHeight="1" x14ac:dyDescent="0.25">
      <c r="B27" s="9"/>
      <c r="C27" s="9"/>
      <c r="D27" s="9"/>
      <c r="E27" s="15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21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</row>
    <row r="28" spans="2:93" ht="14.25" customHeight="1" x14ac:dyDescent="0.25">
      <c r="B28" s="9"/>
      <c r="C28" s="9"/>
      <c r="D28" s="9"/>
      <c r="E28" s="15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21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</row>
    <row r="29" spans="2:93" ht="14.25" customHeight="1" x14ac:dyDescent="0.25">
      <c r="B29" s="9"/>
      <c r="C29" s="9"/>
      <c r="D29" s="9"/>
      <c r="E29" s="15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21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</row>
    <row r="30" spans="2:93" ht="14.25" customHeight="1" x14ac:dyDescent="0.25">
      <c r="B30" s="9"/>
      <c r="C30" s="9"/>
      <c r="D30" s="9"/>
      <c r="E30" s="15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21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</row>
    <row r="31" spans="2:93" ht="14.25" customHeight="1" x14ac:dyDescent="0.2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21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>
        <f>902.72+71.28</f>
        <v>974</v>
      </c>
      <c r="CM31" s="9">
        <f>451.36+35.64</f>
        <v>487</v>
      </c>
      <c r="CN31" s="9"/>
      <c r="CO31" s="9"/>
    </row>
    <row r="32" spans="2:93" ht="14.25" customHeight="1" x14ac:dyDescent="0.2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21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>
        <f>903+70</f>
        <v>973</v>
      </c>
      <c r="CM32" s="9"/>
      <c r="CN32" s="9"/>
      <c r="CO32" s="9"/>
    </row>
    <row r="45" spans="60:60" ht="14.25" customHeight="1" x14ac:dyDescent="0.25">
      <c r="BH45" s="9">
        <v>2005</v>
      </c>
    </row>
    <row r="46" spans="60:60" ht="14.25" customHeight="1" x14ac:dyDescent="0.25">
      <c r="BH46" s="9">
        <v>4.8499999999999996</v>
      </c>
    </row>
    <row r="47" spans="60:60" ht="14.25" customHeight="1" x14ac:dyDescent="0.25">
      <c r="BH47" s="9">
        <v>2006</v>
      </c>
    </row>
    <row r="48" spans="60:60" ht="14.25" customHeight="1" x14ac:dyDescent="0.25">
      <c r="BH48" s="9">
        <v>4.4800000000000004</v>
      </c>
    </row>
    <row r="49" spans="60:60" ht="14.25" customHeight="1" x14ac:dyDescent="0.25">
      <c r="BH49" s="9">
        <v>2007</v>
      </c>
    </row>
    <row r="50" spans="60:60" ht="14.25" customHeight="1" x14ac:dyDescent="0.25">
      <c r="BH50" s="9">
        <v>5.69</v>
      </c>
    </row>
    <row r="51" spans="60:60" ht="14.25" customHeight="1" x14ac:dyDescent="0.25">
      <c r="BH51" s="9">
        <v>2008</v>
      </c>
    </row>
    <row r="52" spans="60:60" ht="14.25" customHeight="1" x14ac:dyDescent="0.25">
      <c r="BH52" s="9">
        <v>7.67</v>
      </c>
    </row>
    <row r="53" spans="60:60" ht="14.25" customHeight="1" x14ac:dyDescent="0.25">
      <c r="BH53" s="9">
        <v>2009</v>
      </c>
    </row>
    <row r="54" spans="60:60" ht="14.25" customHeight="1" x14ac:dyDescent="0.25">
      <c r="BH54" s="9">
        <v>2</v>
      </c>
    </row>
    <row r="55" spans="60:60" ht="14.25" customHeight="1" x14ac:dyDescent="0.25">
      <c r="BH55" s="9">
        <v>2010</v>
      </c>
    </row>
    <row r="56" spans="60:60" ht="14.25" customHeight="1" x14ac:dyDescent="0.25">
      <c r="BH56" s="9">
        <v>3.17</v>
      </c>
    </row>
    <row r="57" spans="60:60" ht="14.25" customHeight="1" x14ac:dyDescent="0.25">
      <c r="BH57" s="9">
        <v>2011</v>
      </c>
    </row>
    <row r="58" spans="60:60" ht="14.25" customHeight="1" x14ac:dyDescent="0.25">
      <c r="BH58" s="9">
        <v>3.73</v>
      </c>
    </row>
    <row r="59" spans="60:60" ht="14.25" customHeight="1" x14ac:dyDescent="0.25">
      <c r="BH59" s="9">
        <v>2012</v>
      </c>
    </row>
    <row r="60" spans="60:60" ht="14.25" customHeight="1" x14ac:dyDescent="0.25">
      <c r="BH60" s="9">
        <v>2.44</v>
      </c>
    </row>
    <row r="61" spans="60:60" ht="14.25" customHeight="1" x14ac:dyDescent="0.25">
      <c r="BH61" s="9">
        <v>2013</v>
      </c>
    </row>
    <row r="62" spans="60:60" ht="14.25" customHeight="1" x14ac:dyDescent="0.25">
      <c r="BH62" s="9">
        <v>1.94</v>
      </c>
    </row>
    <row r="63" spans="60:60" ht="14.25" customHeight="1" x14ac:dyDescent="0.25">
      <c r="BH63" s="9">
        <v>2014</v>
      </c>
    </row>
    <row r="64" spans="60:60" ht="14.25" customHeight="1" x14ac:dyDescent="0.25">
      <c r="BH64" s="9">
        <v>3.66</v>
      </c>
    </row>
    <row r="65" spans="60:60" ht="14.25" customHeight="1" x14ac:dyDescent="0.25">
      <c r="BH65" s="9">
        <v>2015</v>
      </c>
    </row>
    <row r="66" spans="60:60" ht="14.25" customHeight="1" x14ac:dyDescent="0.25">
      <c r="BH66" s="9">
        <v>6.77</v>
      </c>
    </row>
    <row r="67" spans="60:60" ht="14.25" customHeight="1" x14ac:dyDescent="0.25">
      <c r="BH67" s="9">
        <v>2016</v>
      </c>
    </row>
    <row r="68" spans="60:60" ht="14.25" customHeight="1" x14ac:dyDescent="0.25">
      <c r="BH68" s="9">
        <v>5.75</v>
      </c>
    </row>
    <row r="69" spans="60:60" ht="14.25" customHeight="1" x14ac:dyDescent="0.25">
      <c r="BH69" s="9">
        <v>2017</v>
      </c>
    </row>
    <row r="70" spans="60:60" ht="14.25" customHeight="1" x14ac:dyDescent="0.25">
      <c r="BH70" s="9">
        <v>4.09</v>
      </c>
    </row>
    <row r="71" spans="60:60" ht="14.25" customHeight="1" x14ac:dyDescent="0.25">
      <c r="BH71" s="9">
        <v>2018</v>
      </c>
    </row>
    <row r="72" spans="60:60" ht="14.25" customHeight="1" x14ac:dyDescent="0.25">
      <c r="BH72" s="9">
        <v>3.18</v>
      </c>
    </row>
  </sheetData>
  <mergeCells count="9">
    <mergeCell ref="CQ4:CQ5"/>
    <mergeCell ref="AJ7:AJ9"/>
    <mergeCell ref="C13:D13"/>
    <mergeCell ref="B11:C11"/>
    <mergeCell ref="B20:C20"/>
    <mergeCell ref="B2:C2"/>
    <mergeCell ref="C4:D4"/>
    <mergeCell ref="CO4:CO5"/>
    <mergeCell ref="CP4:CP5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DO73"/>
  <sheetViews>
    <sheetView topLeftCell="A15" workbookViewId="0"/>
  </sheetViews>
  <sheetFormatPr baseColWidth="10" defaultColWidth="14.42578125" defaultRowHeight="15" customHeight="1" x14ac:dyDescent="0.25"/>
  <cols>
    <col min="1" max="1" width="7.28515625" customWidth="1"/>
    <col min="2" max="2" width="9" customWidth="1"/>
    <col min="3" max="3" width="49.42578125" customWidth="1"/>
    <col min="4" max="4" width="29.42578125" customWidth="1"/>
    <col min="5" max="5" width="8.140625" customWidth="1"/>
    <col min="6" max="6" width="22.7109375" customWidth="1"/>
    <col min="7" max="7" width="14" customWidth="1"/>
    <col min="8" max="8" width="24.140625" customWidth="1"/>
    <col min="9" max="9" width="31.42578125" customWidth="1"/>
    <col min="10" max="10" width="25.42578125" customWidth="1"/>
    <col min="11" max="11" width="3.42578125" customWidth="1"/>
    <col min="12" max="12" width="16.42578125" customWidth="1"/>
    <col min="13" max="13" width="17.28515625" customWidth="1"/>
    <col min="14" max="14" width="16.28515625" customWidth="1"/>
    <col min="15" max="15" width="17.85546875" customWidth="1"/>
    <col min="16" max="16" width="16.42578125" customWidth="1"/>
    <col min="17" max="17" width="17.28515625" customWidth="1"/>
    <col min="18" max="18" width="9.42578125" customWidth="1"/>
    <col min="19" max="19" width="17.85546875" customWidth="1"/>
    <col min="20" max="20" width="16.42578125" customWidth="1"/>
    <col min="21" max="21" width="17.28515625" customWidth="1"/>
    <col min="22" max="22" width="9.42578125" customWidth="1"/>
    <col min="23" max="23" width="19.140625" customWidth="1"/>
    <col min="24" max="119" width="17.7109375" customWidth="1"/>
  </cols>
  <sheetData>
    <row r="1" spans="2:119" x14ac:dyDescent="0.25">
      <c r="B1" s="15"/>
      <c r="C1" s="15"/>
      <c r="D1" s="15"/>
      <c r="E1" s="15"/>
      <c r="F1" s="15"/>
      <c r="G1" s="15"/>
      <c r="H1" s="15"/>
      <c r="I1" s="15"/>
      <c r="J1" s="9"/>
      <c r="K1" s="9"/>
      <c r="L1" s="158" t="s">
        <v>83</v>
      </c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60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</row>
    <row r="2" spans="2:119" x14ac:dyDescent="0.25">
      <c r="B2" s="56"/>
      <c r="C2" s="56"/>
      <c r="D2" s="15"/>
      <c r="E2" s="15"/>
      <c r="F2" s="15"/>
      <c r="G2" s="15"/>
      <c r="H2" s="15"/>
      <c r="I2" s="15"/>
      <c r="J2" s="9"/>
      <c r="K2" s="9"/>
      <c r="L2" s="161" t="s">
        <v>84</v>
      </c>
      <c r="M2" s="159"/>
      <c r="N2" s="159"/>
      <c r="O2" s="159"/>
      <c r="P2" s="161" t="s">
        <v>85</v>
      </c>
      <c r="Q2" s="159"/>
      <c r="R2" s="159"/>
      <c r="S2" s="160"/>
      <c r="T2" s="162" t="s">
        <v>86</v>
      </c>
      <c r="U2" s="159"/>
      <c r="V2" s="159"/>
      <c r="W2" s="160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</row>
    <row r="3" spans="2:119" ht="20.25" x14ac:dyDescent="0.3">
      <c r="B3" s="152" t="s">
        <v>65</v>
      </c>
      <c r="C3" s="151"/>
      <c r="D3" s="16">
        <f>+'VALOR PROYECTO'!D2</f>
        <v>16180234996</v>
      </c>
      <c r="E3" s="15"/>
      <c r="F3" s="15"/>
      <c r="G3" s="15"/>
      <c r="H3" s="15"/>
      <c r="I3" s="15"/>
      <c r="J3" s="9"/>
      <c r="K3" s="31"/>
      <c r="L3" s="57" t="s">
        <v>87</v>
      </c>
      <c r="M3" s="58" t="s">
        <v>88</v>
      </c>
      <c r="N3" s="58" t="s">
        <v>89</v>
      </c>
      <c r="O3" s="59" t="s">
        <v>90</v>
      </c>
      <c r="P3" s="57" t="s">
        <v>87</v>
      </c>
      <c r="Q3" s="58" t="s">
        <v>88</v>
      </c>
      <c r="R3" s="58" t="s">
        <v>89</v>
      </c>
      <c r="S3" s="59" t="s">
        <v>90</v>
      </c>
      <c r="T3" s="60" t="s">
        <v>87</v>
      </c>
      <c r="U3" s="60" t="s">
        <v>88</v>
      </c>
      <c r="V3" s="60" t="s">
        <v>89</v>
      </c>
      <c r="W3" s="61" t="s">
        <v>90</v>
      </c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</row>
    <row r="4" spans="2:119" ht="20.25" x14ac:dyDescent="0.3">
      <c r="B4" s="18"/>
      <c r="C4" s="18"/>
      <c r="D4" s="18"/>
      <c r="E4" s="15"/>
      <c r="F4" s="15"/>
      <c r="G4" s="15"/>
      <c r="H4" s="15"/>
      <c r="I4" s="15"/>
      <c r="J4" s="62"/>
      <c r="K4" s="62"/>
      <c r="L4" s="63">
        <v>90172223</v>
      </c>
      <c r="M4" s="64">
        <v>1900000000</v>
      </c>
      <c r="N4" s="21">
        <f>+O6</f>
        <v>0</v>
      </c>
      <c r="O4" s="65">
        <v>10000000000</v>
      </c>
      <c r="P4" s="63">
        <v>90172224</v>
      </c>
      <c r="Q4" s="64">
        <v>10000000001</v>
      </c>
      <c r="R4" s="21">
        <f>+S6</f>
        <v>4.9210526315789475E-3</v>
      </c>
      <c r="S4" s="65">
        <v>25200000000</v>
      </c>
      <c r="T4" s="31">
        <v>165045765</v>
      </c>
      <c r="U4" s="64">
        <v>25200000001</v>
      </c>
      <c r="V4" s="21">
        <f>+W6</f>
        <v>5.3571428571428572E-3</v>
      </c>
      <c r="W4" s="65">
        <v>50400000000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</row>
    <row r="5" spans="2:119" ht="20.25" x14ac:dyDescent="0.25">
      <c r="B5" s="15"/>
      <c r="C5" s="15"/>
      <c r="D5" s="15"/>
      <c r="E5" s="17"/>
      <c r="F5" s="17"/>
      <c r="G5" s="15"/>
      <c r="H5" s="15"/>
      <c r="I5" s="15"/>
      <c r="J5" s="31"/>
      <c r="K5" s="31"/>
      <c r="L5" s="66" t="s">
        <v>91</v>
      </c>
      <c r="M5" s="62" t="s">
        <v>92</v>
      </c>
      <c r="N5" s="62" t="s">
        <v>93</v>
      </c>
      <c r="O5" s="67" t="s">
        <v>94</v>
      </c>
      <c r="P5" s="66" t="s">
        <v>91</v>
      </c>
      <c r="Q5" s="62" t="s">
        <v>92</v>
      </c>
      <c r="R5" s="62" t="s">
        <v>93</v>
      </c>
      <c r="S5" s="67" t="s">
        <v>94</v>
      </c>
      <c r="T5" s="62" t="s">
        <v>91</v>
      </c>
      <c r="U5" s="62" t="s">
        <v>92</v>
      </c>
      <c r="V5" s="62" t="s">
        <v>93</v>
      </c>
      <c r="W5" s="67" t="s">
        <v>94</v>
      </c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19" t="s">
        <v>67</v>
      </c>
      <c r="BL5" s="20"/>
      <c r="BM5" s="9">
        <v>1967</v>
      </c>
      <c r="BN5" s="9">
        <v>1968</v>
      </c>
      <c r="BO5" s="9">
        <v>1969</v>
      </c>
      <c r="BP5" s="9">
        <v>1970</v>
      </c>
      <c r="BQ5" s="9">
        <v>1971</v>
      </c>
      <c r="BR5" s="9">
        <v>1972</v>
      </c>
      <c r="BS5" s="9">
        <v>1973</v>
      </c>
      <c r="BT5" s="9">
        <v>1974</v>
      </c>
      <c r="BU5" s="9">
        <v>1975</v>
      </c>
      <c r="BV5" s="9">
        <v>1976</v>
      </c>
      <c r="BW5" s="9">
        <v>1977</v>
      </c>
      <c r="BX5" s="9">
        <v>1978</v>
      </c>
      <c r="BY5" s="9">
        <v>1979</v>
      </c>
      <c r="BZ5" s="9">
        <v>1980</v>
      </c>
      <c r="CA5" s="9">
        <v>1981</v>
      </c>
      <c r="CB5" s="9">
        <v>1982</v>
      </c>
      <c r="CC5" s="9">
        <v>1983</v>
      </c>
      <c r="CD5" s="9">
        <v>1984</v>
      </c>
      <c r="CE5" s="9">
        <v>1985</v>
      </c>
      <c r="CF5" s="9">
        <v>1986</v>
      </c>
      <c r="CG5" s="9">
        <v>1987</v>
      </c>
      <c r="CH5" s="9">
        <v>1988</v>
      </c>
      <c r="CI5" s="9">
        <v>1989</v>
      </c>
      <c r="CJ5" s="9">
        <v>1990</v>
      </c>
      <c r="CK5" s="9">
        <v>1991</v>
      </c>
      <c r="CL5" s="9">
        <v>1992</v>
      </c>
      <c r="CM5" s="9">
        <v>1993</v>
      </c>
      <c r="CN5" s="9">
        <v>1994</v>
      </c>
      <c r="CO5" s="9">
        <v>1995</v>
      </c>
      <c r="CP5" s="9">
        <v>1996</v>
      </c>
      <c r="CQ5" s="9">
        <v>1997</v>
      </c>
      <c r="CR5" s="9">
        <v>1998</v>
      </c>
      <c r="CS5" s="9">
        <v>1999</v>
      </c>
      <c r="CT5" s="9">
        <v>2000</v>
      </c>
      <c r="CU5" s="9">
        <v>2001</v>
      </c>
      <c r="CV5" s="9">
        <v>2002</v>
      </c>
      <c r="CW5" s="9">
        <v>2003</v>
      </c>
      <c r="CX5" s="9">
        <v>2004</v>
      </c>
      <c r="CY5" s="9">
        <v>2005</v>
      </c>
      <c r="CZ5" s="9">
        <v>2006</v>
      </c>
      <c r="DA5" s="9">
        <v>2007</v>
      </c>
      <c r="DB5" s="9">
        <v>2008</v>
      </c>
      <c r="DC5" s="9">
        <v>2009</v>
      </c>
      <c r="DD5" s="9">
        <v>2010</v>
      </c>
      <c r="DE5" s="9">
        <v>2011</v>
      </c>
      <c r="DF5" s="9">
        <v>2012</v>
      </c>
      <c r="DG5" s="9">
        <v>2013</v>
      </c>
      <c r="DH5" s="9">
        <v>2014</v>
      </c>
      <c r="DI5" s="9">
        <v>2015</v>
      </c>
      <c r="DJ5" s="9">
        <v>2016</v>
      </c>
      <c r="DK5" s="9">
        <v>2017</v>
      </c>
      <c r="DL5" s="9">
        <v>2018</v>
      </c>
      <c r="DM5" s="154" t="s">
        <v>68</v>
      </c>
      <c r="DN5" s="156" t="s">
        <v>69</v>
      </c>
      <c r="DO5" s="154" t="s">
        <v>70</v>
      </c>
    </row>
    <row r="6" spans="2:119" ht="21" x14ac:dyDescent="0.35">
      <c r="B6" s="15"/>
      <c r="C6" s="153" t="s">
        <v>66</v>
      </c>
      <c r="D6" s="146"/>
      <c r="E6" s="18"/>
      <c r="F6" s="18"/>
      <c r="G6" s="15"/>
      <c r="H6" s="15"/>
      <c r="I6" s="15"/>
      <c r="J6" s="31"/>
      <c r="K6" s="31"/>
      <c r="L6" s="68">
        <v>90.2</v>
      </c>
      <c r="M6" s="9">
        <v>90.2</v>
      </c>
      <c r="N6" s="9">
        <f t="shared" ref="N6:N7" si="0">+L6-M6</f>
        <v>0</v>
      </c>
      <c r="O6" s="163">
        <f>+N6/N7</f>
        <v>0</v>
      </c>
      <c r="P6" s="68">
        <v>165</v>
      </c>
      <c r="Q6" s="9">
        <v>90.2</v>
      </c>
      <c r="R6" s="9">
        <f t="shared" ref="R6:R7" si="1">+P6-Q6</f>
        <v>74.8</v>
      </c>
      <c r="S6" s="163">
        <f>+R6/R7</f>
        <v>4.9210526315789475E-3</v>
      </c>
      <c r="T6" s="9">
        <v>300</v>
      </c>
      <c r="U6" s="68">
        <v>165</v>
      </c>
      <c r="V6" s="9">
        <f t="shared" ref="V6:V7" si="2">+T6-U6</f>
        <v>135</v>
      </c>
      <c r="W6" s="163">
        <f>+V6/V7</f>
        <v>5.3571428571428572E-3</v>
      </c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2" t="s">
        <v>71</v>
      </c>
      <c r="BL6" s="23"/>
      <c r="BM6" s="21">
        <v>7.9000000000000001E-2</v>
      </c>
      <c r="BN6" s="21">
        <v>6.4600000000000005E-2</v>
      </c>
      <c r="BO6" s="21">
        <v>8.8999999999999996E-2</v>
      </c>
      <c r="BP6" s="21">
        <v>7.0599999999999996E-2</v>
      </c>
      <c r="BQ6" s="21">
        <v>0.12839999999999999</v>
      </c>
      <c r="BR6" s="21">
        <v>0.1353</v>
      </c>
      <c r="BS6" s="21">
        <v>0.22489999999999999</v>
      </c>
      <c r="BT6" s="21">
        <v>0.25</v>
      </c>
      <c r="BU6" s="21">
        <v>0.17519999999999999</v>
      </c>
      <c r="BV6" s="21">
        <v>0.25600000000000001</v>
      </c>
      <c r="BW6" s="21">
        <v>0.27450000000000002</v>
      </c>
      <c r="BX6" s="21">
        <v>0.19750000000000001</v>
      </c>
      <c r="BY6" s="21">
        <v>0.28810000000000002</v>
      </c>
      <c r="BZ6" s="21">
        <v>0.2596</v>
      </c>
      <c r="CA6" s="21">
        <v>0.2636</v>
      </c>
      <c r="CB6" s="21">
        <v>0.24030000000000001</v>
      </c>
      <c r="CC6" s="21">
        <v>0.16619999999999999</v>
      </c>
      <c r="CD6" s="21">
        <v>0.18279999999999999</v>
      </c>
      <c r="CE6" s="21">
        <v>0.22450000000000001</v>
      </c>
      <c r="CF6" s="21">
        <v>0.20949999999999999</v>
      </c>
      <c r="CG6" s="21">
        <v>0.2402</v>
      </c>
      <c r="CH6" s="21">
        <v>0.28120000000000001</v>
      </c>
      <c r="CI6" s="21">
        <v>0.26119999999999999</v>
      </c>
      <c r="CJ6" s="21">
        <v>0.3236</v>
      </c>
      <c r="CK6" s="21">
        <v>0.26819999999999999</v>
      </c>
      <c r="CL6" s="21">
        <v>0.25130000000000002</v>
      </c>
      <c r="CM6" s="21">
        <v>0.22600000000000001</v>
      </c>
      <c r="CN6" s="21">
        <v>0.22589999999999999</v>
      </c>
      <c r="CO6" s="21">
        <v>0.1946</v>
      </c>
      <c r="CP6" s="21">
        <v>0.21629999999999999</v>
      </c>
      <c r="CQ6" s="21">
        <v>0.17680000000000001</v>
      </c>
      <c r="CR6" s="21">
        <v>0.16700000000000001</v>
      </c>
      <c r="CS6" s="21">
        <v>9.2299999999999993E-2</v>
      </c>
      <c r="CT6" s="21">
        <v>8.7499999999999994E-2</v>
      </c>
      <c r="CU6" s="21">
        <v>7.6499999999999999E-2</v>
      </c>
      <c r="CV6" s="21">
        <v>6.9900000000000004E-2</v>
      </c>
      <c r="CW6" s="21">
        <v>6.4899999999999999E-2</v>
      </c>
      <c r="CX6" s="21">
        <v>5.5E-2</v>
      </c>
      <c r="CY6" s="21">
        <v>4.8500000000000001E-2</v>
      </c>
      <c r="CZ6" s="21">
        <v>4.48E-2</v>
      </c>
      <c r="DA6" s="21">
        <v>5.6899999999999999E-2</v>
      </c>
      <c r="DB6" s="21">
        <v>7.6700000000000004E-2</v>
      </c>
      <c r="DC6" s="21">
        <v>0.02</v>
      </c>
      <c r="DD6" s="21">
        <v>3.1699999999999999E-2</v>
      </c>
      <c r="DE6" s="21">
        <v>3.73E-2</v>
      </c>
      <c r="DF6" s="21">
        <v>2.4400000000000002E-2</v>
      </c>
      <c r="DG6" s="21">
        <v>1.9400000000000001E-2</v>
      </c>
      <c r="DH6" s="21">
        <v>3.6600000000000001E-2</v>
      </c>
      <c r="DI6" s="21">
        <v>6.7699999999999996E-2</v>
      </c>
      <c r="DJ6" s="21">
        <v>5.7500000000000002E-2</v>
      </c>
      <c r="DK6" s="21">
        <v>4.0899999999999999E-2</v>
      </c>
      <c r="DL6" s="21">
        <v>3.1800000000000002E-2</v>
      </c>
      <c r="DM6" s="155"/>
      <c r="DN6" s="155"/>
      <c r="DO6" s="155"/>
    </row>
    <row r="7" spans="2:119" ht="23.25" x14ac:dyDescent="0.35">
      <c r="B7" s="15"/>
      <c r="C7" s="15"/>
      <c r="D7" s="15"/>
      <c r="E7" s="15"/>
      <c r="F7" s="15"/>
      <c r="G7" s="36"/>
      <c r="H7" s="36"/>
      <c r="I7" s="69"/>
      <c r="J7" s="9"/>
      <c r="K7" s="9"/>
      <c r="L7" s="70">
        <v>10000</v>
      </c>
      <c r="M7" s="71">
        <v>1900</v>
      </c>
      <c r="N7" s="71">
        <f t="shared" si="0"/>
        <v>8100</v>
      </c>
      <c r="O7" s="164"/>
      <c r="P7" s="70">
        <v>25200</v>
      </c>
      <c r="Q7" s="70">
        <v>10000</v>
      </c>
      <c r="R7" s="71">
        <f t="shared" si="1"/>
        <v>15200</v>
      </c>
      <c r="S7" s="164"/>
      <c r="T7" s="71">
        <f>+W4/1000000</f>
        <v>50400</v>
      </c>
      <c r="U7" s="71">
        <v>25200</v>
      </c>
      <c r="V7" s="71">
        <f t="shared" si="2"/>
        <v>25200</v>
      </c>
      <c r="W7" s="164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20" t="s">
        <v>72</v>
      </c>
      <c r="BK7" s="20" t="s">
        <v>73</v>
      </c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</row>
    <row r="8" spans="2:119" ht="23.25" x14ac:dyDescent="0.35">
      <c r="B8" s="24" t="s">
        <v>39</v>
      </c>
      <c r="C8" s="25" t="s">
        <v>2</v>
      </c>
      <c r="D8" s="45" t="s">
        <v>40</v>
      </c>
      <c r="E8" s="15"/>
      <c r="F8" s="15"/>
      <c r="G8" s="41"/>
      <c r="H8" s="41"/>
      <c r="I8" s="72"/>
      <c r="J8" s="49">
        <f>+L4+(($D$3-M4)*N4)</f>
        <v>90172223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157" t="s">
        <v>74</v>
      </c>
      <c r="BI8" s="9" t="s">
        <v>75</v>
      </c>
      <c r="BJ8" s="30">
        <v>248965183</v>
      </c>
      <c r="BK8" s="20">
        <v>2014</v>
      </c>
      <c r="BL8" s="9"/>
      <c r="BM8" s="31">
        <f t="shared" ref="BM8:DM8" si="3">IF($BK$8=BM5,$BJ$8,IF(BL8&gt;0,BL8*(1+BL6),0))</f>
        <v>0</v>
      </c>
      <c r="BN8" s="31">
        <f t="shared" si="3"/>
        <v>0</v>
      </c>
      <c r="BO8" s="31">
        <f t="shared" si="3"/>
        <v>0</v>
      </c>
      <c r="BP8" s="31">
        <f t="shared" si="3"/>
        <v>0</v>
      </c>
      <c r="BQ8" s="31">
        <f t="shared" si="3"/>
        <v>0</v>
      </c>
      <c r="BR8" s="31">
        <f t="shared" si="3"/>
        <v>0</v>
      </c>
      <c r="BS8" s="31">
        <f t="shared" si="3"/>
        <v>0</v>
      </c>
      <c r="BT8" s="31">
        <f t="shared" si="3"/>
        <v>0</v>
      </c>
      <c r="BU8" s="31">
        <f t="shared" si="3"/>
        <v>0</v>
      </c>
      <c r="BV8" s="31">
        <f t="shared" si="3"/>
        <v>0</v>
      </c>
      <c r="BW8" s="31">
        <f t="shared" si="3"/>
        <v>0</v>
      </c>
      <c r="BX8" s="31">
        <f t="shared" si="3"/>
        <v>0</v>
      </c>
      <c r="BY8" s="31">
        <f t="shared" si="3"/>
        <v>0</v>
      </c>
      <c r="BZ8" s="31">
        <f t="shared" si="3"/>
        <v>0</v>
      </c>
      <c r="CA8" s="31">
        <f t="shared" si="3"/>
        <v>0</v>
      </c>
      <c r="CB8" s="31">
        <f t="shared" si="3"/>
        <v>0</v>
      </c>
      <c r="CC8" s="31">
        <f t="shared" si="3"/>
        <v>0</v>
      </c>
      <c r="CD8" s="31">
        <f t="shared" si="3"/>
        <v>0</v>
      </c>
      <c r="CE8" s="31">
        <f t="shared" si="3"/>
        <v>0</v>
      </c>
      <c r="CF8" s="31">
        <f t="shared" si="3"/>
        <v>0</v>
      </c>
      <c r="CG8" s="31">
        <f t="shared" si="3"/>
        <v>0</v>
      </c>
      <c r="CH8" s="31">
        <f t="shared" si="3"/>
        <v>0</v>
      </c>
      <c r="CI8" s="31">
        <f t="shared" si="3"/>
        <v>0</v>
      </c>
      <c r="CJ8" s="31">
        <f t="shared" si="3"/>
        <v>0</v>
      </c>
      <c r="CK8" s="31">
        <f t="shared" si="3"/>
        <v>0</v>
      </c>
      <c r="CL8" s="31">
        <f t="shared" si="3"/>
        <v>0</v>
      </c>
      <c r="CM8" s="31">
        <f t="shared" si="3"/>
        <v>0</v>
      </c>
      <c r="CN8" s="31">
        <f t="shared" si="3"/>
        <v>0</v>
      </c>
      <c r="CO8" s="31">
        <f t="shared" si="3"/>
        <v>0</v>
      </c>
      <c r="CP8" s="31">
        <f t="shared" si="3"/>
        <v>0</v>
      </c>
      <c r="CQ8" s="31">
        <f t="shared" si="3"/>
        <v>0</v>
      </c>
      <c r="CR8" s="31">
        <f t="shared" si="3"/>
        <v>0</v>
      </c>
      <c r="CS8" s="31">
        <f t="shared" si="3"/>
        <v>0</v>
      </c>
      <c r="CT8" s="31">
        <f t="shared" si="3"/>
        <v>0</v>
      </c>
      <c r="CU8" s="31">
        <f t="shared" si="3"/>
        <v>0</v>
      </c>
      <c r="CV8" s="31">
        <f t="shared" si="3"/>
        <v>0</v>
      </c>
      <c r="CW8" s="31">
        <f t="shared" si="3"/>
        <v>0</v>
      </c>
      <c r="CX8" s="31">
        <f t="shared" si="3"/>
        <v>0</v>
      </c>
      <c r="CY8" s="31">
        <f t="shared" si="3"/>
        <v>0</v>
      </c>
      <c r="CZ8" s="31">
        <f t="shared" si="3"/>
        <v>0</v>
      </c>
      <c r="DA8" s="31">
        <f t="shared" si="3"/>
        <v>0</v>
      </c>
      <c r="DB8" s="31">
        <f t="shared" si="3"/>
        <v>0</v>
      </c>
      <c r="DC8" s="31">
        <f t="shared" si="3"/>
        <v>0</v>
      </c>
      <c r="DD8" s="31">
        <f t="shared" si="3"/>
        <v>0</v>
      </c>
      <c r="DE8" s="31">
        <f t="shared" si="3"/>
        <v>0</v>
      </c>
      <c r="DF8" s="31">
        <f t="shared" si="3"/>
        <v>0</v>
      </c>
      <c r="DG8" s="31">
        <f t="shared" si="3"/>
        <v>0</v>
      </c>
      <c r="DH8" s="31">
        <f t="shared" si="3"/>
        <v>248965183</v>
      </c>
      <c r="DI8" s="31">
        <f t="shared" si="3"/>
        <v>258077308.69779998</v>
      </c>
      <c r="DJ8" s="31">
        <f t="shared" si="3"/>
        <v>275549142.49664104</v>
      </c>
      <c r="DK8" s="31">
        <f t="shared" si="3"/>
        <v>291393218.19019794</v>
      </c>
      <c r="DL8" s="31">
        <f t="shared" si="3"/>
        <v>303311200.81417704</v>
      </c>
      <c r="DM8" s="31">
        <f t="shared" si="3"/>
        <v>312956497.00006789</v>
      </c>
      <c r="DN8" s="20">
        <v>756</v>
      </c>
      <c r="DO8" s="32">
        <f t="shared" ref="DO8:DO10" si="4">+ROUND((DM8/DN8),0)</f>
        <v>413964</v>
      </c>
    </row>
    <row r="9" spans="2:119" ht="23.25" x14ac:dyDescent="0.35">
      <c r="B9" s="27">
        <v>1</v>
      </c>
      <c r="C9" s="46" t="s">
        <v>41</v>
      </c>
      <c r="D9" s="73">
        <f t="shared" ref="D9:D10" si="5">+H9</f>
        <v>120585486</v>
      </c>
      <c r="E9" s="15"/>
      <c r="F9" s="15"/>
      <c r="G9" s="41"/>
      <c r="H9" s="74">
        <f t="shared" ref="H9:H11" si="6">+ROUND(J9,0)</f>
        <v>120585486</v>
      </c>
      <c r="I9" s="15" t="s">
        <v>95</v>
      </c>
      <c r="J9" s="75">
        <f>+IF($D$3=0,0,IF(AND($D$3&gt;=600000000,$D$3&lt;=M4),(L4),IF(AND($D$3&gt;M4,$D$3&lt;=O4),(L4+(($D$3-M4)*N4)),IF(AND($D$3&gt;Q4,$D$3&lt;=S4),(P4+R4*($D$3-Q4)),IF(AND($D$3&gt;U4,$D$3&lt;=W4),(T4+V4*($D$3-U4)),IF($D$3&gt;W4,416576064,0))))))</f>
        <v>120585485.68592106</v>
      </c>
      <c r="K9" s="9"/>
      <c r="L9" s="165" t="s">
        <v>96</v>
      </c>
      <c r="M9" s="166"/>
      <c r="N9" s="166"/>
      <c r="O9" s="166"/>
      <c r="P9" s="166"/>
      <c r="Q9" s="166"/>
      <c r="R9" s="166"/>
      <c r="S9" s="166"/>
      <c r="T9" s="166"/>
      <c r="U9" s="166"/>
      <c r="V9" s="166"/>
      <c r="W9" s="167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155"/>
      <c r="BI9" s="9" t="s">
        <v>76</v>
      </c>
      <c r="BJ9" s="30">
        <v>83107075</v>
      </c>
      <c r="BK9" s="20">
        <v>2015</v>
      </c>
      <c r="BL9" s="9"/>
      <c r="BM9" s="31">
        <f t="shared" ref="BM9:DM9" si="7">IF($BK$9=BM5,$BJ$9,IF(BL9&gt;0,BL9*(1+BL6),0))</f>
        <v>0</v>
      </c>
      <c r="BN9" s="31">
        <f t="shared" si="7"/>
        <v>0</v>
      </c>
      <c r="BO9" s="31">
        <f t="shared" si="7"/>
        <v>0</v>
      </c>
      <c r="BP9" s="31">
        <f t="shared" si="7"/>
        <v>0</v>
      </c>
      <c r="BQ9" s="31">
        <f t="shared" si="7"/>
        <v>0</v>
      </c>
      <c r="BR9" s="31">
        <f t="shared" si="7"/>
        <v>0</v>
      </c>
      <c r="BS9" s="31">
        <f t="shared" si="7"/>
        <v>0</v>
      </c>
      <c r="BT9" s="31">
        <f t="shared" si="7"/>
        <v>0</v>
      </c>
      <c r="BU9" s="31">
        <f t="shared" si="7"/>
        <v>0</v>
      </c>
      <c r="BV9" s="31">
        <f t="shared" si="7"/>
        <v>0</v>
      </c>
      <c r="BW9" s="31">
        <f t="shared" si="7"/>
        <v>0</v>
      </c>
      <c r="BX9" s="31">
        <f t="shared" si="7"/>
        <v>0</v>
      </c>
      <c r="BY9" s="31">
        <f t="shared" si="7"/>
        <v>0</v>
      </c>
      <c r="BZ9" s="31">
        <f t="shared" si="7"/>
        <v>0</v>
      </c>
      <c r="CA9" s="31">
        <f t="shared" si="7"/>
        <v>0</v>
      </c>
      <c r="CB9" s="31">
        <f t="shared" si="7"/>
        <v>0</v>
      </c>
      <c r="CC9" s="31">
        <f t="shared" si="7"/>
        <v>0</v>
      </c>
      <c r="CD9" s="31">
        <f t="shared" si="7"/>
        <v>0</v>
      </c>
      <c r="CE9" s="31">
        <f t="shared" si="7"/>
        <v>0</v>
      </c>
      <c r="CF9" s="31">
        <f t="shared" si="7"/>
        <v>0</v>
      </c>
      <c r="CG9" s="31">
        <f t="shared" si="7"/>
        <v>0</v>
      </c>
      <c r="CH9" s="31">
        <f t="shared" si="7"/>
        <v>0</v>
      </c>
      <c r="CI9" s="31">
        <f t="shared" si="7"/>
        <v>0</v>
      </c>
      <c r="CJ9" s="31">
        <f t="shared" si="7"/>
        <v>0</v>
      </c>
      <c r="CK9" s="31">
        <f t="shared" si="7"/>
        <v>0</v>
      </c>
      <c r="CL9" s="31">
        <f t="shared" si="7"/>
        <v>0</v>
      </c>
      <c r="CM9" s="31">
        <f t="shared" si="7"/>
        <v>0</v>
      </c>
      <c r="CN9" s="31">
        <f t="shared" si="7"/>
        <v>0</v>
      </c>
      <c r="CO9" s="31">
        <f t="shared" si="7"/>
        <v>0</v>
      </c>
      <c r="CP9" s="31">
        <f t="shared" si="7"/>
        <v>0</v>
      </c>
      <c r="CQ9" s="31">
        <f t="shared" si="7"/>
        <v>0</v>
      </c>
      <c r="CR9" s="31">
        <f t="shared" si="7"/>
        <v>0</v>
      </c>
      <c r="CS9" s="31">
        <f t="shared" si="7"/>
        <v>0</v>
      </c>
      <c r="CT9" s="31">
        <f t="shared" si="7"/>
        <v>0</v>
      </c>
      <c r="CU9" s="31">
        <f t="shared" si="7"/>
        <v>0</v>
      </c>
      <c r="CV9" s="31">
        <f t="shared" si="7"/>
        <v>0</v>
      </c>
      <c r="CW9" s="31">
        <f t="shared" si="7"/>
        <v>0</v>
      </c>
      <c r="CX9" s="31">
        <f t="shared" si="7"/>
        <v>0</v>
      </c>
      <c r="CY9" s="31">
        <f t="shared" si="7"/>
        <v>0</v>
      </c>
      <c r="CZ9" s="31">
        <f t="shared" si="7"/>
        <v>0</v>
      </c>
      <c r="DA9" s="31">
        <f t="shared" si="7"/>
        <v>0</v>
      </c>
      <c r="DB9" s="31">
        <f t="shared" si="7"/>
        <v>0</v>
      </c>
      <c r="DC9" s="31">
        <f t="shared" si="7"/>
        <v>0</v>
      </c>
      <c r="DD9" s="31">
        <f t="shared" si="7"/>
        <v>0</v>
      </c>
      <c r="DE9" s="31">
        <f t="shared" si="7"/>
        <v>0</v>
      </c>
      <c r="DF9" s="31">
        <f t="shared" si="7"/>
        <v>0</v>
      </c>
      <c r="DG9" s="31">
        <f t="shared" si="7"/>
        <v>0</v>
      </c>
      <c r="DH9" s="31">
        <f t="shared" si="7"/>
        <v>0</v>
      </c>
      <c r="DI9" s="31">
        <f t="shared" si="7"/>
        <v>83107075</v>
      </c>
      <c r="DJ9" s="31">
        <f t="shared" si="7"/>
        <v>88733423.977500007</v>
      </c>
      <c r="DK9" s="31">
        <f t="shared" si="7"/>
        <v>93835595.856206268</v>
      </c>
      <c r="DL9" s="31">
        <f t="shared" si="7"/>
        <v>97673471.726725101</v>
      </c>
      <c r="DM9" s="31">
        <f t="shared" si="7"/>
        <v>100779488.12763496</v>
      </c>
      <c r="DN9" s="20">
        <v>201.5</v>
      </c>
      <c r="DO9" s="32">
        <f t="shared" si="4"/>
        <v>500146</v>
      </c>
    </row>
    <row r="10" spans="2:119" ht="23.25" x14ac:dyDescent="0.35">
      <c r="B10" s="33">
        <v>2</v>
      </c>
      <c r="C10" s="48" t="s">
        <v>42</v>
      </c>
      <c r="D10" s="76">
        <f t="shared" si="5"/>
        <v>95458661</v>
      </c>
      <c r="E10" s="15"/>
      <c r="F10" s="77"/>
      <c r="G10" s="41"/>
      <c r="H10" s="74">
        <f t="shared" si="6"/>
        <v>95458661</v>
      </c>
      <c r="I10" s="15" t="s">
        <v>97</v>
      </c>
      <c r="J10" s="75">
        <f>+IF($D$3=0,0,IF(AND($D$3&gt;=600000000,$D$3&lt;=M12),(L12),IF(AND($D$3&gt;M12,$D$3&lt;=O12),(L12+(($D$3-M12)*N12)),IF(AND($D$3&gt;Q12,$D$3&lt;=S12),(P12+R12*($D$3-Q12)),IF(AND($D$3&gt;U12,$D$3&lt;=W12),(T12+V12*($D$3-U12)),IF($D$3&gt;W12,305522687,0))))))</f>
        <v>95458661.458947361</v>
      </c>
      <c r="K10" s="9"/>
      <c r="L10" s="161" t="s">
        <v>84</v>
      </c>
      <c r="M10" s="159"/>
      <c r="N10" s="159"/>
      <c r="O10" s="160"/>
      <c r="P10" s="161" t="s">
        <v>85</v>
      </c>
      <c r="Q10" s="159"/>
      <c r="R10" s="159"/>
      <c r="S10" s="160"/>
      <c r="T10" s="162" t="s">
        <v>86</v>
      </c>
      <c r="U10" s="159"/>
      <c r="V10" s="159"/>
      <c r="W10" s="16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155"/>
      <c r="BI10" s="9" t="s">
        <v>77</v>
      </c>
      <c r="BJ10" s="30">
        <v>516111542</v>
      </c>
      <c r="BK10" s="20">
        <v>2015</v>
      </c>
      <c r="BL10" s="9"/>
      <c r="BM10" s="31">
        <f t="shared" ref="BM10:DM10" si="8">IF($BK$10=BM5,$BJ$10,IF(BL10&gt;0,BL10*(1+BL6),0))</f>
        <v>0</v>
      </c>
      <c r="BN10" s="31">
        <f t="shared" si="8"/>
        <v>0</v>
      </c>
      <c r="BO10" s="31">
        <f t="shared" si="8"/>
        <v>0</v>
      </c>
      <c r="BP10" s="31">
        <f t="shared" si="8"/>
        <v>0</v>
      </c>
      <c r="BQ10" s="31">
        <f t="shared" si="8"/>
        <v>0</v>
      </c>
      <c r="BR10" s="31">
        <f t="shared" si="8"/>
        <v>0</v>
      </c>
      <c r="BS10" s="31">
        <f t="shared" si="8"/>
        <v>0</v>
      </c>
      <c r="BT10" s="31">
        <f t="shared" si="8"/>
        <v>0</v>
      </c>
      <c r="BU10" s="31">
        <f t="shared" si="8"/>
        <v>0</v>
      </c>
      <c r="BV10" s="31">
        <f t="shared" si="8"/>
        <v>0</v>
      </c>
      <c r="BW10" s="31">
        <f t="shared" si="8"/>
        <v>0</v>
      </c>
      <c r="BX10" s="31">
        <f t="shared" si="8"/>
        <v>0</v>
      </c>
      <c r="BY10" s="31">
        <f t="shared" si="8"/>
        <v>0</v>
      </c>
      <c r="BZ10" s="31">
        <f t="shared" si="8"/>
        <v>0</v>
      </c>
      <c r="CA10" s="31">
        <f t="shared" si="8"/>
        <v>0</v>
      </c>
      <c r="CB10" s="31">
        <f t="shared" si="8"/>
        <v>0</v>
      </c>
      <c r="CC10" s="31">
        <f t="shared" si="8"/>
        <v>0</v>
      </c>
      <c r="CD10" s="31">
        <f t="shared" si="8"/>
        <v>0</v>
      </c>
      <c r="CE10" s="31">
        <f t="shared" si="8"/>
        <v>0</v>
      </c>
      <c r="CF10" s="31">
        <f t="shared" si="8"/>
        <v>0</v>
      </c>
      <c r="CG10" s="31">
        <f t="shared" si="8"/>
        <v>0</v>
      </c>
      <c r="CH10" s="31">
        <f t="shared" si="8"/>
        <v>0</v>
      </c>
      <c r="CI10" s="31">
        <f t="shared" si="8"/>
        <v>0</v>
      </c>
      <c r="CJ10" s="31">
        <f t="shared" si="8"/>
        <v>0</v>
      </c>
      <c r="CK10" s="31">
        <f t="shared" si="8"/>
        <v>0</v>
      </c>
      <c r="CL10" s="31">
        <f t="shared" si="8"/>
        <v>0</v>
      </c>
      <c r="CM10" s="31">
        <f t="shared" si="8"/>
        <v>0</v>
      </c>
      <c r="CN10" s="31">
        <f t="shared" si="8"/>
        <v>0</v>
      </c>
      <c r="CO10" s="31">
        <f t="shared" si="8"/>
        <v>0</v>
      </c>
      <c r="CP10" s="31">
        <f t="shared" si="8"/>
        <v>0</v>
      </c>
      <c r="CQ10" s="31">
        <f t="shared" si="8"/>
        <v>0</v>
      </c>
      <c r="CR10" s="31">
        <f t="shared" si="8"/>
        <v>0</v>
      </c>
      <c r="CS10" s="31">
        <f t="shared" si="8"/>
        <v>0</v>
      </c>
      <c r="CT10" s="31">
        <f t="shared" si="8"/>
        <v>0</v>
      </c>
      <c r="CU10" s="31">
        <f t="shared" si="8"/>
        <v>0</v>
      </c>
      <c r="CV10" s="31">
        <f t="shared" si="8"/>
        <v>0</v>
      </c>
      <c r="CW10" s="31">
        <f t="shared" si="8"/>
        <v>0</v>
      </c>
      <c r="CX10" s="31">
        <f t="shared" si="8"/>
        <v>0</v>
      </c>
      <c r="CY10" s="31">
        <f t="shared" si="8"/>
        <v>0</v>
      </c>
      <c r="CZ10" s="31">
        <f t="shared" si="8"/>
        <v>0</v>
      </c>
      <c r="DA10" s="31">
        <f t="shared" si="8"/>
        <v>0</v>
      </c>
      <c r="DB10" s="31">
        <f t="shared" si="8"/>
        <v>0</v>
      </c>
      <c r="DC10" s="31">
        <f t="shared" si="8"/>
        <v>0</v>
      </c>
      <c r="DD10" s="31">
        <f t="shared" si="8"/>
        <v>0</v>
      </c>
      <c r="DE10" s="31">
        <f t="shared" si="8"/>
        <v>0</v>
      </c>
      <c r="DF10" s="31">
        <f t="shared" si="8"/>
        <v>0</v>
      </c>
      <c r="DG10" s="31">
        <f t="shared" si="8"/>
        <v>0</v>
      </c>
      <c r="DH10" s="31">
        <f t="shared" si="8"/>
        <v>0</v>
      </c>
      <c r="DI10" s="31">
        <f t="shared" si="8"/>
        <v>516111542</v>
      </c>
      <c r="DJ10" s="31">
        <f t="shared" si="8"/>
        <v>551052293.39340007</v>
      </c>
      <c r="DK10" s="31">
        <f t="shared" si="8"/>
        <v>582737800.2635206</v>
      </c>
      <c r="DL10" s="31">
        <f t="shared" si="8"/>
        <v>606571776.29429853</v>
      </c>
      <c r="DM10" s="31">
        <f t="shared" si="8"/>
        <v>625860758.78045726</v>
      </c>
      <c r="DN10" s="37">
        <v>1256.53</v>
      </c>
      <c r="DO10" s="32">
        <f t="shared" si="4"/>
        <v>498087</v>
      </c>
    </row>
    <row r="11" spans="2:119" ht="23.25" x14ac:dyDescent="0.35">
      <c r="B11" s="33">
        <v>3</v>
      </c>
      <c r="C11" s="48" t="s">
        <v>43</v>
      </c>
      <c r="D11" s="76">
        <f>+D3</f>
        <v>16180234996</v>
      </c>
      <c r="E11" s="36"/>
      <c r="F11" s="78"/>
      <c r="G11" s="41"/>
      <c r="H11" s="74">
        <f t="shared" si="6"/>
        <v>385245556</v>
      </c>
      <c r="I11" s="15" t="s">
        <v>98</v>
      </c>
      <c r="J11" s="75">
        <f>IF($D$3=0,0,IF(AND($D$3&gt;=600000000,$D$3&lt;=M20),(L20),IF(AND($D$3&gt;M20,$D$3&lt;=O20),(L20+(($D$3-M20)*N20)),IF(AND($D$3&gt;Q20,$D$3&lt;=S20),(P20+R20*($D$3-Q20)),IF(AND($D$3&gt;U20,$D$3&lt;=W20),(T20+V20*($D$3-U20)),IF($D$3&gt;W20,961932062,0))))))</f>
        <v>385245555.99782896</v>
      </c>
      <c r="K11" s="9"/>
      <c r="L11" s="79" t="s">
        <v>87</v>
      </c>
      <c r="M11" s="60" t="s">
        <v>88</v>
      </c>
      <c r="N11" s="60" t="s">
        <v>89</v>
      </c>
      <c r="O11" s="61" t="s">
        <v>90</v>
      </c>
      <c r="P11" s="79" t="s">
        <v>87</v>
      </c>
      <c r="Q11" s="60" t="s">
        <v>88</v>
      </c>
      <c r="R11" s="60" t="s">
        <v>89</v>
      </c>
      <c r="S11" s="61" t="s">
        <v>90</v>
      </c>
      <c r="T11" s="60" t="s">
        <v>87</v>
      </c>
      <c r="U11" s="60" t="s">
        <v>88</v>
      </c>
      <c r="V11" s="60" t="s">
        <v>89</v>
      </c>
      <c r="W11" s="61" t="s">
        <v>90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 t="s">
        <v>78</v>
      </c>
      <c r="BI11" s="9" t="s">
        <v>79</v>
      </c>
      <c r="BJ11" s="9"/>
      <c r="BK11" s="21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</row>
    <row r="12" spans="2:119" ht="23.25" x14ac:dyDescent="0.35">
      <c r="B12" s="38">
        <v>4</v>
      </c>
      <c r="C12" s="50" t="s">
        <v>44</v>
      </c>
      <c r="D12" s="80">
        <f>+H11</f>
        <v>385245556</v>
      </c>
      <c r="E12" s="41"/>
      <c r="F12" s="81"/>
      <c r="G12" s="41"/>
      <c r="H12" s="15"/>
      <c r="I12" s="15"/>
      <c r="J12" s="49">
        <f>P4+R4*($D$3-Q4)</f>
        <v>120585485.68592106</v>
      </c>
      <c r="K12" s="9"/>
      <c r="L12" s="63">
        <v>77243232</v>
      </c>
      <c r="M12" s="64">
        <f>+M4</f>
        <v>1900000000</v>
      </c>
      <c r="N12" s="21">
        <f>+O14</f>
        <v>0</v>
      </c>
      <c r="O12" s="65">
        <f>+O4</f>
        <v>10000000000</v>
      </c>
      <c r="P12" s="63">
        <v>77243232</v>
      </c>
      <c r="Q12" s="64">
        <f>+Q4</f>
        <v>10000000001</v>
      </c>
      <c r="R12" s="21">
        <f>+S14</f>
        <v>2.9473684210526313E-3</v>
      </c>
      <c r="S12" s="65">
        <f>+S4</f>
        <v>25200000000</v>
      </c>
      <c r="T12" s="31">
        <v>122020483</v>
      </c>
      <c r="U12" s="64">
        <f>+U4</f>
        <v>25200000001</v>
      </c>
      <c r="V12" s="21">
        <f>+W14</f>
        <v>3.0158730158730161E-3</v>
      </c>
      <c r="W12" s="65">
        <f>+W4</f>
        <v>50400000000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21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</row>
    <row r="13" spans="2:119" ht="23.25" x14ac:dyDescent="0.35">
      <c r="B13" s="150" t="s">
        <v>45</v>
      </c>
      <c r="C13" s="168"/>
      <c r="D13" s="82">
        <f>SUM(D9:D12)</f>
        <v>16781524699</v>
      </c>
      <c r="E13" s="41"/>
      <c r="F13" s="81"/>
      <c r="G13" s="15"/>
      <c r="H13" s="15"/>
      <c r="I13" s="15"/>
      <c r="J13" s="49">
        <f>P12+R12*($D$3-Q12)</f>
        <v>95458661.458947361</v>
      </c>
      <c r="K13" s="9"/>
      <c r="L13" s="66" t="s">
        <v>91</v>
      </c>
      <c r="M13" s="62" t="s">
        <v>92</v>
      </c>
      <c r="N13" s="62" t="s">
        <v>93</v>
      </c>
      <c r="O13" s="67" t="s">
        <v>94</v>
      </c>
      <c r="P13" s="66" t="s">
        <v>91</v>
      </c>
      <c r="Q13" s="62" t="s">
        <v>92</v>
      </c>
      <c r="R13" s="62" t="s">
        <v>93</v>
      </c>
      <c r="S13" s="67" t="s">
        <v>94</v>
      </c>
      <c r="T13" s="62" t="s">
        <v>91</v>
      </c>
      <c r="U13" s="62" t="s">
        <v>92</v>
      </c>
      <c r="V13" s="62" t="s">
        <v>93</v>
      </c>
      <c r="W13" s="67" t="s">
        <v>94</v>
      </c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21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</row>
    <row r="14" spans="2:119" ht="23.25" x14ac:dyDescent="0.35">
      <c r="B14" s="43"/>
      <c r="C14" s="15"/>
      <c r="D14" s="15"/>
      <c r="E14" s="41"/>
      <c r="F14" s="81"/>
      <c r="G14" s="15"/>
      <c r="H14" s="15"/>
      <c r="I14" s="15" t="s">
        <v>99</v>
      </c>
      <c r="J14" s="49">
        <f>(P20+R20*($D$3-Q20))</f>
        <v>385245555.99782896</v>
      </c>
      <c r="K14" s="9"/>
      <c r="L14" s="68">
        <v>77.2</v>
      </c>
      <c r="M14" s="9">
        <v>77.2</v>
      </c>
      <c r="N14" s="9">
        <f t="shared" ref="N14:N15" si="9">+L14-M14</f>
        <v>0</v>
      </c>
      <c r="O14" s="163">
        <f>+N14/N15</f>
        <v>0</v>
      </c>
      <c r="P14" s="68">
        <v>122</v>
      </c>
      <c r="Q14" s="9">
        <f t="shared" ref="Q14:Q15" si="10">+L14</f>
        <v>77.2</v>
      </c>
      <c r="R14" s="9">
        <f t="shared" ref="R14:R15" si="11">+P14-Q14</f>
        <v>44.8</v>
      </c>
      <c r="S14" s="163">
        <f>+R14/R15</f>
        <v>2.9473684210526313E-3</v>
      </c>
      <c r="T14" s="9">
        <v>198</v>
      </c>
      <c r="U14" s="9">
        <f>+P14</f>
        <v>122</v>
      </c>
      <c r="V14" s="9">
        <f t="shared" ref="V14:V15" si="12">+T14-U14</f>
        <v>76</v>
      </c>
      <c r="W14" s="163">
        <f>+V14/V15</f>
        <v>3.0158730158730161E-3</v>
      </c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21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</row>
    <row r="15" spans="2:119" ht="23.25" x14ac:dyDescent="0.35">
      <c r="B15" s="15"/>
      <c r="C15" s="153" t="s">
        <v>80</v>
      </c>
      <c r="D15" s="146"/>
      <c r="E15" s="41"/>
      <c r="F15" s="81"/>
      <c r="G15" s="15"/>
      <c r="H15" s="83">
        <f t="shared" ref="H15:H16" si="13">+J15</f>
        <v>2</v>
      </c>
      <c r="I15" s="15" t="s">
        <v>100</v>
      </c>
      <c r="J15" s="84">
        <f>+IF($D$3=0,0,IF(AND($D$3&gt;=599999999,$D$3&lt;=M20),(1.5),IF(AND($D$3&gt;M20,$D$3&lt;=O20),(1.5),IF(AND($D$3&gt;Q20,$D$3&lt;=S20),(2),IF(AND($D$3&gt;U20,$D$3&lt;=W20),(2.5),IF($D$3&gt;W20,3,0))))))</f>
        <v>2</v>
      </c>
      <c r="K15" s="9"/>
      <c r="L15" s="70">
        <v>10000</v>
      </c>
      <c r="M15" s="71">
        <f>+M7</f>
        <v>1900</v>
      </c>
      <c r="N15" s="71">
        <f t="shared" si="9"/>
        <v>8100</v>
      </c>
      <c r="O15" s="164"/>
      <c r="P15" s="70">
        <v>25200</v>
      </c>
      <c r="Q15" s="71">
        <f t="shared" si="10"/>
        <v>10000</v>
      </c>
      <c r="R15" s="71">
        <f t="shared" si="11"/>
        <v>15200</v>
      </c>
      <c r="S15" s="164"/>
      <c r="T15" s="71">
        <f>W12/1000000</f>
        <v>50400</v>
      </c>
      <c r="U15" s="71">
        <v>25200</v>
      </c>
      <c r="V15" s="71">
        <f t="shared" si="12"/>
        <v>25200</v>
      </c>
      <c r="W15" s="164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21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</row>
    <row r="16" spans="2:119" ht="23.25" x14ac:dyDescent="0.35">
      <c r="B16" s="15"/>
      <c r="C16" s="15"/>
      <c r="D16" s="15"/>
      <c r="E16" s="44"/>
      <c r="F16" s="44"/>
      <c r="G16" s="15"/>
      <c r="H16" s="83">
        <f t="shared" si="13"/>
        <v>7</v>
      </c>
      <c r="I16" s="15" t="s">
        <v>101</v>
      </c>
      <c r="J16" s="84">
        <f>IF($D$3=0,0,IF(AND($D$3&gt;=599999999,$D$3&lt;=M20),(6),IF(AND($D$3&gt;M20,$D$3&lt;=O20),(6),IF(AND($D$3&gt;Q20,$D$3&lt;=S20),(7),IF(AND($D$3&gt;U20,$D$3&lt;=W20),(8),IF($D$3&gt;W20,9,0))))))</f>
        <v>7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21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</row>
    <row r="17" spans="2:117" ht="23.25" x14ac:dyDescent="0.35">
      <c r="B17" s="24" t="s">
        <v>39</v>
      </c>
      <c r="C17" s="25" t="s">
        <v>2</v>
      </c>
      <c r="D17" s="45" t="s">
        <v>81</v>
      </c>
      <c r="E17" s="15"/>
      <c r="F17" s="15"/>
      <c r="G17" s="15"/>
      <c r="H17" s="15"/>
      <c r="I17" s="15"/>
      <c r="J17" s="9"/>
      <c r="K17" s="9"/>
      <c r="L17" s="158" t="s">
        <v>102</v>
      </c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60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21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</row>
    <row r="18" spans="2:117" ht="23.25" x14ac:dyDescent="0.35">
      <c r="B18" s="27">
        <v>1</v>
      </c>
      <c r="C18" s="46" t="s">
        <v>41</v>
      </c>
      <c r="D18" s="85">
        <f>+H15</f>
        <v>2</v>
      </c>
      <c r="E18" s="15"/>
      <c r="F18" s="15"/>
      <c r="G18" s="15"/>
      <c r="H18" s="15"/>
      <c r="I18" s="15"/>
      <c r="J18" s="9"/>
      <c r="K18" s="9"/>
      <c r="L18" s="161" t="s">
        <v>84</v>
      </c>
      <c r="M18" s="159"/>
      <c r="N18" s="159"/>
      <c r="O18" s="160"/>
      <c r="P18" s="161" t="s">
        <v>85</v>
      </c>
      <c r="Q18" s="159"/>
      <c r="R18" s="159"/>
      <c r="S18" s="160"/>
      <c r="T18" s="162" t="s">
        <v>86</v>
      </c>
      <c r="U18" s="159"/>
      <c r="V18" s="159"/>
      <c r="W18" s="160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21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>
        <v>903</v>
      </c>
      <c r="DK18" s="32" t="e">
        <f t="shared" ref="DK18:DK19" si="14">+#REF!</f>
        <v>#REF!</v>
      </c>
      <c r="DL18" s="49" t="e">
        <f t="shared" ref="DL18:DL19" si="15">+DJ18*DK18</f>
        <v>#REF!</v>
      </c>
      <c r="DM18" s="9"/>
    </row>
    <row r="19" spans="2:117" ht="23.25" x14ac:dyDescent="0.35">
      <c r="B19" s="33">
        <v>2</v>
      </c>
      <c r="C19" s="48" t="s">
        <v>42</v>
      </c>
      <c r="D19" s="86">
        <f t="shared" ref="D19:D20" si="16">+H15</f>
        <v>2</v>
      </c>
      <c r="E19" s="15"/>
      <c r="F19" s="15"/>
      <c r="G19" s="15"/>
      <c r="H19" s="15"/>
      <c r="I19" s="15"/>
      <c r="J19" s="9"/>
      <c r="K19" s="9"/>
      <c r="L19" s="57" t="s">
        <v>87</v>
      </c>
      <c r="M19" s="58" t="s">
        <v>88</v>
      </c>
      <c r="N19" s="58" t="s">
        <v>89</v>
      </c>
      <c r="O19" s="59" t="s">
        <v>90</v>
      </c>
      <c r="P19" s="57" t="s">
        <v>87</v>
      </c>
      <c r="Q19" s="58" t="s">
        <v>88</v>
      </c>
      <c r="R19" s="58" t="s">
        <v>89</v>
      </c>
      <c r="S19" s="59" t="s">
        <v>90</v>
      </c>
      <c r="T19" s="58" t="s">
        <v>87</v>
      </c>
      <c r="U19" s="58" t="s">
        <v>88</v>
      </c>
      <c r="V19" s="58" t="s">
        <v>89</v>
      </c>
      <c r="W19" s="59" t="s">
        <v>90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21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>
        <v>70</v>
      </c>
      <c r="DK19" s="32" t="e">
        <f t="shared" si="14"/>
        <v>#REF!</v>
      </c>
      <c r="DL19" s="49" t="e">
        <f t="shared" si="15"/>
        <v>#REF!</v>
      </c>
      <c r="DM19" s="9"/>
    </row>
    <row r="20" spans="2:117" ht="23.25" x14ac:dyDescent="0.35">
      <c r="B20" s="33">
        <v>3</v>
      </c>
      <c r="C20" s="48" t="s">
        <v>43</v>
      </c>
      <c r="D20" s="86">
        <f t="shared" si="16"/>
        <v>7</v>
      </c>
      <c r="E20" s="15"/>
      <c r="F20" s="15"/>
      <c r="G20" s="15"/>
      <c r="H20" s="15"/>
      <c r="I20" s="15"/>
      <c r="J20" s="9"/>
      <c r="K20" s="9"/>
      <c r="L20" s="63">
        <v>333770704</v>
      </c>
      <c r="M20" s="64">
        <f>+M12</f>
        <v>1900000000</v>
      </c>
      <c r="N20" s="21">
        <f>+O22</f>
        <v>0</v>
      </c>
      <c r="O20" s="65">
        <f>+O12</f>
        <v>10000000000</v>
      </c>
      <c r="P20" s="63">
        <v>333770704</v>
      </c>
      <c r="Q20" s="64">
        <f>+Q12</f>
        <v>10000000001</v>
      </c>
      <c r="R20" s="21">
        <f>+S22</f>
        <v>8.3289473684210538E-3</v>
      </c>
      <c r="S20" s="65">
        <f>+S12</f>
        <v>25200000000</v>
      </c>
      <c r="T20" s="31">
        <v>460376812</v>
      </c>
      <c r="U20" s="64">
        <f>+U12</f>
        <v>25200000001</v>
      </c>
      <c r="V20" s="21">
        <f>+W22</f>
        <v>6.2261904761904772E-3</v>
      </c>
      <c r="W20" s="65">
        <f>+W12</f>
        <v>50400000000</v>
      </c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21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49" t="e">
        <f>+DL19+DL18</f>
        <v>#REF!</v>
      </c>
      <c r="DM20" s="9"/>
    </row>
    <row r="21" spans="2:117" ht="15.75" customHeight="1" x14ac:dyDescent="0.35">
      <c r="B21" s="38">
        <v>4</v>
      </c>
      <c r="C21" s="50" t="s">
        <v>44</v>
      </c>
      <c r="D21" s="86">
        <f>+H16</f>
        <v>7</v>
      </c>
      <c r="E21" s="15"/>
      <c r="F21" s="15"/>
      <c r="G21" s="15"/>
      <c r="H21" s="15"/>
      <c r="I21" s="15"/>
      <c r="J21" s="9"/>
      <c r="K21" s="9"/>
      <c r="L21" s="66" t="s">
        <v>91</v>
      </c>
      <c r="M21" s="62" t="s">
        <v>92</v>
      </c>
      <c r="N21" s="62" t="s">
        <v>93</v>
      </c>
      <c r="O21" s="67" t="s">
        <v>94</v>
      </c>
      <c r="P21" s="66" t="s">
        <v>91</v>
      </c>
      <c r="Q21" s="62" t="s">
        <v>92</v>
      </c>
      <c r="R21" s="62" t="s">
        <v>93</v>
      </c>
      <c r="S21" s="67" t="s">
        <v>94</v>
      </c>
      <c r="T21" s="62" t="s">
        <v>91</v>
      </c>
      <c r="U21" s="62" t="s">
        <v>92</v>
      </c>
      <c r="V21" s="62" t="s">
        <v>93</v>
      </c>
      <c r="W21" s="67" t="s">
        <v>94</v>
      </c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21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</row>
    <row r="22" spans="2:117" ht="15.75" customHeight="1" x14ac:dyDescent="0.35">
      <c r="B22" s="150" t="s">
        <v>82</v>
      </c>
      <c r="C22" s="168"/>
      <c r="D22" s="87">
        <f>+D19+D20</f>
        <v>9</v>
      </c>
      <c r="E22" s="15"/>
      <c r="F22" s="15"/>
      <c r="G22" s="15"/>
      <c r="H22" s="15"/>
      <c r="I22" s="15"/>
      <c r="J22" s="9"/>
      <c r="K22" s="9"/>
      <c r="L22" s="9">
        <v>333.7</v>
      </c>
      <c r="M22" s="9">
        <v>333.7</v>
      </c>
      <c r="N22" s="9">
        <f t="shared" ref="N22:N23" si="17">+L22-M22</f>
        <v>0</v>
      </c>
      <c r="O22" s="163">
        <f>+N22/N23</f>
        <v>0</v>
      </c>
      <c r="P22" s="68">
        <v>460.3</v>
      </c>
      <c r="Q22" s="9">
        <v>333.7</v>
      </c>
      <c r="R22" s="9">
        <f t="shared" ref="R22:R23" si="18">+P22-Q22</f>
        <v>126.60000000000002</v>
      </c>
      <c r="S22" s="163">
        <f>+R22/R23</f>
        <v>8.3289473684210538E-3</v>
      </c>
      <c r="T22" s="9">
        <v>617.20000000000005</v>
      </c>
      <c r="U22" s="9">
        <f>+P22</f>
        <v>460.3</v>
      </c>
      <c r="V22" s="9">
        <f t="shared" ref="V22:V23" si="19">+T22-U22</f>
        <v>156.90000000000003</v>
      </c>
      <c r="W22" s="163">
        <f>+V22/V23</f>
        <v>6.2261904761904772E-3</v>
      </c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21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53">
        <v>145500000</v>
      </c>
      <c r="DM22" s="9"/>
    </row>
    <row r="23" spans="2:117" ht="15.75" customHeight="1" x14ac:dyDescent="0.25">
      <c r="B23" s="15"/>
      <c r="C23" s="15"/>
      <c r="D23" s="15"/>
      <c r="E23" s="15"/>
      <c r="F23" s="15"/>
      <c r="G23" s="15"/>
      <c r="H23" s="15"/>
      <c r="I23" s="15"/>
      <c r="J23" s="9"/>
      <c r="K23" s="9"/>
      <c r="L23" s="70">
        <v>10000</v>
      </c>
      <c r="M23" s="71">
        <f>+M15</f>
        <v>1900</v>
      </c>
      <c r="N23" s="71">
        <f t="shared" si="17"/>
        <v>8100</v>
      </c>
      <c r="O23" s="164"/>
      <c r="P23" s="70">
        <v>25200</v>
      </c>
      <c r="Q23" s="71">
        <f>+L23</f>
        <v>10000</v>
      </c>
      <c r="R23" s="71">
        <f t="shared" si="18"/>
        <v>15200</v>
      </c>
      <c r="S23" s="164"/>
      <c r="T23" s="71">
        <f>W20/1000000</f>
        <v>50400</v>
      </c>
      <c r="U23" s="71">
        <v>25200</v>
      </c>
      <c r="V23" s="71">
        <f t="shared" si="19"/>
        <v>25200</v>
      </c>
      <c r="W23" s="164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21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53">
        <v>58200000</v>
      </c>
      <c r="DM23" s="54">
        <v>7.0000000000000007E-2</v>
      </c>
    </row>
    <row r="24" spans="2:117" ht="15.75" customHeight="1" x14ac:dyDescent="0.25">
      <c r="B24" s="15"/>
      <c r="C24" s="15"/>
      <c r="D24" s="15"/>
      <c r="E24" s="15"/>
      <c r="F24" s="15"/>
      <c r="G24" s="15"/>
      <c r="H24" s="15"/>
      <c r="I24" s="15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21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53" t="e">
        <f>+DL20*DM23</f>
        <v>#REF!</v>
      </c>
      <c r="DM24" s="9"/>
    </row>
    <row r="25" spans="2:117" ht="15.75" customHeight="1" x14ac:dyDescent="0.25">
      <c r="B25" s="15"/>
      <c r="C25" s="15"/>
      <c r="D25" s="15"/>
      <c r="E25" s="15"/>
      <c r="F25" s="15"/>
      <c r="G25" s="15"/>
      <c r="H25" s="15"/>
      <c r="I25" s="15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21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55" t="e">
        <f>+DL24+DL23+DL22+DL20</f>
        <v>#REF!</v>
      </c>
      <c r="DM25" s="54">
        <v>0.15</v>
      </c>
    </row>
    <row r="26" spans="2:117" ht="15.75" customHeight="1" x14ac:dyDescent="0.25">
      <c r="B26" s="15"/>
      <c r="C26" s="15"/>
      <c r="D26" s="15"/>
      <c r="E26" s="15"/>
      <c r="F26" s="15"/>
      <c r="G26" s="15"/>
      <c r="H26" s="15"/>
      <c r="I26" s="15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21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53" t="e">
        <f>+DL25*DM25</f>
        <v>#REF!</v>
      </c>
      <c r="DM26" s="9"/>
    </row>
    <row r="27" spans="2:117" ht="15.75" customHeight="1" x14ac:dyDescent="0.25">
      <c r="B27" s="15"/>
      <c r="C27" s="15"/>
      <c r="D27" s="15"/>
      <c r="E27" s="15"/>
      <c r="F27" s="15"/>
      <c r="G27" s="15"/>
      <c r="H27" s="15"/>
      <c r="I27" s="15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21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</row>
    <row r="28" spans="2:117" ht="15.75" customHeight="1" x14ac:dyDescent="0.25">
      <c r="B28" s="15"/>
      <c r="C28" s="15"/>
      <c r="D28" s="15"/>
      <c r="E28" s="15"/>
      <c r="F28" s="15"/>
      <c r="G28" s="15"/>
      <c r="H28" s="15"/>
      <c r="I28" s="15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21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</row>
    <row r="29" spans="2:117" ht="15.75" customHeight="1" x14ac:dyDescent="0.25">
      <c r="B29" s="9"/>
      <c r="C29" s="9"/>
      <c r="D29" s="9"/>
      <c r="E29" s="15"/>
      <c r="F29" s="15"/>
      <c r="G29" s="15"/>
      <c r="H29" s="15"/>
      <c r="I29" s="15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21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</row>
    <row r="30" spans="2:117" ht="15.75" customHeight="1" x14ac:dyDescent="0.25">
      <c r="B30" s="9"/>
      <c r="C30" s="9"/>
      <c r="D30" s="9"/>
      <c r="E30" s="15"/>
      <c r="F30" s="15"/>
      <c r="G30" s="15"/>
      <c r="H30" s="15"/>
      <c r="I30" s="15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21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</row>
    <row r="31" spans="2:117" ht="15.75" customHeight="1" x14ac:dyDescent="0.25">
      <c r="B31" s="9"/>
      <c r="C31" s="9"/>
      <c r="D31" s="9"/>
      <c r="E31" s="15"/>
      <c r="F31" s="15"/>
      <c r="G31" s="15"/>
      <c r="H31" s="15"/>
      <c r="I31" s="15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21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</row>
    <row r="32" spans="2:117" ht="15.75" customHeight="1" x14ac:dyDescent="0.25">
      <c r="B32" s="9"/>
      <c r="C32" s="9"/>
      <c r="D32" s="9"/>
      <c r="E32" s="15"/>
      <c r="F32" s="15"/>
      <c r="G32" s="15"/>
      <c r="H32" s="15"/>
      <c r="I32" s="15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21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>
        <f>902.72+71.28</f>
        <v>974</v>
      </c>
      <c r="DK32" s="9">
        <f>451.36+35.64</f>
        <v>487</v>
      </c>
      <c r="DL32" s="9"/>
      <c r="DM32" s="9"/>
    </row>
    <row r="33" spans="84:115" ht="15.75" customHeight="1" x14ac:dyDescent="0.25"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>
        <f>903+70</f>
        <v>973</v>
      </c>
      <c r="DK33" s="9"/>
    </row>
    <row r="34" spans="84:115" ht="15.75" customHeight="1" x14ac:dyDescent="0.25"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</row>
    <row r="35" spans="84:115" ht="15.75" customHeight="1" x14ac:dyDescent="0.25"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</row>
    <row r="36" spans="84:115" ht="15.75" customHeight="1" x14ac:dyDescent="0.25"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</row>
    <row r="37" spans="84:115" ht="15.75" customHeight="1" x14ac:dyDescent="0.25"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</row>
    <row r="38" spans="84:115" ht="15.75" customHeight="1" x14ac:dyDescent="0.25"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</row>
    <row r="39" spans="84:115" ht="15.75" customHeight="1" x14ac:dyDescent="0.25"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</row>
    <row r="40" spans="84:115" ht="15.75" customHeight="1" x14ac:dyDescent="0.25"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</row>
    <row r="41" spans="84:115" ht="15.75" customHeight="1" x14ac:dyDescent="0.25"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</row>
    <row r="42" spans="84:115" ht="15.75" customHeight="1" x14ac:dyDescent="0.25"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</row>
    <row r="43" spans="84:115" ht="15.75" customHeight="1" x14ac:dyDescent="0.25"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</row>
    <row r="44" spans="84:115" ht="15.75" customHeight="1" x14ac:dyDescent="0.25"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</row>
    <row r="45" spans="84:115" ht="15.75" customHeight="1" x14ac:dyDescent="0.25"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</row>
    <row r="46" spans="84:115" ht="15.75" customHeight="1" x14ac:dyDescent="0.25">
      <c r="CF46" s="9">
        <v>2005</v>
      </c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</row>
    <row r="47" spans="84:115" ht="15.75" customHeight="1" x14ac:dyDescent="0.25">
      <c r="CF47" s="9">
        <v>4.8499999999999996</v>
      </c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</row>
    <row r="48" spans="84:115" ht="15.75" customHeight="1" x14ac:dyDescent="0.25">
      <c r="CF48" s="9">
        <v>2006</v>
      </c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</row>
    <row r="49" spans="84:84" ht="15.75" customHeight="1" x14ac:dyDescent="0.25">
      <c r="CF49" s="9">
        <v>4.4800000000000004</v>
      </c>
    </row>
    <row r="50" spans="84:84" ht="15.75" customHeight="1" x14ac:dyDescent="0.25">
      <c r="CF50" s="9">
        <v>2007</v>
      </c>
    </row>
    <row r="51" spans="84:84" ht="15.75" customHeight="1" x14ac:dyDescent="0.25">
      <c r="CF51" s="9">
        <v>5.69</v>
      </c>
    </row>
    <row r="52" spans="84:84" ht="15.75" customHeight="1" x14ac:dyDescent="0.25">
      <c r="CF52" s="9">
        <v>2008</v>
      </c>
    </row>
    <row r="53" spans="84:84" ht="15.75" customHeight="1" x14ac:dyDescent="0.25">
      <c r="CF53" s="9">
        <v>7.67</v>
      </c>
    </row>
    <row r="54" spans="84:84" ht="15.75" customHeight="1" x14ac:dyDescent="0.25">
      <c r="CF54" s="9">
        <v>2009</v>
      </c>
    </row>
    <row r="55" spans="84:84" ht="15.75" customHeight="1" x14ac:dyDescent="0.25">
      <c r="CF55" s="9">
        <v>2</v>
      </c>
    </row>
    <row r="56" spans="84:84" ht="15.75" customHeight="1" x14ac:dyDescent="0.25">
      <c r="CF56" s="9">
        <v>2010</v>
      </c>
    </row>
    <row r="57" spans="84:84" ht="15.75" customHeight="1" x14ac:dyDescent="0.25">
      <c r="CF57" s="9">
        <v>3.17</v>
      </c>
    </row>
    <row r="58" spans="84:84" ht="15.75" customHeight="1" x14ac:dyDescent="0.25">
      <c r="CF58" s="9">
        <v>2011</v>
      </c>
    </row>
    <row r="59" spans="84:84" ht="15.75" customHeight="1" x14ac:dyDescent="0.25">
      <c r="CF59" s="9">
        <v>3.73</v>
      </c>
    </row>
    <row r="60" spans="84:84" ht="15.75" customHeight="1" x14ac:dyDescent="0.25">
      <c r="CF60" s="9">
        <v>2012</v>
      </c>
    </row>
    <row r="61" spans="84:84" ht="15.75" customHeight="1" x14ac:dyDescent="0.25">
      <c r="CF61" s="9">
        <v>2.44</v>
      </c>
    </row>
    <row r="62" spans="84:84" ht="15.75" customHeight="1" x14ac:dyDescent="0.25">
      <c r="CF62" s="9">
        <v>2013</v>
      </c>
    </row>
    <row r="63" spans="84:84" ht="15.75" customHeight="1" x14ac:dyDescent="0.25">
      <c r="CF63" s="9">
        <v>1.94</v>
      </c>
    </row>
    <row r="64" spans="84:84" ht="15.75" customHeight="1" x14ac:dyDescent="0.25">
      <c r="CF64" s="9">
        <v>2014</v>
      </c>
    </row>
    <row r="65" spans="84:84" ht="15.75" customHeight="1" x14ac:dyDescent="0.25">
      <c r="CF65" s="9">
        <v>3.66</v>
      </c>
    </row>
    <row r="66" spans="84:84" ht="15.75" customHeight="1" x14ac:dyDescent="0.25">
      <c r="CF66" s="9">
        <v>2015</v>
      </c>
    </row>
    <row r="67" spans="84:84" ht="15.75" customHeight="1" x14ac:dyDescent="0.25">
      <c r="CF67" s="9">
        <v>6.77</v>
      </c>
    </row>
    <row r="68" spans="84:84" ht="15.75" customHeight="1" x14ac:dyDescent="0.25">
      <c r="CF68" s="9">
        <v>2016</v>
      </c>
    </row>
    <row r="69" spans="84:84" ht="15.75" customHeight="1" x14ac:dyDescent="0.25">
      <c r="CF69" s="9">
        <v>5.75</v>
      </c>
    </row>
    <row r="70" spans="84:84" ht="15.75" customHeight="1" x14ac:dyDescent="0.25">
      <c r="CF70" s="9">
        <v>2017</v>
      </c>
    </row>
    <row r="71" spans="84:84" ht="15.75" customHeight="1" x14ac:dyDescent="0.25">
      <c r="CF71" s="9">
        <v>4.09</v>
      </c>
    </row>
    <row r="72" spans="84:84" ht="15.75" customHeight="1" x14ac:dyDescent="0.25">
      <c r="CF72" s="9">
        <v>2018</v>
      </c>
    </row>
    <row r="73" spans="84:84" ht="15.75" customHeight="1" x14ac:dyDescent="0.25">
      <c r="CF73" s="9">
        <v>3.18</v>
      </c>
    </row>
  </sheetData>
  <mergeCells count="30">
    <mergeCell ref="B22:C22"/>
    <mergeCell ref="O22:O23"/>
    <mergeCell ref="S22:S23"/>
    <mergeCell ref="W22:W23"/>
    <mergeCell ref="L10:O10"/>
    <mergeCell ref="P10:S10"/>
    <mergeCell ref="B13:C13"/>
    <mergeCell ref="O14:O15"/>
    <mergeCell ref="S14:S15"/>
    <mergeCell ref="W14:W15"/>
    <mergeCell ref="C15:D15"/>
    <mergeCell ref="BH8:BH10"/>
    <mergeCell ref="L9:W9"/>
    <mergeCell ref="T10:W10"/>
    <mergeCell ref="L17:W17"/>
    <mergeCell ref="L18:O18"/>
    <mergeCell ref="P18:S18"/>
    <mergeCell ref="T18:W18"/>
    <mergeCell ref="DN5:DN6"/>
    <mergeCell ref="DO5:DO6"/>
    <mergeCell ref="B3:C3"/>
    <mergeCell ref="C6:D6"/>
    <mergeCell ref="O6:O7"/>
    <mergeCell ref="S6:S7"/>
    <mergeCell ref="W6:W7"/>
    <mergeCell ref="L1:W1"/>
    <mergeCell ref="L2:O2"/>
    <mergeCell ref="P2:S2"/>
    <mergeCell ref="T2:W2"/>
    <mergeCell ref="DM5:DM6"/>
  </mergeCells>
  <pageMargins left="0.7" right="0.7" top="0.75" bottom="0.75" header="0" footer="0"/>
  <pageSetup scale="97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IMPLEMENTACIÓN</vt:lpstr>
      <vt:lpstr>VALOR ELECTRICO</vt:lpstr>
      <vt:lpstr>VALOR OBRA CIVIL</vt:lpstr>
      <vt:lpstr>ML FIBRA</vt:lpstr>
      <vt:lpstr>VALOR PROYECTO</vt:lpstr>
      <vt:lpstr>Calculo consultorías (2)</vt:lpstr>
      <vt:lpstr>IMPLEMENTACIÓN!Área_de_impresión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 Ramiro villamizar pabon</dc:creator>
  <cp:lastModifiedBy>Carol Judith Ruiz Martinez</cp:lastModifiedBy>
  <cp:lastPrinted>2025-02-21T13:25:47Z</cp:lastPrinted>
  <dcterms:created xsi:type="dcterms:W3CDTF">2024-01-04T16:08:53Z</dcterms:created>
  <dcterms:modified xsi:type="dcterms:W3CDTF">2026-07-07T16:18:32Z</dcterms:modified>
</cp:coreProperties>
</file>