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E:\ICANH\CARPETA 2026\PROCESO 2026\SELECCIÓN ABREVIADA SUBASTA INVERSA\TIQUETES\EVALUACIONES\DEFINITIVAS\"/>
    </mc:Choice>
  </mc:AlternateContent>
  <xr:revisionPtr revIDLastSave="0" documentId="13_ncr:1_{46574C4D-D773-4467-A3BF-D15D82FDA600}" xr6:coauthVersionLast="47" xr6:coauthVersionMax="47" xr10:uidLastSave="{00000000-0000-0000-0000-000000000000}"/>
  <workbookProtection workbookAlgorithmName="SHA-512" workbookHashValue="gO41bHMQJLquMCOz9ue9pSffFcYlEVnkCfH72PJzo7wSvqMOf3ee77aZajIr21odzs9WbfoOyvS1oI+HeIyOMw==" workbookSaltValue="br3M3citXtgF02tbgVOq1g==" workbookSpinCount="100000" lockStructure="1"/>
  <bookViews>
    <workbookView xWindow="-110" yWindow="-110" windowWidth="19420" windowHeight="10300" firstSheet="1" activeTab="1" xr2:uid="{5FE01D1E-100F-4F3A-B8DA-B654FECF1605}"/>
  </bookViews>
  <sheets>
    <sheet name="Ofertas Recibidas" sheetId="6" state="hidden" r:id="rId1"/>
    <sheet name="Subasta" sheetId="8" r:id="rId2"/>
    <sheet name="VALIDACION" sheetId="16" state="hidden" r:id="rId3"/>
    <sheet name="TarifasContrato" sheetId="15" r:id="rId4"/>
    <sheet name="Precios Artif Bajos (V2)" sheetId="9" r:id="rId5"/>
    <sheet name="Precios Artif Bajos" sheetId="7" state="hidden" r:id="rId6"/>
    <sheet name="1" sheetId="1" r:id="rId7"/>
    <sheet name="2" sheetId="2" r:id="rId8"/>
    <sheet name="3" sheetId="3" r:id="rId9"/>
    <sheet name="4" sheetId="4" r:id="rId10"/>
    <sheet name="Configuración" sheetId="10" r:id="rId11"/>
    <sheet name="Proveedores online" sheetId="11" r:id="rId12"/>
    <sheet name="Último Lance" sheetId="12" r:id="rId13"/>
    <sheet name="Registro de lances" sheetId="13" r:id="rId14"/>
    <sheet name="Mensajes" sheetId="14"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5" hidden="1">{0,#N/A,FALSE,0;0,#N/A,FALSE,0;0,#N/A,FALSE,0;0,#N/A,FALSE,0;0,#N/A,FALSE,0;0,#N/A,FALSE,0}</definedName>
    <definedName name="_456" localSheetId="4" hidden="1">{0,#N/A,FALSE,0;0,#N/A,FALSE,0;0,#N/A,FALSE,0;0,#N/A,FALSE,0;0,#N/A,FALSE,0;0,#N/A,FALSE,0}</definedName>
    <definedName name="_456" hidden="1">{0,#N/A,FALSE,0;0,#N/A,FALSE,0;0,#N/A,FALSE,0;0,#N/A,FALSE,0;0,#N/A,FALSE,0;0,#N/A,FALSE,0}</definedName>
    <definedName name="_Fill" hidden="1">#REF!</definedName>
    <definedName name="_xlnm._FilterDatabase" hidden="1">#REF!</definedName>
    <definedName name="_NDC1" localSheetId="5" hidden="1">{"'内訳表'!$B$2:$N$64"}</definedName>
    <definedName name="_NDC1" localSheetId="4" hidden="1">{"'内訳表'!$B$2:$N$64"}</definedName>
    <definedName name="_NDC1" hidden="1">{"'内訳表'!$B$2:$N$64"}</definedName>
    <definedName name="_Order1" hidden="1">0</definedName>
    <definedName name="_Order2" hidden="1">255</definedName>
    <definedName name="_r3d" localSheetId="5" hidden="1">{#N/A,#N/A,FALSE,"POLONNA 8";#N/A,#N/A,FALSE,"POLONNA 7";#N/A,#N/A,FALSE,"POLONNA 6";#N/A,#N/A,FALSE,"POLONNA 5 ";#N/A,#N/A,FALSE,"POLONNA 3";#N/A,#N/A,FALSE,"POLONNA 4";#N/A,#N/A,FALSE,"POLONNA 2";#N/A,#N/A,FALSE,"POLONNA 1"}</definedName>
    <definedName name="_r3d" localSheetId="4"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localSheetId="5" hidden="1">{#N/A,#N/A,TRUE,"Report"}</definedName>
    <definedName name="afdgbva" localSheetId="4" hidden="1">{#N/A,#N/A,TRUE,"Report"}</definedName>
    <definedName name="afdgbva" hidden="1">{#N/A,#N/A,TRUE,"Report"}</definedName>
    <definedName name="aga" localSheetId="5" hidden="1">{#N/A,#N/A,TRUE,"Report"}</definedName>
    <definedName name="aga" localSheetId="4"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 hidden="1">#REF!</definedName>
    <definedName name="AVBC" hidden="1">#REF!</definedName>
    <definedName name="AXCC" hidden="1">#REF!</definedName>
    <definedName name="AXX" hidden="1">#REF!</definedName>
    <definedName name="Aグラフ" hidden="1">#REF!</definedName>
    <definedName name="badb" localSheetId="5" hidden="1">{"MG-2002-F1",#N/A,FALSE,"PPU-Telemig";"MG-2002-F2",#N/A,FALSE,"PPU-Telemig";"MG-2002-F3",#N/A,FALSE,"PPU-Telemig";"MG-2002-F4",#N/A,FALSE,"PPU-Telemig";"MG-2003-F1",#N/A,FALSE,"PPU-Telemig";"MG-2004-F1",#N/A,FALSE,"PPU-Telemig"}</definedName>
    <definedName name="badb" localSheetId="4"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5" hidden="1">{"'内訳表'!$B$2:$N$64"}</definedName>
    <definedName name="bn" localSheetId="4"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hidden="1">#REF!</definedName>
    <definedName name="dfgd56" localSheetId="5" hidden="1">{0,#N/A,FALSE,0;0,#N/A,FALSE,0;0,#N/A,FALSE,0;0,#N/A,FALSE,0;0,#N/A,FALSE,0;0,#N/A,FALSE,0}</definedName>
    <definedName name="dfgd56" localSheetId="4"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5" hidden="1">{"'内訳表'!$B$2:$N$64"}</definedName>
    <definedName name="dgb" localSheetId="4" hidden="1">{"'内訳表'!$B$2:$N$64"}</definedName>
    <definedName name="dgb" hidden="1">{"'内訳表'!$B$2:$N$64"}</definedName>
    <definedName name="dhb" localSheetId="5" hidden="1">{"'内訳表'!$B$2:$N$64"}</definedName>
    <definedName name="dhb" localSheetId="4" hidden="1">{"'内訳表'!$B$2:$N$64"}</definedName>
    <definedName name="dhb" hidden="1">{"'内訳表'!$B$2:$N$64"}</definedName>
    <definedName name="dszgre" localSheetId="5" hidden="1">{"MG-2002-F1",#N/A,FALSE,"PPU-Telemig";"MG-2002-F2",#N/A,FALSE,"PPU-Telemig";"MG-2002-F3",#N/A,FALSE,"PPU-Telemig";"MG-2002-F4",#N/A,FALSE,"PPU-Telemig";"MG-2003-F1",#N/A,FALSE,"PPU-Telemig";"MG-2004-F1",#N/A,FALSE,"PPU-Telemig"}</definedName>
    <definedName name="dszgre" localSheetId="4"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5" hidden="1">{"'内訳表'!$B$2:$N$64"}</definedName>
    <definedName name="eagrbve" localSheetId="4" hidden="1">{"'内訳表'!$B$2:$N$64"}</definedName>
    <definedName name="eagrbve" hidden="1">{"'内訳表'!$B$2:$N$64"}</definedName>
    <definedName name="eargbwrg" localSheetId="5" hidden="1">{"'内訳表'!$B$2:$N$64"}</definedName>
    <definedName name="eargbwrg" localSheetId="4" hidden="1">{"'内訳表'!$B$2:$N$64"}</definedName>
    <definedName name="eargbwrg" hidden="1">{"'内訳表'!$B$2:$N$64"}</definedName>
    <definedName name="EE" localSheetId="5" hidden="1">{"MG-2002-F1",#N/A,FALSE,"PPU-Telemig";"MG-2002-F2",#N/A,FALSE,"PPU-Telemig";"MG-2002-F3",#N/A,FALSE,"PPU-Telemig";"MG-2002-F4",#N/A,FALSE,"PPU-Telemig";"MG-2003-F1",#N/A,FALSE,"PPU-Telemig";"MG-2004-F1",#N/A,FALSE,"PPU-Telemig"}</definedName>
    <definedName name="EE" localSheetId="4"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5" hidden="1">{"MG-2002-F1",#N/A,FALSE,"PPU-Telemig";"MG-2002-F2",#N/A,FALSE,"PPU-Telemig";"MG-2002-F3",#N/A,FALSE,"PPU-Telemig";"MG-2002-F4",#N/A,FALSE,"PPU-Telemig";"MG-2003-F1",#N/A,FALSE,"PPU-Telemig";"MG-2004-F1",#N/A,FALSE,"PPU-Telemig"}</definedName>
    <definedName name="ET" localSheetId="4"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localSheetId="5" hidden="1">{"MG-2002-F1",#N/A,FALSE,"PPU-Telemig";"MG-2002-F2",#N/A,FALSE,"PPU-Telemig";"MG-2002-F3",#N/A,FALSE,"PPU-Telemig";"MG-2002-F4",#N/A,FALSE,"PPU-Telemig";"MG-2003-F1",#N/A,FALSE,"PPU-Telemig";"MG-2004-F1",#N/A,FALSE,"PPU-Telemig"}</definedName>
    <definedName name="fbvdv" localSheetId="4"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5" hidden="1">{#N/A,#N/A,TRUE,"Report"}</definedName>
    <definedName name="ff" localSheetId="4" hidden="1">{#N/A,#N/A,TRUE,"Report"}</definedName>
    <definedName name="ff" hidden="1">{#N/A,#N/A,TRUE,"Report"}</definedName>
    <definedName name="FFF" localSheetId="5" hidden="1">{"MG-2002-F1",#N/A,FALSE,"PPU-Telemig";"MG-2002-F2",#N/A,FALSE,"PPU-Telemig";"MG-2002-F3",#N/A,FALSE,"PPU-Telemig";"MG-2002-F4",#N/A,FALSE,"PPU-Telemig";"MG-2003-F1",#N/A,FALSE,"PPU-Telemig";"MG-2004-F1",#N/A,FALSE,"PPU-Telemig"}</definedName>
    <definedName name="FFF" localSheetId="4"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5" hidden="1">{"'内訳表'!$B$2:$N$64"}</definedName>
    <definedName name="fgsznzfd" localSheetId="4" hidden="1">{"'内訳表'!$B$2:$N$64"}</definedName>
    <definedName name="fgsznzfd" hidden="1">{"'内訳表'!$B$2:$N$64"}</definedName>
    <definedName name="fgxnbf" localSheetId="5" hidden="1">{"MG-2002-F1",#N/A,FALSE,"PPU-Telemig";"MG-2002-F2",#N/A,FALSE,"PPU-Telemig";"MG-2002-F3",#N/A,FALSE,"PPU-Telemig";"MG-2002-F4",#N/A,FALSE,"PPU-Telemig";"MG-2003-F1",#N/A,FALSE,"PPU-Telemig";"MG-2004-F1",#N/A,FALSE,"PPU-Telemig"}</definedName>
    <definedName name="fgxnbf" localSheetId="4"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5" hidden="1">{0,#N/A,FALSE,0;0,#N/A,FALSE,0;0,#N/A,FALSE,0;0,#N/A,FALSE,0;0,#N/A,FALSE,0;0,#N/A,FALSE,0}</definedName>
    <definedName name="FSDFSD" localSheetId="4" hidden="1">{0,#N/A,FALSE,0;0,#N/A,FALSE,0;0,#N/A,FALSE,0;0,#N/A,FALSE,0;0,#N/A,FALSE,0;0,#N/A,FALSE,0}</definedName>
    <definedName name="FSDFSD" hidden="1">{0,#N/A,FALSE,0;0,#N/A,FALSE,0;0,#N/A,FALSE,0;0,#N/A,FALSE,0;0,#N/A,FALSE,0;0,#N/A,FALSE,0}</definedName>
    <definedName name="fsmnfs" localSheetId="5" hidden="1">{"MG-2002-F1",#N/A,FALSE,"PPU-Telemig";"MG-2002-F2",#N/A,FALSE,"PPU-Telemig";"MG-2002-F3",#N/A,FALSE,"PPU-Telemig";"MG-2002-F4",#N/A,FALSE,"PPU-Telemig";"MG-2003-F1",#N/A,FALSE,"PPU-Telemig";"MG-2004-F1",#N/A,FALSE,"PPU-Telemig"}</definedName>
    <definedName name="fsmnfs" localSheetId="4"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hidden="1">#REF!</definedName>
    <definedName name="gbvREDSAb" localSheetId="5" hidden="1">{"MG-2002-F1",#N/A,FALSE,"PPU-Telemig";"MG-2002-F2",#N/A,FALSE,"PPU-Telemig";"MG-2002-F3",#N/A,FALSE,"PPU-Telemig";"MG-2002-F4",#N/A,FALSE,"PPU-Telemig";"MG-2003-F1",#N/A,FALSE,"PPU-Telemig";"MG-2004-F1",#N/A,FALSE,"PPU-Telemig"}</definedName>
    <definedName name="gbvREDSAb" localSheetId="4"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5" hidden="1">{"MG-2002-F1",#N/A,FALSE,"PPU-Telemig";"MG-2002-F2",#N/A,FALSE,"PPU-Telemig";"MG-2002-F3",#N/A,FALSE,"PPU-Telemig";"MG-2002-F4",#N/A,FALSE,"PPU-Telemig";"MG-2003-F1",#N/A,FALSE,"PPU-Telemig";"MG-2004-F1",#N/A,FALSE,"PPU-Telemig"}</definedName>
    <definedName name="hhjn" localSheetId="4"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5" hidden="1">{#N/A,#N/A,FALSE,"KEGELLE 1 (3)";#N/A,#N/A,FALSE,"KEGELLE 2 (3)";#N/A,#N/A,FALSE,"KEGELLE 3 (3)";#N/A,#N/A,FALSE,"KEGELLE 4 (3)";#N/A,#N/A,FALSE,"KEGELLE 5 (3)";#N/A,#N/A,FALSE,"KEGELLE 6 (3)";#N/A,#N/A,FALSE,"KEGELLE 7 (3)"}</definedName>
    <definedName name="hjm" localSheetId="4"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5" hidden="1">{#N/A,#N/A,FALSE,"KEGELLE 1 (2)";#N/A,#N/A,FALSE,"KEGELLE 2 (2)";#N/A,#N/A,FALSE,"KEGELLE 3 (2)";#N/A,#N/A,FALSE,"KEGELLE 4 (2)";#N/A,#N/A,FALSE,"KEGELLE 5 (2)";#N/A,#N/A,FALSE,"KEGELLE 6 (2)";#N/A,#N/A,FALSE,"KEGELLE 7 (2)"}</definedName>
    <definedName name="hjmhg" localSheetId="4"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5" hidden="1">{#N/A,#N/A,TRUE,"Report"}</definedName>
    <definedName name="hmstj" localSheetId="4" hidden="1">{#N/A,#N/A,TRUE,"Report"}</definedName>
    <definedName name="hmstj" hidden="1">{#N/A,#N/A,TRUE,"Report"}</definedName>
    <definedName name="hnfg" localSheetId="5" hidden="1">{"MG-2002-F1",#N/A,FALSE,"PPU-Telemig";"MG-2002-F2",#N/A,FALSE,"PPU-Telemig";"MG-2002-F3",#N/A,FALSE,"PPU-Telemig";"MG-2002-F4",#N/A,FALSE,"PPU-Telemig";"MG-2003-F1",#N/A,FALSE,"PPU-Telemig";"MG-2004-F1",#N/A,FALSE,"PPU-Telemig"}</definedName>
    <definedName name="hnfg" localSheetId="4"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5" hidden="1">{"'内訳表'!$B$2:$N$64"}</definedName>
    <definedName name="hsf" localSheetId="4" hidden="1">{"'内訳表'!$B$2:$N$64"}</definedName>
    <definedName name="hsf" hidden="1">{"'内訳表'!$B$2:$N$64"}</definedName>
    <definedName name="HTML_CodePage" hidden="1">932</definedName>
    <definedName name="HTML_Control" localSheetId="5" hidden="1">{"'内訳表'!$B$2:$N$64"}</definedName>
    <definedName name="HTML_Control" localSheetId="4"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5" hidden="1">{"'内訳表'!$B$2:$N$64"}</definedName>
    <definedName name="ii" localSheetId="4" hidden="1">{"'内訳表'!$B$2:$N$64"}</definedName>
    <definedName name="ii" hidden="1">{"'内訳表'!$B$2:$N$64"}</definedName>
    <definedName name="Info_Prazo_do_contrato">[9]Seletor!$C$13</definedName>
    <definedName name="IVASobreUtilidad">[5]IMPUESTOS!$E$16</definedName>
    <definedName name="JGJ" localSheetId="5" hidden="1">{0,#N/A,FALSE,0;0,#N/A,FALSE,0;0,#N/A,FALSE,0;0,#N/A,FALSE,0;0,#N/A,FALSE,0;0,#N/A,FALSE,0}</definedName>
    <definedName name="JGJ" localSheetId="4" hidden="1">{0,#N/A,FALSE,0;0,#N/A,FALSE,0;0,#N/A,FALSE,0;0,#N/A,FALSE,0;0,#N/A,FALSE,0;0,#N/A,FALSE,0}</definedName>
    <definedName name="JGJ" hidden="1">{0,#N/A,FALSE,0;0,#N/A,FALSE,0;0,#N/A,FALSE,0;0,#N/A,FALSE,0;0,#N/A,FALSE,0;0,#N/A,FALSE,0}</definedName>
    <definedName name="l" localSheetId="5" hidden="1">{"MG-2002-F1",#N/A,FALSE,"PPU-Telemig";"MG-2002-F2",#N/A,FALSE,"PPU-Telemig";"MG-2002-F3",#N/A,FALSE,"PPU-Telemig";"MG-2002-F4",#N/A,FALSE,"PPU-Telemig";"MG-2003-F1",#N/A,FALSE,"PPU-Telemig";"MG-2004-F1",#N/A,FALSE,"PPU-Telemig"}</definedName>
    <definedName name="l" localSheetId="4"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5" hidden="1">{"'内訳表'!$B$2:$N$64"}</definedName>
    <definedName name="mdgh" localSheetId="4"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5">BASE DE [10]DATOS!$B$2:$B$2</definedName>
    <definedName name="MmExcelLinker_A12B55A7_9F67_4A31_8ABE_1C1F4218B5AF" localSheetId="4">BASE DE [10]DATOS!$B$2:$B$2</definedName>
    <definedName name="MmExcelLinker_A12B55A7_9F67_4A31_8ABE_1C1F4218B5AF" localSheetId="1">BASE DE [10]DATOS!$B$2:$B$2</definedName>
    <definedName name="MmExcelLinker_A12B55A7_9F67_4A31_8ABE_1C1F4218B5AF">BASE DE [10]DATOS!$B$2:$B$2</definedName>
    <definedName name="mmm" localSheetId="5" hidden="1">{"MG-2002-F1",#N/A,FALSE,"PPU-Telemig";"MG-2002-F2",#N/A,FALSE,"PPU-Telemig";"MG-2002-F3",#N/A,FALSE,"PPU-Telemig";"MG-2002-F4",#N/A,FALSE,"PPU-Telemig";"MG-2003-F1",#N/A,FALSE,"PPU-Telemig";"MG-2004-F1",#N/A,FALSE,"PPU-Telemig"}</definedName>
    <definedName name="mmm" localSheetId="4"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5" hidden="1">{"'内訳表'!$B$2:$N$64"}</definedName>
    <definedName name="ndc" localSheetId="4" hidden="1">{"'内訳表'!$B$2:$N$64"}</definedName>
    <definedName name="ndc" hidden="1">{"'内訳表'!$B$2:$N$64"}</definedName>
    <definedName name="NO_APLICA">#REF!</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[8]Tablas!$E$2:$E$17</definedName>
    <definedName name="OFERENTES">VALIDACION!$A$1:$B$3</definedName>
    <definedName name="Oficina">[5]PERSONAL!$P$69</definedName>
    <definedName name="oo" localSheetId="5" hidden="1">{"'内訳表'!$B$2:$N$64"}</definedName>
    <definedName name="oo" localSheetId="4"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5" hidden="1">{"'内訳表'!$B$2:$N$64"}</definedName>
    <definedName name="reahgbaerg" localSheetId="4" hidden="1">{"'内訳表'!$B$2:$N$64"}</definedName>
    <definedName name="reahgbaerg" hidden="1">{"'内訳表'!$B$2:$N$64"}</definedName>
    <definedName name="res" localSheetId="5" hidden="1">{"MG-2002-F1",#N/A,FALSE,"PPU-Telemig";"MG-2002-F2",#N/A,FALSE,"PPU-Telemig";"MG-2002-F3",#N/A,FALSE,"PPU-Telemig";"MG-2002-F4",#N/A,FALSE,"PPU-Telemig";"MG-2003-F1",#N/A,FALSE,"PPU-Telemig";"MG-2004-F1",#N/A,FALSE,"PPU-Telemig"}</definedName>
    <definedName name="res" localSheetId="4"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5" hidden="1">{"'内訳表'!$B$2:$N$64"}</definedName>
    <definedName name="rggvs" localSheetId="4" hidden="1">{"'内訳表'!$B$2:$N$64"}</definedName>
    <definedName name="rggvs" hidden="1">{"'内訳表'!$B$2:$N$64"}</definedName>
    <definedName name="rnrsy" localSheetId="5" hidden="1">{#N/A,#N/A,TRUE,"Report"}</definedName>
    <definedName name="rnrsy" localSheetId="4" hidden="1">{#N/A,#N/A,TRUE,"Report"}</definedName>
    <definedName name="rnrsy" hidden="1">{#N/A,#N/A,TRUE,"Report"}</definedName>
    <definedName name="rrr" localSheetId="5" hidden="1">{"MG-2002-F1",#N/A,FALSE,"PPU-Telemig";"MG-2002-F2",#N/A,FALSE,"PPU-Telemig";"MG-2002-F3",#N/A,FALSE,"PPU-Telemig";"MG-2002-F4",#N/A,FALSE,"PPU-Telemig";"MG-2003-F1",#N/A,FALSE,"PPU-Telemig";"MG-2004-F1",#N/A,FALSE,"PPU-Telemig"}</definedName>
    <definedName name="rrr" localSheetId="4"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5" hidden="1">{#N/A,#N/A,TRUE,"Report"}</definedName>
    <definedName name="sfgm" localSheetId="4" hidden="1">{#N/A,#N/A,TRUE,"Report"}</definedName>
    <definedName name="sfgm" hidden="1">{#N/A,#N/A,TRUE,"Report"}</definedName>
    <definedName name="su" localSheetId="5" hidden="1">{"MG-2002-F1",#N/A,FALSE,"PPU-Telemig";"MG-2002-F2",#N/A,FALSE,"PPU-Telemig";"MG-2002-F3",#N/A,FALSE,"PPU-Telemig";"MG-2002-F4",#N/A,FALSE,"PPU-Telemig";"MG-2003-F1",#N/A,FALSE,"PPU-Telemig";"MG-2004-F1",#N/A,FALSE,"PPU-Telemig"}</definedName>
    <definedName name="su" localSheetId="4"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5" hidden="1">{"'内訳表'!$B$2:$N$64"}</definedName>
    <definedName name="sugiura" localSheetId="4" hidden="1">{"'内訳表'!$B$2:$N$64"}</definedName>
    <definedName name="sugiura" hidden="1">{"'内訳表'!$B$2:$N$64"}</definedName>
    <definedName name="Tamaño">[6]OCULTAR!$A$14:$A$17</definedName>
    <definedName name="TECHO1">#REF!</definedName>
    <definedName name="TECHO2">#REF!</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5" hidden="1">{"MG-2002-F1",#N/A,FALSE,"PPU-Telemig";"MG-2002-F2",#N/A,FALSE,"PPU-Telemig";"MG-2002-F3",#N/A,FALSE,"PPU-Telemig";"MG-2002-F4",#N/A,FALSE,"PPU-Telemig";"MG-2003-F1",#N/A,FALSE,"PPU-Telemig";"MG-2004-F1",#N/A,FALSE,"PPU-Telemig"}</definedName>
    <definedName name="tta" localSheetId="4"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localSheetId="5" hidden="1">{"'内訳表'!$B$2:$N$64"}</definedName>
    <definedName name="whrt" localSheetId="4" hidden="1">{"'内訳表'!$B$2:$N$64"}</definedName>
    <definedName name="whrt" hidden="1">{"'内訳表'!$B$2:$N$64"}</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5" hidden="1">{#N/A,#N/A,FALSE,"KEGELLE 1 (2)";#N/A,#N/A,FALSE,"KEGELLE 2 (2)";#N/A,#N/A,FALSE,"KEGELLE 3 (2)";#N/A,#N/A,FALSE,"KEGELLE 4 (2)";#N/A,#N/A,FALSE,"KEGELLE 5 (2)";#N/A,#N/A,FALSE,"KEGELLE 6 (2)";#N/A,#N/A,FALSE,"KEGELLE 7 (2)"}</definedName>
    <definedName name="wrn.55." localSheetId="4"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5" hidden="1">{#N/A,#N/A,FALSE,"KEGELLE 1 (3)";#N/A,#N/A,FALSE,"KEGELLE 2 (3)";#N/A,#N/A,FALSE,"KEGELLE 3 (3)";#N/A,#N/A,FALSE,"KEGELLE 4 (3)";#N/A,#N/A,FALSE,"KEGELLE 5 (3)";#N/A,#N/A,FALSE,"KEGELLE 6 (3)";#N/A,#N/A,FALSE,"KEGELLE 7 (3)"}</definedName>
    <definedName name="wrn.66." localSheetId="4"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5" hidden="1">{#N/A,#N/A,FALSE,"KEGELLE 2";#N/A,#N/A,FALSE,"KEGELLE 3";#N/A,#N/A,FALSE,"KEGELLE 4";#N/A,#N/A,FALSE,"KEGELLE 5";#N/A,#N/A,FALSE,"KEGELLE 6";#N/A,#N/A,FALSE,"KEGELLE 7"}</definedName>
    <definedName name="wrn.89." localSheetId="4"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5" hidden="1">{#N/A,#N/A,TRUE,"Report"}</definedName>
    <definedName name="wrn.Capacity._.Calculations._.for._.FM3." localSheetId="4" hidden="1">{#N/A,#N/A,TRUE,"Report"}</definedName>
    <definedName name="wrn.Capacity._.Calculations._.for._.FM3." hidden="1">{#N/A,#N/A,TRUE,"Report"}</definedName>
    <definedName name="wrn.GGP1." localSheetId="5" hidden="1">{#N/A,#N/A,TRUE,"TOT-GGRAL";#N/A,#N/A,TRUE,"G1000";#N/A,#N/A,TRUE,"G1200";#N/A,#N/A,TRUE,"G1400"}</definedName>
    <definedName name="wrn.GGP1." localSheetId="4" hidden="1">{#N/A,#N/A,TRUE,"TOT-GGRAL";#N/A,#N/A,TRUE,"G1000";#N/A,#N/A,TRUE,"G1200";#N/A,#N/A,TRUE,"G1400"}</definedName>
    <definedName name="wrn.GGP1." hidden="1">{#N/A,#N/A,TRUE,"TOT-GGRAL";#N/A,#N/A,TRUE,"G1000";#N/A,#N/A,TRUE,"G1200";#N/A,#N/A,TRUE,"G1400"}</definedName>
    <definedName name="wrn.GGP2." localSheetId="5" hidden="1">{#N/A,#N/A,TRUE,"TOT-GGRAL";#N/A,#N/A,TRUE,"G1000";#N/A,#N/A,TRUE,"G1200";#N/A,#N/A,TRUE,"G1400"}</definedName>
    <definedName name="wrn.GGP2." localSheetId="4" hidden="1">{#N/A,#N/A,TRUE,"TOT-GGRAL";#N/A,#N/A,TRUE,"G1000";#N/A,#N/A,TRUE,"G1200";#N/A,#N/A,TRUE,"G1400"}</definedName>
    <definedName name="wrn.GGP2." hidden="1">{#N/A,#N/A,TRUE,"TOT-GGRAL";#N/A,#N/A,TRUE,"G1000";#N/A,#N/A,TRUE,"G1200";#N/A,#N/A,TRUE,"G1400"}</definedName>
    <definedName name="wrn.GGP3." localSheetId="5" hidden="1">{#N/A,#N/A,TRUE,"TOT-GGRAL";#N/A,#N/A,TRUE,"G1000";#N/A,#N/A,TRUE,"G1200";#N/A,#N/A,TRUE,"G1400"}</definedName>
    <definedName name="wrn.GGP3." localSheetId="4" hidden="1">{#N/A,#N/A,TRUE,"TOT-GGRAL";#N/A,#N/A,TRUE,"G1000";#N/A,#N/A,TRUE,"G1200";#N/A,#N/A,TRUE,"G1400"}</definedName>
    <definedName name="wrn.GGP3." hidden="1">{#N/A,#N/A,TRUE,"TOT-GGRAL";#N/A,#N/A,TRUE,"G1000";#N/A,#N/A,TRUE,"G1200";#N/A,#N/A,TRUE,"G1400"}</definedName>
    <definedName name="wrn.GGP4." localSheetId="5" hidden="1">{#N/A,#N/A,TRUE,"TOT-GGRAL";#N/A,#N/A,TRUE,"G1000";#N/A,#N/A,TRUE,"G1200";#N/A,#N/A,TRUE,"G1400"}</definedName>
    <definedName name="wrn.GGP4." localSheetId="4" hidden="1">{#N/A,#N/A,TRUE,"TOT-GGRAL";#N/A,#N/A,TRUE,"G1000";#N/A,#N/A,TRUE,"G1200";#N/A,#N/A,TRUE,"G1400"}</definedName>
    <definedName name="wrn.GGP4." hidden="1">{#N/A,#N/A,TRUE,"TOT-GGRAL";#N/A,#N/A,TRUE,"G1000";#N/A,#N/A,TRUE,"G1200";#N/A,#N/A,TRUE,"G1400"}</definedName>
    <definedName name="wrn.GGP5." localSheetId="5" hidden="1">{#N/A,#N/A,TRUE,"TOT-GGRAL"}</definedName>
    <definedName name="wrn.GGP5." localSheetId="4" hidden="1">{#N/A,#N/A,TRUE,"TOT-GGRAL"}</definedName>
    <definedName name="wrn.GGP5." hidden="1">{#N/A,#N/A,TRUE,"TOT-GGRAL"}</definedName>
    <definedName name="wrn.julio24." localSheetId="5" hidden="1">{#N/A,#N/A,FALSE,"310.1";#N/A,#N/A,FALSE,"321.1";#N/A,#N/A,FALSE,"320.3";#N/A,#N/A,FALSE,"330.1"}</definedName>
    <definedName name="wrn.julio24." localSheetId="4" hidden="1">{#N/A,#N/A,FALSE,"310.1";#N/A,#N/A,FALSE,"321.1";#N/A,#N/A,FALSE,"320.3";#N/A,#N/A,FALSE,"330.1"}</definedName>
    <definedName name="wrn.julio24." hidden="1">{#N/A,#N/A,FALSE,"310.1";#N/A,#N/A,FALSE,"321.1";#N/A,#N/A,FALSE,"320.3";#N/A,#N/A,FALSE,"330.1"}</definedName>
    <definedName name="wrn.LPU._.MG." localSheetId="5" hidden="1">{"MG-2002-F1",#N/A,FALSE,"PPU-Telemig";"MG-2002-F2",#N/A,FALSE,"PPU-Telemig";"MG-2002-F3",#N/A,FALSE,"PPU-Telemig";"MG-2002-F4",#N/A,FALSE,"PPU-Telemig";"MG-2003-F1",#N/A,FALSE,"PPU-Telemig";"MG-2004-F1",#N/A,FALSE,"PPU-Telemig"}</definedName>
    <definedName name="wrn.LPU._.MG." localSheetId="4"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5" hidden="1">{#N/A,#N/A,FALSE,"POLONNA 8";#N/A,#N/A,FALSE,"POLONNA 7";#N/A,#N/A,FALSE,"POLONNA 6";#N/A,#N/A,FALSE,"POLONNA 5 ";#N/A,#N/A,FALSE,"POLONNA 3";#N/A,#N/A,FALSE,"POLONNA 4";#N/A,#N/A,FALSE,"POLONNA 2";#N/A,#N/A,FALSE,"POLONNA 1"}</definedName>
    <definedName name="wrn.SUPPLY." localSheetId="4"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5" hidden="1">{#N/A,#N/A,TRUE,"Report"}</definedName>
    <definedName name="ww" localSheetId="4" hidden="1">{#N/A,#N/A,TRUE,"Report"}</definedName>
    <definedName name="ww" hidden="1">{#N/A,#N/A,TRUE,"Report"}</definedName>
    <definedName name="x">[4]lista!$A$11:$A$13</definedName>
    <definedName name="xxxx" localSheetId="5" hidden="1">{"'内訳表'!$B$2:$N$64"}</definedName>
    <definedName name="xxxx" localSheetId="4"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30" i="4" l="1"/>
  <c r="G6" i="12"/>
  <c r="F6" i="12"/>
  <c r="E6" i="12"/>
  <c r="I14" i="6"/>
  <c r="I13" i="6"/>
  <c r="I11" i="6"/>
  <c r="D20" i="9"/>
  <c r="E20" i="9" s="1"/>
  <c r="D19" i="9"/>
  <c r="D17" i="9"/>
  <c r="E17" i="9" s="1"/>
  <c r="B20" i="9"/>
  <c r="E19" i="9"/>
  <c r="B19" i="9"/>
  <c r="D18" i="9"/>
  <c r="B18" i="9"/>
  <c r="B17" i="9"/>
  <c r="C14" i="9"/>
  <c r="B6" i="9"/>
  <c r="C3" i="9"/>
  <c r="O34" i="1"/>
  <c r="P34" i="1" s="1"/>
  <c r="Q34" i="1" s="1"/>
  <c r="P33" i="1"/>
  <c r="Q33" i="1" s="1"/>
  <c r="O33" i="1"/>
  <c r="O32" i="1"/>
  <c r="P32" i="1" s="1"/>
  <c r="Q32" i="1" s="1"/>
  <c r="O31" i="1"/>
  <c r="P31" i="1" s="1"/>
  <c r="Q31" i="1" s="1"/>
  <c r="O34" i="3"/>
  <c r="P34" i="3" s="1"/>
  <c r="Q34" i="3" s="1"/>
  <c r="O33" i="3"/>
  <c r="P33" i="3" s="1"/>
  <c r="Q33" i="3" s="1"/>
  <c r="O32" i="3"/>
  <c r="P32" i="3" s="1"/>
  <c r="Q32" i="3" s="1"/>
  <c r="O31" i="3"/>
  <c r="P31" i="3" s="1"/>
  <c r="Q31" i="3" s="1"/>
  <c r="P32" i="4"/>
  <c r="P33" i="4"/>
  <c r="P34" i="4"/>
  <c r="N32" i="4"/>
  <c r="O32" i="4" s="1"/>
  <c r="N33" i="4"/>
  <c r="N34" i="4"/>
  <c r="O34" i="4" s="1"/>
  <c r="N31" i="4"/>
  <c r="O33" i="4"/>
  <c r="O31" i="4"/>
  <c r="P31" i="4" s="1"/>
  <c r="P32" i="2"/>
  <c r="P33" i="2"/>
  <c r="P34" i="2"/>
  <c r="P31" i="2"/>
  <c r="O31" i="2"/>
  <c r="N31" i="1"/>
  <c r="N31" i="3"/>
  <c r="N31" i="2"/>
  <c r="N32" i="1"/>
  <c r="N33" i="1"/>
  <c r="N34" i="1"/>
  <c r="N32" i="3"/>
  <c r="N33" i="3"/>
  <c r="N34" i="3"/>
  <c r="N32" i="2"/>
  <c r="N33" i="2"/>
  <c r="O33" i="2" s="1"/>
  <c r="N34" i="2"/>
  <c r="O34" i="2" s="1"/>
  <c r="O32" i="2"/>
  <c r="G21" i="8"/>
  <c r="G22" i="8"/>
  <c r="G20" i="8"/>
  <c r="A13" i="8"/>
  <c r="A14" i="8"/>
  <c r="A12" i="8"/>
  <c r="H13" i="8"/>
  <c r="H14" i="8"/>
  <c r="H12" i="8"/>
  <c r="G14" i="8"/>
  <c r="M36" i="1"/>
  <c r="M32" i="1"/>
  <c r="M33" i="1"/>
  <c r="M34" i="1"/>
  <c r="M31" i="1"/>
  <c r="L32" i="2"/>
  <c r="L33" i="2"/>
  <c r="L34" i="2"/>
  <c r="L32" i="3"/>
  <c r="L33" i="3"/>
  <c r="L34" i="3"/>
  <c r="L32" i="4"/>
  <c r="M32" i="4" s="1"/>
  <c r="L33" i="4"/>
  <c r="L34" i="4"/>
  <c r="L32" i="1"/>
  <c r="L33" i="1"/>
  <c r="L34" i="1"/>
  <c r="L31" i="2"/>
  <c r="L31" i="3"/>
  <c r="L31" i="4"/>
  <c r="L31" i="1"/>
  <c r="M31" i="3"/>
  <c r="M32" i="3"/>
  <c r="M33" i="3"/>
  <c r="M34" i="3"/>
  <c r="M19" i="3"/>
  <c r="M33" i="2"/>
  <c r="M34" i="4"/>
  <c r="M33" i="4"/>
  <c r="M31" i="4"/>
  <c r="M32" i="2"/>
  <c r="M34" i="2"/>
  <c r="M31" i="2"/>
  <c r="M22" i="3"/>
  <c r="M22" i="4"/>
  <c r="L23" i="1"/>
  <c r="M23" i="1" s="1"/>
  <c r="L23" i="2"/>
  <c r="M23" i="2" s="1"/>
  <c r="L23" i="3"/>
  <c r="M23" i="3" s="1"/>
  <c r="L23" i="4"/>
  <c r="M23" i="4" s="1"/>
  <c r="L22" i="1"/>
  <c r="M22" i="1" s="1"/>
  <c r="L22" i="2"/>
  <c r="M22" i="2" s="1"/>
  <c r="L22" i="3"/>
  <c r="L22" i="4"/>
  <c r="L30" i="2"/>
  <c r="L30" i="3"/>
  <c r="L30" i="1"/>
  <c r="L21" i="2"/>
  <c r="L21" i="3"/>
  <c r="L21" i="4"/>
  <c r="L21" i="1"/>
  <c r="D24" i="15" a="1"/>
  <c r="D26" i="15" a="1"/>
  <c r="E14" i="15" a="1"/>
  <c r="D23" i="15" a="1"/>
  <c r="E15" i="15" a="1"/>
  <c r="D25" i="15" a="1"/>
  <c r="D26" i="15" l="1"/>
  <c r="E26" i="15" s="1"/>
  <c r="G26" i="15" s="1"/>
  <c r="D25" i="15"/>
  <c r="E25" i="15" s="1"/>
  <c r="G25" i="15" s="1"/>
  <c r="D24" i="15"/>
  <c r="E24" i="15" s="1"/>
  <c r="G24" i="15" s="1"/>
  <c r="D23" i="15"/>
  <c r="E23" i="15" s="1"/>
  <c r="G23" i="15" s="1"/>
  <c r="E15" i="15"/>
  <c r="E14" i="15"/>
  <c r="M36" i="4"/>
  <c r="M36" i="3"/>
  <c r="G13" i="8" s="1"/>
  <c r="M36" i="2"/>
  <c r="G12" i="8"/>
  <c r="F14" i="15" l="1"/>
  <c r="G14" i="15" s="1"/>
  <c r="F15" i="15"/>
  <c r="G15" i="15" s="1"/>
  <c r="C12" i="8"/>
  <c r="C13" i="8"/>
  <c r="C14" i="8"/>
  <c r="B6" i="7"/>
  <c r="C3" i="7"/>
  <c r="C14" i="6"/>
  <c r="B20" i="7" s="1"/>
  <c r="C13" i="6"/>
  <c r="B19" i="7" s="1"/>
  <c r="C12" i="6"/>
  <c r="B18" i="7" s="1"/>
  <c r="C11" i="6"/>
  <c r="B17" i="7" s="1"/>
  <c r="G28" i="15" l="1"/>
  <c r="C14" i="7"/>
  <c r="H34" i="4" l="1"/>
  <c r="J34" i="4" s="1"/>
  <c r="D34" i="4"/>
  <c r="F34" i="4" s="1"/>
  <c r="H33" i="4"/>
  <c r="J33" i="4" s="1"/>
  <c r="D33" i="4"/>
  <c r="F33" i="4" s="1"/>
  <c r="H32" i="4"/>
  <c r="J32" i="4" s="1"/>
  <c r="D32" i="4"/>
  <c r="F32" i="4" s="1"/>
  <c r="H31" i="4"/>
  <c r="J31" i="4" s="1"/>
  <c r="D31" i="4"/>
  <c r="F31" i="4" s="1"/>
  <c r="I23" i="4"/>
  <c r="J23" i="4" s="1"/>
  <c r="F23" i="4"/>
  <c r="G23" i="4" s="1"/>
  <c r="I22" i="4"/>
  <c r="J22" i="4" s="1"/>
  <c r="F22" i="4"/>
  <c r="G22" i="4" s="1"/>
  <c r="H34" i="3"/>
  <c r="J34" i="3" s="1"/>
  <c r="D34" i="3"/>
  <c r="F34" i="3" s="1"/>
  <c r="H33" i="3"/>
  <c r="J33" i="3" s="1"/>
  <c r="D33" i="3"/>
  <c r="F33" i="3" s="1"/>
  <c r="H32" i="3"/>
  <c r="J32" i="3" s="1"/>
  <c r="D32" i="3"/>
  <c r="F32" i="3" s="1"/>
  <c r="H31" i="3"/>
  <c r="J31" i="3" s="1"/>
  <c r="D31" i="3"/>
  <c r="F31" i="3" s="1"/>
  <c r="I23" i="3"/>
  <c r="J23" i="3" s="1"/>
  <c r="F23" i="3"/>
  <c r="G23" i="3" s="1"/>
  <c r="I22" i="3"/>
  <c r="J22" i="3" s="1"/>
  <c r="F22" i="3"/>
  <c r="G22" i="3" s="1"/>
  <c r="H34" i="2"/>
  <c r="J34" i="2" s="1"/>
  <c r="D34" i="2"/>
  <c r="F34" i="2" s="1"/>
  <c r="H33" i="2"/>
  <c r="J33" i="2" s="1"/>
  <c r="D33" i="2"/>
  <c r="F33" i="2" s="1"/>
  <c r="H32" i="2"/>
  <c r="J32" i="2" s="1"/>
  <c r="D32" i="2"/>
  <c r="F32" i="2" s="1"/>
  <c r="H31" i="2"/>
  <c r="J31" i="2" s="1"/>
  <c r="D31" i="2"/>
  <c r="F31" i="2" s="1"/>
  <c r="I23" i="2"/>
  <c r="J23" i="2" s="1"/>
  <c r="F23" i="2"/>
  <c r="G23" i="2" s="1"/>
  <c r="I22" i="2"/>
  <c r="J22" i="2" s="1"/>
  <c r="F22" i="2"/>
  <c r="G22" i="2" s="1"/>
  <c r="H34" i="1"/>
  <c r="J34" i="1" s="1"/>
  <c r="D34" i="1"/>
  <c r="F34" i="1" s="1"/>
  <c r="H33" i="1"/>
  <c r="J33" i="1" s="1"/>
  <c r="D33" i="1"/>
  <c r="F33" i="1" s="1"/>
  <c r="H32" i="1"/>
  <c r="J32" i="1" s="1"/>
  <c r="D32" i="1"/>
  <c r="F32" i="1" s="1"/>
  <c r="H31" i="1"/>
  <c r="J31" i="1" s="1"/>
  <c r="D31" i="1"/>
  <c r="F31" i="1" s="1"/>
  <c r="I23" i="1"/>
  <c r="J23" i="1" s="1"/>
  <c r="F23" i="1"/>
  <c r="G23" i="1" s="1"/>
  <c r="I22" i="1"/>
  <c r="J22" i="1" s="1"/>
  <c r="F22" i="1"/>
  <c r="G22" i="1" s="1"/>
  <c r="J36" i="1" l="1"/>
  <c r="F12" i="8" s="1"/>
  <c r="F36" i="4"/>
  <c r="F36" i="1"/>
  <c r="F11" i="6"/>
  <c r="J36" i="4"/>
  <c r="F36" i="3"/>
  <c r="J36" i="3"/>
  <c r="F12" i="6"/>
  <c r="F36" i="2"/>
  <c r="F13" i="6" l="1"/>
  <c r="F13" i="8"/>
  <c r="F14" i="6"/>
  <c r="F14" i="8"/>
  <c r="A12" i="6"/>
  <c r="A14" i="6"/>
  <c r="A13" i="6"/>
  <c r="A11" i="6"/>
  <c r="D19" i="7"/>
  <c r="E19" i="7" s="1"/>
  <c r="D20" i="7"/>
  <c r="E20" i="7" s="1"/>
  <c r="D18" i="7"/>
  <c r="D17" i="7"/>
  <c r="E17" i="7" s="1"/>
  <c r="G21" i="6" l="1"/>
  <c r="G20" i="6"/>
  <c r="G22" i="6"/>
  <c r="D21" i="6"/>
  <c r="D22" i="6"/>
  <c r="D20" i="6"/>
  <c r="D21" i="8" l="1"/>
  <c r="D22" i="8"/>
  <c r="D20"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<sst xmlns="http://schemas.openxmlformats.org/spreadsheetml/2006/main" count="1084" uniqueCount="320">
  <si>
    <t>República de Colombia
Instituto Colombiano de Antropología e Historia (ICANH)</t>
  </si>
  <si>
    <t>Formato de Oferta Económica</t>
  </si>
  <si>
    <t>Objeto: Suministrar los pasajes aéreos en rutas nacionales e internacionales para los funcionarios, contratistas e invitados especiales del Instituto Colombiano de Antropología e Historia - ICANH; que se requieran en ejercicio de sus funciones y actividades.</t>
  </si>
  <si>
    <t xml:space="preserve">EMPRESA: </t>
  </si>
  <si>
    <t>NIT:</t>
  </si>
  <si>
    <t>FECHA:</t>
  </si>
  <si>
    <t>CONTACTO:</t>
  </si>
  <si>
    <t>CARGO:</t>
  </si>
  <si>
    <t>CELULAR:</t>
  </si>
  <si>
    <t>E-MAIL:</t>
  </si>
  <si>
    <t>DIRECCIÓN:</t>
  </si>
  <si>
    <t>TEL. FIJO:</t>
  </si>
  <si>
    <t>INSTRUCCIONES PARA EL DILIGENCIAMIENTO DEL FORMATO</t>
  </si>
  <si>
    <r>
      <t xml:space="preserve">• Por favor diligenciar solo las celdas en AZUL.
• Revisar todos los requerimientos que señalados por la Entidad en los documentos publicados; y formular su propuesta económica en concordancia con éstos, garantizando que los bienes y/o servicios ofrecidos cumplan en su totalidad con las especificaciones técnicas descritas.
• Los precios de la propuesta económica para la tarifa administrativa nacional deben diligenciarse en PESOS COLOMBIANOS (COP), los precios para la tarifa administrativa internacional deben diligenciarse en DÓLARES, sin embargo, para efectos de determinar la sumatoria de todas las tarifas en PESOS COLOMBIANOS,  los valores en DÓLARES se multiplicarán por la TRM  del día 26 de mayo de 2026, siendo el último dato de referencia a la fecha.  El valor de la TRM se ubica en la celda E27.  Es importante mencionar que durante la ejecución del contrato, la tarifa administrativa Internacional será liquidada a la TRM del día en que se realice la reserva.
• Los precios ofertados no podrán exceder los valores unitarios de los Precio Techo establecidos por la entidad. 
• Los precios deberán aproximarse por exceso o por defecto al entero más cercano así: (i) si es igual o superior a 50 centavos, se aproxima al entero siguiente; (ii) si es inferior a 50 centavos se baja al entero anterior.
• No se debe modificar, agregar o quitar ningún ítem o sub-ítem.
• Se deben ofertar todos los ítems requeridos por la Entidad establecidos en el presente formato.
• </t>
    </r>
    <r>
      <rPr>
        <sz val="10"/>
        <rFont val="Arial"/>
        <family val="2"/>
      </rPr>
      <t xml:space="preserve">Ningún  item de la propuesta económica se debe diligenciar en cero (0), so pena de ser rechazada la propuesta. </t>
    </r>
  </si>
  <si>
    <t>TARIFA ADMINISTRATIVA NACIONAL PARA TIQUETES EXPEDIDOS A TRAVÉS DE PLATAFORMA TECNOLÓGICA</t>
  </si>
  <si>
    <t>PRECIO TECHO</t>
  </si>
  <si>
    <t>PRECIO OFERTADO</t>
  </si>
  <si>
    <t xml:space="preserve">Tarifa  </t>
  </si>
  <si>
    <t>Tarifa administrativa en COP antes de IVA</t>
  </si>
  <si>
    <t>IVA en COP</t>
  </si>
  <si>
    <t>Tarifa administrativa IVA incluido en COP</t>
  </si>
  <si>
    <t>Tarifa Administrativa nacional one way</t>
  </si>
  <si>
    <t>Tarifa Administrativa nacional round trip</t>
  </si>
  <si>
    <t xml:space="preserve">TARIFA ADMINISTRATIVA INTERNACIONAL EXPEDIDOS A TRAVÉS DE PLATAFORMA TECNOLÓGICA </t>
  </si>
  <si>
    <t>Tasa Representativa del Mercado- TRM  del día en que se publique el acto administrativo de apertura del proceso</t>
  </si>
  <si>
    <t>Tarifa</t>
  </si>
  <si>
    <t xml:space="preserve">Tarifa administrativa en USD </t>
  </si>
  <si>
    <t xml:space="preserve">Tarifa en USD convertida a pesos colombianos </t>
  </si>
  <si>
    <t>Tarifa en USD convertida a pesos colombianos incluido IVA</t>
  </si>
  <si>
    <t>Tarifa Administrativa internacional menores o iguales a USD 354</t>
  </si>
  <si>
    <t>Tarifa Administrativa internacional mayores de USD 354 hasta USD 590</t>
  </si>
  <si>
    <t>Tarifa Administrativa internacional mayores de USD 590 hasta USD 944</t>
  </si>
  <si>
    <t>Tarifa Administrativa internacional mayores a USD 944</t>
  </si>
  <si>
    <t>SUMATORIA TARIFAS ADMINISTRATIVAS TECHO EN COP IVA INCLUIDO</t>
  </si>
  <si>
    <t>SUMATORIA TARIFAS ADMINISTRATIVAS OFERTADAS EN COP IVA INCLUIDO</t>
  </si>
  <si>
    <t>FIRMA DEL REPRESENTANTE LEGAL</t>
  </si>
  <si>
    <t>C.C.</t>
  </si>
  <si>
    <t>República de Colombia</t>
  </si>
  <si>
    <t>OFERTAS RECIBIDAS</t>
  </si>
  <si>
    <t>Objeto</t>
  </si>
  <si>
    <t>Presupuesto</t>
  </si>
  <si>
    <t>Oferta</t>
  </si>
  <si>
    <t>EMPRESA</t>
  </si>
  <si>
    <t>VALOR OFERTADO FORMATO</t>
  </si>
  <si>
    <t>OBSERVACIÓN</t>
  </si>
  <si>
    <t>Oferta 1</t>
  </si>
  <si>
    <t>Oferta 2</t>
  </si>
  <si>
    <t>EVALUO</t>
  </si>
  <si>
    <t xml:space="preserve">NOMBRE DEL PROFESIONAL </t>
  </si>
  <si>
    <t>NELSON ARGUELLEZ ARGUELLEZ PALACIOS</t>
  </si>
  <si>
    <t>CARGO</t>
  </si>
  <si>
    <t>CONTRATISTA</t>
  </si>
  <si>
    <t>REVISO</t>
  </si>
  <si>
    <t>Oferta 3</t>
  </si>
  <si>
    <t>Oferta 4</t>
  </si>
  <si>
    <t>Suministrar los pasajes aéreos en rutas nacionales e internacionales para los funcionarios, contratistas e invitados especiales del Instituto Colombiano de Antropología e Historia - ICANH; que se requieran en ejercicio de sus funciones y actividades</t>
  </si>
  <si>
    <t>Instituto Colombiano de Antropología e Historia
EVALUACIÓN ECONOMICA SASIE-ICANH-001-2026</t>
  </si>
  <si>
    <t>Solicitud Aclaración Precios Artificialmente Bajos</t>
  </si>
  <si>
    <t>“2.1.1. Comparación Absoluta: Se recomienda su utilización cuando desde la fase de planeación existe claridad sobre el precio o costos para la entrega de los bienes, servicios u obras que se están contratando, y cuando en el desarrollo del proceso de selección recibe menos de 5 ofertas.
Para la comparación, la entidad contrasta la variación del valor de cada oferta con el costo estimado de la provisión del bien o servicio de acuerdo con el Estudio del Sector, para lo cual podrá utilizar la siguiente fórmula:</t>
  </si>
  <si>
    <r>
      <t xml:space="preserve">Donde 
</t>
    </r>
    <r>
      <rPr>
        <b/>
        <sz val="11"/>
        <color theme="1"/>
        <rFont val="Aptos Narrow"/>
        <family val="2"/>
        <scheme val="minor"/>
      </rPr>
      <t>Vo</t>
    </r>
    <r>
      <rPr>
        <sz val="11"/>
        <color theme="1"/>
        <rFont val="Aptos Narrow"/>
        <family val="2"/>
        <scheme val="minor"/>
      </rPr>
      <t xml:space="preserve"> es la variación de la oferta del proveedor con respecto al precio estimado por la Entidad Estatal 
</t>
    </r>
    <r>
      <rPr>
        <b/>
        <sz val="11"/>
        <color theme="1"/>
        <rFont val="Aptos Narrow"/>
        <family val="2"/>
        <scheme val="minor"/>
      </rPr>
      <t>P</t>
    </r>
    <r>
      <rPr>
        <sz val="11"/>
        <color theme="1"/>
        <rFont val="Aptos Narrow"/>
        <family val="2"/>
        <scheme val="minor"/>
      </rPr>
      <t xml:space="preserve"> es el precio estimado por la entidad estatal 
</t>
    </r>
    <r>
      <rPr>
        <b/>
        <sz val="11"/>
        <color theme="1"/>
        <rFont val="Aptos Narrow"/>
        <family val="2"/>
        <scheme val="minor"/>
      </rPr>
      <t>o</t>
    </r>
    <r>
      <rPr>
        <sz val="11"/>
        <color theme="1"/>
        <rFont val="Aptos Narrow"/>
        <family val="2"/>
        <scheme val="minor"/>
      </rPr>
      <t xml:space="preserve"> es el precio ofrecido por el proponente 
La Entidad Estatal debe solicitar aclaración a los proponentes cuyas ofertas sean inferiores o iguales al ochenta por ciento (80%) del costo total estimado por la Entidad Estatal, equivalente a una variación del veinte por ciento (20%) o más respecto del presupuesto oficial.</t>
    </r>
  </si>
  <si>
    <t>OFERENTE</t>
  </si>
  <si>
    <t>VALOR OFERTA</t>
  </si>
  <si>
    <t>VARIACIÓN RESPECTO AL PRESUPUESTO</t>
  </si>
  <si>
    <t>SE REQUIERE?</t>
  </si>
  <si>
    <t>NO</t>
  </si>
  <si>
    <t>Posición 1</t>
  </si>
  <si>
    <t>Posición</t>
  </si>
  <si>
    <t>Posición 2</t>
  </si>
  <si>
    <t>Posición 3</t>
  </si>
  <si>
    <t>VALOR OFERTADO</t>
  </si>
  <si>
    <t>NOVATOURS LTDA</t>
  </si>
  <si>
    <t>EUROAMERICAN TRAVEL SAS</t>
  </si>
  <si>
    <t>N/A</t>
  </si>
  <si>
    <t>FESTIVAL TOURS SAS</t>
  </si>
  <si>
    <t>JE TOURS</t>
  </si>
  <si>
    <t>OFERTA NO CUMPLE REQUISITOS HABILITANTES TECNICOS - VER EVALUACION TECNICA PARA MAS DETALLES</t>
  </si>
  <si>
    <t>Rechazado</t>
  </si>
  <si>
    <t>ESTADO REQUISITOS HABILITANTES</t>
  </si>
  <si>
    <t>VERIFICACIÓN ECONOMICA</t>
  </si>
  <si>
    <t>Cumple</t>
  </si>
  <si>
    <t>John Duarte Rueda</t>
  </si>
  <si>
    <t>jduarte@novatours.com.co</t>
  </si>
  <si>
    <t>800.003.442-8</t>
  </si>
  <si>
    <t xml:space="preserve">Representante legal suplente </t>
  </si>
  <si>
    <t>Calle 98 No. 8 -19 Ofc. 102</t>
  </si>
  <si>
    <t>ADOLFO MARIN</t>
  </si>
  <si>
    <t>contratos@festivaltour.co</t>
  </si>
  <si>
    <t>800.193.221-0</t>
  </si>
  <si>
    <t>REPRESENTANTE LEGAL</t>
  </si>
  <si>
    <t>CRA 13 #40A-25</t>
  </si>
  <si>
    <t>LEONARDO RODRIGUEZ</t>
  </si>
  <si>
    <t>gerencia.lrincon@jetours.com.co</t>
  </si>
  <si>
    <t>LIDER CORPORATIVO</t>
  </si>
  <si>
    <t>800.177.456-7</t>
  </si>
  <si>
    <t>Calle 23 Norte No. 3N-63 Local 01</t>
  </si>
  <si>
    <t>24 JUNIO DE 2026</t>
  </si>
  <si>
    <t>3041243713 - 313 6922543</t>
  </si>
  <si>
    <t>LUCIANO ALFONSO PINILLA PEDRAZA</t>
  </si>
  <si>
    <t>SUMATORIA UNITARIOS TECHO</t>
  </si>
  <si>
    <t>En esta etapa no se requiere solicitar aclaraciones por presuntos precios artificialmente bajos, toda vez que las ofertas presentadas por los proponentes no sobrepasan el valor mínimo aceptable, de acuerdo con las recomendaciones de Colombia Compra Eficiente.</t>
  </si>
  <si>
    <t>Como medida preventiva, durante la etapa de apertura de sobres se realizó un ejercicio preliminar de verificación de la posible existencia de precios artificialmente bajos. No obstante, considerando que en los procesos de selección mediante subasta inversa este análisis debe efectuarse con base en los valores resultantes de la puja, una vez finalizada la subasta se realizará nuevamente la verificación correspondiente, con el fin de identificar si se configura alguna presunción de precios artificialmente bajos de conformidad con la metodología aplicable.
Dentro de la GUÍA PARA EL MANEJO DE OFERTAS ARTIFICIALMENTE BAJAS EN PROCESOS DE CONTRATACIÓN diseñada por la Colombia Compra Eficiente se establece:</t>
  </si>
  <si>
    <t>De conformidad con la verificación de los requisitos habilitantes, únicamente tres (3) proponentes fueron habilitados para continuar en la evaluación económica, toda vez que la propuesta presentada por EUROAMERICAN TRAVEL SAS fue rechazada durante la etapa de verificación de requisitos habilitantes.
De las ofertas habilitadas, la presentada por FESTIVAL TOURS SAS, por un valor ofertado de $897.826, corresponde a la oferta inicial de menor valor. En consecuencia, esta oferta constituye la base para el inicio de la subasta inversa electrónica, en la cual los proponentes habilitados podrán presentar lances de mejora, de conformidad con lo establecido en el pliego de condiciones.
La posición definitiva de los proponentes y el orden de elegibilidad se determinarán una vez concluya la etapa de subasta y se consoliden los valores finales ofertados.</t>
  </si>
  <si>
    <t>Rechazado Tecnicamente - Ver Evaluacion Tecnica</t>
  </si>
  <si>
    <t>ORDEN DE LAS OFERTAS ECONÓMICAS HABILITADAS PARA EL INICIO DE LA SUBASTA INVERSA</t>
  </si>
  <si>
    <t>Base Subasta</t>
  </si>
  <si>
    <t>VALOR EN SUBASTA</t>
  </si>
  <si>
    <t>DESCUENTO</t>
  </si>
  <si>
    <t>OBSERVACIONES</t>
  </si>
  <si>
    <t>TARIFA EN PESOS - SUBASTA</t>
  </si>
  <si>
    <t>TOTAL</t>
  </si>
  <si>
    <t>DESCUENTO FINAL</t>
  </si>
  <si>
    <t>90.05 %</t>
  </si>
  <si>
    <t>Ajuste Peso</t>
  </si>
  <si>
    <t>VALOR FINAL SUBASTA</t>
  </si>
  <si>
    <t>SI</t>
  </si>
  <si>
    <t>Solicitud Aclaración Precios Artificialmente Bajos - PostSubasta</t>
  </si>
  <si>
    <t>Con fundamento en los valores finales obtenidos como resultado de la subasta inversa electrónica, la Entidad realizó la verificación de la posible existencia de ofertas con presuntos precios artificialmente bajos, de conformidad con la metodología establecida en la Guía para el Manejo de Ofertas Artificialmente Bajas en Procesos de Contratación de Colombia Compra Eficiente, a efectos de determinar la procedencia de solicitar las aclaraciones a que haya lugar.
Dentro de la GUÍA PARA EL MANEJO DE OFERTAS ARTIFICIALMENTE BAJAS EN PROCESOS DE CONTRATACIÓN diseñada por la Colombia Compra Eficiente se establece:</t>
  </si>
  <si>
    <t>Subasta</t>
  </si>
  <si>
    <t>SASIE-ICANH-001-2026 (Presentación de oferta)_Subasta electrónica</t>
  </si>
  <si>
    <t>Entidad Estatal</t>
  </si>
  <si>
    <t>ICANH</t>
  </si>
  <si>
    <t>Código de mercado</t>
  </si>
  <si>
    <t>GovCo</t>
  </si>
  <si>
    <t>Código de idioma</t>
  </si>
  <si>
    <t>es-CO</t>
  </si>
  <si>
    <t>Fecha de inicio</t>
  </si>
  <si>
    <t>07/07/2026 11:30:00 (UTC -05:00:00)</t>
  </si>
  <si>
    <t>Fecha fin</t>
  </si>
  <si>
    <t>07/07/2026 12:17:00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</si>
  <si>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</si>
  <si>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</si>
  <si>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</si>
  <si>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</si>
  <si>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</si>
  <si>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</si>
  <si>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</si>
  <si>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</si>
  <si>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</si>
  <si>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</si>
  <si>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</si>
  <si>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</si>
  <si>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</si>
  <si>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</si>
  <si>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</si>
  <si>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</si>
  <si>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</si>
  <si>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</si>
  <si>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</si>
  <si>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</si>
  <si>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</si>
  <si>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</si>
  <si>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</si>
  <si>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</si>
  <si>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</si>
  <si>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</si>
  <si>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</si>
  <si>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</si>
  <si>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6012882998</t>
  </si>
  <si>
    <t>administracion@festivaltours.co</t>
  </si>
  <si>
    <t>800193221</t>
  </si>
  <si>
    <t>https://www.secop.gov.co/PRODCCEDirectory/Profile/700160021</t>
  </si>
  <si>
    <t>6680221</t>
  </si>
  <si>
    <t>800177456</t>
  </si>
  <si>
    <t>https://www.secop.gov.co/PRODCCEDirectory/Profile/705420123</t>
  </si>
  <si>
    <t>7940525</t>
  </si>
  <si>
    <t>licitaciones1@novatours.co</t>
  </si>
  <si>
    <t>8000034428</t>
  </si>
  <si>
    <t>https://www.secop.gov.co/PRODCCEDirectory/Profile/700144066</t>
  </si>
  <si>
    <t>Lote/ Linea</t>
  </si>
  <si>
    <t>Unidad</t>
  </si>
  <si>
    <t>Cantidades</t>
  </si>
  <si>
    <t>Valor Inicial</t>
  </si>
  <si>
    <t>Mejor Lance</t>
  </si>
  <si>
    <t>Proveedor</t>
  </si>
  <si>
    <t>Ahorros Valor Inicial/ Valor Final</t>
  </si>
  <si>
    <t>Ahorros % Valor Inicial/ Valor Final</t>
  </si>
  <si>
    <t>UN</t>
  </si>
  <si>
    <t>421.195.645,00 COP</t>
  </si>
  <si>
    <t>0,00 COP</t>
  </si>
  <si>
    <t>0 %</t>
  </si>
  <si>
    <t>Tarifas administrativas</t>
  </si>
  <si>
    <t>924.856,00 COP</t>
  </si>
  <si>
    <t>94.000,00 COP</t>
  </si>
  <si>
    <t>92.000,00 COP</t>
  </si>
  <si>
    <t>603.390,00 COP</t>
  </si>
  <si>
    <t>-832.856,00 COP</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</si>
  <si>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</si>
  <si>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</si>
  <si>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</si>
  <si>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</si>
  <si>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</si>
  <si>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</si>
  <si>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</si>
  <si>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</si>
  <si>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</si>
  <si>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</si>
  <si>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</si>
  <si>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</si>
  <si>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</si>
  <si>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Luz Stella Rincon Lizcano</t>
  </si>
  <si>
    <t>07/07/2026 12:15:40</t>
  </si>
  <si>
    <t>0.00 %</t>
  </si>
  <si>
    <t>Julian Marin Salgado</t>
  </si>
  <si>
    <t>07/07/2026 12:13:49</t>
  </si>
  <si>
    <t>07/07/2026 12:12:51</t>
  </si>
  <si>
    <t>07/07/2026 12:10:23</t>
  </si>
  <si>
    <t>07/07/2026 12:09:36</t>
  </si>
  <si>
    <t>07/07/2026 12:07:49</t>
  </si>
  <si>
    <t>07/07/2026 12:07:24</t>
  </si>
  <si>
    <t>07/07/2026 12:06:53</t>
  </si>
  <si>
    <t>07/07/2026 12:06:34</t>
  </si>
  <si>
    <t>07/07/2026 12:03:59</t>
  </si>
  <si>
    <t>07/07/2026 12:03:27</t>
  </si>
  <si>
    <t>07/07/2026 12:01:16</t>
  </si>
  <si>
    <t>07/07/2026 12:00:25</t>
  </si>
  <si>
    <t>07/07/2026 11:59:41</t>
  </si>
  <si>
    <t>07/07/2026 11:58:34</t>
  </si>
  <si>
    <t>07/07/2026 11:57:46</t>
  </si>
  <si>
    <t>07/07/2026 11:37:14</t>
  </si>
  <si>
    <t>07/07/2026 11:37:01</t>
  </si>
  <si>
    <t>07/07/2026 11:33:12</t>
  </si>
  <si>
    <t>832.856,00 COP</t>
  </si>
  <si>
    <t>850.000,00 COP</t>
  </si>
  <si>
    <t>758.000,00 COP</t>
  </si>
  <si>
    <t>823.91 %</t>
  </si>
  <si>
    <t>830.856,00 COP</t>
  </si>
  <si>
    <t>89.84 %</t>
  </si>
  <si>
    <t>897.826,00 COP</t>
  </si>
  <si>
    <t>803.826,00 COP</t>
  </si>
  <si>
    <t>855.13 %</t>
  </si>
  <si>
    <t>95.000,00 COP</t>
  </si>
  <si>
    <t>829.856,00 COP</t>
  </si>
  <si>
    <t>89.73 %</t>
  </si>
  <si>
    <t>755.000,00 COP</t>
  </si>
  <si>
    <t>794.74 %</t>
  </si>
  <si>
    <t>185.000,00 COP</t>
  </si>
  <si>
    <t>739.856,00 COP</t>
  </si>
  <si>
    <t>80 %</t>
  </si>
  <si>
    <t>712.826,00 COP</t>
  </si>
  <si>
    <t>385.31 %</t>
  </si>
  <si>
    <t>190.800,00 COP</t>
  </si>
  <si>
    <t>734.056,00 COP</t>
  </si>
  <si>
    <t>79.37 %</t>
  </si>
  <si>
    <t>659.200,00 COP</t>
  </si>
  <si>
    <t>345.49 %</t>
  </si>
  <si>
    <t>230.000,00 COP</t>
  </si>
  <si>
    <t>694.856,00 COP</t>
  </si>
  <si>
    <t>75.13 %</t>
  </si>
  <si>
    <t>667.826,00 COP</t>
  </si>
  <si>
    <t>290.36 %</t>
  </si>
  <si>
    <t>232.000,00 COP</t>
  </si>
  <si>
    <t>692.856,00 COP</t>
  </si>
  <si>
    <t>74.92 %</t>
  </si>
  <si>
    <t>618.000,00 COP</t>
  </si>
  <si>
    <t>266.38 %</t>
  </si>
  <si>
    <t>240.000,00 COP</t>
  </si>
  <si>
    <t>684.856,00 COP</t>
  </si>
  <si>
    <t>74.05 %</t>
  </si>
  <si>
    <t>657.826,00 COP</t>
  </si>
  <si>
    <t>274.09 %</t>
  </si>
  <si>
    <t>242.000,00 COP</t>
  </si>
  <si>
    <t>682.856,00 COP</t>
  </si>
  <si>
    <t>73.83 %</t>
  </si>
  <si>
    <t>608.000,00 COP</t>
  </si>
  <si>
    <t>251.24 %</t>
  </si>
  <si>
    <t>249.711,00 COP</t>
  </si>
  <si>
    <t>675.145,00 COP</t>
  </si>
  <si>
    <t>73 %</t>
  </si>
  <si>
    <t>648.115,00 COP</t>
  </si>
  <si>
    <t>259.55 %</t>
  </si>
  <si>
    <t>269.000,00 COP</t>
  </si>
  <si>
    <t>655.856,00 COP</t>
  </si>
  <si>
    <t>70.91 %</t>
  </si>
  <si>
    <t>581.000,00 COP</t>
  </si>
  <si>
    <t>215.99 %</t>
  </si>
  <si>
    <t>277.456,00 COP</t>
  </si>
  <si>
    <t>647.400,00 COP</t>
  </si>
  <si>
    <t>70 %</t>
  </si>
  <si>
    <t>620.370,00 COP</t>
  </si>
  <si>
    <t>223.59 %</t>
  </si>
  <si>
    <t>388.000,00 COP</t>
  </si>
  <si>
    <t>536.856,00 COP</t>
  </si>
  <si>
    <t>58.05 %</t>
  </si>
  <si>
    <t>462.000,00 COP</t>
  </si>
  <si>
    <t>119.07 %</t>
  </si>
  <si>
    <t>400.000,00 COP</t>
  </si>
  <si>
    <t>524.856,00 COP</t>
  </si>
  <si>
    <t>56.75 %</t>
  </si>
  <si>
    <t>497.826,00 COP</t>
  </si>
  <si>
    <t>124.46 %</t>
  </si>
  <si>
    <t>403.000,00 COP</t>
  </si>
  <si>
    <t>521.856,00 COP</t>
  </si>
  <si>
    <t>56.43 %</t>
  </si>
  <si>
    <t>447.000,00 COP</t>
  </si>
  <si>
    <t>110.92 %</t>
  </si>
  <si>
    <t>416.000,00 COP</t>
  </si>
  <si>
    <t>508.856,00 COP</t>
  </si>
  <si>
    <t>55.02 %</t>
  </si>
  <si>
    <t>481.826,00 COP</t>
  </si>
  <si>
    <t>115.82 %</t>
  </si>
  <si>
    <t>321.466,00 COP</t>
  </si>
  <si>
    <t>34.76 %</t>
  </si>
  <si>
    <t>74.856,00 COP</t>
  </si>
  <si>
    <t>8.09 %</t>
  </si>
  <si>
    <t>27.030,00 COP</t>
  </si>
  <si>
    <t>2.92 %</t>
  </si>
  <si>
    <t>Remitente</t>
  </si>
  <si>
    <t>Destinatario</t>
  </si>
  <si>
    <t>Mensaje</t>
  </si>
  <si>
    <t>OFERTAS FINALES SUBASTA</t>
  </si>
  <si>
    <t xml:space="preserve">Como resultado de la verificación efectuada sobre los valores finales obtenidos en la subasta inversa electrónica, se evidenció que las ofertas presentadas por los proponentes NOVATOURS LTDA., FESTIVAL TOURS S.A.S. y JE TOURS se encuentran por debajo del umbral equivalente al ochenta por ciento (80%) del costo estimado por la Entidad. En consecuencia, de conformidad con la metodología contenida en la Guía para el Manejo de Ofertas Artificialmente Bajas en Procesos de Contratación de Colombia Compra Eficiente, procede solicitar a dichos proponentes las aclaraciones y justificaciones correspondientes, con el fin de determinar si sus ofertas se encuentran debidamente soportadas desde el punto de vista técnico, económico y financiero.
Para tal efecto, los proponentes deberán presentar las aclaraciones y/o justificaciones requeridas a través de la plataforma SECOP II, a más tardar el día día 8 de julio de 2026, hasta las 12:00 horas. </t>
  </si>
  <si>
    <t>VALORES FINALES PARA CONTRATO</t>
  </si>
  <si>
    <t>PROPONENTE GANADOR</t>
  </si>
  <si>
    <t>ESTADO</t>
  </si>
  <si>
    <t>CUMPLE</t>
  </si>
  <si>
    <r>
      <rPr>
        <b/>
        <sz val="11"/>
        <color theme="1"/>
        <rFont val="Aptos Narrow"/>
        <family val="2"/>
        <scheme val="minor"/>
      </rPr>
      <t xml:space="preserve">07/07/2026 - </t>
    </r>
    <r>
      <rPr>
        <sz val="11"/>
        <color theme="1"/>
        <rFont val="Aptos Narrow"/>
        <family val="2"/>
        <scheme val="minor"/>
      </rPr>
      <t xml:space="preserve">De acuerdo con el desarrollo de la subasta inversa electrónica y los lances efectuados por los proponentes habilitados, el orden de elegibilidad se establece conforme a los valores finales ofertados, ubicándose en primer lugar JE TOURS con una oferta de NOVENTA Y DOS MIL PESOS ($92.000), en segundo lugar FESTIVAL TOURS S.A.S. con una oferta de NOVENTA Y CUATRO MIL PESOS ($94.000) y en tercer lugar NOVATOURS LTDA. con una oferta de SEISCIENTOS TRES MIL TRESCIENTOS NOVENTA PESOS ($603.390).
No obstante, como resultado de la aplicación de la metodología de comparación absoluta prevista en la Guía para el Manejo de Ofertas Artificialmente Bajas en Procesos de Contratación de Colombia Compra Eficiente, </t>
    </r>
    <r>
      <rPr>
        <b/>
        <sz val="11"/>
        <color theme="1"/>
        <rFont val="Aptos Narrow"/>
        <family val="2"/>
        <scheme val="minor"/>
      </rPr>
      <t>se evidenció que las ofertas presentadas por JE TOURS, FESTIVAL TOURS S.A.S. y NOVATOURS LTDA. se encuentran por debajo del umbral correspondiente al ochenta por ciento (80%) del costo estimado por la Entidad, configurándose la presunción de precios artificialmente bajos</t>
    </r>
    <r>
      <rPr>
        <sz val="11"/>
        <color theme="1"/>
        <rFont val="Aptos Narrow"/>
        <family val="2"/>
        <scheme val="minor"/>
      </rPr>
      <t xml:space="preserve">.
En consecuencia, y previo a la consolidación definitiva del orden de elegibilidad y a la recomendación de adjudicación, la Entidad solicitará a los citados proponentes las aclaraciones y justificaciones a que haya lugar, con el fin de verificar que sus ofertas se encuentran debidamente soportadas desde el punto de vista técnico, económico y financiero, de conformidad con lo previsto en el pliego de condiciones y en las recomendaciones contenidas en la Guía para el Manejo de Ofertas Artificialmente Bajas de Colombia Compra Eficiente.
</t>
    </r>
    <r>
      <rPr>
        <b/>
        <sz val="12"/>
        <color theme="1"/>
        <rFont val="Aptos Narrow"/>
        <family val="2"/>
        <scheme val="minor"/>
      </rPr>
      <t xml:space="preserve">Los proponentes deberán presentar las aclaraciones y/o justificaciones requeridas a través de la plataforma SECOP II, a más tardar el día 8 de julio de 2026, hasta las 12:00 horas. </t>
    </r>
  </si>
  <si>
    <t>Se requirió aclaración por presunción de precios artificialmente bajos. El proponente presentó oportunamente la justificación solicitada, la cual fue analizada por la Entidad, concluyéndose que cumple con los aspectos económicos evaluados.</t>
  </si>
  <si>
    <r>
      <rPr>
        <b/>
        <sz val="11"/>
        <color theme="1"/>
        <rFont val="Aptos Narrow"/>
        <family val="2"/>
        <scheme val="minor"/>
      </rPr>
      <t>08/07/2026 -</t>
    </r>
    <r>
      <rPr>
        <sz val="11"/>
        <color theme="1"/>
        <rFont val="Aptos Narrow"/>
        <family val="2"/>
        <scheme val="minor"/>
      </rPr>
      <t xml:space="preserve"> Dentro del término otorgado por la Entidad, los proponentes </t>
    </r>
    <r>
      <rPr>
        <b/>
        <sz val="11"/>
        <color theme="1"/>
        <rFont val="Aptos Narrow"/>
        <family val="2"/>
        <scheme val="minor"/>
      </rPr>
      <t>NOVATOURS LTDA., JE TOURS y FESTIVAL TOURS S.A.S.</t>
    </r>
    <r>
      <rPr>
        <sz val="11"/>
        <color theme="1"/>
        <rFont val="Aptos Narrow"/>
        <family val="2"/>
        <scheme val="minor"/>
      </rPr>
      <t xml:space="preserve"> presentaron, a través de la plataforma SECOP II, las aclaraciones y/o justificaciones requeridas. Analizada la información y los documentos aportados por cada uno de los proponentes, la Entidad concluye que las ofertas presentadas se encuentran debidamente soportadas desde el punto de vista técnico, económico y financiero, razón por la cual continúan dentro del proceso de selección, de conformidad con la metodología prevista en la Guía para el Manejo de Ofertas Artificialmente Bajas en Procesos de Contratación de Colombia Compra Eficiente.</t>
    </r>
  </si>
  <si>
    <t>Tasa Representativa del Mercado- TRM - Para calculo oferta</t>
  </si>
  <si>
    <t>ORDEN DE ELEGIBILIDAD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</si>
</sst>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 #,##0;\-&quot;$&quot;\ #,##0"/>
    <numFmt numFmtId="7" formatCode="&quot;$&quot;\ #,##0.00;\-&quot;$&quot;\ #,##0.00"/>
    <numFmt numFmtId="44" formatCode="_-&quot;$&quot;\ * #,##0.00_-;\-&quot;$&quot;\ * #,##0.00_-;_-&quot;$&quot;\ * &quot;-&quot;??_-;_-@_-"/>
    <numFmt numFmtId="164" formatCode="0\ &quot;USD&quot;"/>
    <numFmt numFmtId="165" formatCode="&quot;$&quot;\ #,##0"/>
    <numFmt numFmtId="166" formatCode="&quot;$&quot;\ #,##0.00"/>
    <numFmt numFmtId="167" formatCode="0.00\ &quot;USD&quot;"/>
  </numFmts>
  <fonts count="35" x14ac:knownFonts="1">
    <font>
      <sz val="11"/>
      <color theme="1"/>
      <name val="Aptos Narrow"/>
      <family val="2"/>
      <scheme val="minor"/>
    </font>
    <font>
      <sz val="11"/>
      <color theme="1"/>
      <name val="Aptos Narrow"/>
      <family val="2"/>
      <scheme val="minor"/>
    </font>
    <font>
      <i/>
      <sz val="11"/>
      <color rgb="FF7F7F7F"/>
      <name val="Aptos Narrow"/>
      <family val="2"/>
      <scheme val="minor"/>
    </font>
    <font>
      <sz val="12"/>
      <color theme="1"/>
      <name val="Arial"/>
      <family val="2"/>
    </font>
    <font>
      <sz val="12"/>
      <color theme="1"/>
      <name val="Arial Narrow"/>
      <family val="2"/>
    </font>
    <font>
      <b/>
      <sz val="12"/>
      <color theme="1"/>
      <name val="Arial"/>
      <family val="2"/>
    </font>
    <font>
      <b/>
      <sz val="12"/>
      <color rgb="FF000000"/>
      <name val="Arial"/>
      <family val="2"/>
    </font>
    <font>
      <sz val="12"/>
      <color rgb="FF000000"/>
      <name val="Arial"/>
      <family val="2"/>
    </font>
    <font>
      <b/>
      <sz val="12"/>
      <color rgb="FF000000"/>
      <name val="Arial"/>
      <family val="2"/>
      <charset val="1"/>
    </font>
    <font>
      <sz val="10"/>
      <color rgb="FF000000"/>
      <name val="Arial"/>
      <family val="2"/>
    </font>
    <font>
      <sz val="10"/>
      <name val="Arial"/>
      <family val="2"/>
    </font>
    <font>
      <b/>
      <sz val="12"/>
      <color theme="1"/>
      <name val="Arial Narrow"/>
      <family val="2"/>
    </font>
    <font>
      <b/>
      <sz val="10"/>
      <name val="Arial"/>
      <family val="2"/>
    </font>
    <font>
      <b/>
      <sz val="11"/>
      <color theme="1"/>
      <name val="Arial"/>
      <family val="2"/>
    </font>
    <font>
      <sz val="11"/>
      <color theme="1"/>
      <name val="Arial"/>
      <family val="2"/>
    </font>
    <font>
      <b/>
      <sz val="10"/>
      <color theme="1"/>
      <name val="Arial"/>
      <family val="2"/>
    </font>
    <font>
      <sz val="10"/>
      <color theme="1"/>
      <name val="Arial"/>
      <family val="2"/>
    </font>
    <font>
      <sz val="7"/>
      <color theme="1"/>
      <name val="Arial"/>
      <family val="2"/>
    </font>
    <font>
      <b/>
      <sz val="9"/>
      <color theme="1"/>
      <name val="Arial"/>
      <family val="2"/>
    </font>
    <font>
      <b/>
      <sz val="8"/>
      <color theme="1"/>
      <name val="Arial"/>
      <family val="2"/>
    </font>
    <font>
      <b/>
      <sz val="14"/>
      <color theme="1"/>
      <name val="Arial"/>
      <family val="2"/>
    </font>
    <font>
      <b/>
      <sz val="11"/>
      <color theme="1"/>
      <name val="Aptos Narrow"/>
      <family val="2"/>
      <scheme val="minor"/>
    </font>
    <font>
      <sz val="11"/>
      <color theme="0"/>
      <name val="Aptos Narrow"/>
      <family val="2"/>
      <scheme val="minor"/>
    </font>
    <font>
      <sz val="11"/>
      <color theme="1"/>
      <name val="Arial Narrow"/>
      <family val="2"/>
    </font>
    <font>
      <b/>
      <sz val="11"/>
      <color theme="1"/>
      <name val="Arial Narrow"/>
      <family val="2"/>
    </font>
    <font>
      <sz val="8"/>
      <name val="Aptos Narrow"/>
      <family val="2"/>
      <scheme val="minor"/>
    </font>
    <font>
      <b/>
      <sz val="11"/>
      <name val="Aptos Narrow"/>
      <family val="2"/>
      <scheme val="minor"/>
    </font>
    <font>
      <sz val="18"/>
      <color theme="1"/>
      <name val="Aptos Narrow"/>
      <family val="2"/>
      <scheme val="minor"/>
    </font>
    <font>
      <sz val="14"/>
      <color theme="1"/>
      <name val="Arial"/>
      <family val="2"/>
    </font>
    <font>
      <u/>
      <sz val="11"/>
      <color theme="10"/>
      <name val="Aptos Narrow"/>
      <family val="2"/>
      <scheme val="minor"/>
    </font>
    <font>
      <b/>
      <sz val="12"/>
      <color indexed="8"/>
      <name val="Arial"/>
      <family val="2"/>
    </font>
    <font>
      <b/>
      <sz val="12"/>
      <color theme="1"/>
      <name val="Aptos Narrow"/>
      <family val="2"/>
      <scheme val="minor"/>
    </font>
    <font>
      <sz val="11"/>
      <name val="Calibri"/>
      <family val="2"/>
    </font>
    <font>
      <b/>
      <sz val="11"/>
      <color rgb="FF000000"/>
      <name val="Calibri"/>
      <family val="2"/>
    </font>
    <font>
      <sz val="11"/>
      <color rgb="FF000000"/>
      <name val="Calibri"/>
      <family val="2"/>
    </font>
  </fonts>
  <fills count="17">
    <fill>
      <patternFill patternType="none"/>
    </fill>
    <fill>
      <patternFill patternType="gray125"/>
    </fill>
    <fill>
      <patternFill patternType="solid">
        <fgColor theme="0" tint="-0.14999847407452621"/>
        <bgColor indexed="64"/>
      </patternFill>
    </fill>
    <fill>
      <patternFill patternType="solid">
        <fgColor theme="4" tint="0.59999389629810485"/>
        <bgColor rgb="FF000000"/>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FFFFFF"/>
        <bgColor rgb="FF000000"/>
      </patternFill>
    </fill>
    <fill>
      <patternFill patternType="solid">
        <fgColor theme="2"/>
        <bgColor indexed="64"/>
      </patternFill>
    </fill>
    <fill>
      <patternFill patternType="solid">
        <fgColor theme="3" tint="0.749992370372631"/>
        <bgColor indexed="64"/>
      </patternFill>
    </fill>
    <fill>
      <patternFill patternType="solid">
        <fgColor rgb="FFFFFF00"/>
        <bgColor indexed="64"/>
      </patternFill>
    </fill>
    <fill>
      <patternFill patternType="solid">
        <fgColor rgb="FFFF0000"/>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A9A9A9"/>
      </patternFill>
    </fill>
    <fill>
      <patternFill patternType="solid">
        <fgColor rgb="FF92D050"/>
      </patternFill>
    </fill>
    <fill>
      <patternFill patternType="solid">
        <fgColor rgb="FF92D05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rgb="FF000000"/>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rgb="FF000000"/>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1" fillId="0" borderId="0"/>
    <xf numFmtId="0" fontId="29" fillId="0" borderId="0" applyNumberFormat="0" applyFill="0" applyBorder="0" applyAlignment="0" applyProtection="0"/>
    <xf numFmtId="0" fontId="32" fillId="0" borderId="0"/>
    <xf numFmtId="9" fontId="32" fillId="0" borderId="0" applyFont="0" applyFill="0" applyBorder="0" applyAlignment="0" applyProtection="0"/>
  </cellStyleXfs>
  <cellXfs count="214">
    <xf numFmtId="0" fontId="0" fillId="0" borderId="0" xfId="0"/>
    <xf numFmtId="0" fontId="3" fillId="0" borderId="0" xfId="0" applyFont="1"/>
    <xf numFmtId="0" fontId="4" fillId="0" borderId="0" xfId="0" applyFont="1"/>
    <xf numFmtId="0" fontId="3" fillId="0" borderId="0" xfId="0" applyFont="1" applyAlignment="1">
      <alignment vertical="center" wrapText="1"/>
    </xf>
    <xf numFmtId="0" fontId="3" fillId="0" borderId="0" xfId="0" applyFont="1" applyAlignment="1">
      <alignment horizontal="justify" vertical="center" wrapText="1"/>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7" fillId="0" borderId="0" xfId="0" applyFont="1" applyAlignment="1">
      <alignment vertical="center" wrapText="1"/>
    </xf>
    <xf numFmtId="0" fontId="11" fillId="0" borderId="0" xfId="0" applyFont="1" applyAlignment="1">
      <alignment horizontal="center"/>
    </xf>
    <xf numFmtId="0" fontId="13" fillId="2" borderId="3" xfId="0" applyFont="1" applyFill="1" applyBorder="1" applyAlignment="1">
      <alignment horizontal="center" vertical="center" wrapText="1"/>
    </xf>
    <xf numFmtId="0" fontId="13" fillId="2" borderId="1" xfId="0" applyFont="1" applyFill="1" applyBorder="1" applyAlignment="1">
      <alignment horizontal="center" vertical="center" wrapText="1"/>
    </xf>
    <xf numFmtId="5" fontId="14" fillId="0" borderId="1" xfId="1" applyNumberFormat="1" applyFont="1" applyFill="1" applyBorder="1" applyAlignment="1" applyProtection="1">
      <alignment vertical="center"/>
    </xf>
    <xf numFmtId="5" fontId="14" fillId="0" borderId="1" xfId="0" applyNumberFormat="1" applyFont="1" applyBorder="1" applyAlignment="1">
      <alignment vertical="center"/>
    </xf>
    <xf numFmtId="5" fontId="14" fillId="4" borderId="1" xfId="0" applyNumberFormat="1" applyFont="1" applyFill="1" applyBorder="1" applyAlignment="1" applyProtection="1">
      <alignment vertical="center"/>
      <protection locked="0"/>
    </xf>
    <xf numFmtId="0" fontId="14" fillId="0" borderId="0" xfId="0" applyFont="1" applyAlignment="1">
      <alignment vertical="center"/>
    </xf>
    <xf numFmtId="0" fontId="14" fillId="0" borderId="0" xfId="1" applyNumberFormat="1" applyFont="1" applyFill="1" applyBorder="1" applyAlignment="1" applyProtection="1">
      <alignment vertical="center"/>
    </xf>
    <xf numFmtId="5" fontId="14" fillId="0" borderId="0" xfId="0" applyNumberFormat="1" applyFont="1" applyAlignment="1">
      <alignment vertical="center"/>
    </xf>
    <xf numFmtId="0" fontId="13" fillId="0" borderId="0" xfId="0" applyFont="1" applyAlignment="1">
      <alignment horizontal="center" vertical="center" wrapText="1"/>
    </xf>
    <xf numFmtId="0" fontId="17" fillId="0" borderId="0" xfId="0" applyFont="1" applyAlignment="1">
      <alignment horizontal="center" vertical="center" wrapText="1"/>
    </xf>
    <xf numFmtId="0" fontId="18" fillId="2" borderId="1" xfId="0" applyFont="1" applyFill="1" applyBorder="1" applyAlignment="1">
      <alignment vertical="center" wrapText="1"/>
    </xf>
    <xf numFmtId="0" fontId="18" fillId="2" borderId="1" xfId="0" applyFont="1" applyFill="1" applyBorder="1" applyAlignment="1">
      <alignment horizontal="center" vertical="center" wrapText="1"/>
    </xf>
    <xf numFmtId="0" fontId="14" fillId="0" borderId="1" xfId="0" applyFont="1" applyBorder="1" applyAlignment="1">
      <alignment vertical="center" wrapText="1"/>
    </xf>
    <xf numFmtId="164" fontId="14" fillId="0" borderId="1" xfId="0" applyNumberFormat="1" applyFont="1" applyBorder="1" applyAlignment="1">
      <alignment horizontal="center" vertical="center"/>
    </xf>
    <xf numFmtId="9" fontId="14" fillId="0" borderId="1" xfId="2" applyFont="1" applyBorder="1" applyAlignment="1" applyProtection="1">
      <alignment horizontal="center" vertical="center"/>
    </xf>
    <xf numFmtId="164" fontId="14" fillId="4" borderId="1" xfId="0" applyNumberFormat="1" applyFont="1" applyFill="1" applyBorder="1" applyAlignment="1" applyProtection="1">
      <alignment horizontal="center" vertical="center"/>
      <protection locked="0"/>
    </xf>
    <xf numFmtId="0" fontId="3" fillId="0" borderId="0" xfId="0" applyFont="1" applyAlignment="1">
      <alignment horizontal="right"/>
    </xf>
    <xf numFmtId="5" fontId="16" fillId="0" borderId="1" xfId="0" applyNumberFormat="1" applyFont="1" applyBorder="1" applyAlignment="1">
      <alignment vertical="center"/>
    </xf>
    <xf numFmtId="5" fontId="15" fillId="0" borderId="1" xfId="0" applyNumberFormat="1" applyFont="1" applyBorder="1" applyAlignment="1">
      <alignment vertical="center"/>
    </xf>
    <xf numFmtId="0" fontId="3" fillId="0" borderId="0" xfId="0" applyFont="1" applyProtection="1">
      <protection locked="0"/>
    </xf>
    <xf numFmtId="5" fontId="3" fillId="0" borderId="0" xfId="0" applyNumberFormat="1" applyFont="1" applyProtection="1">
      <protection locked="0"/>
    </xf>
    <xf numFmtId="0" fontId="7" fillId="7" borderId="5" xfId="4" applyFont="1" applyFill="1" applyBorder="1" applyProtection="1">
      <protection locked="0"/>
    </xf>
    <xf numFmtId="0" fontId="6" fillId="7" borderId="0" xfId="4" applyFont="1" applyFill="1" applyProtection="1">
      <protection locked="0"/>
    </xf>
    <xf numFmtId="0" fontId="7" fillId="7" borderId="0" xfId="4" applyFont="1" applyFill="1" applyProtection="1">
      <protection locked="0"/>
    </xf>
    <xf numFmtId="0" fontId="3" fillId="0" borderId="0" xfId="4" applyFont="1" applyAlignment="1" applyProtection="1">
      <alignment wrapText="1"/>
      <protection locked="0"/>
    </xf>
    <xf numFmtId="0" fontId="0" fillId="0" borderId="0" xfId="0" applyAlignment="1">
      <alignment vertical="center"/>
    </xf>
    <xf numFmtId="0" fontId="23" fillId="0" borderId="0" xfId="0" applyFont="1" applyAlignment="1">
      <alignment vertical="center"/>
    </xf>
    <xf numFmtId="0" fontId="23" fillId="0" borderId="6" xfId="0" applyFont="1" applyBorder="1" applyAlignment="1">
      <alignment vertical="center"/>
    </xf>
    <xf numFmtId="0" fontId="23" fillId="0" borderId="7" xfId="0" applyFont="1" applyBorder="1" applyAlignment="1">
      <alignment vertical="center"/>
    </xf>
    <xf numFmtId="0" fontId="24" fillId="0" borderId="7" xfId="0" applyFont="1" applyBorder="1" applyAlignment="1">
      <alignment horizontal="center" vertical="center"/>
    </xf>
    <xf numFmtId="0" fontId="23" fillId="0" borderId="8" xfId="0" applyFont="1" applyBorder="1" applyAlignment="1">
      <alignment vertical="center"/>
    </xf>
    <xf numFmtId="0" fontId="23" fillId="0" borderId="9" xfId="0" applyFont="1" applyBorder="1" applyAlignment="1">
      <alignment vertical="center"/>
    </xf>
    <xf numFmtId="0" fontId="23" fillId="0" borderId="10" xfId="0" applyFont="1" applyBorder="1" applyAlignment="1">
      <alignment vertical="center"/>
    </xf>
    <xf numFmtId="0" fontId="23" fillId="0" borderId="11" xfId="0" applyFont="1" applyBorder="1" applyAlignment="1">
      <alignment vertical="center"/>
    </xf>
    <xf numFmtId="165" fontId="0" fillId="0" borderId="1" xfId="0" applyNumberFormat="1" applyBorder="1" applyAlignment="1">
      <alignment horizontal="center" vertical="center"/>
    </xf>
    <xf numFmtId="0" fontId="0" fillId="0" borderId="0" xfId="0" applyAlignment="1">
      <alignment horizontal="center" vertical="center" wrapText="1"/>
    </xf>
    <xf numFmtId="0" fontId="21" fillId="8" borderId="1" xfId="0" applyFont="1" applyFill="1" applyBorder="1" applyAlignment="1">
      <alignment horizontal="center" vertical="center" wrapText="1"/>
    </xf>
    <xf numFmtId="0" fontId="0" fillId="0" borderId="1" xfId="0" applyBorder="1" applyAlignment="1">
      <alignment horizontal="center" vertical="center"/>
    </xf>
    <xf numFmtId="165" fontId="0" fillId="0" borderId="1" xfId="0" applyNumberFormat="1" applyBorder="1" applyAlignment="1">
      <alignment vertical="center"/>
    </xf>
    <xf numFmtId="0" fontId="23" fillId="0" borderId="12" xfId="0" applyFont="1" applyBorder="1" applyAlignment="1">
      <alignment vertical="center"/>
    </xf>
    <xf numFmtId="0" fontId="23" fillId="0" borderId="13" xfId="0" applyFont="1" applyBorder="1" applyAlignment="1">
      <alignment vertical="center"/>
    </xf>
    <xf numFmtId="0" fontId="0" fillId="0" borderId="0" xfId="0" applyAlignment="1">
      <alignment horizontal="left" vertical="center" wrapText="1"/>
    </xf>
    <xf numFmtId="166" fontId="21" fillId="0" borderId="0" xfId="0" applyNumberFormat="1" applyFont="1" applyAlignment="1">
      <alignment horizontal="left" vertical="center" wrapText="1"/>
    </xf>
    <xf numFmtId="9" fontId="21" fillId="0" borderId="0" xfId="0" applyNumberFormat="1" applyFont="1" applyAlignment="1">
      <alignment horizontal="center" vertical="center" wrapText="1"/>
    </xf>
    <xf numFmtId="10" fontId="21" fillId="8" borderId="1" xfId="2" applyNumberFormat="1" applyFont="1" applyFill="1" applyBorder="1" applyAlignment="1">
      <alignment horizontal="center" vertical="center"/>
    </xf>
    <xf numFmtId="10" fontId="21" fillId="8" borderId="1" xfId="2" applyNumberFormat="1" applyFont="1" applyFill="1" applyBorder="1" applyAlignment="1">
      <alignment horizontal="center" vertical="center" wrapText="1"/>
    </xf>
    <xf numFmtId="166" fontId="21" fillId="0" borderId="1" xfId="0" applyNumberFormat="1" applyFont="1" applyBorder="1" applyAlignment="1">
      <alignment horizontal="center" vertical="center"/>
    </xf>
    <xf numFmtId="10" fontId="26" fillId="0" borderId="1" xfId="2" applyNumberFormat="1" applyFont="1" applyBorder="1" applyAlignment="1">
      <alignment horizontal="center" vertical="center"/>
    </xf>
    <xf numFmtId="7" fontId="14" fillId="9" borderId="1" xfId="1" applyNumberFormat="1" applyFont="1" applyFill="1" applyBorder="1" applyAlignment="1" applyProtection="1">
      <alignment vertical="center"/>
    </xf>
    <xf numFmtId="1" fontId="22" fillId="0" borderId="0" xfId="0" applyNumberFormat="1" applyFont="1" applyAlignment="1">
      <alignment vertical="center"/>
    </xf>
    <xf numFmtId="165" fontId="0" fillId="0" borderId="0" xfId="0" applyNumberFormat="1" applyAlignment="1">
      <alignment vertical="center"/>
    </xf>
    <xf numFmtId="165" fontId="0" fillId="11" borderId="1" xfId="0" applyNumberFormat="1" applyFill="1" applyBorder="1" applyAlignment="1">
      <alignment horizontal="center" vertical="center"/>
    </xf>
    <xf numFmtId="0" fontId="21" fillId="0" borderId="1" xfId="0" applyFont="1" applyBorder="1" applyAlignment="1">
      <alignment horizontal="center" vertical="center" wrapText="1"/>
    </xf>
    <xf numFmtId="166" fontId="21" fillId="0" borderId="1"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11" borderId="1" xfId="0" applyFont="1" applyFill="1" applyBorder="1" applyAlignment="1">
      <alignment horizontal="center" vertical="center" wrapText="1"/>
    </xf>
    <xf numFmtId="0" fontId="23" fillId="0" borderId="5" xfId="0" applyFont="1" applyBorder="1" applyAlignment="1">
      <alignment vertical="center"/>
    </xf>
    <xf numFmtId="5" fontId="3" fillId="0" borderId="0" xfId="0" applyNumberFormat="1" applyFont="1"/>
    <xf numFmtId="0" fontId="30" fillId="0" borderId="1" xfId="0" applyFont="1" applyBorder="1" applyAlignment="1">
      <alignment horizontal="center" vertical="center" wrapText="1"/>
    </xf>
    <xf numFmtId="5" fontId="3" fillId="0" borderId="1" xfId="0" applyNumberFormat="1" applyFont="1" applyBorder="1"/>
    <xf numFmtId="0" fontId="5" fillId="0" borderId="1" xfId="0" applyFont="1" applyBorder="1" applyAlignment="1">
      <alignment vertical="center"/>
    </xf>
    <xf numFmtId="0" fontId="30" fillId="0" borderId="1" xfId="0" applyFont="1" applyBorder="1" applyAlignment="1">
      <alignment vertical="center"/>
    </xf>
    <xf numFmtId="5" fontId="14" fillId="4" borderId="1" xfId="0" applyNumberFormat="1" applyFont="1" applyFill="1" applyBorder="1" applyAlignment="1" applyProtection="1">
      <alignment horizontal="center" vertical="center"/>
      <protection locked="0"/>
    </xf>
    <xf numFmtId="7" fontId="3" fillId="0" borderId="1" xfId="0" applyNumberFormat="1" applyFont="1" applyBorder="1"/>
    <xf numFmtId="7" fontId="3" fillId="0" borderId="1" xfId="0" applyNumberFormat="1" applyFont="1" applyBorder="1" applyAlignment="1">
      <alignment vertical="center"/>
    </xf>
    <xf numFmtId="0" fontId="5" fillId="12" borderId="1" xfId="0" applyFont="1" applyFill="1" applyBorder="1" applyAlignment="1">
      <alignment vertical="center"/>
    </xf>
    <xf numFmtId="0" fontId="5" fillId="12"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10" fontId="3" fillId="0" borderId="1" xfId="0" applyNumberFormat="1" applyFont="1" applyBorder="1"/>
    <xf numFmtId="167" fontId="14" fillId="4" borderId="1" xfId="0" applyNumberFormat="1" applyFont="1" applyFill="1" applyBorder="1" applyAlignment="1" applyProtection="1">
      <alignment horizontal="center" vertical="center"/>
      <protection locked="0"/>
    </xf>
    <xf numFmtId="5" fontId="5" fillId="12" borderId="1" xfId="0" applyNumberFormat="1" applyFont="1" applyFill="1" applyBorder="1" applyAlignment="1">
      <alignment vertical="center"/>
    </xf>
    <xf numFmtId="10" fontId="3" fillId="0" borderId="1" xfId="2" applyNumberFormat="1" applyFont="1" applyBorder="1"/>
    <xf numFmtId="0" fontId="30" fillId="0" borderId="14" xfId="0" applyFont="1" applyBorder="1" applyAlignment="1">
      <alignment vertical="center"/>
    </xf>
    <xf numFmtId="10" fontId="30" fillId="0" borderId="1" xfId="2" applyNumberFormat="1" applyFont="1" applyBorder="1" applyAlignment="1">
      <alignment vertical="center"/>
    </xf>
    <xf numFmtId="0" fontId="3" fillId="0" borderId="0" xfId="0" applyFont="1" applyAlignment="1">
      <alignment horizontal="center"/>
    </xf>
    <xf numFmtId="166" fontId="3" fillId="0" borderId="0" xfId="0" applyNumberFormat="1" applyFont="1" applyAlignment="1">
      <alignment horizontal="right"/>
    </xf>
    <xf numFmtId="10" fontId="0" fillId="0" borderId="1" xfId="2" applyNumberFormat="1" applyFont="1" applyBorder="1" applyAlignment="1">
      <alignment horizontal="center" vertical="center"/>
    </xf>
    <xf numFmtId="2" fontId="3" fillId="0" borderId="1" xfId="0" applyNumberFormat="1" applyFont="1" applyBorder="1"/>
    <xf numFmtId="9" fontId="3" fillId="0" borderId="0" xfId="2" applyFont="1"/>
    <xf numFmtId="7" fontId="14" fillId="4" borderId="1" xfId="0" applyNumberFormat="1" applyFont="1" applyFill="1" applyBorder="1" applyAlignment="1" applyProtection="1">
      <alignment horizontal="center" vertical="center"/>
      <protection locked="0"/>
    </xf>
    <xf numFmtId="165" fontId="21" fillId="0" borderId="1" xfId="0" applyNumberFormat="1" applyFont="1" applyBorder="1" applyAlignment="1">
      <alignment horizontal="center" vertical="center"/>
    </xf>
    <xf numFmtId="10" fontId="26" fillId="13" borderId="1" xfId="2" applyNumberFormat="1" applyFont="1" applyFill="1" applyBorder="1" applyAlignment="1">
      <alignment horizontal="center" vertical="center"/>
    </xf>
    <xf numFmtId="0" fontId="0" fillId="0" borderId="1" xfId="0" applyBorder="1" applyAlignment="1">
      <alignment horizontal="center" vertical="center" wrapText="1"/>
    </xf>
    <xf numFmtId="0" fontId="33" fillId="14" borderId="15" xfId="6" applyFont="1" applyFill="1" applyBorder="1"/>
    <xf numFmtId="0" fontId="32" fillId="0" borderId="16" xfId="6" applyBorder="1" applyAlignment="1">
      <alignment horizontal="left"/>
    </xf>
    <xf numFmtId="0" fontId="32" fillId="0" borderId="0" xfId="6"/>
    <xf numFmtId="0" fontId="33" fillId="14" borderId="17" xfId="6" applyFont="1" applyFill="1" applyBorder="1"/>
    <xf numFmtId="0" fontId="32" fillId="0" borderId="18" xfId="6" applyBorder="1" applyAlignment="1">
      <alignment horizontal="left"/>
    </xf>
    <xf numFmtId="0" fontId="33" fillId="14" borderId="18" xfId="6" applyFont="1" applyFill="1" applyBorder="1" applyAlignment="1">
      <alignment horizontal="left"/>
    </xf>
    <xf numFmtId="0" fontId="33" fillId="14" borderId="19" xfId="6" applyFont="1" applyFill="1" applyBorder="1"/>
    <xf numFmtId="0" fontId="32" fillId="0" borderId="20" xfId="6" applyBorder="1" applyAlignment="1">
      <alignment horizontal="left"/>
    </xf>
    <xf numFmtId="0" fontId="33" fillId="14" borderId="21" xfId="6" applyFont="1" applyFill="1" applyBorder="1"/>
    <xf numFmtId="0" fontId="33" fillId="14" borderId="22" xfId="6" applyFont="1" applyFill="1" applyBorder="1"/>
    <xf numFmtId="0" fontId="33" fillId="14" borderId="23" xfId="6" applyFont="1" applyFill="1" applyBorder="1"/>
    <xf numFmtId="0" fontId="32" fillId="0" borderId="15" xfId="6" applyBorder="1"/>
    <xf numFmtId="0" fontId="32" fillId="0" borderId="24" xfId="6" applyBorder="1"/>
    <xf numFmtId="0" fontId="32" fillId="0" borderId="16" xfId="6" applyBorder="1"/>
    <xf numFmtId="0" fontId="32" fillId="0" borderId="17" xfId="6" applyBorder="1"/>
    <xf numFmtId="0" fontId="32" fillId="0" borderId="1" xfId="6" applyBorder="1"/>
    <xf numFmtId="0" fontId="32" fillId="0" borderId="18" xfId="6" applyBorder="1"/>
    <xf numFmtId="0" fontId="32" fillId="0" borderId="19" xfId="6" applyBorder="1"/>
    <xf numFmtId="0" fontId="32" fillId="0" borderId="25" xfId="6" applyBorder="1"/>
    <xf numFmtId="0" fontId="32" fillId="0" borderId="20" xfId="6" applyBorder="1"/>
    <xf numFmtId="0" fontId="33" fillId="14" borderId="21" xfId="6" applyFont="1" applyFill="1" applyBorder="1" applyAlignment="1">
      <alignment wrapText="1"/>
    </xf>
    <xf numFmtId="0" fontId="33" fillId="14" borderId="22" xfId="6" applyFont="1" applyFill="1" applyBorder="1" applyAlignment="1">
      <alignment wrapText="1"/>
    </xf>
    <xf numFmtId="0" fontId="33" fillId="14" borderId="23" xfId="6" applyFont="1" applyFill="1" applyBorder="1" applyAlignment="1">
      <alignment wrapText="1"/>
    </xf>
    <xf numFmtId="0" fontId="32" fillId="0" borderId="21" xfId="6" applyBorder="1"/>
    <xf numFmtId="0" fontId="32" fillId="0" borderId="22" xfId="6" applyBorder="1"/>
    <xf numFmtId="0" fontId="32" fillId="0" borderId="23" xfId="6" applyBorder="1"/>
    <xf numFmtId="10" fontId="0" fillId="0" borderId="0" xfId="7" applyNumberFormat="1" applyFont="1"/>
    <xf numFmtId="0" fontId="33" fillId="14" borderId="26" xfId="6" applyFont="1" applyFill="1" applyBorder="1" applyAlignment="1">
      <alignment wrapText="1"/>
    </xf>
    <xf numFmtId="0" fontId="34" fillId="15" borderId="15" xfId="6" applyFont="1" applyFill="1" applyBorder="1"/>
    <xf numFmtId="0" fontId="34" fillId="15" borderId="24" xfId="6" applyFont="1" applyFill="1" applyBorder="1"/>
    <xf numFmtId="0" fontId="34" fillId="15" borderId="27" xfId="6" applyFont="1" applyFill="1" applyBorder="1"/>
    <xf numFmtId="0" fontId="34" fillId="15" borderId="16" xfId="6" applyFont="1" applyFill="1" applyBorder="1"/>
    <xf numFmtId="0" fontId="32" fillId="0" borderId="28" xfId="6" applyBorder="1"/>
    <xf numFmtId="0" fontId="32" fillId="0" borderId="29" xfId="6" applyBorder="1"/>
    <xf numFmtId="0" fontId="34" fillId="15" borderId="17" xfId="6" applyFont="1" applyFill="1" applyBorder="1"/>
    <xf numFmtId="0" fontId="34" fillId="15" borderId="1" xfId="6" applyFont="1" applyFill="1" applyBorder="1"/>
    <xf numFmtId="0" fontId="34" fillId="15" borderId="28" xfId="6" applyFont="1" applyFill="1" applyBorder="1"/>
    <xf numFmtId="0" fontId="34" fillId="15" borderId="18" xfId="6" applyFont="1" applyFill="1" applyBorder="1"/>
    <xf numFmtId="0" fontId="0" fillId="13" borderId="1" xfId="0" applyFill="1" applyBorder="1" applyAlignment="1">
      <alignment horizontal="center" vertical="center" wrapText="1"/>
    </xf>
    <xf numFmtId="7" fontId="14" fillId="0" borderId="1" xfId="0" applyNumberFormat="1" applyFont="1" applyBorder="1" applyAlignment="1">
      <alignment vertical="center"/>
    </xf>
    <xf numFmtId="5" fontId="5" fillId="8" borderId="1" xfId="0" applyNumberFormat="1" applyFont="1" applyFill="1" applyBorder="1" applyAlignment="1">
      <alignment vertical="center"/>
    </xf>
    <xf numFmtId="167" fontId="14" fillId="16" borderId="1" xfId="0" applyNumberFormat="1" applyFont="1" applyFill="1" applyBorder="1" applyAlignment="1">
      <alignment horizontal="center" vertical="center"/>
    </xf>
    <xf numFmtId="5" fontId="14" fillId="16" borderId="1" xfId="0" applyNumberFormat="1" applyFont="1" applyFill="1" applyBorder="1" applyAlignment="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27" fillId="0" borderId="0" xfId="0" applyFont="1" applyAlignment="1">
      <alignment horizontal="center" vertical="center"/>
    </xf>
    <xf numFmtId="0" fontId="24" fillId="0" borderId="6" xfId="0" applyFont="1" applyBorder="1" applyAlignment="1">
      <alignment horizontal="center" vertical="center"/>
    </xf>
    <xf numFmtId="0" fontId="24" fillId="0" borderId="7" xfId="0" applyFont="1" applyBorder="1" applyAlignment="1">
      <alignment horizontal="center" vertical="center"/>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0" xfId="0" applyFont="1" applyBorder="1" applyAlignment="1">
      <alignment horizontal="center" vertical="center"/>
    </xf>
    <xf numFmtId="0" fontId="24" fillId="0" borderId="5" xfId="0" applyFont="1" applyBorder="1" applyAlignment="1">
      <alignment horizontal="center" vertical="center"/>
    </xf>
    <xf numFmtId="0" fontId="24" fillId="0" borderId="11" xfId="0" applyFont="1" applyBorder="1" applyAlignment="1">
      <alignment horizontal="center" vertical="center"/>
    </xf>
    <xf numFmtId="0" fontId="24" fillId="0" borderId="1" xfId="0" applyFont="1" applyBorder="1" applyAlignment="1">
      <alignment horizontal="left" vertical="center"/>
    </xf>
    <xf numFmtId="0" fontId="23" fillId="0" borderId="1" xfId="0" applyFont="1" applyBorder="1" applyAlignment="1">
      <alignment horizontal="left" vertical="center"/>
    </xf>
    <xf numFmtId="0" fontId="23" fillId="0" borderId="1" xfId="0" applyFont="1" applyBorder="1" applyAlignment="1">
      <alignment horizontal="justify" vertical="center" wrapText="1"/>
    </xf>
    <xf numFmtId="165" fontId="0" fillId="0" borderId="1" xfId="0" applyNumberFormat="1" applyBorder="1" applyAlignment="1">
      <alignment horizontal="center" vertical="center"/>
    </xf>
    <xf numFmtId="0" fontId="21" fillId="8" borderId="2" xfId="0" applyFont="1" applyFill="1" applyBorder="1" applyAlignment="1">
      <alignment horizontal="center" vertical="center" wrapText="1"/>
    </xf>
    <xf numFmtId="0" fontId="21" fillId="8" borderId="4"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0" fillId="8" borderId="0" xfId="0" applyFill="1" applyAlignment="1">
      <alignment horizontal="left" vertical="center" wrapText="1"/>
    </xf>
    <xf numFmtId="0" fontId="21" fillId="8" borderId="1" xfId="0" applyFont="1" applyFill="1" applyBorder="1" applyAlignment="1">
      <alignment horizontal="center" vertical="center" wrapText="1"/>
    </xf>
    <xf numFmtId="0" fontId="0" fillId="0" borderId="1" xfId="0" applyBorder="1" applyAlignment="1">
      <alignment horizontal="left" vertical="center"/>
    </xf>
    <xf numFmtId="0" fontId="0" fillId="0" borderId="0" xfId="0" applyAlignment="1">
      <alignment horizontal="left" vertical="center" wrapText="1"/>
    </xf>
    <xf numFmtId="0" fontId="14" fillId="0" borderId="1" xfId="0" applyFont="1" applyBorder="1" applyAlignment="1">
      <alignment horizontal="center" vertical="center" wrapText="1"/>
    </xf>
    <xf numFmtId="0" fontId="5" fillId="6" borderId="1" xfId="0" applyFont="1" applyFill="1" applyBorder="1" applyAlignment="1">
      <alignment horizontal="center" vertical="center"/>
    </xf>
    <xf numFmtId="0" fontId="14" fillId="0" borderId="1" xfId="0" applyFont="1" applyBorder="1" applyAlignment="1">
      <alignment horizontal="center" vertical="center"/>
    </xf>
    <xf numFmtId="0" fontId="15" fillId="5" borderId="1" xfId="0" applyFont="1" applyFill="1" applyBorder="1" applyAlignment="1">
      <alignment horizontal="center" vertical="center"/>
    </xf>
    <xf numFmtId="0" fontId="16" fillId="5" borderId="1" xfId="0" applyFont="1" applyFill="1" applyBorder="1" applyAlignment="1">
      <alignment horizontal="center" vertical="center"/>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1" fillId="6" borderId="8" xfId="0" applyFont="1" applyFill="1" applyBorder="1" applyAlignment="1">
      <alignment horizontal="center" vertical="center"/>
    </xf>
    <xf numFmtId="0" fontId="18" fillId="2"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0" fillId="5" borderId="1" xfId="0" applyFont="1" applyFill="1" applyBorder="1" applyAlignment="1">
      <alignment horizontal="center" vertical="center"/>
    </xf>
    <xf numFmtId="0" fontId="11" fillId="6" borderId="1" xfId="0" applyFont="1" applyFill="1" applyBorder="1" applyAlignment="1">
      <alignment horizontal="center"/>
    </xf>
    <xf numFmtId="0" fontId="13" fillId="2" borderId="2"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0"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1" fillId="8" borderId="1" xfId="0" applyFont="1" applyFill="1" applyBorder="1" applyAlignment="1">
      <alignment horizontal="center"/>
    </xf>
    <xf numFmtId="0" fontId="11" fillId="10" borderId="1" xfId="0" applyFont="1" applyFill="1" applyBorder="1" applyAlignment="1">
      <alignment horizont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3" fillId="0" borderId="0" xfId="0" applyFont="1" applyAlignment="1">
      <alignment horizontal="left" vertical="center" wrapText="1"/>
    </xf>
    <xf numFmtId="10" fontId="21" fillId="8" borderId="1" xfId="2" applyNumberFormat="1" applyFont="1" applyFill="1" applyBorder="1" applyAlignment="1">
      <alignment horizontal="center" vertical="center"/>
    </xf>
    <xf numFmtId="0" fontId="21" fillId="0" borderId="1" xfId="0" applyFont="1" applyBorder="1" applyAlignment="1">
      <alignment horizontal="left" vertical="center"/>
    </xf>
    <xf numFmtId="0" fontId="19" fillId="6" borderId="2" xfId="0" applyFont="1" applyFill="1" applyBorder="1" applyAlignment="1">
      <alignment horizontal="center" vertical="center"/>
    </xf>
    <xf numFmtId="0" fontId="19" fillId="6" borderId="4" xfId="0" applyFont="1" applyFill="1" applyBorder="1" applyAlignment="1">
      <alignment horizontal="center" vertical="center"/>
    </xf>
    <xf numFmtId="0" fontId="19" fillId="6" borderId="3" xfId="0" applyFont="1" applyFill="1" applyBorder="1" applyAlignment="1">
      <alignment horizontal="center" vertical="center"/>
    </xf>
    <xf numFmtId="0" fontId="19" fillId="5" borderId="2" xfId="0" applyFont="1" applyFill="1" applyBorder="1" applyAlignment="1">
      <alignment horizontal="center" vertical="center" wrapText="1"/>
    </xf>
    <xf numFmtId="0" fontId="19" fillId="5" borderId="4" xfId="0" applyFont="1" applyFill="1" applyBorder="1" applyAlignment="1">
      <alignment horizontal="center" vertical="center" wrapText="1"/>
    </xf>
    <xf numFmtId="0" fontId="19" fillId="5" borderId="3"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1" fillId="6" borderId="1" xfId="0" applyFont="1" applyFill="1" applyBorder="1" applyAlignment="1">
      <alignment horizontal="center" vertical="center"/>
    </xf>
    <xf numFmtId="0" fontId="11" fillId="5" borderId="1"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0" fontId="7" fillId="3" borderId="3" xfId="0" applyFont="1" applyFill="1" applyBorder="1" applyAlignment="1" applyProtection="1">
      <alignment horizontal="center" vertical="center"/>
      <protection locked="0"/>
    </xf>
    <xf numFmtId="0" fontId="3" fillId="4" borderId="1" xfId="0" applyFont="1" applyFill="1" applyBorder="1" applyAlignment="1" applyProtection="1">
      <alignment horizontal="center"/>
      <protection locked="0"/>
    </xf>
    <xf numFmtId="0" fontId="7" fillId="3" borderId="1" xfId="0" applyFont="1" applyFill="1" applyBorder="1" applyAlignment="1" applyProtection="1">
      <alignment horizontal="center" vertical="center" wrapText="1"/>
      <protection locked="0"/>
    </xf>
    <xf numFmtId="0" fontId="29" fillId="3" borderId="2" xfId="5" applyFill="1" applyBorder="1" applyAlignment="1" applyProtection="1">
      <alignment horizontal="center" vertical="center"/>
      <protection locked="0"/>
    </xf>
    <xf numFmtId="0" fontId="8" fillId="0" borderId="1" xfId="3" applyNumberFormat="1" applyFont="1" applyBorder="1" applyAlignment="1" applyProtection="1">
      <alignment horizontal="center" vertical="center"/>
    </xf>
    <xf numFmtId="0" fontId="9" fillId="0" borderId="1" xfId="3" applyNumberFormat="1" applyFont="1" applyBorder="1" applyAlignment="1" applyProtection="1">
      <alignment horizontal="left" vertical="center" wrapText="1"/>
    </xf>
    <xf numFmtId="0" fontId="11" fillId="5" borderId="1" xfId="0" applyFont="1" applyFill="1" applyBorder="1" applyAlignment="1">
      <alignment horizontal="center"/>
    </xf>
    <xf numFmtId="14" fontId="7" fillId="3" borderId="1" xfId="0" applyNumberFormat="1" applyFont="1" applyFill="1" applyBorder="1" applyAlignment="1" applyProtection="1">
      <alignment horizontal="center" vertical="center" wrapText="1"/>
      <protection locked="0"/>
    </xf>
    <xf numFmtId="0" fontId="28" fillId="10" borderId="0" xfId="0" applyFont="1" applyFill="1" applyAlignment="1" applyProtection="1">
      <alignment horizontal="center" vertical="center"/>
      <protection locked="0"/>
    </xf>
    <xf numFmtId="0" fontId="19" fillId="5" borderId="2" xfId="0" applyFont="1" applyFill="1" applyBorder="1" applyAlignment="1">
      <alignment horizontal="center" vertical="center"/>
    </xf>
    <xf numFmtId="0" fontId="19" fillId="5" borderId="4" xfId="0" applyFont="1" applyFill="1" applyBorder="1" applyAlignment="1">
      <alignment horizontal="center" vertical="center"/>
    </xf>
    <xf numFmtId="0" fontId="19" fillId="5" borderId="3" xfId="0" applyFont="1" applyFill="1" applyBorder="1" applyAlignment="1">
      <alignment horizontal="center" vertical="center"/>
    </xf>
    <xf numFmtId="0" fontId="19" fillId="6" borderId="2" xfId="0" applyFont="1" applyFill="1" applyBorder="1" applyAlignment="1">
      <alignment horizontal="left" vertical="center"/>
    </xf>
    <xf numFmtId="0" fontId="19" fillId="6" borderId="4" xfId="0" applyFont="1" applyFill="1" applyBorder="1" applyAlignment="1">
      <alignment horizontal="left" vertical="center"/>
    </xf>
    <xf numFmtId="0" fontId="19" fillId="6" borderId="3" xfId="0" applyFont="1" applyFill="1" applyBorder="1" applyAlignment="1">
      <alignment horizontal="left" vertical="center"/>
    </xf>
    <xf numFmtId="0" fontId="19" fillId="5" borderId="2" xfId="0" applyFont="1" applyFill="1" applyBorder="1" applyAlignment="1">
      <alignment horizontal="left" vertical="center" wrapText="1"/>
    </xf>
    <xf numFmtId="0" fontId="19" fillId="5" borderId="4" xfId="0" applyFont="1" applyFill="1" applyBorder="1" applyAlignment="1">
      <alignment horizontal="left" vertical="center" wrapText="1"/>
    </xf>
    <xf numFmtId="0" fontId="19" fillId="5" borderId="3" xfId="0" applyFont="1" applyFill="1" applyBorder="1" applyAlignment="1">
      <alignment horizontal="left" vertical="center" wrapText="1"/>
    </xf>
  </cellXfs>
  <cellStyles count="8">
    <cellStyle name="Hipervínculo" xfId="5" builtinId="8"/>
    <cellStyle name="Moneda" xfId="1" builtinId="4"/>
    <cellStyle name="Normal" xfId="0" builtinId="0"/>
    <cellStyle name="Normal 2" xfId="6" xr:uid="{3BE0ADB1-7229-4006-8F28-0EE9DE6BB0A8}"/>
    <cellStyle name="Normal 2 13" xfId="4" xr:uid="{F3467AED-158F-405A-B106-9E94BF23AC96}"/>
    <cellStyle name="Porcentaje" xfId="2" builtinId="5"/>
    <cellStyle name="Porcentaje 2" xfId="7" xr:uid="{B162B163-1FAD-45A5-A96E-2BC3019E1228}"/>
    <cellStyle name="Texto explicativo" xfId="3" builtinId="53"/>
  </cellStyles>
  <dxfs count="8">
    <dxf>
      <fill>
        <patternFill>
          <bgColor rgb="FFFF0000"/>
        </patternFill>
      </fill>
    </dxf>
    <dxf>
      <fill>
        <patternFill>
          <bgColor theme="9"/>
        </patternFill>
      </fill>
    </dxf>
    <dxf>
      <fill>
        <patternFill>
          <bgColor rgb="FFFF0000"/>
        </patternFill>
      </fill>
    </dxf>
    <dxf>
      <fill>
        <patternFill>
          <bgColor theme="9"/>
        </patternFill>
      </fill>
    </dxf>
    <dxf>
      <fill>
        <patternFill>
          <bgColor rgb="FFFF0000"/>
        </patternFill>
      </fill>
    </dxf>
    <dxf>
      <fill>
        <patternFill>
          <bgColor theme="9"/>
        </patternFill>
      </fill>
    </dxf>
    <dxf>
      <fill>
        <patternFill>
          <bgColor rgb="FFFF000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34"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externalLink" Target="externalLinks/externalLink15.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1.png"/><Relationship Id="rId4"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1.png"/><Relationship Id="rId4"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329565</xdr:colOff>
      <xdr:row>2</xdr:row>
      <xdr:rowOff>135324</xdr:rowOff>
    </xdr:from>
    <xdr:to>
      <xdr:col>8</xdr:col>
      <xdr:colOff>1263015</xdr:colOff>
      <xdr:row>3</xdr:row>
      <xdr:rowOff>103841</xdr:rowOff>
    </xdr:to>
    <xdr:pic>
      <xdr:nvPicPr>
        <xdr:cNvPr id="2" name="Imagen 1" descr="Imagen que contiene Logotipo&#10;&#10;Descripción generada automáticamente">
          <a:extLst>
            <a:ext uri="{FF2B5EF4-FFF2-40B4-BE49-F238E27FC236}">
              <a16:creationId xmlns:a16="http://schemas.microsoft.com/office/drawing/2014/main" id="{364EAD60-472A-471F-BE47-AC00A5729FEE}"/>
            </a:ext>
          </a:extLst>
        </xdr:cNvPr>
        <xdr:cNvPicPr>
          <a:picLocks noChangeAspect="1"/>
        </xdr:cNvPicPr>
      </xdr:nvPicPr>
      <xdr:blipFill>
        <a:blip xmlns:r="http://schemas.openxmlformats.org/officeDocument/2006/relationships" r:embed="rId1"/>
        <a:stretch>
          <a:fillRect/>
        </a:stretch>
      </xdr:blipFill>
      <xdr:spPr>
        <a:xfrm>
          <a:off x="7385685" y="219144"/>
          <a:ext cx="933450" cy="410477"/>
        </a:xfrm>
        <a:prstGeom prst="rect">
          <a:avLst/>
        </a:prstGeom>
      </xdr:spPr>
    </xdr:pic>
    <xdr:clientData/>
  </xdr:twoCellAnchor>
  <xdr:twoCellAnchor editAs="oneCell">
    <xdr:from>
      <xdr:col>1</xdr:col>
      <xdr:colOff>226695</xdr:colOff>
      <xdr:row>2</xdr:row>
      <xdr:rowOff>91440</xdr:rowOff>
    </xdr:from>
    <xdr:to>
      <xdr:col>2</xdr:col>
      <xdr:colOff>737205</xdr:colOff>
      <xdr:row>3</xdr:row>
      <xdr:rowOff>102870</xdr:rowOff>
    </xdr:to>
    <xdr:pic>
      <xdr:nvPicPr>
        <xdr:cNvPr id="3" name="Imagen 2" descr="Imagen que contiene Logotipo&#10;&#10;Descripción generada automáticamente">
          <a:extLst>
            <a:ext uri="{FF2B5EF4-FFF2-40B4-BE49-F238E27FC236}">
              <a16:creationId xmlns:a16="http://schemas.microsoft.com/office/drawing/2014/main" id="{2E2A8A98-E4C6-4DBE-9B95-AD4659E7B8E1}"/>
            </a:ext>
          </a:extLst>
        </xdr:cNvPr>
        <xdr:cNvPicPr>
          <a:picLocks noChangeAspect="1"/>
        </xdr:cNvPicPr>
      </xdr:nvPicPr>
      <xdr:blipFill>
        <a:blip xmlns:r="http://schemas.openxmlformats.org/officeDocument/2006/relationships" r:embed="rId1"/>
        <a:stretch>
          <a:fillRect/>
        </a:stretch>
      </xdr:blipFill>
      <xdr:spPr>
        <a:xfrm>
          <a:off x="333375" y="175260"/>
          <a:ext cx="1127730" cy="453390"/>
        </a:xfrm>
        <a:prstGeom prst="rect">
          <a:avLst/>
        </a:prstGeom>
      </xdr:spPr>
    </xdr:pic>
    <xdr:clientData/>
  </xdr:twoCellAnchor>
  <xdr:twoCellAnchor editAs="oneCell">
    <xdr:from>
      <xdr:col>5</xdr:col>
      <xdr:colOff>1522450</xdr:colOff>
      <xdr:row>26</xdr:row>
      <xdr:rowOff>119398</xdr:rowOff>
    </xdr:from>
    <xdr:to>
      <xdr:col>6</xdr:col>
      <xdr:colOff>23250</xdr:colOff>
      <xdr:row>27</xdr:row>
      <xdr:rowOff>174295</xdr:rowOff>
    </xdr:to>
    <xdr:pic>
      <xdr:nvPicPr>
        <xdr:cNvPr id="4" name="Imagen 3">
          <a:extLst>
            <a:ext uri="{FF2B5EF4-FFF2-40B4-BE49-F238E27FC236}">
              <a16:creationId xmlns:a16="http://schemas.microsoft.com/office/drawing/2014/main" id="{F9CED071-EB11-4D4E-878A-9BFCD3030015}"/>
            </a:ext>
          </a:extLst>
        </xdr:cNvPr>
        <xdr:cNvPicPr>
          <a:picLocks noChangeAspect="1"/>
        </xdr:cNvPicPr>
      </xdr:nvPicPr>
      <xdr:blipFill>
        <a:blip xmlns:r="http://schemas.openxmlformats.org/officeDocument/2006/relationships" r:embed="rId2"/>
        <a:stretch>
          <a:fillRect/>
        </a:stretch>
      </xdr:blipFill>
      <xdr:spPr>
        <a:xfrm rot="20562090">
          <a:off x="5042890" y="7358398"/>
          <a:ext cx="687740" cy="237777"/>
        </a:xfrm>
        <a:prstGeom prst="rect">
          <a:avLst/>
        </a:prstGeom>
      </xdr:spPr>
    </xdr:pic>
    <xdr:clientData/>
  </xdr:twoCellAnchor>
  <xdr:twoCellAnchor editAs="oneCell">
    <xdr:from>
      <xdr:col>5</xdr:col>
      <xdr:colOff>1512254</xdr:colOff>
      <xdr:row>31</xdr:row>
      <xdr:rowOff>11747</xdr:rowOff>
    </xdr:from>
    <xdr:to>
      <xdr:col>5</xdr:col>
      <xdr:colOff>1707834</xdr:colOff>
      <xdr:row>32</xdr:row>
      <xdr:rowOff>31432</xdr:rowOff>
    </xdr:to>
    <xdr:pic>
      <xdr:nvPicPr>
        <xdr:cNvPr id="5" name="Imagen 4">
          <a:extLst>
            <a:ext uri="{FF2B5EF4-FFF2-40B4-BE49-F238E27FC236}">
              <a16:creationId xmlns:a16="http://schemas.microsoft.com/office/drawing/2014/main" id="{D3177C25-0F1B-D06F-3E6B-7841161BAEA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6200000">
          <a:off x="4933951" y="8391525"/>
          <a:ext cx="210185" cy="1955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329565</xdr:colOff>
      <xdr:row>2</xdr:row>
      <xdr:rowOff>135324</xdr:rowOff>
    </xdr:from>
    <xdr:to>
      <xdr:col>8</xdr:col>
      <xdr:colOff>1263015</xdr:colOff>
      <xdr:row>3</xdr:row>
      <xdr:rowOff>103841</xdr:rowOff>
    </xdr:to>
    <xdr:pic>
      <xdr:nvPicPr>
        <xdr:cNvPr id="2" name="Imagen 1" descr="Imagen que contiene Logotipo&#10;&#10;Descripción generada automáticamente">
          <a:extLst>
            <a:ext uri="{FF2B5EF4-FFF2-40B4-BE49-F238E27FC236}">
              <a16:creationId xmlns:a16="http://schemas.microsoft.com/office/drawing/2014/main" id="{830ECADF-A1B5-4A7F-9B18-6B6A4FC1698C}"/>
            </a:ext>
          </a:extLst>
        </xdr:cNvPr>
        <xdr:cNvPicPr>
          <a:picLocks noChangeAspect="1"/>
        </xdr:cNvPicPr>
      </xdr:nvPicPr>
      <xdr:blipFill>
        <a:blip xmlns:r="http://schemas.openxmlformats.org/officeDocument/2006/relationships" r:embed="rId1"/>
        <a:stretch>
          <a:fillRect/>
        </a:stretch>
      </xdr:blipFill>
      <xdr:spPr>
        <a:xfrm>
          <a:off x="9008745" y="219144"/>
          <a:ext cx="933450" cy="410477"/>
        </a:xfrm>
        <a:prstGeom prst="rect">
          <a:avLst/>
        </a:prstGeom>
      </xdr:spPr>
    </xdr:pic>
    <xdr:clientData/>
  </xdr:twoCellAnchor>
  <xdr:twoCellAnchor editAs="oneCell">
    <xdr:from>
      <xdr:col>1</xdr:col>
      <xdr:colOff>226695</xdr:colOff>
      <xdr:row>2</xdr:row>
      <xdr:rowOff>91440</xdr:rowOff>
    </xdr:from>
    <xdr:to>
      <xdr:col>2</xdr:col>
      <xdr:colOff>737205</xdr:colOff>
      <xdr:row>3</xdr:row>
      <xdr:rowOff>102870</xdr:rowOff>
    </xdr:to>
    <xdr:pic>
      <xdr:nvPicPr>
        <xdr:cNvPr id="3" name="Imagen 2" descr="Imagen que contiene Logotipo&#10;&#10;Descripción generada automáticamente">
          <a:extLst>
            <a:ext uri="{FF2B5EF4-FFF2-40B4-BE49-F238E27FC236}">
              <a16:creationId xmlns:a16="http://schemas.microsoft.com/office/drawing/2014/main" id="{965AD479-A3EA-4733-A3F8-0926994D993F}"/>
            </a:ext>
          </a:extLst>
        </xdr:cNvPr>
        <xdr:cNvPicPr>
          <a:picLocks noChangeAspect="1"/>
        </xdr:cNvPicPr>
      </xdr:nvPicPr>
      <xdr:blipFill>
        <a:blip xmlns:r="http://schemas.openxmlformats.org/officeDocument/2006/relationships" r:embed="rId1"/>
        <a:stretch>
          <a:fillRect/>
        </a:stretch>
      </xdr:blipFill>
      <xdr:spPr>
        <a:xfrm>
          <a:off x="478155" y="175260"/>
          <a:ext cx="1127730" cy="453390"/>
        </a:xfrm>
        <a:prstGeom prst="rect">
          <a:avLst/>
        </a:prstGeom>
      </xdr:spPr>
    </xdr:pic>
    <xdr:clientData/>
  </xdr:twoCellAnchor>
  <xdr:twoCellAnchor editAs="oneCell">
    <xdr:from>
      <xdr:col>5</xdr:col>
      <xdr:colOff>1522450</xdr:colOff>
      <xdr:row>26</xdr:row>
      <xdr:rowOff>119398</xdr:rowOff>
    </xdr:from>
    <xdr:to>
      <xdr:col>6</xdr:col>
      <xdr:colOff>23250</xdr:colOff>
      <xdr:row>27</xdr:row>
      <xdr:rowOff>174295</xdr:rowOff>
    </xdr:to>
    <xdr:pic>
      <xdr:nvPicPr>
        <xdr:cNvPr id="4" name="Imagen 3">
          <a:extLst>
            <a:ext uri="{FF2B5EF4-FFF2-40B4-BE49-F238E27FC236}">
              <a16:creationId xmlns:a16="http://schemas.microsoft.com/office/drawing/2014/main" id="{3CE44A21-6C64-4DEC-9308-555A85597199}"/>
            </a:ext>
          </a:extLst>
        </xdr:cNvPr>
        <xdr:cNvPicPr>
          <a:picLocks noChangeAspect="1"/>
        </xdr:cNvPicPr>
      </xdr:nvPicPr>
      <xdr:blipFill>
        <a:blip xmlns:r="http://schemas.openxmlformats.org/officeDocument/2006/relationships" r:embed="rId2"/>
        <a:stretch>
          <a:fillRect/>
        </a:stretch>
      </xdr:blipFill>
      <xdr:spPr>
        <a:xfrm rot="20562090">
          <a:off x="5042890" y="7358398"/>
          <a:ext cx="687740" cy="237777"/>
        </a:xfrm>
        <a:prstGeom prst="rect">
          <a:avLst/>
        </a:prstGeom>
      </xdr:spPr>
    </xdr:pic>
    <xdr:clientData/>
  </xdr:twoCellAnchor>
  <xdr:twoCellAnchor editAs="oneCell">
    <xdr:from>
      <xdr:col>5</xdr:col>
      <xdr:colOff>1512254</xdr:colOff>
      <xdr:row>31</xdr:row>
      <xdr:rowOff>11747</xdr:rowOff>
    </xdr:from>
    <xdr:to>
      <xdr:col>5</xdr:col>
      <xdr:colOff>1707834</xdr:colOff>
      <xdr:row>32</xdr:row>
      <xdr:rowOff>31432</xdr:rowOff>
    </xdr:to>
    <xdr:pic>
      <xdr:nvPicPr>
        <xdr:cNvPr id="5" name="Imagen 4">
          <a:extLst>
            <a:ext uri="{FF2B5EF4-FFF2-40B4-BE49-F238E27FC236}">
              <a16:creationId xmlns:a16="http://schemas.microsoft.com/office/drawing/2014/main" id="{F9588A0F-D1A7-430B-A44A-8D029B15192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6200000">
          <a:off x="5029201" y="8168640"/>
          <a:ext cx="202565" cy="19558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13364</xdr:colOff>
      <xdr:row>1</xdr:row>
      <xdr:rowOff>164110</xdr:rowOff>
    </xdr:from>
    <xdr:to>
      <xdr:col>6</xdr:col>
      <xdr:colOff>2116</xdr:colOff>
      <xdr:row>2</xdr:row>
      <xdr:rowOff>442931</xdr:rowOff>
    </xdr:to>
    <xdr:pic>
      <xdr:nvPicPr>
        <xdr:cNvPr id="2" name="Imagen 1" descr="Imagen que contiene Logotipo&#10;&#10;Descripción generada automáticamente">
          <a:extLst>
            <a:ext uri="{FF2B5EF4-FFF2-40B4-BE49-F238E27FC236}">
              <a16:creationId xmlns:a16="http://schemas.microsoft.com/office/drawing/2014/main" id="{C78975D5-2B43-4686-B832-1950D4050FB9}"/>
            </a:ext>
          </a:extLst>
        </xdr:cNvPr>
        <xdr:cNvPicPr>
          <a:picLocks noChangeAspect="1"/>
        </xdr:cNvPicPr>
      </xdr:nvPicPr>
      <xdr:blipFill>
        <a:blip xmlns:r="http://schemas.openxmlformats.org/officeDocument/2006/relationships" r:embed="rId1"/>
        <a:stretch>
          <a:fillRect/>
        </a:stretch>
      </xdr:blipFill>
      <xdr:spPr>
        <a:xfrm>
          <a:off x="7336184" y="263170"/>
          <a:ext cx="1146992" cy="461701"/>
        </a:xfrm>
        <a:prstGeom prst="rect">
          <a:avLst/>
        </a:prstGeom>
      </xdr:spPr>
    </xdr:pic>
    <xdr:clientData/>
  </xdr:twoCellAnchor>
  <xdr:twoCellAnchor editAs="oneCell">
    <xdr:from>
      <xdr:col>1</xdr:col>
      <xdr:colOff>152400</xdr:colOff>
      <xdr:row>1</xdr:row>
      <xdr:rowOff>190500</xdr:rowOff>
    </xdr:from>
    <xdr:to>
      <xdr:col>1</xdr:col>
      <xdr:colOff>1262985</xdr:colOff>
      <xdr:row>2</xdr:row>
      <xdr:rowOff>469321</xdr:rowOff>
    </xdr:to>
    <xdr:pic>
      <xdr:nvPicPr>
        <xdr:cNvPr id="3" name="Imagen 2" descr="Imagen que contiene Logotipo&#10;&#10;Descripción generada automáticamente">
          <a:extLst>
            <a:ext uri="{FF2B5EF4-FFF2-40B4-BE49-F238E27FC236}">
              <a16:creationId xmlns:a16="http://schemas.microsoft.com/office/drawing/2014/main" id="{E5326CC2-DAA4-4883-8A50-46EBCAAAFFE2}"/>
            </a:ext>
          </a:extLst>
        </xdr:cNvPr>
        <xdr:cNvPicPr>
          <a:picLocks noChangeAspect="1"/>
        </xdr:cNvPicPr>
      </xdr:nvPicPr>
      <xdr:blipFill>
        <a:blip xmlns:r="http://schemas.openxmlformats.org/officeDocument/2006/relationships" r:embed="rId1"/>
        <a:stretch>
          <a:fillRect/>
        </a:stretch>
      </xdr:blipFill>
      <xdr:spPr>
        <a:xfrm>
          <a:off x="259080" y="281940"/>
          <a:ext cx="1110585" cy="469321"/>
        </a:xfrm>
        <a:prstGeom prst="rect">
          <a:avLst/>
        </a:prstGeom>
      </xdr:spPr>
    </xdr:pic>
    <xdr:clientData/>
  </xdr:twoCellAnchor>
  <xdr:twoCellAnchor editAs="oneCell">
    <xdr:from>
      <xdr:col>2</xdr:col>
      <xdr:colOff>1695450</xdr:colOff>
      <xdr:row>8</xdr:row>
      <xdr:rowOff>76200</xdr:rowOff>
    </xdr:from>
    <xdr:to>
      <xdr:col>3</xdr:col>
      <xdr:colOff>842010</xdr:colOff>
      <xdr:row>10</xdr:row>
      <xdr:rowOff>64865</xdr:rowOff>
    </xdr:to>
    <xdr:pic>
      <xdr:nvPicPr>
        <xdr:cNvPr id="4" name="Imagen 3">
          <a:extLst>
            <a:ext uri="{FF2B5EF4-FFF2-40B4-BE49-F238E27FC236}">
              <a16:creationId xmlns:a16="http://schemas.microsoft.com/office/drawing/2014/main" id="{DBC2449A-16EC-49A0-B98D-470A77CFCF3B}"/>
            </a:ext>
          </a:extLst>
        </xdr:cNvPr>
        <xdr:cNvPicPr>
          <a:picLocks noChangeAspect="1"/>
        </xdr:cNvPicPr>
      </xdr:nvPicPr>
      <xdr:blipFill>
        <a:blip xmlns:r="http://schemas.openxmlformats.org/officeDocument/2006/relationships" r:embed="rId2"/>
        <a:stretch>
          <a:fillRect/>
        </a:stretch>
      </xdr:blipFill>
      <xdr:spPr>
        <a:xfrm>
          <a:off x="3211830" y="4572000"/>
          <a:ext cx="1303020" cy="339185"/>
        </a:xfrm>
        <a:prstGeom prst="rect">
          <a:avLst/>
        </a:prstGeom>
      </xdr:spPr>
    </xdr:pic>
    <xdr:clientData/>
  </xdr:twoCellAnchor>
  <xdr:twoCellAnchor editAs="oneCell">
    <xdr:from>
      <xdr:col>4</xdr:col>
      <xdr:colOff>336261</xdr:colOff>
      <xdr:row>22</xdr:row>
      <xdr:rowOff>103638</xdr:rowOff>
    </xdr:from>
    <xdr:to>
      <xdr:col>4</xdr:col>
      <xdr:colOff>1011438</xdr:colOff>
      <xdr:row>24</xdr:row>
      <xdr:rowOff>25257</xdr:rowOff>
    </xdr:to>
    <xdr:pic>
      <xdr:nvPicPr>
        <xdr:cNvPr id="5" name="Imagen 4">
          <a:extLst>
            <a:ext uri="{FF2B5EF4-FFF2-40B4-BE49-F238E27FC236}">
              <a16:creationId xmlns:a16="http://schemas.microsoft.com/office/drawing/2014/main" id="{436DFDBC-569C-4FB3-811C-6F79F9AAE820}"/>
            </a:ext>
          </a:extLst>
        </xdr:cNvPr>
        <xdr:cNvPicPr>
          <a:picLocks noChangeAspect="1"/>
        </xdr:cNvPicPr>
      </xdr:nvPicPr>
      <xdr:blipFill>
        <a:blip xmlns:r="http://schemas.openxmlformats.org/officeDocument/2006/relationships" r:embed="rId3"/>
        <a:stretch>
          <a:fillRect/>
        </a:stretch>
      </xdr:blipFill>
      <xdr:spPr>
        <a:xfrm rot="20250527">
          <a:off x="5975061" y="9841998"/>
          <a:ext cx="675177" cy="287379"/>
        </a:xfrm>
        <a:prstGeom prst="rect">
          <a:avLst/>
        </a:prstGeom>
      </xdr:spPr>
    </xdr:pic>
    <xdr:clientData/>
  </xdr:twoCellAnchor>
  <xdr:twoCellAnchor editAs="oneCell">
    <xdr:from>
      <xdr:col>4</xdr:col>
      <xdr:colOff>340679</xdr:colOff>
      <xdr:row>27</xdr:row>
      <xdr:rowOff>2222</xdr:rowOff>
    </xdr:from>
    <xdr:to>
      <xdr:col>4</xdr:col>
      <xdr:colOff>536259</xdr:colOff>
      <xdr:row>28</xdr:row>
      <xdr:rowOff>21907</xdr:rowOff>
    </xdr:to>
    <xdr:pic>
      <xdr:nvPicPr>
        <xdr:cNvPr id="6" name="Imagen 5">
          <a:extLst>
            <a:ext uri="{FF2B5EF4-FFF2-40B4-BE49-F238E27FC236}">
              <a16:creationId xmlns:a16="http://schemas.microsoft.com/office/drawing/2014/main" id="{B189B022-F7F0-4A2E-8B58-7A4F28072F2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16200000">
          <a:off x="5975986" y="10704195"/>
          <a:ext cx="202565" cy="19558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13364</xdr:colOff>
      <xdr:row>1</xdr:row>
      <xdr:rowOff>164110</xdr:rowOff>
    </xdr:from>
    <xdr:to>
      <xdr:col>6</xdr:col>
      <xdr:colOff>2116</xdr:colOff>
      <xdr:row>2</xdr:row>
      <xdr:rowOff>442931</xdr:rowOff>
    </xdr:to>
    <xdr:pic>
      <xdr:nvPicPr>
        <xdr:cNvPr id="2" name="Imagen 1" descr="Imagen que contiene Logotipo&#10;&#10;Descripción generada automáticamente">
          <a:extLst>
            <a:ext uri="{FF2B5EF4-FFF2-40B4-BE49-F238E27FC236}">
              <a16:creationId xmlns:a16="http://schemas.microsoft.com/office/drawing/2014/main" id="{BA8BC662-ACF4-4870-9E8A-89353905C019}"/>
            </a:ext>
          </a:extLst>
        </xdr:cNvPr>
        <xdr:cNvPicPr>
          <a:picLocks noChangeAspect="1"/>
        </xdr:cNvPicPr>
      </xdr:nvPicPr>
      <xdr:blipFill>
        <a:blip xmlns:r="http://schemas.openxmlformats.org/officeDocument/2006/relationships" r:embed="rId1"/>
        <a:stretch>
          <a:fillRect/>
        </a:stretch>
      </xdr:blipFill>
      <xdr:spPr>
        <a:xfrm>
          <a:off x="6665624" y="263170"/>
          <a:ext cx="1146992" cy="461701"/>
        </a:xfrm>
        <a:prstGeom prst="rect">
          <a:avLst/>
        </a:prstGeom>
      </xdr:spPr>
    </xdr:pic>
    <xdr:clientData/>
  </xdr:twoCellAnchor>
  <xdr:twoCellAnchor editAs="oneCell">
    <xdr:from>
      <xdr:col>1</xdr:col>
      <xdr:colOff>152400</xdr:colOff>
      <xdr:row>1</xdr:row>
      <xdr:rowOff>190500</xdr:rowOff>
    </xdr:from>
    <xdr:to>
      <xdr:col>1</xdr:col>
      <xdr:colOff>1262985</xdr:colOff>
      <xdr:row>2</xdr:row>
      <xdr:rowOff>469321</xdr:rowOff>
    </xdr:to>
    <xdr:pic>
      <xdr:nvPicPr>
        <xdr:cNvPr id="3" name="Imagen 2" descr="Imagen que contiene Logotipo&#10;&#10;Descripción generada automáticamente">
          <a:extLst>
            <a:ext uri="{FF2B5EF4-FFF2-40B4-BE49-F238E27FC236}">
              <a16:creationId xmlns:a16="http://schemas.microsoft.com/office/drawing/2014/main" id="{DDEE0372-E8EF-42E1-A733-8C42CC60045F}"/>
            </a:ext>
          </a:extLst>
        </xdr:cNvPr>
        <xdr:cNvPicPr>
          <a:picLocks noChangeAspect="1"/>
        </xdr:cNvPicPr>
      </xdr:nvPicPr>
      <xdr:blipFill>
        <a:blip xmlns:r="http://schemas.openxmlformats.org/officeDocument/2006/relationships" r:embed="rId1"/>
        <a:stretch>
          <a:fillRect/>
        </a:stretch>
      </xdr:blipFill>
      <xdr:spPr>
        <a:xfrm>
          <a:off x="259080" y="281940"/>
          <a:ext cx="1110585" cy="469321"/>
        </a:xfrm>
        <a:prstGeom prst="rect">
          <a:avLst/>
        </a:prstGeom>
      </xdr:spPr>
    </xdr:pic>
    <xdr:clientData/>
  </xdr:twoCellAnchor>
  <xdr:twoCellAnchor editAs="oneCell">
    <xdr:from>
      <xdr:col>2</xdr:col>
      <xdr:colOff>1695450</xdr:colOff>
      <xdr:row>8</xdr:row>
      <xdr:rowOff>76200</xdr:rowOff>
    </xdr:from>
    <xdr:to>
      <xdr:col>3</xdr:col>
      <xdr:colOff>842010</xdr:colOff>
      <xdr:row>10</xdr:row>
      <xdr:rowOff>64865</xdr:rowOff>
    </xdr:to>
    <xdr:pic>
      <xdr:nvPicPr>
        <xdr:cNvPr id="4" name="Imagen 3">
          <a:extLst>
            <a:ext uri="{FF2B5EF4-FFF2-40B4-BE49-F238E27FC236}">
              <a16:creationId xmlns:a16="http://schemas.microsoft.com/office/drawing/2014/main" id="{ADCA5DC5-6EE1-4E5E-8AB5-A7788BA66140}"/>
            </a:ext>
          </a:extLst>
        </xdr:cNvPr>
        <xdr:cNvPicPr>
          <a:picLocks noChangeAspect="1"/>
        </xdr:cNvPicPr>
      </xdr:nvPicPr>
      <xdr:blipFill>
        <a:blip xmlns:r="http://schemas.openxmlformats.org/officeDocument/2006/relationships" r:embed="rId2"/>
        <a:stretch>
          <a:fillRect/>
        </a:stretch>
      </xdr:blipFill>
      <xdr:spPr>
        <a:xfrm>
          <a:off x="3211830" y="3680460"/>
          <a:ext cx="1303020" cy="339185"/>
        </a:xfrm>
        <a:prstGeom prst="rect">
          <a:avLst/>
        </a:prstGeom>
      </xdr:spPr>
    </xdr:pic>
    <xdr:clientData/>
  </xdr:twoCellAnchor>
  <xdr:twoCellAnchor editAs="oneCell">
    <xdr:from>
      <xdr:col>4</xdr:col>
      <xdr:colOff>336261</xdr:colOff>
      <xdr:row>22</xdr:row>
      <xdr:rowOff>103638</xdr:rowOff>
    </xdr:from>
    <xdr:to>
      <xdr:col>4</xdr:col>
      <xdr:colOff>1011438</xdr:colOff>
      <xdr:row>24</xdr:row>
      <xdr:rowOff>25257</xdr:rowOff>
    </xdr:to>
    <xdr:pic>
      <xdr:nvPicPr>
        <xdr:cNvPr id="5" name="Imagen 4">
          <a:extLst>
            <a:ext uri="{FF2B5EF4-FFF2-40B4-BE49-F238E27FC236}">
              <a16:creationId xmlns:a16="http://schemas.microsoft.com/office/drawing/2014/main" id="{9A159DC5-7B7D-43E6-96D0-6D72BD8F1D59}"/>
            </a:ext>
          </a:extLst>
        </xdr:cNvPr>
        <xdr:cNvPicPr>
          <a:picLocks noChangeAspect="1"/>
        </xdr:cNvPicPr>
      </xdr:nvPicPr>
      <xdr:blipFill>
        <a:blip xmlns:r="http://schemas.openxmlformats.org/officeDocument/2006/relationships" r:embed="rId3"/>
        <a:stretch>
          <a:fillRect/>
        </a:stretch>
      </xdr:blipFill>
      <xdr:spPr>
        <a:xfrm rot="20250527">
          <a:off x="5975061" y="9841998"/>
          <a:ext cx="675177" cy="287379"/>
        </a:xfrm>
        <a:prstGeom prst="rect">
          <a:avLst/>
        </a:prstGeom>
      </xdr:spPr>
    </xdr:pic>
    <xdr:clientData/>
  </xdr:twoCellAnchor>
  <xdr:twoCellAnchor editAs="oneCell">
    <xdr:from>
      <xdr:col>4</xdr:col>
      <xdr:colOff>340679</xdr:colOff>
      <xdr:row>27</xdr:row>
      <xdr:rowOff>2222</xdr:rowOff>
    </xdr:from>
    <xdr:to>
      <xdr:col>4</xdr:col>
      <xdr:colOff>536259</xdr:colOff>
      <xdr:row>28</xdr:row>
      <xdr:rowOff>21907</xdr:rowOff>
    </xdr:to>
    <xdr:pic>
      <xdr:nvPicPr>
        <xdr:cNvPr id="6" name="Imagen 5">
          <a:extLst>
            <a:ext uri="{FF2B5EF4-FFF2-40B4-BE49-F238E27FC236}">
              <a16:creationId xmlns:a16="http://schemas.microsoft.com/office/drawing/2014/main" id="{883CDD14-FD9F-F1BE-5416-B85A64AFE60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16200000">
          <a:off x="5819776" y="10810875"/>
          <a:ext cx="210185" cy="19558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44825</xdr:colOff>
      <xdr:row>2</xdr:row>
      <xdr:rowOff>23694</xdr:rowOff>
    </xdr:from>
    <xdr:to>
      <xdr:col>9</xdr:col>
      <xdr:colOff>44825</xdr:colOff>
      <xdr:row>4</xdr:row>
      <xdr:rowOff>171386</xdr:rowOff>
    </xdr:to>
    <xdr:pic>
      <xdr:nvPicPr>
        <xdr:cNvPr id="2" name="Imagen 1" descr="Imagen que contiene Logotipo&#10;&#10;Descripción generada automáticamente">
          <a:extLst>
            <a:ext uri="{FF2B5EF4-FFF2-40B4-BE49-F238E27FC236}">
              <a16:creationId xmlns:a16="http://schemas.microsoft.com/office/drawing/2014/main" id="{B32765E5-2C69-4B94-AFFA-45D025944E43}"/>
            </a:ext>
          </a:extLst>
        </xdr:cNvPr>
        <xdr:cNvPicPr>
          <a:picLocks noChangeAspect="1"/>
        </xdr:cNvPicPr>
      </xdr:nvPicPr>
      <xdr:blipFill>
        <a:blip xmlns:r="http://schemas.openxmlformats.org/officeDocument/2006/relationships" r:embed="rId1"/>
        <a:stretch>
          <a:fillRect/>
        </a:stretch>
      </xdr:blipFill>
      <xdr:spPr>
        <a:xfrm>
          <a:off x="15505805" y="343734"/>
          <a:ext cx="1341824" cy="513452"/>
        </a:xfrm>
        <a:prstGeom prst="rect">
          <a:avLst/>
        </a:prstGeom>
      </xdr:spPr>
    </xdr:pic>
    <xdr:clientData/>
  </xdr:twoCellAnchor>
  <xdr:twoCellAnchor editAs="oneCell">
    <xdr:from>
      <xdr:col>1</xdr:col>
      <xdr:colOff>204107</xdr:colOff>
      <xdr:row>2</xdr:row>
      <xdr:rowOff>54429</xdr:rowOff>
    </xdr:from>
    <xdr:to>
      <xdr:col>1</xdr:col>
      <xdr:colOff>204107</xdr:colOff>
      <xdr:row>5</xdr:row>
      <xdr:rowOff>19241</xdr:rowOff>
    </xdr:to>
    <xdr:pic>
      <xdr:nvPicPr>
        <xdr:cNvPr id="3" name="Imagen 2" descr="Imagen que contiene Logotipo&#10;&#10;Descripción generada automáticamente">
          <a:extLst>
            <a:ext uri="{FF2B5EF4-FFF2-40B4-BE49-F238E27FC236}">
              <a16:creationId xmlns:a16="http://schemas.microsoft.com/office/drawing/2014/main" id="{39A8793D-81B7-434D-99CC-9CBA997AF06F}"/>
            </a:ext>
          </a:extLst>
        </xdr:cNvPr>
        <xdr:cNvPicPr>
          <a:picLocks noChangeAspect="1"/>
        </xdr:cNvPicPr>
      </xdr:nvPicPr>
      <xdr:blipFill>
        <a:blip xmlns:r="http://schemas.openxmlformats.org/officeDocument/2006/relationships" r:embed="rId1"/>
        <a:stretch>
          <a:fillRect/>
        </a:stretch>
      </xdr:blipFill>
      <xdr:spPr>
        <a:xfrm>
          <a:off x="432707" y="374469"/>
          <a:ext cx="1341824" cy="51345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44825</xdr:colOff>
      <xdr:row>2</xdr:row>
      <xdr:rowOff>23694</xdr:rowOff>
    </xdr:from>
    <xdr:to>
      <xdr:col>9</xdr:col>
      <xdr:colOff>44825</xdr:colOff>
      <xdr:row>4</xdr:row>
      <xdr:rowOff>171386</xdr:rowOff>
    </xdr:to>
    <xdr:pic>
      <xdr:nvPicPr>
        <xdr:cNvPr id="2" name="Imagen 1" descr="Imagen que contiene Logotipo&#10;&#10;Descripción generada automáticamente">
          <a:extLst>
            <a:ext uri="{FF2B5EF4-FFF2-40B4-BE49-F238E27FC236}">
              <a16:creationId xmlns:a16="http://schemas.microsoft.com/office/drawing/2014/main" id="{1855E9DA-E881-4C64-9ED6-81FD587E3587}"/>
            </a:ext>
          </a:extLst>
        </xdr:cNvPr>
        <xdr:cNvPicPr>
          <a:picLocks noChangeAspect="1"/>
        </xdr:cNvPicPr>
      </xdr:nvPicPr>
      <xdr:blipFill>
        <a:blip xmlns:r="http://schemas.openxmlformats.org/officeDocument/2006/relationships" r:embed="rId1"/>
        <a:stretch>
          <a:fillRect/>
        </a:stretch>
      </xdr:blipFill>
      <xdr:spPr>
        <a:xfrm>
          <a:off x="12130145" y="343734"/>
          <a:ext cx="0" cy="559172"/>
        </a:xfrm>
        <a:prstGeom prst="rect">
          <a:avLst/>
        </a:prstGeom>
      </xdr:spPr>
    </xdr:pic>
    <xdr:clientData/>
  </xdr:twoCellAnchor>
  <xdr:twoCellAnchor editAs="oneCell">
    <xdr:from>
      <xdr:col>1</xdr:col>
      <xdr:colOff>204107</xdr:colOff>
      <xdr:row>2</xdr:row>
      <xdr:rowOff>54429</xdr:rowOff>
    </xdr:from>
    <xdr:to>
      <xdr:col>1</xdr:col>
      <xdr:colOff>204107</xdr:colOff>
      <xdr:row>5</xdr:row>
      <xdr:rowOff>19241</xdr:rowOff>
    </xdr:to>
    <xdr:pic>
      <xdr:nvPicPr>
        <xdr:cNvPr id="3" name="Imagen 2" descr="Imagen que contiene Logotipo&#10;&#10;Descripción generada automáticamente">
          <a:extLst>
            <a:ext uri="{FF2B5EF4-FFF2-40B4-BE49-F238E27FC236}">
              <a16:creationId xmlns:a16="http://schemas.microsoft.com/office/drawing/2014/main" id="{D69127B0-FAEE-425C-810E-2BFC8E05EEEE}"/>
            </a:ext>
          </a:extLst>
        </xdr:cNvPr>
        <xdr:cNvPicPr>
          <a:picLocks noChangeAspect="1"/>
        </xdr:cNvPicPr>
      </xdr:nvPicPr>
      <xdr:blipFill>
        <a:blip xmlns:r="http://schemas.openxmlformats.org/officeDocument/2006/relationships" r:embed="rId1"/>
        <a:stretch>
          <a:fillRect/>
        </a:stretch>
      </xdr:blipFill>
      <xdr:spPr>
        <a:xfrm>
          <a:off x="524147" y="374469"/>
          <a:ext cx="0" cy="5820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44825</xdr:colOff>
      <xdr:row>2</xdr:row>
      <xdr:rowOff>23694</xdr:rowOff>
    </xdr:from>
    <xdr:to>
      <xdr:col>9</xdr:col>
      <xdr:colOff>44825</xdr:colOff>
      <xdr:row>4</xdr:row>
      <xdr:rowOff>171386</xdr:rowOff>
    </xdr:to>
    <xdr:pic>
      <xdr:nvPicPr>
        <xdr:cNvPr id="2" name="Imagen 1" descr="Imagen que contiene Logotipo&#10;&#10;Descripción generada automáticamente">
          <a:extLst>
            <a:ext uri="{FF2B5EF4-FFF2-40B4-BE49-F238E27FC236}">
              <a16:creationId xmlns:a16="http://schemas.microsoft.com/office/drawing/2014/main" id="{DD9F3CF6-FB67-4B46-A6BF-8C47A0237299}"/>
            </a:ext>
          </a:extLst>
        </xdr:cNvPr>
        <xdr:cNvPicPr>
          <a:picLocks noChangeAspect="1"/>
        </xdr:cNvPicPr>
      </xdr:nvPicPr>
      <xdr:blipFill>
        <a:blip xmlns:r="http://schemas.openxmlformats.org/officeDocument/2006/relationships" r:embed="rId1"/>
        <a:stretch>
          <a:fillRect/>
        </a:stretch>
      </xdr:blipFill>
      <xdr:spPr>
        <a:xfrm>
          <a:off x="12130145" y="343734"/>
          <a:ext cx="0" cy="559172"/>
        </a:xfrm>
        <a:prstGeom prst="rect">
          <a:avLst/>
        </a:prstGeom>
      </xdr:spPr>
    </xdr:pic>
    <xdr:clientData/>
  </xdr:twoCellAnchor>
  <xdr:twoCellAnchor editAs="oneCell">
    <xdr:from>
      <xdr:col>1</xdr:col>
      <xdr:colOff>204107</xdr:colOff>
      <xdr:row>2</xdr:row>
      <xdr:rowOff>54429</xdr:rowOff>
    </xdr:from>
    <xdr:to>
      <xdr:col>1</xdr:col>
      <xdr:colOff>204107</xdr:colOff>
      <xdr:row>5</xdr:row>
      <xdr:rowOff>19241</xdr:rowOff>
    </xdr:to>
    <xdr:pic>
      <xdr:nvPicPr>
        <xdr:cNvPr id="3" name="Imagen 2" descr="Imagen que contiene Logotipo&#10;&#10;Descripción generada automáticamente">
          <a:extLst>
            <a:ext uri="{FF2B5EF4-FFF2-40B4-BE49-F238E27FC236}">
              <a16:creationId xmlns:a16="http://schemas.microsoft.com/office/drawing/2014/main" id="{4FE2F2AC-3542-4A07-BE11-948D0FC43316}"/>
            </a:ext>
          </a:extLst>
        </xdr:cNvPr>
        <xdr:cNvPicPr>
          <a:picLocks noChangeAspect="1"/>
        </xdr:cNvPicPr>
      </xdr:nvPicPr>
      <xdr:blipFill>
        <a:blip xmlns:r="http://schemas.openxmlformats.org/officeDocument/2006/relationships" r:embed="rId1"/>
        <a:stretch>
          <a:fillRect/>
        </a:stretch>
      </xdr:blipFill>
      <xdr:spPr>
        <a:xfrm>
          <a:off x="524147" y="374469"/>
          <a:ext cx="0" cy="58203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44825</xdr:colOff>
      <xdr:row>2</xdr:row>
      <xdr:rowOff>23694</xdr:rowOff>
    </xdr:from>
    <xdr:to>
      <xdr:col>9</xdr:col>
      <xdr:colOff>44825</xdr:colOff>
      <xdr:row>4</xdr:row>
      <xdr:rowOff>171386</xdr:rowOff>
    </xdr:to>
    <xdr:pic>
      <xdr:nvPicPr>
        <xdr:cNvPr id="2" name="Imagen 1" descr="Imagen que contiene Logotipo&#10;&#10;Descripción generada automáticamente">
          <a:extLst>
            <a:ext uri="{FF2B5EF4-FFF2-40B4-BE49-F238E27FC236}">
              <a16:creationId xmlns:a16="http://schemas.microsoft.com/office/drawing/2014/main" id="{274E63ED-D342-4B4B-BD52-D0091DE81ECE}"/>
            </a:ext>
          </a:extLst>
        </xdr:cNvPr>
        <xdr:cNvPicPr>
          <a:picLocks noChangeAspect="1"/>
        </xdr:cNvPicPr>
      </xdr:nvPicPr>
      <xdr:blipFill>
        <a:blip xmlns:r="http://schemas.openxmlformats.org/officeDocument/2006/relationships" r:embed="rId1"/>
        <a:stretch>
          <a:fillRect/>
        </a:stretch>
      </xdr:blipFill>
      <xdr:spPr>
        <a:xfrm>
          <a:off x="12130145" y="343734"/>
          <a:ext cx="0" cy="559172"/>
        </a:xfrm>
        <a:prstGeom prst="rect">
          <a:avLst/>
        </a:prstGeom>
      </xdr:spPr>
    </xdr:pic>
    <xdr:clientData/>
  </xdr:twoCellAnchor>
  <xdr:twoCellAnchor editAs="oneCell">
    <xdr:from>
      <xdr:col>1</xdr:col>
      <xdr:colOff>204107</xdr:colOff>
      <xdr:row>2</xdr:row>
      <xdr:rowOff>54429</xdr:rowOff>
    </xdr:from>
    <xdr:to>
      <xdr:col>1</xdr:col>
      <xdr:colOff>204107</xdr:colOff>
      <xdr:row>5</xdr:row>
      <xdr:rowOff>19241</xdr:rowOff>
    </xdr:to>
    <xdr:pic>
      <xdr:nvPicPr>
        <xdr:cNvPr id="3" name="Imagen 2" descr="Imagen que contiene Logotipo&#10;&#10;Descripción generada automáticamente">
          <a:extLst>
            <a:ext uri="{FF2B5EF4-FFF2-40B4-BE49-F238E27FC236}">
              <a16:creationId xmlns:a16="http://schemas.microsoft.com/office/drawing/2014/main" id="{32882E1B-93D5-4FFF-A6BF-06BFEA9CA1B4}"/>
            </a:ext>
          </a:extLst>
        </xdr:cNvPr>
        <xdr:cNvPicPr>
          <a:picLocks noChangeAspect="1"/>
        </xdr:cNvPicPr>
      </xdr:nvPicPr>
      <xdr:blipFill>
        <a:blip xmlns:r="http://schemas.openxmlformats.org/officeDocument/2006/relationships" r:embed="rId1"/>
        <a:stretch>
          <a:fillRect/>
        </a:stretch>
      </xdr:blipFill>
      <xdr:spPr>
        <a:xfrm>
          <a:off x="524147" y="374469"/>
          <a:ext cx="0" cy="5820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ICBF/DOCUMENTOS/1.%20DIRECCI&#211;N%20DE%20ABASTECIMIENTO/PROCESOS%202015/INTERVENTORIA%20CONT.%20OBRA%20No.1718/INTERVENTORIA%20CONT.%20OBRA%20No.1718%20-%20150616%20-%20EC.xlsx" TargetMode="External"/><Relationship Id="rId1" Type="http://schemas.openxmlformats.org/officeDocument/2006/relationships/externalLinkPath" Target="/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ICBF/DOCUMENTOS/1.%20DIRECCI&#211;N%20DE%20ABASTECIMIENTO/PROCESOS%202017/EVALUACI&#211;N%20SRPA/04-EDC-EV-SRPA-160706.xlsx" TargetMode="External"/><Relationship Id="rId1" Type="http://schemas.openxmlformats.org/officeDocument/2006/relationships/externalLinkPath" Target="/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mailto:jduarte@novatours.com.co"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mailto:contratos@festivaltour.co"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gerencia.lrincon@jetours.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DA194-96BB-4F5A-98BD-D8B94049DF5C}">
  <sheetPr>
    <tabColor theme="9" tint="-0.249977111117893"/>
    <pageSetUpPr fitToPage="1"/>
  </sheetPr>
  <dimension ref="A1:L33"/>
  <sheetViews>
    <sheetView showGridLines="0" topLeftCell="A8" zoomScaleNormal="100" zoomScaleSheetLayoutView="100" workbookViewId="0">
      <selection activeCell="E18" sqref="E18"/>
    </sheetView>
  </sheetViews>
  <sheetFormatPr baseColWidth="10" defaultColWidth="0" defaultRowHeight="14.5" x14ac:dyDescent="0.35"/>
  <cols>
    <col min="1" max="1" width="3.6328125" style="34" customWidth="1"/>
    <col min="2" max="2" width="9" style="34" customWidth="1"/>
    <col min="3" max="3" width="14.453125" style="34" customWidth="1"/>
    <col min="4" max="5" width="12.08984375" style="34" customWidth="1"/>
    <col min="6" max="6" width="31.90625" style="34" customWidth="1"/>
    <col min="7" max="8" width="21.6328125" style="34" customWidth="1"/>
    <col min="9" max="9" width="24.453125" style="34" customWidth="1"/>
    <col min="10" max="10" width="8.36328125" style="34" customWidth="1"/>
    <col min="11" max="12" width="0" style="34" hidden="1" customWidth="1"/>
    <col min="13" max="16384" width="11.453125" style="34" hidden="1"/>
  </cols>
  <sheetData>
    <row r="1" spans="1:9" ht="6.75" customHeight="1" x14ac:dyDescent="0.35">
      <c r="I1" s="35"/>
    </row>
    <row r="2" spans="1:9" hidden="1" x14ac:dyDescent="0.35">
      <c r="B2" s="36"/>
      <c r="C2" s="37"/>
      <c r="D2" s="139" t="s">
        <v>37</v>
      </c>
      <c r="E2" s="140"/>
      <c r="F2" s="140"/>
      <c r="G2" s="38"/>
      <c r="H2" s="38"/>
      <c r="I2" s="39"/>
    </row>
    <row r="3" spans="1:9" ht="35.25" customHeight="1" x14ac:dyDescent="0.35">
      <c r="B3" s="36"/>
      <c r="C3" s="37"/>
      <c r="D3" s="141" t="s">
        <v>56</v>
      </c>
      <c r="E3" s="142"/>
      <c r="F3" s="142"/>
      <c r="G3" s="142"/>
      <c r="H3" s="143"/>
      <c r="I3" s="40"/>
    </row>
    <row r="4" spans="1:9" x14ac:dyDescent="0.35">
      <c r="B4" s="41"/>
      <c r="C4" s="65"/>
      <c r="D4" s="144" t="s">
        <v>38</v>
      </c>
      <c r="E4" s="145"/>
      <c r="F4" s="145"/>
      <c r="G4" s="145"/>
      <c r="H4" s="146"/>
      <c r="I4" s="42"/>
    </row>
    <row r="5" spans="1:9" ht="8.25" customHeight="1" x14ac:dyDescent="0.35">
      <c r="B5" s="35"/>
      <c r="C5" s="35"/>
      <c r="D5" s="35"/>
      <c r="E5" s="35"/>
      <c r="F5" s="35"/>
      <c r="G5" s="35"/>
      <c r="H5" s="35"/>
      <c r="I5" s="35"/>
    </row>
    <row r="6" spans="1:9" ht="67.25" customHeight="1" x14ac:dyDescent="0.35">
      <c r="B6" s="147" t="s">
        <v>39</v>
      </c>
      <c r="C6" s="148"/>
      <c r="D6" s="149" t="s">
        <v>55</v>
      </c>
      <c r="E6" s="149"/>
      <c r="F6" s="149"/>
      <c r="G6" s="149"/>
      <c r="H6" s="149"/>
      <c r="I6" s="149"/>
    </row>
    <row r="8" spans="1:9" x14ac:dyDescent="0.35">
      <c r="B8" s="147" t="s">
        <v>40</v>
      </c>
      <c r="C8" s="148"/>
      <c r="D8" s="150">
        <v>421195645</v>
      </c>
      <c r="E8" s="150"/>
    </row>
    <row r="10" spans="1:9" s="44" customFormat="1" ht="25.25" customHeight="1" x14ac:dyDescent="0.35">
      <c r="B10" s="45" t="s">
        <v>41</v>
      </c>
      <c r="C10" s="155" t="s">
        <v>42</v>
      </c>
      <c r="D10" s="155"/>
      <c r="E10" s="155"/>
      <c r="F10" s="45" t="s">
        <v>43</v>
      </c>
      <c r="G10" s="45" t="s">
        <v>77</v>
      </c>
      <c r="H10" s="45" t="s">
        <v>78</v>
      </c>
      <c r="I10" s="45" t="s">
        <v>44</v>
      </c>
    </row>
    <row r="11" spans="1:9" ht="145" x14ac:dyDescent="0.35">
      <c r="A11" s="58">
        <f>RANK(F11,$F$11:$F$14,1)+COUNTIF($F$11:F11,F11)-1</f>
        <v>2</v>
      </c>
      <c r="B11" s="46" t="s">
        <v>45</v>
      </c>
      <c r="C11" s="156" t="str">
        <f>'1'!C10</f>
        <v>NOVATOURS LTDA</v>
      </c>
      <c r="D11" s="156"/>
      <c r="E11" s="156"/>
      <c r="F11" s="43">
        <f>'1'!J36</f>
        <v>924856</v>
      </c>
      <c r="G11" s="43" t="s">
        <v>79</v>
      </c>
      <c r="H11" s="43" t="s">
        <v>79</v>
      </c>
      <c r="I11" s="130" t="str">
        <f>Subasta!I12</f>
        <v>Se requirió aclaración por presunción de precios artificialmente bajos. El proponente presentó oportunamente la justificación solicitada, la cual fue analizada por la Entidad, concluyéndose que cumple con los aspectos económicos evaluados.</v>
      </c>
    </row>
    <row r="12" spans="1:9" ht="29" x14ac:dyDescent="0.35">
      <c r="A12" s="58" t="e">
        <f>RANK(F12,$F$11:$F$14,1)+COUNTIF($F$11:F12,F12)-1</f>
        <v>#VALUE!</v>
      </c>
      <c r="B12" s="46" t="s">
        <v>46</v>
      </c>
      <c r="C12" s="156" t="str">
        <f>'2'!C10</f>
        <v>EUROAMERICAN TRAVEL SAS</v>
      </c>
      <c r="D12" s="156"/>
      <c r="E12" s="156"/>
      <c r="F12" s="43" t="str">
        <f>'2'!J36</f>
        <v>N/A</v>
      </c>
      <c r="G12" s="60" t="s">
        <v>76</v>
      </c>
      <c r="H12" s="60" t="s">
        <v>72</v>
      </c>
      <c r="I12" s="64" t="s">
        <v>102</v>
      </c>
    </row>
    <row r="13" spans="1:9" ht="145" x14ac:dyDescent="0.35">
      <c r="A13" s="58">
        <f>RANK(F13,$F$11:$F$14,1)+COUNTIF($F$11:F13,F13)-1</f>
        <v>1</v>
      </c>
      <c r="B13" s="46" t="s">
        <v>53</v>
      </c>
      <c r="C13" s="156" t="str">
        <f>'3'!C10</f>
        <v>FESTIVAL TOURS SAS</v>
      </c>
      <c r="D13" s="156"/>
      <c r="E13" s="156"/>
      <c r="F13" s="43">
        <f>'3'!J36</f>
        <v>897826</v>
      </c>
      <c r="G13" s="43" t="s">
        <v>79</v>
      </c>
      <c r="H13" s="43" t="s">
        <v>79</v>
      </c>
      <c r="I13" s="130" t="str">
        <f>Subasta!I13</f>
        <v>Se requirió aclaración por presunción de precios artificialmente bajos. El proponente presentó oportunamente la justificación solicitada, la cual fue analizada por la Entidad, concluyéndose que cumple con los aspectos económicos evaluados.</v>
      </c>
    </row>
    <row r="14" spans="1:9" ht="145" x14ac:dyDescent="0.35">
      <c r="A14" s="58">
        <f>RANK(F14,$F$11:$F$14,1)+COUNTIF($F$11:F14,F14)-1</f>
        <v>3</v>
      </c>
      <c r="B14" s="46" t="s">
        <v>54</v>
      </c>
      <c r="C14" s="156" t="str">
        <f>'4'!C10</f>
        <v>JE TOURS</v>
      </c>
      <c r="D14" s="156"/>
      <c r="E14" s="156"/>
      <c r="F14" s="43">
        <f>'4'!J36</f>
        <v>924856</v>
      </c>
      <c r="G14" s="43" t="s">
        <v>79</v>
      </c>
      <c r="H14" s="43" t="s">
        <v>79</v>
      </c>
      <c r="I14" s="130" t="str">
        <f>Subasta!I14</f>
        <v>Se requirió aclaración por presunción de precios artificialmente bajos. El proponente presentó oportunamente la justificación solicitada, la cual fue analizada por la Entidad, concluyéndose que cumple con los aspectos económicos evaluados.</v>
      </c>
    </row>
    <row r="17" spans="2:9" ht="23.5" x14ac:dyDescent="0.35">
      <c r="B17" s="138" t="s">
        <v>103</v>
      </c>
      <c r="C17" s="138"/>
      <c r="D17" s="138"/>
      <c r="E17" s="138"/>
      <c r="F17" s="138"/>
      <c r="G17" s="138"/>
      <c r="H17" s="138"/>
      <c r="I17" s="138"/>
    </row>
    <row r="18" spans="2:9" s="44" customFormat="1" ht="15" customHeight="1" x14ac:dyDescent="0.35"/>
    <row r="19" spans="2:9" x14ac:dyDescent="0.35">
      <c r="C19" s="45" t="s">
        <v>66</v>
      </c>
      <c r="D19" s="155" t="s">
        <v>42</v>
      </c>
      <c r="E19" s="155"/>
      <c r="F19" s="155"/>
      <c r="G19" s="45" t="s">
        <v>69</v>
      </c>
    </row>
    <row r="20" spans="2:9" x14ac:dyDescent="0.35">
      <c r="C20" s="46" t="s">
        <v>65</v>
      </c>
      <c r="D20" s="156" t="str">
        <f>VLOOKUP(RIGHT(C20,1)*1,$A$11:$I$14,3,0)</f>
        <v>FESTIVAL TOURS SAS</v>
      </c>
      <c r="E20" s="156"/>
      <c r="F20" s="156"/>
      <c r="G20" s="47">
        <f>VLOOKUP(RIGHT(C20,1)*1,$A$11:$I$14,6,0)</f>
        <v>897826</v>
      </c>
      <c r="H20" s="59"/>
    </row>
    <row r="21" spans="2:9" x14ac:dyDescent="0.35">
      <c r="C21" s="46" t="s">
        <v>67</v>
      </c>
      <c r="D21" s="156" t="str">
        <f t="shared" ref="D21:D22" si="0">VLOOKUP(RIGHT(C21,1)*1,$A$11:$I$14,3,0)</f>
        <v>NOVATOURS LTDA</v>
      </c>
      <c r="E21" s="156"/>
      <c r="F21" s="156"/>
      <c r="G21" s="47">
        <f t="shared" ref="G21:G22" si="1">VLOOKUP(RIGHT(C21,1)*1,$A$11:$I$14,6,0)</f>
        <v>924856</v>
      </c>
      <c r="H21" s="59"/>
    </row>
    <row r="22" spans="2:9" x14ac:dyDescent="0.35">
      <c r="C22" s="46" t="s">
        <v>68</v>
      </c>
      <c r="D22" s="156" t="str">
        <f t="shared" si="0"/>
        <v>JE TOURS</v>
      </c>
      <c r="E22" s="156"/>
      <c r="F22" s="156"/>
      <c r="G22" s="47">
        <f t="shared" si="1"/>
        <v>924856</v>
      </c>
      <c r="H22" s="59"/>
    </row>
    <row r="24" spans="2:9" ht="131" customHeight="1" x14ac:dyDescent="0.35">
      <c r="B24" s="157" t="s">
        <v>101</v>
      </c>
      <c r="C24" s="157"/>
      <c r="D24" s="157"/>
      <c r="E24" s="157"/>
      <c r="F24" s="157"/>
      <c r="G24" s="157"/>
      <c r="H24" s="157"/>
      <c r="I24" s="157"/>
    </row>
    <row r="27" spans="2:9" x14ac:dyDescent="0.35">
      <c r="C27" s="34" t="s">
        <v>47</v>
      </c>
    </row>
    <row r="28" spans="2:9" x14ac:dyDescent="0.35">
      <c r="C28" s="34" t="s">
        <v>48</v>
      </c>
      <c r="E28" s="34" t="s">
        <v>49</v>
      </c>
    </row>
    <row r="29" spans="2:9" x14ac:dyDescent="0.35">
      <c r="C29" s="34" t="s">
        <v>50</v>
      </c>
      <c r="E29" s="34" t="s">
        <v>51</v>
      </c>
    </row>
    <row r="31" spans="2:9" x14ac:dyDescent="0.35">
      <c r="C31" s="34" t="s">
        <v>52</v>
      </c>
    </row>
    <row r="32" spans="2:9" x14ac:dyDescent="0.35">
      <c r="C32" s="34" t="s">
        <v>48</v>
      </c>
      <c r="E32" s="34" t="s">
        <v>97</v>
      </c>
    </row>
    <row r="33" spans="3:5" x14ac:dyDescent="0.35">
      <c r="C33" s="34" t="s">
        <v>50</v>
      </c>
      <c r="E33" s="34" t="s">
        <v>51</v>
      </c>
    </row>
  </sheetData>
  <mergeCells count="18">
    <mergeCell ref="D2:F2"/>
    <mergeCell ref="B6:C6"/>
    <mergeCell ref="D6:I6"/>
    <mergeCell ref="C10:E10"/>
    <mergeCell ref="C11:E11"/>
    <mergeCell ref="B8:C8"/>
    <mergeCell ref="D8:E8"/>
    <mergeCell ref="B24:I24"/>
    <mergeCell ref="D3:H3"/>
    <mergeCell ref="D4:H4"/>
    <mergeCell ref="C14:E14"/>
    <mergeCell ref="C13:E13"/>
    <mergeCell ref="C12:E12"/>
    <mergeCell ref="B17:I17"/>
    <mergeCell ref="D20:F20"/>
    <mergeCell ref="D21:F21"/>
    <mergeCell ref="D22:F22"/>
    <mergeCell ref="D19:F19"/>
  </mergeCells>
  <phoneticPr fontId="25" type="noConversion"/>
  <pageMargins left="0.7" right="0.7" top="0.75" bottom="0.75" header="0.3" footer="0.3"/>
  <pageSetup scale="5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3CDD9-CAB2-4EC2-82BA-388FF7C4125B}">
  <sheetPr>
    <tabColor theme="3" tint="9.9978637043366805E-2"/>
    <pageSetUpPr fitToPage="1"/>
  </sheetPr>
  <dimension ref="A1:L33"/>
  <sheetViews>
    <sheetView showGridLines="0" tabSelected="1" topLeftCell="A14" zoomScale="70" zoomScaleNormal="70" zoomScaleSheetLayoutView="100" workbookViewId="0">
      <selection activeCell="B25" sqref="B25:I25"/>
    </sheetView>
  </sheetViews>
  <sheetFormatPr baseColWidth="10" defaultColWidth="0" defaultRowHeight="14.5" x14ac:dyDescent="0.35"/>
  <cols>
    <col min="1" max="1" width="3.6328125" style="34" customWidth="1"/>
    <col min="2" max="2" width="9" style="34" customWidth="1"/>
    <col min="3" max="3" width="14.453125" style="34" customWidth="1"/>
    <col min="4" max="5" width="12.08984375" style="34" customWidth="1"/>
    <col min="6" max="6" width="31.90625" style="34" customWidth="1"/>
    <col min="7" max="8" width="21.6328125" style="34" customWidth="1"/>
    <col min="9" max="9" width="38.6328125" style="34" customWidth="1"/>
    <col min="10" max="10" width="8.36328125" style="34" customWidth="1"/>
    <col min="11" max="12" width="0" style="34" hidden="1" customWidth="1"/>
    <col min="13" max="16384" width="11.453125" style="34" hidden="1"/>
  </cols>
  <sheetData>
    <row r="1" spans="1:9" ht="6.75" customHeight="1" x14ac:dyDescent="0.35">
      <c r="I1" s="35"/>
    </row>
    <row r="2" spans="1:9" hidden="1" x14ac:dyDescent="0.35">
      <c r="B2" s="36"/>
      <c r="C2" s="37"/>
      <c r="D2" s="139" t="s">
        <v>37</v>
      </c>
      <c r="E2" s="140"/>
      <c r="F2" s="140"/>
      <c r="G2" s="38"/>
      <c r="H2" s="38"/>
      <c r="I2" s="39"/>
    </row>
    <row r="3" spans="1:9" ht="35.25" customHeight="1" x14ac:dyDescent="0.35">
      <c r="B3" s="36"/>
      <c r="C3" s="37"/>
      <c r="D3" s="141" t="s">
        <v>56</v>
      </c>
      <c r="E3" s="142"/>
      <c r="F3" s="142"/>
      <c r="G3" s="142"/>
      <c r="H3" s="143"/>
      <c r="I3" s="40"/>
    </row>
    <row r="4" spans="1:9" x14ac:dyDescent="0.35">
      <c r="B4" s="41"/>
      <c r="C4" s="65"/>
      <c r="D4" s="144" t="s">
        <v>309</v>
      </c>
      <c r="E4" s="145"/>
      <c r="F4" s="145"/>
      <c r="G4" s="145"/>
      <c r="H4" s="146"/>
      <c r="I4" s="42"/>
    </row>
    <row r="5" spans="1:9" ht="8.25" customHeight="1" x14ac:dyDescent="0.35">
      <c r="B5" s="35"/>
      <c r="C5" s="35"/>
      <c r="D5" s="35"/>
      <c r="E5" s="35"/>
      <c r="F5" s="35"/>
      <c r="G5" s="35"/>
      <c r="H5" s="35"/>
      <c r="I5" s="35"/>
    </row>
    <row r="6" spans="1:9" ht="67.25" customHeight="1" x14ac:dyDescent="0.35">
      <c r="B6" s="147" t="s">
        <v>39</v>
      </c>
      <c r="C6" s="148"/>
      <c r="D6" s="149" t="s">
        <v>55</v>
      </c>
      <c r="E6" s="149"/>
      <c r="F6" s="149"/>
      <c r="G6" s="149"/>
      <c r="H6" s="149"/>
      <c r="I6" s="149"/>
    </row>
    <row r="8" spans="1:9" x14ac:dyDescent="0.35">
      <c r="B8" s="147" t="s">
        <v>40</v>
      </c>
      <c r="C8" s="148"/>
      <c r="D8" s="150">
        <v>421195645</v>
      </c>
      <c r="E8" s="150"/>
    </row>
    <row r="9" spans="1:9" x14ac:dyDescent="0.35">
      <c r="B9" s="147" t="s">
        <v>104</v>
      </c>
      <c r="C9" s="148"/>
      <c r="D9" s="150">
        <v>924856</v>
      </c>
      <c r="E9" s="150"/>
    </row>
    <row r="11" spans="1:9" s="44" customFormat="1" ht="25.25" customHeight="1" x14ac:dyDescent="0.35">
      <c r="B11" s="45" t="s">
        <v>41</v>
      </c>
      <c r="C11" s="151" t="s">
        <v>42</v>
      </c>
      <c r="D11" s="152"/>
      <c r="E11" s="153"/>
      <c r="F11" s="45" t="s">
        <v>43</v>
      </c>
      <c r="G11" s="45" t="s">
        <v>105</v>
      </c>
      <c r="H11" s="45" t="s">
        <v>106</v>
      </c>
      <c r="I11" s="45" t="s">
        <v>107</v>
      </c>
    </row>
    <row r="12" spans="1:9" ht="87" x14ac:dyDescent="0.35">
      <c r="A12" s="58">
        <f>RANK(G12,$G$12:$G$14,1)+COUNTIF($G$12:G12,G12)-1</f>
        <v>3</v>
      </c>
      <c r="B12" s="46" t="s">
        <v>45</v>
      </c>
      <c r="C12" s="135" t="str">
        <f>'1'!C10</f>
        <v>NOVATOURS LTDA</v>
      </c>
      <c r="D12" s="136"/>
      <c r="E12" s="137"/>
      <c r="F12" s="43">
        <f>'1'!J36</f>
        <v>924856</v>
      </c>
      <c r="G12" s="43">
        <f>'1'!M36</f>
        <v>603390</v>
      </c>
      <c r="H12" s="85">
        <f>1-(G12/F12)</f>
        <v>0.34758492132829322</v>
      </c>
      <c r="I12" s="91" t="s">
        <v>316</v>
      </c>
    </row>
    <row r="13" spans="1:9" ht="87" x14ac:dyDescent="0.35">
      <c r="A13" s="58">
        <f>RANK(G13,$G$12:$G$14,1)+COUNTIF($G$12:G13,G13)-1</f>
        <v>2</v>
      </c>
      <c r="B13" s="46" t="s">
        <v>53</v>
      </c>
      <c r="C13" s="135" t="str">
        <f>'3'!C10</f>
        <v>FESTIVAL TOURS SAS</v>
      </c>
      <c r="D13" s="136"/>
      <c r="E13" s="137"/>
      <c r="F13" s="43">
        <f>'3'!J36</f>
        <v>897826</v>
      </c>
      <c r="G13" s="43">
        <f>'3'!M36</f>
        <v>93999.68777842175</v>
      </c>
      <c r="H13" s="85">
        <f t="shared" ref="H13:H14" si="0">1-(G13/F13)</f>
        <v>0.89530300105095895</v>
      </c>
      <c r="I13" s="91" t="s">
        <v>316</v>
      </c>
    </row>
    <row r="14" spans="1:9" ht="87" x14ac:dyDescent="0.35">
      <c r="A14" s="58">
        <f>RANK(G14,$G$12:$G$14,1)+COUNTIF($G$12:G14,G14)-1</f>
        <v>1</v>
      </c>
      <c r="B14" s="46" t="s">
        <v>54</v>
      </c>
      <c r="C14" s="135" t="str">
        <f>'4'!C10</f>
        <v>JE TOURS</v>
      </c>
      <c r="D14" s="136"/>
      <c r="E14" s="137"/>
      <c r="F14" s="43">
        <f>'4'!J36</f>
        <v>924856</v>
      </c>
      <c r="G14" s="43">
        <f>'4'!M36</f>
        <v>92000.07</v>
      </c>
      <c r="H14" s="85">
        <f t="shared" si="0"/>
        <v>0.9005249790237615</v>
      </c>
      <c r="I14" s="91" t="s">
        <v>316</v>
      </c>
    </row>
    <row r="17" spans="2:9" ht="23.5" x14ac:dyDescent="0.35">
      <c r="B17" s="138" t="s">
        <v>319</v>
      </c>
      <c r="C17" s="138"/>
      <c r="D17" s="138"/>
      <c r="E17" s="138"/>
      <c r="F17" s="138"/>
      <c r="G17" s="138"/>
      <c r="H17" s="138"/>
      <c r="I17" s="138"/>
    </row>
    <row r="18" spans="2:9" s="44" customFormat="1" ht="15" customHeight="1" x14ac:dyDescent="0.35"/>
    <row r="19" spans="2:9" x14ac:dyDescent="0.35">
      <c r="C19" s="45" t="s">
        <v>66</v>
      </c>
      <c r="D19" s="155" t="s">
        <v>42</v>
      </c>
      <c r="E19" s="155"/>
      <c r="F19" s="155"/>
      <c r="G19" s="45" t="s">
        <v>69</v>
      </c>
      <c r="H19" s="45" t="s">
        <v>313</v>
      </c>
    </row>
    <row r="20" spans="2:9" x14ac:dyDescent="0.35">
      <c r="C20" s="46" t="s">
        <v>65</v>
      </c>
      <c r="D20" s="156" t="str">
        <f>VLOOKUP(RIGHT(C20,1)*1,$A$12:$I$14,3,0)</f>
        <v>JE TOURS</v>
      </c>
      <c r="E20" s="156"/>
      <c r="F20" s="156"/>
      <c r="G20" s="47">
        <f>VLOOKUP(RIGHT(C20,1)*1,$A$12:$I$14,7,0)</f>
        <v>92000.07</v>
      </c>
      <c r="H20" s="43" t="s">
        <v>314</v>
      </c>
    </row>
    <row r="21" spans="2:9" x14ac:dyDescent="0.35">
      <c r="C21" s="46" t="s">
        <v>67</v>
      </c>
      <c r="D21" s="156" t="str">
        <f>VLOOKUP(RIGHT(C21,1)*1,$A$12:$I$14,3,0)</f>
        <v>FESTIVAL TOURS SAS</v>
      </c>
      <c r="E21" s="156"/>
      <c r="F21" s="156"/>
      <c r="G21" s="47">
        <f t="shared" ref="G21:G22" si="1">VLOOKUP(RIGHT(C21,1)*1,$A$12:$I$14,7,0)</f>
        <v>93999.68777842175</v>
      </c>
      <c r="H21" s="43" t="s">
        <v>314</v>
      </c>
    </row>
    <row r="22" spans="2:9" x14ac:dyDescent="0.35">
      <c r="C22" s="46" t="s">
        <v>68</v>
      </c>
      <c r="D22" s="156" t="str">
        <f>VLOOKUP(RIGHT(C22,1)*1,$A$12:$I$14,3,0)</f>
        <v>NOVATOURS LTDA</v>
      </c>
      <c r="E22" s="156"/>
      <c r="F22" s="156"/>
      <c r="G22" s="47">
        <f t="shared" si="1"/>
        <v>603390</v>
      </c>
      <c r="H22" s="43" t="s">
        <v>314</v>
      </c>
    </row>
    <row r="24" spans="2:9" ht="210.65" customHeight="1" x14ac:dyDescent="0.35">
      <c r="B24" s="157" t="s">
        <v>315</v>
      </c>
      <c r="C24" s="157"/>
      <c r="D24" s="157"/>
      <c r="E24" s="157"/>
      <c r="F24" s="157"/>
      <c r="G24" s="157"/>
      <c r="H24" s="157"/>
      <c r="I24" s="157"/>
    </row>
    <row r="25" spans="2:9" ht="87.65" customHeight="1" x14ac:dyDescent="0.35">
      <c r="B25" s="154" t="s">
        <v>317</v>
      </c>
      <c r="C25" s="154"/>
      <c r="D25" s="154"/>
      <c r="E25" s="154"/>
      <c r="F25" s="154"/>
      <c r="G25" s="154"/>
      <c r="H25" s="154"/>
      <c r="I25" s="154"/>
    </row>
    <row r="27" spans="2:9" x14ac:dyDescent="0.35">
      <c r="C27" s="34" t="s">
        <v>47</v>
      </c>
    </row>
    <row r="28" spans="2:9" x14ac:dyDescent="0.35">
      <c r="C28" s="34" t="s">
        <v>48</v>
      </c>
      <c r="E28" s="34" t="s">
        <v>49</v>
      </c>
    </row>
    <row r="29" spans="2:9" x14ac:dyDescent="0.35">
      <c r="C29" s="34" t="s">
        <v>50</v>
      </c>
      <c r="E29" s="34" t="s">
        <v>51</v>
      </c>
    </row>
    <row r="31" spans="2:9" x14ac:dyDescent="0.35">
      <c r="C31" s="34" t="s">
        <v>52</v>
      </c>
    </row>
    <row r="32" spans="2:9" x14ac:dyDescent="0.35">
      <c r="C32" s="34" t="s">
        <v>48</v>
      </c>
      <c r="E32" s="34" t="s">
        <v>97</v>
      </c>
    </row>
    <row r="33" spans="3:5" x14ac:dyDescent="0.35">
      <c r="C33" s="34" t="s">
        <v>50</v>
      </c>
      <c r="E33" s="34" t="s">
        <v>51</v>
      </c>
    </row>
  </sheetData>
  <mergeCells count="20">
    <mergeCell ref="B25:I25"/>
    <mergeCell ref="D19:F19"/>
    <mergeCell ref="D20:F20"/>
    <mergeCell ref="D21:F21"/>
    <mergeCell ref="D22:F22"/>
    <mergeCell ref="B24:I24"/>
    <mergeCell ref="C14:E14"/>
    <mergeCell ref="B17:I17"/>
    <mergeCell ref="D2:F2"/>
    <mergeCell ref="D3:H3"/>
    <mergeCell ref="D4:H4"/>
    <mergeCell ref="B6:C6"/>
    <mergeCell ref="D6:I6"/>
    <mergeCell ref="B8:C8"/>
    <mergeCell ref="D8:E8"/>
    <mergeCell ref="D9:E9"/>
    <mergeCell ref="B9:C9"/>
    <mergeCell ref="C11:E11"/>
    <mergeCell ref="C12:E12"/>
    <mergeCell ref="C13:E13"/>
  </mergeCells>
  <pageMargins left="0.7" right="0.7" top="0.75" bottom="0.75" header="0.3" footer="0.3"/>
  <pageSetup scale="5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7264E-EDFA-4FDB-8F94-D8B8B8B85D72}">
  <dimension ref="A1:B3"/>
  <sheetViews>
    <sheetView workbookViewId="0">
      <selection activeCell="B4" sqref="B4"/>
    </sheetView>
  </sheetViews>
  <sheetFormatPr baseColWidth="10" defaultRowHeight="14.5" x14ac:dyDescent="0.35"/>
  <sheetData>
    <row r="1" spans="1:2" x14ac:dyDescent="0.35">
      <c r="A1" t="s">
        <v>70</v>
      </c>
      <c r="B1">
        <v>1</v>
      </c>
    </row>
    <row r="2" spans="1:2" x14ac:dyDescent="0.35">
      <c r="A2" t="s">
        <v>73</v>
      </c>
      <c r="B2">
        <v>3</v>
      </c>
    </row>
    <row r="3" spans="1:2" x14ac:dyDescent="0.35">
      <c r="A3" t="s">
        <v>74</v>
      </c>
      <c r="B3">
        <v>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ED5CE-FC70-4F53-9759-D69A9ABEDEE7}">
  <sheetPr>
    <pageSetUpPr fitToPage="1"/>
  </sheetPr>
  <dimension ref="B1:G28"/>
  <sheetViews>
    <sheetView workbookViewId="0">
      <selection activeCell="B19" sqref="B19:D19"/>
    </sheetView>
  </sheetViews>
  <sheetFormatPr baseColWidth="10" defaultRowHeight="14.5" x14ac:dyDescent="0.35"/>
  <cols>
    <col min="1" max="1" width="5.1796875" customWidth="1"/>
    <col min="2" max="4" width="18.453125" customWidth="1"/>
    <col min="5" max="7" width="25.08984375" customWidth="1"/>
    <col min="8" max="8" width="7.36328125" customWidth="1"/>
  </cols>
  <sheetData>
    <row r="1" spans="2:7" x14ac:dyDescent="0.35">
      <c r="B1" s="174" t="s">
        <v>0</v>
      </c>
      <c r="C1" s="174"/>
      <c r="D1" s="174"/>
      <c r="E1" s="174"/>
      <c r="F1" s="174"/>
      <c r="G1" s="174"/>
    </row>
    <row r="2" spans="2:7" x14ac:dyDescent="0.35">
      <c r="B2" s="174"/>
      <c r="C2" s="174"/>
      <c r="D2" s="174"/>
      <c r="E2" s="174"/>
      <c r="F2" s="174"/>
      <c r="G2" s="174"/>
    </row>
    <row r="3" spans="2:7" x14ac:dyDescent="0.35">
      <c r="B3" s="174"/>
      <c r="C3" s="174"/>
      <c r="D3" s="174"/>
      <c r="E3" s="174"/>
      <c r="F3" s="174"/>
      <c r="G3" s="174"/>
    </row>
    <row r="4" spans="2:7" ht="15.5" x14ac:dyDescent="0.35">
      <c r="B4" s="3"/>
      <c r="C4" s="3"/>
      <c r="D4" s="3"/>
      <c r="E4" s="3"/>
      <c r="F4" s="3"/>
      <c r="G4" s="4"/>
    </row>
    <row r="5" spans="2:7" ht="15.5" x14ac:dyDescent="0.35">
      <c r="B5" s="175" t="s">
        <v>311</v>
      </c>
      <c r="C5" s="175"/>
      <c r="D5" s="175"/>
      <c r="E5" s="175"/>
      <c r="F5" s="175"/>
      <c r="G5" s="175"/>
    </row>
    <row r="6" spans="2:7" ht="48" customHeight="1" x14ac:dyDescent="0.35">
      <c r="B6" s="176" t="s">
        <v>2</v>
      </c>
      <c r="C6" s="176"/>
      <c r="D6" s="176"/>
      <c r="E6" s="176"/>
      <c r="F6" s="176"/>
      <c r="G6" s="176"/>
    </row>
    <row r="7" spans="2:7" ht="15.5" x14ac:dyDescent="0.35">
      <c r="B7" s="3"/>
      <c r="C7" s="3"/>
      <c r="D7" s="3"/>
      <c r="E7" s="3"/>
      <c r="F7" s="3"/>
      <c r="G7" s="4"/>
    </row>
    <row r="8" spans="2:7" x14ac:dyDescent="0.35">
      <c r="B8" s="168" t="s">
        <v>14</v>
      </c>
      <c r="C8" s="169"/>
      <c r="D8" s="169"/>
      <c r="E8" s="169"/>
      <c r="F8" s="169"/>
      <c r="G8" s="169"/>
    </row>
    <row r="9" spans="2:7" ht="15.5" x14ac:dyDescent="0.35">
      <c r="B9" s="8"/>
      <c r="C9" s="8"/>
      <c r="D9" s="8"/>
      <c r="E9" s="8"/>
      <c r="F9" s="8"/>
      <c r="G9" s="8"/>
    </row>
    <row r="10" spans="2:7" ht="15.5" x14ac:dyDescent="0.35">
      <c r="B10" s="177" t="s">
        <v>312</v>
      </c>
      <c r="C10" s="177"/>
      <c r="D10" s="177"/>
      <c r="E10" s="178" t="s">
        <v>74</v>
      </c>
      <c r="F10" s="178"/>
      <c r="G10" s="178"/>
    </row>
    <row r="11" spans="2:7" ht="15.5" x14ac:dyDescent="0.35">
      <c r="B11" s="8"/>
      <c r="C11" s="8"/>
      <c r="D11" s="8"/>
      <c r="E11" s="8"/>
      <c r="F11" s="8"/>
      <c r="G11" s="8"/>
    </row>
    <row r="12" spans="2:7" ht="15.5" x14ac:dyDescent="0.35">
      <c r="B12" s="8"/>
      <c r="C12" s="8"/>
      <c r="D12" s="8"/>
      <c r="E12" s="170" t="s">
        <v>15</v>
      </c>
      <c r="F12" s="170"/>
      <c r="G12" s="170"/>
    </row>
    <row r="13" spans="2:7" ht="28" x14ac:dyDescent="0.35">
      <c r="B13" s="171" t="s">
        <v>17</v>
      </c>
      <c r="C13" s="172"/>
      <c r="D13" s="173"/>
      <c r="E13" s="10" t="s">
        <v>18</v>
      </c>
      <c r="F13" s="10" t="s">
        <v>19</v>
      </c>
      <c r="G13" s="10" t="s">
        <v>20</v>
      </c>
    </row>
    <row r="14" spans="2:7" x14ac:dyDescent="0.35">
      <c r="B14" s="160" t="s">
        <v>21</v>
      </c>
      <c r="C14" s="160"/>
      <c r="D14" s="160"/>
      <c r="E14" s="11" cm="1">
        <f t="array" aca="1" ref="E14" ca="1">(INDIRECT("'"&amp;VLOOKUP($E$10,OFERENTES,2,0)&amp;"'!L22")*1)/1.19</f>
        <v>4300.661332115259</v>
      </c>
      <c r="F14" s="12">
        <f ca="1">ROUND(E14*19%,0)</f>
        <v>817</v>
      </c>
      <c r="G14" s="134">
        <f ca="1">ROUND((E14+F14),0)</f>
        <v>5118</v>
      </c>
    </row>
    <row r="15" spans="2:7" x14ac:dyDescent="0.35">
      <c r="B15" s="160" t="s">
        <v>22</v>
      </c>
      <c r="C15" s="160"/>
      <c r="D15" s="160"/>
      <c r="E15" s="11" cm="1">
        <f t="array" aca="1" ref="E15" ca="1">(INDIRECT("'"&amp;VLOOKUP($E$10,OFERENTES,2,0)&amp;"'!L23")*1)/1.19</f>
        <v>7349.6937938028686</v>
      </c>
      <c r="F15" s="12">
        <f ca="1">ROUND(E15*19%,0)</f>
        <v>1396</v>
      </c>
      <c r="G15" s="134">
        <f ca="1">ROUND((E15+F15),0)</f>
        <v>8746</v>
      </c>
    </row>
    <row r="16" spans="2:7" x14ac:dyDescent="0.35">
      <c r="B16" s="14"/>
      <c r="C16" s="14"/>
      <c r="D16" s="14"/>
      <c r="E16" s="15"/>
      <c r="F16" s="14"/>
      <c r="G16" s="14"/>
    </row>
    <row r="17" spans="2:7" x14ac:dyDescent="0.35">
      <c r="B17" s="161" t="s">
        <v>23</v>
      </c>
      <c r="C17" s="162"/>
      <c r="D17" s="162"/>
      <c r="E17" s="162"/>
      <c r="F17" s="162"/>
      <c r="G17" s="162"/>
    </row>
    <row r="18" spans="2:7" x14ac:dyDescent="0.35">
      <c r="B18" s="14"/>
      <c r="C18" s="14"/>
      <c r="D18" s="14"/>
      <c r="E18" s="15"/>
      <c r="F18" s="14"/>
      <c r="G18" s="14"/>
    </row>
    <row r="19" spans="2:7" x14ac:dyDescent="0.35">
      <c r="B19" s="163" t="s">
        <v>318</v>
      </c>
      <c r="C19" s="164"/>
      <c r="D19" s="165"/>
      <c r="E19" s="57">
        <v>3667.06</v>
      </c>
      <c r="F19" s="14"/>
      <c r="G19" s="14"/>
    </row>
    <row r="20" spans="2:7" x14ac:dyDescent="0.35">
      <c r="B20" s="17"/>
      <c r="C20" s="17"/>
      <c r="D20" s="17"/>
      <c r="E20" s="14"/>
      <c r="F20" s="18"/>
      <c r="G20" s="18"/>
    </row>
    <row r="21" spans="2:7" ht="15.5" x14ac:dyDescent="0.35">
      <c r="B21" s="17"/>
      <c r="D21" s="166" t="s">
        <v>15</v>
      </c>
      <c r="E21" s="166"/>
      <c r="F21" s="166"/>
      <c r="G21" s="166"/>
    </row>
    <row r="22" spans="2:7" ht="34.5" x14ac:dyDescent="0.35">
      <c r="B22" s="167" t="s">
        <v>25</v>
      </c>
      <c r="C22" s="167"/>
      <c r="D22" s="20" t="s">
        <v>26</v>
      </c>
      <c r="E22" s="20" t="s">
        <v>27</v>
      </c>
      <c r="F22" s="20" t="s">
        <v>19</v>
      </c>
      <c r="G22" s="20" t="s">
        <v>28</v>
      </c>
    </row>
    <row r="23" spans="2:7" ht="40.75" customHeight="1" x14ac:dyDescent="0.35">
      <c r="B23" s="158" t="s">
        <v>29</v>
      </c>
      <c r="C23" s="158"/>
      <c r="D23" s="133" cm="1">
        <f t="array" aca="1" ref="D23" ca="1">(INDIRECT("'"&amp;VLOOKUP($E$10,OFERENTES,2,0)&amp;"'!N31")*1)</f>
        <v>1.4921237006266324</v>
      </c>
      <c r="E23" s="131">
        <f ca="1">(D23*$E$19)</f>
        <v>5471.7071376198983</v>
      </c>
      <c r="F23" s="23">
        <v>0.19</v>
      </c>
      <c r="G23" s="12">
        <f ca="1">(E23+(E23*F23))</f>
        <v>6511.3314937676787</v>
      </c>
    </row>
    <row r="24" spans="2:7" ht="40.75" customHeight="1" x14ac:dyDescent="0.35">
      <c r="B24" s="158" t="s">
        <v>30</v>
      </c>
      <c r="C24" s="158"/>
      <c r="D24" s="133" cm="1">
        <f t="array" aca="1" ref="D24" ca="1">(INDIRECT("'"&amp;VLOOKUP($E$10,OFERENTES,2,0)&amp;"'!N32")*1)</f>
        <v>2.6858317793197322</v>
      </c>
      <c r="E24" s="131">
        <f t="shared" ref="E24:E26" ca="1" si="0">(D24*$E$19)</f>
        <v>9849.1062846722161</v>
      </c>
      <c r="F24" s="23">
        <v>0.19</v>
      </c>
      <c r="G24" s="12">
        <f t="shared" ref="G24:G26" ca="1" si="1">(E24+(E24*F24))</f>
        <v>11720.436478759937</v>
      </c>
    </row>
    <row r="25" spans="2:7" ht="40.75" customHeight="1" x14ac:dyDescent="0.35">
      <c r="B25" s="158" t="s">
        <v>31</v>
      </c>
      <c r="C25" s="158"/>
      <c r="D25" s="133" cm="1">
        <f t="array" aca="1" ref="D25" ca="1">(INDIRECT("'"&amp;VLOOKUP($E$10,OFERENTES,2,0)&amp;"'!N33")*1)</f>
        <v>4.4763711018798968</v>
      </c>
      <c r="E25" s="131">
        <f t="shared" ca="1" si="0"/>
        <v>16415.121412859695</v>
      </c>
      <c r="F25" s="23">
        <v>0.19</v>
      </c>
      <c r="G25" s="12">
        <f t="shared" ca="1" si="1"/>
        <v>19533.994481303038</v>
      </c>
    </row>
    <row r="26" spans="2:7" ht="40.75" customHeight="1" x14ac:dyDescent="0.35">
      <c r="B26" s="158" t="s">
        <v>32</v>
      </c>
      <c r="C26" s="158"/>
      <c r="D26" s="133" cm="1">
        <f t="array" aca="1" ref="D26" ca="1">(INDIRECT("'"&amp;VLOOKUP($E$10,OFERENTES,2,0)&amp;"'!N34")*1)</f>
        <v>9.2511806211728107</v>
      </c>
      <c r="E26" s="131">
        <f t="shared" ca="1" si="0"/>
        <v>33924.634408677965</v>
      </c>
      <c r="F26" s="23">
        <v>0.19</v>
      </c>
      <c r="G26" s="12">
        <f t="shared" ca="1" si="1"/>
        <v>40370.314946326776</v>
      </c>
    </row>
    <row r="27" spans="2:7" ht="15.5" x14ac:dyDescent="0.35">
      <c r="B27" s="1"/>
      <c r="C27" s="1"/>
      <c r="D27" s="1"/>
      <c r="E27" s="1"/>
      <c r="F27" s="1"/>
    </row>
    <row r="28" spans="2:7" ht="15.5" x14ac:dyDescent="0.35">
      <c r="B28" s="159" t="s">
        <v>33</v>
      </c>
      <c r="C28" s="159"/>
      <c r="D28" s="159"/>
      <c r="E28" s="159"/>
      <c r="F28" s="159"/>
      <c r="G28" s="132">
        <f ca="1">SUM(G23:G26,G14:G15)</f>
        <v>92000.077400157432</v>
      </c>
    </row>
  </sheetData>
  <mergeCells count="19">
    <mergeCell ref="B8:G8"/>
    <mergeCell ref="E12:G12"/>
    <mergeCell ref="B13:D13"/>
    <mergeCell ref="B1:G3"/>
    <mergeCell ref="B5:G5"/>
    <mergeCell ref="B6:G6"/>
    <mergeCell ref="B10:D10"/>
    <mergeCell ref="E10:G10"/>
    <mergeCell ref="B25:C25"/>
    <mergeCell ref="B26:C26"/>
    <mergeCell ref="B28:F28"/>
    <mergeCell ref="B14:D14"/>
    <mergeCell ref="B15:D15"/>
    <mergeCell ref="B17:G17"/>
    <mergeCell ref="B19:D19"/>
    <mergeCell ref="D21:G21"/>
    <mergeCell ref="B22:C22"/>
    <mergeCell ref="B23:C23"/>
    <mergeCell ref="B24:C24"/>
  </mergeCells>
  <pageMargins left="0.7" right="0.7" top="0.75" bottom="0.75" header="0.3" footer="0.3"/>
  <pageSetup scale="66"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C598EAA-8866-4BD7-BA63-D52A04D36394}">
          <x14:formula1>
            <xm:f>Subasta!$C$12:$C$14</xm:f>
          </x14:formula1>
          <xm:sqref>E10:G10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E1E17-1019-4F88-B961-1F6654C01A87}">
  <sheetPr>
    <tabColor rgb="FFFFC000"/>
    <pageSetUpPr fitToPage="1"/>
  </sheetPr>
  <dimension ref="A1:G37"/>
  <sheetViews>
    <sheetView showGridLines="0" topLeftCell="A21" zoomScaleNormal="100" zoomScaleSheetLayoutView="100" workbookViewId="0">
      <selection activeCell="B22" sqref="B22:F22"/>
    </sheetView>
  </sheetViews>
  <sheetFormatPr baseColWidth="10" defaultColWidth="0" defaultRowHeight="14.4" customHeight="1" zeroHeight="1" x14ac:dyDescent="0.35"/>
  <cols>
    <col min="1" max="1" width="1.54296875" style="34" customWidth="1"/>
    <col min="2" max="2" width="20.54296875" style="34" customWidth="1"/>
    <col min="3" max="3" width="31.453125" style="34" customWidth="1"/>
    <col min="4" max="4" width="28.6328125" style="34" customWidth="1"/>
    <col min="5" max="5" width="24.54296875" style="34" customWidth="1"/>
    <col min="6" max="6" width="16.90625" style="34" customWidth="1"/>
    <col min="7" max="7" width="1.6328125" style="34" customWidth="1"/>
    <col min="8" max="16384" width="11.453125" style="34" hidden="1"/>
  </cols>
  <sheetData>
    <row r="1" spans="2:6" ht="8.25" customHeight="1" x14ac:dyDescent="0.35"/>
    <row r="2" spans="2:6" ht="14.5" x14ac:dyDescent="0.35">
      <c r="B2" s="36"/>
      <c r="C2" s="179" t="s">
        <v>37</v>
      </c>
      <c r="D2" s="179"/>
      <c r="E2" s="179"/>
      <c r="F2" s="40"/>
    </row>
    <row r="3" spans="2:6" ht="37.5" customHeight="1" x14ac:dyDescent="0.35">
      <c r="B3" s="48"/>
      <c r="C3" s="180" t="str">
        <f>'Ofertas Recibidas'!D3</f>
        <v>Instituto Colombiano de Antropología e Historia
EVALUACIÓN ECONOMICA SASIE-ICANH-001-2026</v>
      </c>
      <c r="D3" s="180"/>
      <c r="E3" s="180"/>
      <c r="F3" s="49"/>
    </row>
    <row r="4" spans="2:6" ht="14.5" x14ac:dyDescent="0.35">
      <c r="B4" s="41"/>
      <c r="C4" s="179" t="s">
        <v>115</v>
      </c>
      <c r="D4" s="179"/>
      <c r="E4" s="179"/>
      <c r="F4" s="42"/>
    </row>
    <row r="5" spans="2:6" ht="11.25" customHeight="1" x14ac:dyDescent="0.35">
      <c r="B5" s="35"/>
      <c r="C5" s="35"/>
      <c r="D5" s="35"/>
      <c r="E5" s="35"/>
      <c r="F5" s="35"/>
    </row>
    <row r="6" spans="2:6" ht="60.65" customHeight="1" x14ac:dyDescent="0.35">
      <c r="B6" s="181" t="str">
        <f>"OBJETO: "&amp;'Ofertas Recibidas'!D6</f>
        <v>OBJETO: Suministrar los pasajes aéreos en rutas nacionales e internacionales para los funcionarios, contratistas e invitados especiales del Instituto Colombiano de Antropología e Historia - ICANH; que se requieran en ejercicio de sus funciones y actividades</v>
      </c>
      <c r="C6" s="181"/>
      <c r="D6" s="181"/>
      <c r="E6" s="181"/>
      <c r="F6" s="181"/>
    </row>
    <row r="7" spans="2:6" ht="112.25" customHeight="1" x14ac:dyDescent="0.35">
      <c r="B7" s="181" t="s">
        <v>116</v>
      </c>
      <c r="C7" s="181"/>
      <c r="D7" s="181"/>
      <c r="E7" s="181"/>
      <c r="F7" s="181"/>
    </row>
    <row r="8" spans="2:6" ht="96.75" customHeight="1" x14ac:dyDescent="0.35">
      <c r="B8" s="157" t="s">
        <v>58</v>
      </c>
      <c r="C8" s="157"/>
      <c r="D8" s="157"/>
      <c r="E8" s="157"/>
      <c r="F8" s="157"/>
    </row>
    <row r="9" spans="2:6" ht="14.25" customHeight="1" x14ac:dyDescent="0.35"/>
    <row r="10" spans="2:6" ht="14.25" customHeight="1" x14ac:dyDescent="0.35"/>
    <row r="11" spans="2:6" ht="112.25" customHeight="1" x14ac:dyDescent="0.35">
      <c r="B11" s="157" t="s">
        <v>59</v>
      </c>
      <c r="C11" s="157"/>
      <c r="D11" s="157"/>
      <c r="E11" s="157"/>
      <c r="F11" s="157"/>
    </row>
    <row r="12" spans="2:6" ht="9.75" customHeight="1" x14ac:dyDescent="0.35">
      <c r="B12" s="50"/>
      <c r="C12" s="50"/>
      <c r="D12" s="50"/>
      <c r="E12" s="50"/>
      <c r="F12" s="50"/>
    </row>
    <row r="13" spans="2:6" ht="27.75" customHeight="1" x14ac:dyDescent="0.35">
      <c r="B13" s="61" t="s">
        <v>98</v>
      </c>
      <c r="C13" s="62">
        <v>924856</v>
      </c>
      <c r="D13" s="50"/>
    </row>
    <row r="14" spans="2:6" ht="27.75" customHeight="1" x14ac:dyDescent="0.35">
      <c r="B14" s="63">
        <v>0.2</v>
      </c>
      <c r="C14" s="62">
        <f>+C13*(1-20%)</f>
        <v>739884.8</v>
      </c>
      <c r="D14" s="50"/>
      <c r="E14" s="52"/>
      <c r="F14" s="51"/>
    </row>
    <row r="15" spans="2:6" ht="9.75" customHeight="1" x14ac:dyDescent="0.35">
      <c r="B15" s="50"/>
      <c r="C15" s="50"/>
      <c r="D15" s="50"/>
      <c r="E15" s="50"/>
      <c r="F15" s="50"/>
    </row>
    <row r="16" spans="2:6" ht="27" customHeight="1" x14ac:dyDescent="0.35">
      <c r="B16" s="182" t="s">
        <v>60</v>
      </c>
      <c r="C16" s="182"/>
      <c r="D16" s="53" t="s">
        <v>113</v>
      </c>
      <c r="E16" s="54" t="s">
        <v>62</v>
      </c>
      <c r="F16" s="45" t="s">
        <v>63</v>
      </c>
    </row>
    <row r="17" spans="2:6" ht="28.5" customHeight="1" x14ac:dyDescent="0.35">
      <c r="B17" s="183" t="str">
        <f>'Ofertas Recibidas'!C11</f>
        <v>NOVATOURS LTDA</v>
      </c>
      <c r="C17" s="183"/>
      <c r="D17" s="89">
        <f>Subasta!G12</f>
        <v>603390</v>
      </c>
      <c r="E17" s="56">
        <f>+(($C$13-D17)/$C$13)*100%</f>
        <v>0.34758492132829327</v>
      </c>
      <c r="F17" s="90" t="s">
        <v>114</v>
      </c>
    </row>
    <row r="18" spans="2:6" ht="28.5" customHeight="1" x14ac:dyDescent="0.35">
      <c r="B18" s="183" t="str">
        <f>'Ofertas Recibidas'!C12</f>
        <v>EUROAMERICAN TRAVEL SAS</v>
      </c>
      <c r="C18" s="183"/>
      <c r="D18" s="89" t="str">
        <f>'Ofertas Recibidas'!F12</f>
        <v>N/A</v>
      </c>
      <c r="E18" s="56" t="s">
        <v>72</v>
      </c>
      <c r="F18" s="56" t="s">
        <v>64</v>
      </c>
    </row>
    <row r="19" spans="2:6" ht="28.5" customHeight="1" x14ac:dyDescent="0.35">
      <c r="B19" s="183" t="str">
        <f>'Ofertas Recibidas'!C13</f>
        <v>FESTIVAL TOURS SAS</v>
      </c>
      <c r="C19" s="183"/>
      <c r="D19" s="89">
        <f>Subasta!G13</f>
        <v>93999.68777842175</v>
      </c>
      <c r="E19" s="56">
        <f t="shared" ref="E19:E20" si="0">+(($C$13-D19)/$C$13)*100%</f>
        <v>0.89836289348998999</v>
      </c>
      <c r="F19" s="90" t="s">
        <v>114</v>
      </c>
    </row>
    <row r="20" spans="2:6" ht="28.5" customHeight="1" x14ac:dyDescent="0.35">
      <c r="B20" s="183" t="str">
        <f>'Ofertas Recibidas'!C14</f>
        <v>JE TOURS</v>
      </c>
      <c r="C20" s="183"/>
      <c r="D20" s="89">
        <f>Subasta!G14</f>
        <v>92000.07</v>
      </c>
      <c r="E20" s="56">
        <f t="shared" si="0"/>
        <v>0.9005249790237615</v>
      </c>
      <c r="F20" s="90" t="s">
        <v>114</v>
      </c>
    </row>
    <row r="21" spans="2:6" ht="14.25" customHeight="1" x14ac:dyDescent="0.35"/>
    <row r="22" spans="2:6" ht="127.25" customHeight="1" x14ac:dyDescent="0.35">
      <c r="B22" s="181" t="s">
        <v>310</v>
      </c>
      <c r="C22" s="181"/>
      <c r="D22" s="181"/>
      <c r="E22" s="181"/>
      <c r="F22" s="181"/>
    </row>
    <row r="23" spans="2:6" ht="14.5" x14ac:dyDescent="0.35">
      <c r="B23" s="34" t="s">
        <v>47</v>
      </c>
    </row>
    <row r="24" spans="2:6" ht="14.5" x14ac:dyDescent="0.35">
      <c r="B24" s="34" t="s">
        <v>48</v>
      </c>
      <c r="D24" s="34" t="s">
        <v>49</v>
      </c>
    </row>
    <row r="25" spans="2:6" ht="14.5" x14ac:dyDescent="0.35">
      <c r="B25" s="34" t="s">
        <v>50</v>
      </c>
      <c r="D25" s="34" t="s">
        <v>51</v>
      </c>
    </row>
    <row r="26" spans="2:6" ht="16.25" customHeight="1" x14ac:dyDescent="0.35"/>
    <row r="27" spans="2:6" ht="16.25" customHeight="1" x14ac:dyDescent="0.35">
      <c r="B27" s="34" t="s">
        <v>52</v>
      </c>
    </row>
    <row r="28" spans="2:6" ht="14.5" x14ac:dyDescent="0.35">
      <c r="B28" s="34" t="s">
        <v>48</v>
      </c>
      <c r="D28" s="34" t="s">
        <v>97</v>
      </c>
    </row>
    <row r="29" spans="2:6" ht="14.5" x14ac:dyDescent="0.35">
      <c r="B29" s="34" t="s">
        <v>50</v>
      </c>
      <c r="D29" s="34" t="s">
        <v>51</v>
      </c>
    </row>
    <row r="30" spans="2:6" ht="14.4" customHeight="1" x14ac:dyDescent="0.35"/>
    <row r="31" spans="2:6" ht="14.4" customHeight="1" x14ac:dyDescent="0.35"/>
    <row r="32" spans="2:6" ht="14.4" customHeight="1" x14ac:dyDescent="0.35"/>
    <row r="33" ht="14.4" customHeight="1" x14ac:dyDescent="0.35"/>
    <row r="34" ht="14.4" customHeight="1" x14ac:dyDescent="0.35"/>
    <row r="35" ht="14.4" customHeight="1" x14ac:dyDescent="0.35"/>
    <row r="36" ht="14.4" customHeight="1" x14ac:dyDescent="0.35"/>
    <row r="37" ht="14.4" customHeight="1" x14ac:dyDescent="0.35"/>
  </sheetData>
  <mergeCells count="13">
    <mergeCell ref="B22:F22"/>
    <mergeCell ref="B11:F11"/>
    <mergeCell ref="B16:C16"/>
    <mergeCell ref="B17:C17"/>
    <mergeCell ref="B18:C18"/>
    <mergeCell ref="B19:C19"/>
    <mergeCell ref="B20:C20"/>
    <mergeCell ref="B8:F8"/>
    <mergeCell ref="C2:E2"/>
    <mergeCell ref="C3:E3"/>
    <mergeCell ref="C4:E4"/>
    <mergeCell ref="B6:F6"/>
    <mergeCell ref="B7:F7"/>
  </mergeCells>
  <pageMargins left="0.7" right="0.7" top="0.75" bottom="0.75" header="0.3" footer="0.3"/>
  <pageSetup scale="7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9C20B-8C34-441C-9734-3DFE4D450178}">
  <sheetPr>
    <tabColor theme="4" tint="-0.499984740745262"/>
    <pageSetUpPr fitToPage="1"/>
  </sheetPr>
  <dimension ref="A1:G37"/>
  <sheetViews>
    <sheetView showGridLines="0" topLeftCell="A13" zoomScaleNormal="100" zoomScaleSheetLayoutView="100" workbookViewId="0">
      <selection activeCell="C32" sqref="C32"/>
    </sheetView>
  </sheetViews>
  <sheetFormatPr baseColWidth="10" defaultColWidth="0" defaultRowHeight="14.4" customHeight="1" zeroHeight="1" x14ac:dyDescent="0.35"/>
  <cols>
    <col min="1" max="1" width="1.54296875" style="34" customWidth="1"/>
    <col min="2" max="2" width="20.54296875" style="34" customWidth="1"/>
    <col min="3" max="3" width="31.453125" style="34" customWidth="1"/>
    <col min="4" max="4" width="28.6328125" style="34" customWidth="1"/>
    <col min="5" max="5" width="24.54296875" style="34" customWidth="1"/>
    <col min="6" max="6" width="16.90625" style="34" customWidth="1"/>
    <col min="7" max="7" width="1.6328125" style="34" customWidth="1"/>
    <col min="8" max="16384" width="11.453125" style="34" hidden="1"/>
  </cols>
  <sheetData>
    <row r="1" spans="2:6" ht="8.25" customHeight="1" x14ac:dyDescent="0.35"/>
    <row r="2" spans="2:6" ht="14.5" x14ac:dyDescent="0.35">
      <c r="B2" s="36"/>
      <c r="C2" s="179" t="s">
        <v>37</v>
      </c>
      <c r="D2" s="179"/>
      <c r="E2" s="179"/>
      <c r="F2" s="40"/>
    </row>
    <row r="3" spans="2:6" ht="37.5" customHeight="1" x14ac:dyDescent="0.35">
      <c r="B3" s="48"/>
      <c r="C3" s="180" t="str">
        <f>'Ofertas Recibidas'!D3</f>
        <v>Instituto Colombiano de Antropología e Historia
EVALUACIÓN ECONOMICA SASIE-ICANH-001-2026</v>
      </c>
      <c r="D3" s="180"/>
      <c r="E3" s="180"/>
      <c r="F3" s="49"/>
    </row>
    <row r="4" spans="2:6" ht="14.5" x14ac:dyDescent="0.35">
      <c r="B4" s="41"/>
      <c r="C4" s="179" t="s">
        <v>57</v>
      </c>
      <c r="D4" s="179"/>
      <c r="E4" s="179"/>
      <c r="F4" s="42"/>
    </row>
    <row r="5" spans="2:6" ht="11.25" customHeight="1" x14ac:dyDescent="0.35">
      <c r="B5" s="35"/>
      <c r="C5" s="35"/>
      <c r="D5" s="35"/>
      <c r="E5" s="35"/>
      <c r="F5" s="35"/>
    </row>
    <row r="6" spans="2:6" ht="60.65" customHeight="1" x14ac:dyDescent="0.35">
      <c r="B6" s="181" t="str">
        <f>"OBJETO: "&amp;'Ofertas Recibidas'!D6</f>
        <v>OBJETO: Suministrar los pasajes aéreos en rutas nacionales e internacionales para los funcionarios, contratistas e invitados especiales del Instituto Colombiano de Antropología e Historia - ICANH; que se requieran en ejercicio de sus funciones y actividades</v>
      </c>
      <c r="C6" s="181"/>
      <c r="D6" s="181"/>
      <c r="E6" s="181"/>
      <c r="F6" s="181"/>
    </row>
    <row r="7" spans="2:6" ht="112.25" customHeight="1" x14ac:dyDescent="0.35">
      <c r="B7" s="181" t="s">
        <v>100</v>
      </c>
      <c r="C7" s="181"/>
      <c r="D7" s="181"/>
      <c r="E7" s="181"/>
      <c r="F7" s="181"/>
    </row>
    <row r="8" spans="2:6" ht="96.75" customHeight="1" x14ac:dyDescent="0.35">
      <c r="B8" s="157" t="s">
        <v>58</v>
      </c>
      <c r="C8" s="157"/>
      <c r="D8" s="157"/>
      <c r="E8" s="157"/>
      <c r="F8" s="157"/>
    </row>
    <row r="9" spans="2:6" ht="14.25" customHeight="1" x14ac:dyDescent="0.35"/>
    <row r="10" spans="2:6" ht="14.25" customHeight="1" x14ac:dyDescent="0.35"/>
    <row r="11" spans="2:6" ht="112.25" customHeight="1" x14ac:dyDescent="0.35">
      <c r="B11" s="157" t="s">
        <v>59</v>
      </c>
      <c r="C11" s="157"/>
      <c r="D11" s="157"/>
      <c r="E11" s="157"/>
      <c r="F11" s="157"/>
    </row>
    <row r="12" spans="2:6" ht="9.75" customHeight="1" x14ac:dyDescent="0.35">
      <c r="B12" s="50"/>
      <c r="C12" s="50"/>
      <c r="D12" s="50"/>
      <c r="E12" s="50"/>
      <c r="F12" s="50"/>
    </row>
    <row r="13" spans="2:6" ht="27.75" customHeight="1" x14ac:dyDescent="0.35">
      <c r="B13" s="61" t="s">
        <v>98</v>
      </c>
      <c r="C13" s="62">
        <v>924856</v>
      </c>
      <c r="D13" s="50"/>
    </row>
    <row r="14" spans="2:6" ht="27.75" customHeight="1" x14ac:dyDescent="0.35">
      <c r="B14" s="63">
        <v>0.2</v>
      </c>
      <c r="C14" s="62">
        <f>+C13*(1-20%)</f>
        <v>739884.8</v>
      </c>
      <c r="D14" s="50"/>
      <c r="E14" s="52"/>
      <c r="F14" s="51"/>
    </row>
    <row r="15" spans="2:6" ht="9.75" customHeight="1" x14ac:dyDescent="0.35">
      <c r="B15" s="50"/>
      <c r="C15" s="50"/>
      <c r="D15" s="50"/>
      <c r="E15" s="50"/>
      <c r="F15" s="50"/>
    </row>
    <row r="16" spans="2:6" ht="27" customHeight="1" x14ac:dyDescent="0.35">
      <c r="B16" s="182" t="s">
        <v>60</v>
      </c>
      <c r="C16" s="182"/>
      <c r="D16" s="53" t="s">
        <v>61</v>
      </c>
      <c r="E16" s="54" t="s">
        <v>62</v>
      </c>
      <c r="F16" s="45" t="s">
        <v>63</v>
      </c>
    </row>
    <row r="17" spans="2:6" ht="28.5" customHeight="1" x14ac:dyDescent="0.35">
      <c r="B17" s="183" t="str">
        <f>'Ofertas Recibidas'!C11</f>
        <v>NOVATOURS LTDA</v>
      </c>
      <c r="C17" s="183"/>
      <c r="D17" s="55">
        <f>'Ofertas Recibidas'!F11</f>
        <v>924856</v>
      </c>
      <c r="E17" s="56">
        <f>+(($C$13-D17)/$C$13)*100%</f>
        <v>0</v>
      </c>
      <c r="F17" s="56" t="s">
        <v>64</v>
      </c>
    </row>
    <row r="18" spans="2:6" ht="28.5" customHeight="1" x14ac:dyDescent="0.35">
      <c r="B18" s="183" t="str">
        <f>'Ofertas Recibidas'!C12</f>
        <v>EUROAMERICAN TRAVEL SAS</v>
      </c>
      <c r="C18" s="183"/>
      <c r="D18" s="55" t="str">
        <f>'Ofertas Recibidas'!F12</f>
        <v>N/A</v>
      </c>
      <c r="E18" s="56" t="s">
        <v>72</v>
      </c>
      <c r="F18" s="56" t="s">
        <v>64</v>
      </c>
    </row>
    <row r="19" spans="2:6" ht="28.5" customHeight="1" x14ac:dyDescent="0.35">
      <c r="B19" s="183" t="str">
        <f>'Ofertas Recibidas'!C13</f>
        <v>FESTIVAL TOURS SAS</v>
      </c>
      <c r="C19" s="183"/>
      <c r="D19" s="55">
        <f>'Ofertas Recibidas'!F13</f>
        <v>897826</v>
      </c>
      <c r="E19" s="56">
        <f t="shared" ref="E19:E20" si="0">+(($C$13-D19)/$C$13)*100%</f>
        <v>2.9226171425605716E-2</v>
      </c>
      <c r="F19" s="56" t="s">
        <v>64</v>
      </c>
    </row>
    <row r="20" spans="2:6" ht="28.5" customHeight="1" x14ac:dyDescent="0.35">
      <c r="B20" s="183" t="str">
        <f>'Ofertas Recibidas'!C14</f>
        <v>JE TOURS</v>
      </c>
      <c r="C20" s="183"/>
      <c r="D20" s="55">
        <f>'Ofertas Recibidas'!F14</f>
        <v>924856</v>
      </c>
      <c r="E20" s="56">
        <f t="shared" si="0"/>
        <v>0</v>
      </c>
      <c r="F20" s="56" t="s">
        <v>64</v>
      </c>
    </row>
    <row r="21" spans="2:6" ht="14.25" customHeight="1" x14ac:dyDescent="0.35"/>
    <row r="22" spans="2:6" ht="45" customHeight="1" x14ac:dyDescent="0.35">
      <c r="B22" s="181" t="s">
        <v>99</v>
      </c>
      <c r="C22" s="181"/>
      <c r="D22" s="181"/>
      <c r="E22" s="181"/>
      <c r="F22" s="181"/>
    </row>
    <row r="23" spans="2:6" ht="14.5" x14ac:dyDescent="0.35">
      <c r="B23" s="34" t="s">
        <v>47</v>
      </c>
    </row>
    <row r="24" spans="2:6" ht="14.5" x14ac:dyDescent="0.35">
      <c r="B24" s="34" t="s">
        <v>48</v>
      </c>
      <c r="D24" s="34" t="s">
        <v>49</v>
      </c>
    </row>
    <row r="25" spans="2:6" ht="14.5" x14ac:dyDescent="0.35">
      <c r="B25" s="34" t="s">
        <v>50</v>
      </c>
      <c r="D25" s="34" t="s">
        <v>51</v>
      </c>
    </row>
    <row r="26" spans="2:6" ht="16.25" customHeight="1" x14ac:dyDescent="0.35"/>
    <row r="27" spans="2:6" ht="16.25" customHeight="1" x14ac:dyDescent="0.35">
      <c r="B27" s="34" t="s">
        <v>52</v>
      </c>
    </row>
    <row r="28" spans="2:6" ht="14.5" x14ac:dyDescent="0.35">
      <c r="B28" s="34" t="s">
        <v>48</v>
      </c>
      <c r="D28" s="34" t="s">
        <v>97</v>
      </c>
    </row>
    <row r="29" spans="2:6" ht="14.5" x14ac:dyDescent="0.35">
      <c r="B29" s="34" t="s">
        <v>50</v>
      </c>
      <c r="D29" s="34" t="s">
        <v>51</v>
      </c>
    </row>
    <row r="30" spans="2:6" ht="14.4" customHeight="1" x14ac:dyDescent="0.35"/>
    <row r="31" spans="2:6" ht="14.4" customHeight="1" x14ac:dyDescent="0.35"/>
    <row r="32" spans="2:6" ht="14.4" customHeight="1" x14ac:dyDescent="0.35"/>
    <row r="33" ht="14.4" customHeight="1" x14ac:dyDescent="0.35"/>
    <row r="34" ht="14.4" customHeight="1" x14ac:dyDescent="0.35"/>
    <row r="35" ht="14.4" customHeight="1" x14ac:dyDescent="0.35"/>
    <row r="36" ht="14.4" customHeight="1" x14ac:dyDescent="0.35"/>
    <row r="37" ht="14.4" customHeight="1" x14ac:dyDescent="0.35"/>
  </sheetData>
  <mergeCells count="13">
    <mergeCell ref="B11:F11"/>
    <mergeCell ref="B16:C16"/>
    <mergeCell ref="B17:C17"/>
    <mergeCell ref="B20:C20"/>
    <mergeCell ref="B22:F22"/>
    <mergeCell ref="B18:C18"/>
    <mergeCell ref="B19:C19"/>
    <mergeCell ref="B8:F8"/>
    <mergeCell ref="C2:E2"/>
    <mergeCell ref="C3:E3"/>
    <mergeCell ref="C4:E4"/>
    <mergeCell ref="B6:F6"/>
    <mergeCell ref="B7:F7"/>
  </mergeCells>
  <pageMargins left="0.7" right="0.7" top="0.75" bottom="0.75" header="0.3" footer="0.3"/>
  <pageSetup scale="72"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7395C-1701-4337-961A-7723E50C17CE}">
  <sheetPr>
    <tabColor rgb="FF00B050"/>
  </sheetPr>
  <dimension ref="B1:Q47"/>
  <sheetViews>
    <sheetView topLeftCell="A22" zoomScale="70" zoomScaleNormal="70" workbookViewId="0">
      <selection activeCell="O31" sqref="O31"/>
    </sheetView>
  </sheetViews>
  <sheetFormatPr baseColWidth="10" defaultColWidth="21.453125" defaultRowHeight="15" customHeight="1" zeroHeight="1" x14ac:dyDescent="0.35"/>
  <cols>
    <col min="1" max="1" width="4.6328125" style="1" customWidth="1"/>
    <col min="2" max="10" width="21.453125" style="1" customWidth="1"/>
    <col min="11" max="11" width="5.6328125" style="1" customWidth="1"/>
    <col min="12" max="12" width="24.54296875" style="1" customWidth="1"/>
    <col min="13" max="13" width="23.54296875" style="1" customWidth="1"/>
    <col min="14" max="14" width="15.36328125" style="1" customWidth="1"/>
    <col min="15" max="15" width="20.1796875" style="1" customWidth="1"/>
    <col min="16" max="16" width="19.08984375" style="1" customWidth="1"/>
    <col min="17" max="17" width="21.6328125" style="1" customWidth="1"/>
    <col min="18" max="18" width="9.08984375" style="1" customWidth="1"/>
    <col min="19" max="16384" width="21.453125" style="1"/>
  </cols>
  <sheetData>
    <row r="1" spans="2:10" ht="15.5" x14ac:dyDescent="0.35"/>
    <row r="2" spans="2:10" ht="10.5" customHeight="1" x14ac:dyDescent="0.35">
      <c r="B2" s="2"/>
      <c r="C2" s="2"/>
      <c r="D2" s="2"/>
      <c r="E2" s="2"/>
      <c r="F2" s="2"/>
      <c r="G2" s="2"/>
    </row>
    <row r="3" spans="2:10" ht="16.5" customHeight="1" x14ac:dyDescent="0.35">
      <c r="B3" s="174" t="s">
        <v>0</v>
      </c>
      <c r="C3" s="174"/>
      <c r="D3" s="174"/>
      <c r="E3" s="174"/>
      <c r="F3" s="174"/>
      <c r="G3" s="174"/>
      <c r="H3" s="174"/>
      <c r="I3" s="174"/>
      <c r="J3" s="174"/>
    </row>
    <row r="4" spans="2:10" ht="16.5" customHeight="1" x14ac:dyDescent="0.35">
      <c r="B4" s="174"/>
      <c r="C4" s="174"/>
      <c r="D4" s="174"/>
      <c r="E4" s="174"/>
      <c r="F4" s="174"/>
      <c r="G4" s="174"/>
      <c r="H4" s="174"/>
      <c r="I4" s="174"/>
      <c r="J4" s="174"/>
    </row>
    <row r="5" spans="2:10" ht="16.5" customHeight="1" x14ac:dyDescent="0.35">
      <c r="B5" s="174"/>
      <c r="C5" s="174"/>
      <c r="D5" s="174"/>
      <c r="E5" s="174"/>
      <c r="F5" s="174"/>
      <c r="G5" s="174"/>
      <c r="H5" s="174"/>
      <c r="I5" s="174"/>
      <c r="J5" s="174"/>
    </row>
    <row r="6" spans="2:10" ht="15.5" x14ac:dyDescent="0.35">
      <c r="B6" s="3"/>
      <c r="C6" s="3"/>
      <c r="D6" s="3"/>
      <c r="E6" s="3"/>
      <c r="F6" s="3"/>
      <c r="G6" s="4"/>
      <c r="H6" s="3"/>
      <c r="I6" s="3"/>
    </row>
    <row r="7" spans="2:10" ht="15.75" customHeight="1" x14ac:dyDescent="0.35">
      <c r="B7" s="175" t="s">
        <v>1</v>
      </c>
      <c r="C7" s="175"/>
      <c r="D7" s="175"/>
      <c r="E7" s="175"/>
      <c r="F7" s="175"/>
      <c r="G7" s="175"/>
      <c r="H7" s="175"/>
      <c r="I7" s="175"/>
      <c r="J7" s="175"/>
    </row>
    <row r="8" spans="2:10" ht="39.75" customHeight="1" x14ac:dyDescent="0.35">
      <c r="B8" s="176" t="s">
        <v>2</v>
      </c>
      <c r="C8" s="176"/>
      <c r="D8" s="176"/>
      <c r="E8" s="176"/>
      <c r="F8" s="176"/>
      <c r="G8" s="176"/>
      <c r="H8" s="176"/>
      <c r="I8" s="176"/>
      <c r="J8" s="176"/>
    </row>
    <row r="9" spans="2:10" ht="15.5" x14ac:dyDescent="0.35">
      <c r="B9" s="3"/>
      <c r="C9" s="3"/>
      <c r="D9" s="3"/>
      <c r="E9" s="3"/>
      <c r="F9" s="3"/>
      <c r="G9" s="4"/>
      <c r="H9" s="3"/>
      <c r="I9" s="3"/>
    </row>
    <row r="10" spans="2:10" ht="15.5" x14ac:dyDescent="0.35">
      <c r="B10" s="5" t="s">
        <v>3</v>
      </c>
      <c r="C10" s="195" t="s">
        <v>70</v>
      </c>
      <c r="D10" s="196"/>
      <c r="E10" s="6" t="s">
        <v>4</v>
      </c>
      <c r="F10" s="197" t="s">
        <v>82</v>
      </c>
      <c r="G10" s="197"/>
      <c r="H10" s="6" t="s">
        <v>5</v>
      </c>
      <c r="I10" s="203">
        <v>46198</v>
      </c>
      <c r="J10" s="198"/>
    </row>
    <row r="11" spans="2:10" ht="15.5" x14ac:dyDescent="0.35">
      <c r="B11" s="5" t="s">
        <v>6</v>
      </c>
      <c r="C11" s="195" t="s">
        <v>80</v>
      </c>
      <c r="D11" s="196"/>
      <c r="E11" s="6" t="s">
        <v>7</v>
      </c>
      <c r="F11" s="197" t="s">
        <v>83</v>
      </c>
      <c r="G11" s="197"/>
      <c r="H11" s="6" t="s">
        <v>8</v>
      </c>
      <c r="I11" s="198"/>
      <c r="J11" s="198"/>
    </row>
    <row r="12" spans="2:10" ht="15.5" x14ac:dyDescent="0.35">
      <c r="B12" s="5" t="s">
        <v>9</v>
      </c>
      <c r="C12" s="199" t="s">
        <v>81</v>
      </c>
      <c r="D12" s="196"/>
      <c r="E12" s="6" t="s">
        <v>10</v>
      </c>
      <c r="F12" s="197" t="s">
        <v>84</v>
      </c>
      <c r="G12" s="197"/>
      <c r="H12" s="6" t="s">
        <v>11</v>
      </c>
      <c r="I12" s="198">
        <v>6017940525</v>
      </c>
      <c r="J12" s="198"/>
    </row>
    <row r="13" spans="2:10" ht="15.5" x14ac:dyDescent="0.35">
      <c r="B13" s="7"/>
      <c r="C13" s="7"/>
      <c r="D13" s="7"/>
      <c r="E13" s="7"/>
      <c r="F13" s="7"/>
      <c r="G13" s="7"/>
      <c r="H13" s="7"/>
      <c r="I13" s="7"/>
    </row>
    <row r="14" spans="2:10" ht="15.5" x14ac:dyDescent="0.35">
      <c r="B14" s="200" t="s">
        <v>12</v>
      </c>
      <c r="C14" s="200"/>
      <c r="D14" s="200"/>
      <c r="E14" s="200"/>
      <c r="F14" s="200"/>
      <c r="G14" s="200"/>
      <c r="H14" s="200"/>
      <c r="I14" s="200"/>
      <c r="J14" s="200"/>
    </row>
    <row r="15" spans="2:10" ht="151.5" customHeight="1" x14ac:dyDescent="0.35">
      <c r="B15" s="201" t="s">
        <v>13</v>
      </c>
      <c r="C15" s="201"/>
      <c r="D15" s="201"/>
      <c r="E15" s="201"/>
      <c r="F15" s="201"/>
      <c r="G15" s="201"/>
      <c r="H15" s="201"/>
      <c r="I15" s="201"/>
      <c r="J15" s="201"/>
    </row>
    <row r="16" spans="2:10" ht="15.5" x14ac:dyDescent="0.35">
      <c r="B16" s="8"/>
      <c r="C16" s="8"/>
      <c r="D16" s="8"/>
      <c r="E16" s="8"/>
      <c r="F16" s="8"/>
      <c r="G16" s="8"/>
      <c r="H16" s="8"/>
      <c r="I16" s="8"/>
    </row>
    <row r="17" spans="2:17" ht="20.25" customHeight="1" x14ac:dyDescent="0.35">
      <c r="B17" s="168" t="s">
        <v>14</v>
      </c>
      <c r="C17" s="169"/>
      <c r="D17" s="169"/>
      <c r="E17" s="169"/>
      <c r="F17" s="169"/>
      <c r="G17" s="169"/>
      <c r="H17" s="169"/>
      <c r="I17" s="169"/>
      <c r="J17" s="169"/>
    </row>
    <row r="18" spans="2:17" ht="15.5" x14ac:dyDescent="0.35">
      <c r="B18" s="8"/>
      <c r="C18" s="8"/>
      <c r="D18" s="8"/>
      <c r="E18" s="8"/>
      <c r="F18" s="8"/>
      <c r="G18" s="8"/>
      <c r="H18" s="8"/>
      <c r="I18" s="8"/>
    </row>
    <row r="19" spans="2:17" ht="15.5" x14ac:dyDescent="0.35">
      <c r="B19" s="8"/>
      <c r="C19" s="8"/>
      <c r="D19" s="8"/>
      <c r="E19" s="8"/>
      <c r="F19" s="8"/>
      <c r="G19" s="8"/>
      <c r="H19" s="8"/>
      <c r="I19" s="8"/>
      <c r="L19" s="69" t="s">
        <v>110</v>
      </c>
      <c r="M19" s="80">
        <v>0.34758492132829322</v>
      </c>
    </row>
    <row r="20" spans="2:17" ht="15.5" x14ac:dyDescent="0.35">
      <c r="B20" s="8"/>
      <c r="C20" s="8"/>
      <c r="D20" s="8"/>
      <c r="E20" s="170" t="s">
        <v>15</v>
      </c>
      <c r="F20" s="170"/>
      <c r="G20" s="170"/>
      <c r="H20" s="202" t="s">
        <v>16</v>
      </c>
      <c r="I20" s="202"/>
      <c r="J20" s="202"/>
      <c r="L20" s="69"/>
    </row>
    <row r="21" spans="2:17" ht="60" customHeight="1" x14ac:dyDescent="0.35">
      <c r="B21" s="171" t="s">
        <v>17</v>
      </c>
      <c r="C21" s="172"/>
      <c r="D21" s="173"/>
      <c r="E21" s="10" t="s">
        <v>18</v>
      </c>
      <c r="F21" s="10" t="s">
        <v>19</v>
      </c>
      <c r="G21" s="10" t="s">
        <v>20</v>
      </c>
      <c r="H21" s="9" t="s">
        <v>18</v>
      </c>
      <c r="I21" s="10" t="s">
        <v>19</v>
      </c>
      <c r="J21" s="10" t="s">
        <v>20</v>
      </c>
      <c r="L21" s="75" t="str">
        <f>J21</f>
        <v>Tarifa administrativa IVA incluido en COP</v>
      </c>
      <c r="M21" s="75" t="s">
        <v>108</v>
      </c>
    </row>
    <row r="22" spans="2:17" ht="45" customHeight="1" x14ac:dyDescent="0.35">
      <c r="B22" s="160" t="s">
        <v>21</v>
      </c>
      <c r="C22" s="160"/>
      <c r="D22" s="160"/>
      <c r="E22" s="11">
        <v>43234</v>
      </c>
      <c r="F22" s="12">
        <f>ROUND(E22*19%,0)</f>
        <v>8214</v>
      </c>
      <c r="G22" s="12">
        <f>ROUND((E22+F22),0)</f>
        <v>51448</v>
      </c>
      <c r="H22" s="13">
        <v>43234</v>
      </c>
      <c r="I22" s="12">
        <f>ROUND(H22*19%,0)</f>
        <v>8214</v>
      </c>
      <c r="J22" s="12">
        <f>ROUND((H22+I22),0)</f>
        <v>51448</v>
      </c>
      <c r="L22" s="71">
        <f>G22*(1-$M$19)</f>
        <v>33565.450967501973</v>
      </c>
      <c r="M22" s="73">
        <f>ROUND(L22,0)</f>
        <v>33565</v>
      </c>
    </row>
    <row r="23" spans="2:17" ht="29.25" customHeight="1" x14ac:dyDescent="0.35">
      <c r="B23" s="160" t="s">
        <v>22</v>
      </c>
      <c r="C23" s="160"/>
      <c r="D23" s="160"/>
      <c r="E23" s="11">
        <v>73885</v>
      </c>
      <c r="F23" s="12">
        <f>ROUND(E23*19%,0)</f>
        <v>14038</v>
      </c>
      <c r="G23" s="12">
        <f>ROUND((E23+F23),0)</f>
        <v>87923</v>
      </c>
      <c r="H23" s="13">
        <v>73885</v>
      </c>
      <c r="I23" s="12">
        <f>ROUND(H23*19%,0)</f>
        <v>14038</v>
      </c>
      <c r="J23" s="12">
        <f>ROUND((H23+I23),0)</f>
        <v>87923</v>
      </c>
      <c r="L23" s="71">
        <f t="shared" ref="L23" si="0">G23*(1-$M$19)</f>
        <v>57362.290962052473</v>
      </c>
      <c r="M23" s="73">
        <f>ROUND(L23,0)</f>
        <v>57362</v>
      </c>
    </row>
    <row r="24" spans="2:17" ht="29.25" customHeight="1" x14ac:dyDescent="0.35">
      <c r="B24" s="14"/>
      <c r="C24" s="14"/>
      <c r="D24" s="14"/>
      <c r="E24" s="15"/>
      <c r="F24" s="14"/>
      <c r="G24" s="14"/>
      <c r="H24" s="14"/>
      <c r="I24" s="14"/>
      <c r="J24" s="16"/>
    </row>
    <row r="25" spans="2:17" ht="29.25" customHeight="1" x14ac:dyDescent="0.35">
      <c r="B25" s="161" t="s">
        <v>23</v>
      </c>
      <c r="C25" s="162"/>
      <c r="D25" s="162"/>
      <c r="E25" s="162"/>
      <c r="F25" s="162"/>
      <c r="G25" s="162"/>
      <c r="H25" s="162"/>
      <c r="I25" s="162"/>
      <c r="J25" s="162"/>
    </row>
    <row r="26" spans="2:17" ht="29.25" customHeight="1" x14ac:dyDescent="0.35">
      <c r="B26" s="14"/>
      <c r="C26" s="14"/>
      <c r="D26" s="14"/>
      <c r="E26" s="15"/>
      <c r="F26" s="14"/>
      <c r="G26" s="14"/>
      <c r="H26" s="14"/>
      <c r="I26" s="14"/>
      <c r="J26" s="14"/>
    </row>
    <row r="27" spans="2:17" ht="29.25" customHeight="1" x14ac:dyDescent="0.35">
      <c r="B27" s="190" t="s">
        <v>24</v>
      </c>
      <c r="C27" s="191"/>
      <c r="D27" s="192"/>
      <c r="E27" s="57">
        <v>3667.06</v>
      </c>
      <c r="F27" s="14"/>
      <c r="G27" s="14"/>
    </row>
    <row r="28" spans="2:17" ht="29.25" customHeight="1" x14ac:dyDescent="0.35">
      <c r="B28" s="17"/>
      <c r="C28" s="17"/>
      <c r="D28" s="17"/>
      <c r="E28" s="14"/>
      <c r="F28" s="18"/>
      <c r="G28" s="18"/>
      <c r="H28" s="18"/>
      <c r="I28" s="14"/>
      <c r="J28" s="14"/>
    </row>
    <row r="29" spans="2:17" ht="29.25" customHeight="1" x14ac:dyDescent="0.35">
      <c r="B29" s="17"/>
      <c r="C29" s="193" t="s">
        <v>15</v>
      </c>
      <c r="D29" s="193"/>
      <c r="E29" s="193"/>
      <c r="F29" s="193"/>
      <c r="G29" s="194" t="s">
        <v>16</v>
      </c>
      <c r="H29" s="194"/>
      <c r="I29" s="194"/>
      <c r="J29" s="194"/>
    </row>
    <row r="30" spans="2:17" ht="65.25" customHeight="1" x14ac:dyDescent="0.35">
      <c r="B30" s="19" t="s">
        <v>25</v>
      </c>
      <c r="C30" s="20" t="s">
        <v>26</v>
      </c>
      <c r="D30" s="20" t="s">
        <v>27</v>
      </c>
      <c r="E30" s="20" t="s">
        <v>19</v>
      </c>
      <c r="F30" s="20" t="s">
        <v>28</v>
      </c>
      <c r="G30" s="20" t="s">
        <v>26</v>
      </c>
      <c r="H30" s="20" t="s">
        <v>27</v>
      </c>
      <c r="I30" s="20" t="s">
        <v>19</v>
      </c>
      <c r="J30" s="20" t="s">
        <v>28</v>
      </c>
      <c r="L30" s="76" t="str">
        <f>J30</f>
        <v>Tarifa en USD convertida a pesos colombianos incluido IVA</v>
      </c>
      <c r="M30" s="76" t="s">
        <v>108</v>
      </c>
      <c r="N30" s="20" t="s">
        <v>26</v>
      </c>
      <c r="O30" s="20" t="s">
        <v>26</v>
      </c>
      <c r="P30" s="20" t="s">
        <v>27</v>
      </c>
      <c r="Q30" s="20" t="s">
        <v>28</v>
      </c>
    </row>
    <row r="31" spans="2:17" ht="24.75" customHeight="1" x14ac:dyDescent="0.35">
      <c r="B31" s="21" t="s">
        <v>29</v>
      </c>
      <c r="C31" s="22">
        <v>15</v>
      </c>
      <c r="D31" s="12">
        <f>ROUND((C31*$E$27),0)</f>
        <v>55006</v>
      </c>
      <c r="E31" s="23">
        <v>0.19</v>
      </c>
      <c r="F31" s="12">
        <f>ROUND((D31+(D31*E31)),0)</f>
        <v>65457</v>
      </c>
      <c r="G31" s="24">
        <v>15</v>
      </c>
      <c r="H31" s="12">
        <f>ROUND((G31*$E$27),0)</f>
        <v>55006</v>
      </c>
      <c r="I31" s="23">
        <v>0.19</v>
      </c>
      <c r="J31" s="12">
        <f>ROUND((H31+(H31*I31)),0)</f>
        <v>65457</v>
      </c>
      <c r="L31" s="71">
        <f>F31*(1-$M$19)</f>
        <v>42705.133804613914</v>
      </c>
      <c r="M31" s="73">
        <f>L31</f>
        <v>42705.133804613914</v>
      </c>
      <c r="N31" s="86">
        <f>ROUND(L31/$E$27/1.19,2)</f>
        <v>9.7899999999999991</v>
      </c>
      <c r="O31" s="78">
        <f>M31/$E$27/1.19</f>
        <v>9.7862230404467798</v>
      </c>
      <c r="P31" s="72">
        <f>O31*$E$27</f>
        <v>35886.66706270077</v>
      </c>
      <c r="Q31" s="72">
        <f>P31*1.19</f>
        <v>42705.133804613914</v>
      </c>
    </row>
    <row r="32" spans="2:17" ht="24.75" customHeight="1" x14ac:dyDescent="0.35">
      <c r="B32" s="21" t="s">
        <v>30</v>
      </c>
      <c r="C32" s="22">
        <v>27</v>
      </c>
      <c r="D32" s="12">
        <f>ROUND((C32*$E$27),0)</f>
        <v>99011</v>
      </c>
      <c r="E32" s="23">
        <v>0.19</v>
      </c>
      <c r="F32" s="12">
        <f t="shared" ref="F32:F34" si="1">ROUND((D32+(D32*E32)),0)</f>
        <v>117823</v>
      </c>
      <c r="G32" s="24">
        <v>27</v>
      </c>
      <c r="H32" s="12">
        <f>ROUND((G32*$E$27),0)</f>
        <v>99011</v>
      </c>
      <c r="I32" s="23">
        <v>0.19</v>
      </c>
      <c r="J32" s="12">
        <f>ROUND((H32+(H32*I32)),0)</f>
        <v>117823</v>
      </c>
      <c r="L32" s="71">
        <f t="shared" ref="L32:L34" si="2">F32*(1-$M$19)</f>
        <v>76869.501814336501</v>
      </c>
      <c r="M32" s="73">
        <f t="shared" ref="M32:M34" si="3">L32</f>
        <v>76869.501814336501</v>
      </c>
      <c r="N32" s="86">
        <f t="shared" ref="N32:N34" si="4">ROUND(L32/$E$27/1.19,2)</f>
        <v>17.62</v>
      </c>
      <c r="O32" s="78">
        <f t="shared" ref="O32:O34" si="5">M32/$E$27/1.19</f>
        <v>17.615261275257968</v>
      </c>
      <c r="P32" s="72">
        <f t="shared" ref="P32:P34" si="6">O32*$E$27</f>
        <v>64596.220012047481</v>
      </c>
      <c r="Q32" s="72">
        <f t="shared" ref="Q32:Q34" si="7">P32*1.19</f>
        <v>76869.501814336501</v>
      </c>
    </row>
    <row r="33" spans="2:17" ht="24.75" customHeight="1" x14ac:dyDescent="0.35">
      <c r="B33" s="21" t="s">
        <v>31</v>
      </c>
      <c r="C33" s="22">
        <v>45</v>
      </c>
      <c r="D33" s="12">
        <f>ROUND((C33*$E$27),0)</f>
        <v>165018</v>
      </c>
      <c r="E33" s="23">
        <v>0.19</v>
      </c>
      <c r="F33" s="12">
        <f t="shared" si="1"/>
        <v>196371</v>
      </c>
      <c r="G33" s="24">
        <v>45</v>
      </c>
      <c r="H33" s="12">
        <f>ROUND((G33*$E$27),0)</f>
        <v>165018</v>
      </c>
      <c r="I33" s="23">
        <v>0.19</v>
      </c>
      <c r="J33" s="12">
        <f>ROUND((H33+(H33*I33)),0)</f>
        <v>196371</v>
      </c>
      <c r="L33" s="71">
        <f t="shared" si="2"/>
        <v>128115.40141384173</v>
      </c>
      <c r="M33" s="73">
        <f t="shared" si="3"/>
        <v>128115.40141384173</v>
      </c>
      <c r="N33" s="86">
        <f t="shared" si="4"/>
        <v>29.36</v>
      </c>
      <c r="O33" s="78">
        <f t="shared" si="5"/>
        <v>29.358669121340334</v>
      </c>
      <c r="P33" s="72">
        <f t="shared" si="6"/>
        <v>107660.00118810228</v>
      </c>
      <c r="Q33" s="72">
        <f t="shared" si="7"/>
        <v>128115.40141384171</v>
      </c>
    </row>
    <row r="34" spans="2:17" ht="24.75" customHeight="1" x14ac:dyDescent="0.35">
      <c r="B34" s="21" t="s">
        <v>32</v>
      </c>
      <c r="C34" s="22">
        <v>93</v>
      </c>
      <c r="D34" s="12">
        <f t="shared" ref="D34" si="8">ROUND((C34*$E$27),0)</f>
        <v>341037</v>
      </c>
      <c r="E34" s="23">
        <v>0.19</v>
      </c>
      <c r="F34" s="12">
        <f t="shared" si="1"/>
        <v>405834</v>
      </c>
      <c r="G34" s="24">
        <v>93</v>
      </c>
      <c r="H34" s="12">
        <f>ROUND((G34*$E$27),0)</f>
        <v>341037</v>
      </c>
      <c r="I34" s="23">
        <v>0.19</v>
      </c>
      <c r="J34" s="12">
        <f>ROUND((H34+(H34*I34)),0)</f>
        <v>405834</v>
      </c>
      <c r="L34" s="71">
        <f t="shared" si="2"/>
        <v>264772.22103765345</v>
      </c>
      <c r="M34" s="73">
        <f t="shared" si="3"/>
        <v>264772.22103765345</v>
      </c>
      <c r="N34" s="86">
        <f t="shared" si="4"/>
        <v>60.67</v>
      </c>
      <c r="O34" s="78">
        <f t="shared" si="5"/>
        <v>60.67467255445068</v>
      </c>
      <c r="P34" s="72">
        <f t="shared" si="6"/>
        <v>222497.66473752391</v>
      </c>
      <c r="Q34" s="72">
        <f t="shared" si="7"/>
        <v>264772.22103765345</v>
      </c>
    </row>
    <row r="35" spans="2:17" ht="15.5" x14ac:dyDescent="0.35">
      <c r="H35" s="25"/>
      <c r="L35" s="83" t="s">
        <v>112</v>
      </c>
      <c r="M35" s="84">
        <v>0.74192955438047647</v>
      </c>
    </row>
    <row r="36" spans="2:17" ht="21.75" customHeight="1" x14ac:dyDescent="0.35">
      <c r="B36" s="184" t="s">
        <v>33</v>
      </c>
      <c r="C36" s="185"/>
      <c r="D36" s="185"/>
      <c r="E36" s="186"/>
      <c r="F36" s="26">
        <f>SUM(F31:F34,G22:G23)</f>
        <v>924856</v>
      </c>
      <c r="G36" s="187" t="s">
        <v>34</v>
      </c>
      <c r="H36" s="188"/>
      <c r="I36" s="189"/>
      <c r="J36" s="27">
        <f>SUM(J31:J34,J22:J23)</f>
        <v>924856</v>
      </c>
      <c r="L36" s="74" t="s">
        <v>109</v>
      </c>
      <c r="M36" s="79">
        <f>SUM(M31:M34,M22:M23)+M35</f>
        <v>603390</v>
      </c>
    </row>
    <row r="37" spans="2:17" ht="21.75" customHeight="1" x14ac:dyDescent="0.35">
      <c r="M37" s="66"/>
    </row>
    <row r="38" spans="2:17" s="28" customFormat="1" ht="15.5" x14ac:dyDescent="0.35">
      <c r="J38" s="29"/>
    </row>
    <row r="39" spans="2:17" s="28" customFormat="1" ht="15.5" x14ac:dyDescent="0.35"/>
    <row r="40" spans="2:17" s="28" customFormat="1" ht="15.5" x14ac:dyDescent="0.35"/>
    <row r="41" spans="2:17" s="28" customFormat="1" ht="15.5" x14ac:dyDescent="0.35"/>
    <row r="42" spans="2:17" s="28" customFormat="1" ht="15.5" x14ac:dyDescent="0.35"/>
    <row r="43" spans="2:17" s="28" customFormat="1" ht="15.5" x14ac:dyDescent="0.35"/>
    <row r="44" spans="2:17" s="28" customFormat="1" ht="15.5" x14ac:dyDescent="0.35">
      <c r="B44" s="30"/>
      <c r="C44" s="30"/>
      <c r="D44" s="30"/>
    </row>
    <row r="45" spans="2:17" s="28" customFormat="1" ht="15.5" x14ac:dyDescent="0.35">
      <c r="B45" s="31" t="s">
        <v>35</v>
      </c>
      <c r="C45" s="32"/>
      <c r="D45" s="32"/>
    </row>
    <row r="46" spans="2:17" s="28" customFormat="1" ht="15.5" x14ac:dyDescent="0.35">
      <c r="B46" s="31" t="s">
        <v>36</v>
      </c>
      <c r="C46" s="32"/>
      <c r="D46" s="32"/>
    </row>
    <row r="47" spans="2:17" s="28" customFormat="1" ht="15.5" x14ac:dyDescent="0.35">
      <c r="B47" s="33"/>
      <c r="C47" s="33"/>
      <c r="D47" s="33"/>
    </row>
  </sheetData>
  <mergeCells count="26">
    <mergeCell ref="B3:J5"/>
    <mergeCell ref="B7:J7"/>
    <mergeCell ref="B8:J8"/>
    <mergeCell ref="C10:D10"/>
    <mergeCell ref="F10:G10"/>
    <mergeCell ref="I10:J10"/>
    <mergeCell ref="B21:D21"/>
    <mergeCell ref="C11:D11"/>
    <mergeCell ref="F11:G11"/>
    <mergeCell ref="I11:J11"/>
    <mergeCell ref="C12:D12"/>
    <mergeCell ref="F12:G12"/>
    <mergeCell ref="I12:J12"/>
    <mergeCell ref="B14:J14"/>
    <mergeCell ref="B15:J15"/>
    <mergeCell ref="B17:J17"/>
    <mergeCell ref="E20:G20"/>
    <mergeCell ref="H20:J20"/>
    <mergeCell ref="B36:E36"/>
    <mergeCell ref="G36:I36"/>
    <mergeCell ref="B22:D22"/>
    <mergeCell ref="B23:D23"/>
    <mergeCell ref="B25:J25"/>
    <mergeCell ref="B27:D27"/>
    <mergeCell ref="C29:F29"/>
    <mergeCell ref="G29:J29"/>
  </mergeCells>
  <conditionalFormatting sqref="J1:J2 J6 J9 J13 J16:J19 J35 J37:J1048576">
    <cfRule type="containsText" dxfId="7" priority="1" operator="containsText" text="OK">
      <formula>NOT(ISERROR(SEARCH("OK",J1)))</formula>
    </cfRule>
    <cfRule type="containsText" dxfId="6" priority="2" operator="containsText" text="ERROR">
      <formula>NOT(ISERROR(SEARCH("ERROR",J1)))</formula>
    </cfRule>
  </conditionalFormatting>
  <hyperlinks>
    <hyperlink ref="C12" r:id="rId1" xr:uid="{F161ABF5-A1D0-4D1E-9A1D-57D691CE8275}"/>
  </hyperlinks>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DB42E-4C3D-4456-894F-C19076AA847F}">
  <sheetPr>
    <tabColor rgb="FFFF0000"/>
  </sheetPr>
  <dimension ref="B1:P47"/>
  <sheetViews>
    <sheetView topLeftCell="B15" zoomScale="80" zoomScaleNormal="80" workbookViewId="0">
      <selection activeCell="P31" sqref="P31:P34"/>
    </sheetView>
  </sheetViews>
  <sheetFormatPr baseColWidth="10" defaultColWidth="21.453125" defaultRowHeight="15" customHeight="1" zeroHeight="1" x14ac:dyDescent="0.35"/>
  <cols>
    <col min="1" max="1" width="4.6328125" style="1" customWidth="1"/>
    <col min="2" max="10" width="21.453125" style="1" customWidth="1"/>
    <col min="11" max="11" width="5.6328125" style="1" customWidth="1"/>
    <col min="12" max="12" width="20.90625" style="1" customWidth="1"/>
    <col min="13" max="13" width="23.54296875" style="1" customWidth="1"/>
    <col min="14" max="14" width="15.36328125" style="1" customWidth="1"/>
    <col min="15" max="15" width="20.1796875" style="1" customWidth="1"/>
    <col min="16" max="16" width="19.08984375" style="1" customWidth="1"/>
    <col min="17" max="18" width="9.08984375" style="1" customWidth="1"/>
    <col min="19" max="16384" width="21.453125" style="1"/>
  </cols>
  <sheetData>
    <row r="1" spans="2:10" ht="15.5" x14ac:dyDescent="0.35"/>
    <row r="2" spans="2:10" ht="10.5" customHeight="1" x14ac:dyDescent="0.35">
      <c r="B2" s="2"/>
      <c r="C2" s="2"/>
      <c r="D2" s="2"/>
      <c r="E2" s="2"/>
      <c r="F2" s="2"/>
      <c r="G2" s="2"/>
    </row>
    <row r="3" spans="2:10" ht="16.5" customHeight="1" x14ac:dyDescent="0.35">
      <c r="B3" s="174" t="s">
        <v>0</v>
      </c>
      <c r="C3" s="174"/>
      <c r="D3" s="174"/>
      <c r="E3" s="174"/>
      <c r="F3" s="174"/>
      <c r="G3" s="174"/>
      <c r="H3" s="174"/>
      <c r="I3" s="174"/>
      <c r="J3" s="174"/>
    </row>
    <row r="4" spans="2:10" ht="16.5" customHeight="1" x14ac:dyDescent="0.35">
      <c r="B4" s="174"/>
      <c r="C4" s="174"/>
      <c r="D4" s="174"/>
      <c r="E4" s="174"/>
      <c r="F4" s="174"/>
      <c r="G4" s="174"/>
      <c r="H4" s="174"/>
      <c r="I4" s="174"/>
      <c r="J4" s="174"/>
    </row>
    <row r="5" spans="2:10" ht="16.5" customHeight="1" x14ac:dyDescent="0.35">
      <c r="B5" s="174"/>
      <c r="C5" s="174"/>
      <c r="D5" s="174"/>
      <c r="E5" s="174"/>
      <c r="F5" s="174"/>
      <c r="G5" s="174"/>
      <c r="H5" s="174"/>
      <c r="I5" s="174"/>
      <c r="J5" s="174"/>
    </row>
    <row r="6" spans="2:10" ht="15.5" x14ac:dyDescent="0.35">
      <c r="B6" s="3"/>
      <c r="C6" s="3"/>
      <c r="D6" s="3"/>
      <c r="E6" s="3"/>
      <c r="F6" s="3"/>
      <c r="G6" s="4"/>
      <c r="H6" s="3"/>
      <c r="I6" s="3"/>
    </row>
    <row r="7" spans="2:10" ht="15.75" customHeight="1" x14ac:dyDescent="0.35">
      <c r="B7" s="175" t="s">
        <v>1</v>
      </c>
      <c r="C7" s="175"/>
      <c r="D7" s="175"/>
      <c r="E7" s="175"/>
      <c r="F7" s="175"/>
      <c r="G7" s="175"/>
      <c r="H7" s="175"/>
      <c r="I7" s="175"/>
      <c r="J7" s="175"/>
    </row>
    <row r="8" spans="2:10" ht="39.75" customHeight="1" x14ac:dyDescent="0.35">
      <c r="B8" s="176" t="s">
        <v>2</v>
      </c>
      <c r="C8" s="176"/>
      <c r="D8" s="176"/>
      <c r="E8" s="176"/>
      <c r="F8" s="176"/>
      <c r="G8" s="176"/>
      <c r="H8" s="176"/>
      <c r="I8" s="176"/>
      <c r="J8" s="176"/>
    </row>
    <row r="9" spans="2:10" ht="15.5" x14ac:dyDescent="0.35">
      <c r="B9" s="3"/>
      <c r="C9" s="3"/>
      <c r="D9" s="3"/>
      <c r="E9" s="3"/>
      <c r="F9" s="3"/>
      <c r="G9" s="4"/>
      <c r="H9" s="3"/>
      <c r="I9" s="3"/>
    </row>
    <row r="10" spans="2:10" ht="15.5" x14ac:dyDescent="0.35">
      <c r="B10" s="5" t="s">
        <v>3</v>
      </c>
      <c r="C10" s="195" t="s">
        <v>71</v>
      </c>
      <c r="D10" s="196"/>
      <c r="E10" s="6" t="s">
        <v>4</v>
      </c>
      <c r="F10" s="197"/>
      <c r="G10" s="197"/>
      <c r="H10" s="6" t="s">
        <v>5</v>
      </c>
      <c r="I10" s="198"/>
      <c r="J10" s="198"/>
    </row>
    <row r="11" spans="2:10" ht="15.5" x14ac:dyDescent="0.35">
      <c r="B11" s="5" t="s">
        <v>6</v>
      </c>
      <c r="C11" s="195"/>
      <c r="D11" s="196"/>
      <c r="E11" s="6" t="s">
        <v>7</v>
      </c>
      <c r="F11" s="197"/>
      <c r="G11" s="197"/>
      <c r="H11" s="6" t="s">
        <v>8</v>
      </c>
      <c r="I11" s="198"/>
      <c r="J11" s="198"/>
    </row>
    <row r="12" spans="2:10" ht="15.5" x14ac:dyDescent="0.35">
      <c r="B12" s="5" t="s">
        <v>9</v>
      </c>
      <c r="C12" s="195"/>
      <c r="D12" s="196"/>
      <c r="E12" s="6" t="s">
        <v>10</v>
      </c>
      <c r="F12" s="197"/>
      <c r="G12" s="197"/>
      <c r="H12" s="6" t="s">
        <v>11</v>
      </c>
      <c r="I12" s="198"/>
      <c r="J12" s="198"/>
    </row>
    <row r="13" spans="2:10" ht="15.5" x14ac:dyDescent="0.35">
      <c r="B13" s="7"/>
      <c r="C13" s="7"/>
      <c r="D13" s="7"/>
      <c r="E13" s="7"/>
      <c r="F13" s="7"/>
      <c r="G13" s="7"/>
      <c r="H13" s="7"/>
      <c r="I13" s="7"/>
    </row>
    <row r="14" spans="2:10" ht="15.5" x14ac:dyDescent="0.35">
      <c r="B14" s="200" t="s">
        <v>12</v>
      </c>
      <c r="C14" s="200"/>
      <c r="D14" s="200"/>
      <c r="E14" s="200"/>
      <c r="F14" s="200"/>
      <c r="G14" s="200"/>
      <c r="H14" s="200"/>
      <c r="I14" s="200"/>
      <c r="J14" s="200"/>
    </row>
    <row r="15" spans="2:10" ht="151.5" customHeight="1" x14ac:dyDescent="0.35">
      <c r="B15" s="201" t="s">
        <v>13</v>
      </c>
      <c r="C15" s="201"/>
      <c r="D15" s="201"/>
      <c r="E15" s="201"/>
      <c r="F15" s="201"/>
      <c r="G15" s="201"/>
      <c r="H15" s="201"/>
      <c r="I15" s="201"/>
      <c r="J15" s="201"/>
    </row>
    <row r="16" spans="2:10" ht="15.5" x14ac:dyDescent="0.35">
      <c r="B16" s="8"/>
      <c r="C16" s="8"/>
      <c r="D16" s="8"/>
      <c r="E16" s="8"/>
      <c r="F16" s="8"/>
      <c r="G16" s="8"/>
      <c r="H16" s="8"/>
      <c r="I16" s="8"/>
    </row>
    <row r="17" spans="2:16" ht="20.25" customHeight="1" x14ac:dyDescent="0.35">
      <c r="B17" s="168" t="s">
        <v>14</v>
      </c>
      <c r="C17" s="169"/>
      <c r="D17" s="169"/>
      <c r="E17" s="169"/>
      <c r="F17" s="169"/>
      <c r="G17" s="169"/>
      <c r="H17" s="169"/>
      <c r="I17" s="169"/>
      <c r="J17" s="169"/>
    </row>
    <row r="18" spans="2:16" ht="15.5" x14ac:dyDescent="0.35">
      <c r="B18" s="8"/>
      <c r="C18" s="8"/>
      <c r="D18" s="8"/>
      <c r="E18" s="8"/>
      <c r="F18" s="8"/>
      <c r="G18" s="8"/>
      <c r="H18" s="8"/>
      <c r="I18" s="8"/>
    </row>
    <row r="19" spans="2:16" ht="15.5" x14ac:dyDescent="0.35">
      <c r="B19" s="8"/>
      <c r="C19" s="8"/>
      <c r="D19" s="8"/>
      <c r="E19" s="8"/>
      <c r="F19" s="8"/>
      <c r="G19" s="8"/>
      <c r="H19" s="8"/>
      <c r="I19" s="8"/>
      <c r="L19" s="70" t="s">
        <v>106</v>
      </c>
    </row>
    <row r="20" spans="2:16" ht="15.5" x14ac:dyDescent="0.35">
      <c r="B20" s="8"/>
      <c r="C20" s="8"/>
      <c r="D20" s="8"/>
      <c r="E20" s="170" t="s">
        <v>15</v>
      </c>
      <c r="F20" s="170"/>
      <c r="G20" s="170"/>
      <c r="H20" s="202" t="s">
        <v>16</v>
      </c>
      <c r="I20" s="202"/>
      <c r="J20" s="202"/>
      <c r="L20" s="70"/>
    </row>
    <row r="21" spans="2:16" ht="60" customHeight="1" x14ac:dyDescent="0.35">
      <c r="B21" s="171" t="s">
        <v>17</v>
      </c>
      <c r="C21" s="172"/>
      <c r="D21" s="173"/>
      <c r="E21" s="10" t="s">
        <v>18</v>
      </c>
      <c r="F21" s="10" t="s">
        <v>19</v>
      </c>
      <c r="G21" s="10" t="s">
        <v>20</v>
      </c>
      <c r="H21" s="9" t="s">
        <v>18</v>
      </c>
      <c r="I21" s="10" t="s">
        <v>19</v>
      </c>
      <c r="J21" s="10" t="s">
        <v>20</v>
      </c>
      <c r="L21" s="67" t="str">
        <f>J21</f>
        <v>Tarifa administrativa IVA incluido en COP</v>
      </c>
      <c r="M21" s="67" t="s">
        <v>108</v>
      </c>
    </row>
    <row r="22" spans="2:16" ht="45" customHeight="1" x14ac:dyDescent="0.35">
      <c r="B22" s="160" t="s">
        <v>21</v>
      </c>
      <c r="C22" s="160"/>
      <c r="D22" s="160"/>
      <c r="E22" s="11">
        <v>43234</v>
      </c>
      <c r="F22" s="12">
        <f>ROUND(E22*19%,0)</f>
        <v>8214</v>
      </c>
      <c r="G22" s="12">
        <f>ROUND((E22+F22),0)</f>
        <v>51448</v>
      </c>
      <c r="H22" s="13"/>
      <c r="I22" s="12">
        <f>ROUND(H22*19%,0)</f>
        <v>0</v>
      </c>
      <c r="J22" s="12">
        <f>ROUND((H22+I22),0)</f>
        <v>0</v>
      </c>
      <c r="L22" s="71">
        <f>G22*(1-$M$19)</f>
        <v>51448</v>
      </c>
      <c r="M22" s="73">
        <f>ROUND(L22,0)</f>
        <v>51448</v>
      </c>
    </row>
    <row r="23" spans="2:16" ht="29.25" customHeight="1" x14ac:dyDescent="0.35">
      <c r="B23" s="160" t="s">
        <v>22</v>
      </c>
      <c r="C23" s="160"/>
      <c r="D23" s="160"/>
      <c r="E23" s="11">
        <v>73885</v>
      </c>
      <c r="F23" s="12">
        <f>ROUND(E23*19%,0)</f>
        <v>14038</v>
      </c>
      <c r="G23" s="12">
        <f>ROUND((E23+F23),0)</f>
        <v>87923</v>
      </c>
      <c r="H23" s="13"/>
      <c r="I23" s="12">
        <f>ROUND(H23*19%,0)</f>
        <v>0</v>
      </c>
      <c r="J23" s="12">
        <f>ROUND((H23+I23),0)</f>
        <v>0</v>
      </c>
      <c r="L23" s="71">
        <f t="shared" ref="L23" si="0">G23*(1-$M$19)</f>
        <v>87923</v>
      </c>
      <c r="M23" s="73">
        <f>ROUND(L23,0)</f>
        <v>87923</v>
      </c>
    </row>
    <row r="24" spans="2:16" ht="29.25" customHeight="1" x14ac:dyDescent="0.35">
      <c r="B24" s="14"/>
      <c r="C24" s="14"/>
      <c r="D24" s="14"/>
      <c r="E24" s="15"/>
      <c r="F24" s="14"/>
      <c r="G24" s="14"/>
      <c r="H24" s="14"/>
      <c r="I24" s="14"/>
      <c r="J24" s="16"/>
    </row>
    <row r="25" spans="2:16" ht="29.25" customHeight="1" x14ac:dyDescent="0.35">
      <c r="B25" s="161" t="s">
        <v>23</v>
      </c>
      <c r="C25" s="162"/>
      <c r="D25" s="162"/>
      <c r="E25" s="162"/>
      <c r="F25" s="162"/>
      <c r="G25" s="162"/>
      <c r="H25" s="162"/>
      <c r="I25" s="162"/>
      <c r="J25" s="162"/>
    </row>
    <row r="26" spans="2:16" ht="29.25" customHeight="1" x14ac:dyDescent="0.35">
      <c r="B26" s="14"/>
      <c r="C26" s="14"/>
      <c r="D26" s="14"/>
      <c r="E26" s="15"/>
      <c r="F26" s="14"/>
      <c r="G26" s="14"/>
      <c r="H26" s="14"/>
      <c r="I26" s="14"/>
      <c r="J26" s="14"/>
    </row>
    <row r="27" spans="2:16" ht="29.25" customHeight="1" x14ac:dyDescent="0.35">
      <c r="B27" s="190" t="s">
        <v>24</v>
      </c>
      <c r="C27" s="191"/>
      <c r="D27" s="192"/>
      <c r="E27" s="57">
        <v>3667.06</v>
      </c>
      <c r="F27" s="14"/>
      <c r="G27" s="14"/>
    </row>
    <row r="28" spans="2:16" ht="29.25" customHeight="1" x14ac:dyDescent="0.35">
      <c r="B28" s="17"/>
      <c r="C28" s="17"/>
      <c r="D28" s="17"/>
      <c r="E28" s="14"/>
      <c r="F28" s="18"/>
      <c r="G28" s="18"/>
      <c r="H28" s="18"/>
      <c r="I28" s="14"/>
      <c r="J28" s="14"/>
    </row>
    <row r="29" spans="2:16" ht="29.25" customHeight="1" x14ac:dyDescent="0.35">
      <c r="B29" s="17"/>
      <c r="C29" s="193" t="s">
        <v>15</v>
      </c>
      <c r="D29" s="193"/>
      <c r="E29" s="193"/>
      <c r="F29" s="193"/>
      <c r="G29" s="194" t="s">
        <v>16</v>
      </c>
      <c r="H29" s="194"/>
      <c r="I29" s="194"/>
      <c r="J29" s="194"/>
    </row>
    <row r="30" spans="2:16" ht="65.25" customHeight="1" x14ac:dyDescent="0.35">
      <c r="B30" s="19" t="s">
        <v>25</v>
      </c>
      <c r="C30" s="20" t="s">
        <v>26</v>
      </c>
      <c r="D30" s="20" t="s">
        <v>27</v>
      </c>
      <c r="E30" s="20" t="s">
        <v>19</v>
      </c>
      <c r="F30" s="20" t="s">
        <v>28</v>
      </c>
      <c r="G30" s="20" t="s">
        <v>26</v>
      </c>
      <c r="H30" s="20" t="s">
        <v>27</v>
      </c>
      <c r="I30" s="20" t="s">
        <v>19</v>
      </c>
      <c r="J30" s="20" t="s">
        <v>28</v>
      </c>
      <c r="L30" s="67" t="str">
        <f>J30</f>
        <v>Tarifa en USD convertida a pesos colombianos incluido IVA</v>
      </c>
      <c r="M30" s="67" t="s">
        <v>108</v>
      </c>
      <c r="N30" s="20" t="s">
        <v>26</v>
      </c>
    </row>
    <row r="31" spans="2:16" ht="24.75" customHeight="1" x14ac:dyDescent="0.35">
      <c r="B31" s="21" t="s">
        <v>29</v>
      </c>
      <c r="C31" s="22">
        <v>15</v>
      </c>
      <c r="D31" s="12">
        <f>ROUND((C31*$E$27),0)</f>
        <v>55006</v>
      </c>
      <c r="E31" s="23">
        <v>0.19</v>
      </c>
      <c r="F31" s="12">
        <f>ROUND((D31+(D31*E31)),0)</f>
        <v>65457</v>
      </c>
      <c r="G31" s="24"/>
      <c r="H31" s="12">
        <f>ROUND((G31*$E$27),0)</f>
        <v>0</v>
      </c>
      <c r="I31" s="23">
        <v>0.19</v>
      </c>
      <c r="J31" s="12">
        <f>ROUND((H31+(H31*I31)),0)</f>
        <v>0</v>
      </c>
      <c r="L31" s="71">
        <f>F31*(1-$M$19)</f>
        <v>65457</v>
      </c>
      <c r="M31" s="73">
        <f>ROUND(L31,2)</f>
        <v>65457</v>
      </c>
      <c r="N31" s="86">
        <f>ROUND(L31/$E$27/1.19,2)</f>
        <v>15</v>
      </c>
      <c r="O31" s="1">
        <f>N31*$E$27</f>
        <v>55005.9</v>
      </c>
      <c r="P31" s="87" t="e">
        <f>O31/H31</f>
        <v>#DIV/0!</v>
      </c>
    </row>
    <row r="32" spans="2:16" ht="24.75" customHeight="1" x14ac:dyDescent="0.35">
      <c r="B32" s="21" t="s">
        <v>30</v>
      </c>
      <c r="C32" s="22">
        <v>27</v>
      </c>
      <c r="D32" s="12">
        <f>ROUND((C32*$E$27),0)</f>
        <v>99011</v>
      </c>
      <c r="E32" s="23">
        <v>0.19</v>
      </c>
      <c r="F32" s="12">
        <f t="shared" ref="F32:F34" si="1">ROUND((D32+(D32*E32)),0)</f>
        <v>117823</v>
      </c>
      <c r="G32" s="24"/>
      <c r="H32" s="12">
        <f>ROUND((G32*$E$27),0)</f>
        <v>0</v>
      </c>
      <c r="I32" s="23">
        <v>0.19</v>
      </c>
      <c r="J32" s="12">
        <f>ROUND((H32+(H32*I32)),0)</f>
        <v>0</v>
      </c>
      <c r="L32" s="71">
        <f t="shared" ref="L32:L34" si="2">F32*(1-$M$19)</f>
        <v>117823</v>
      </c>
      <c r="M32" s="73">
        <f t="shared" ref="M32:M34" si="3">ROUND(L32,2)</f>
        <v>117823</v>
      </c>
      <c r="N32" s="86">
        <f t="shared" ref="N32:N34" si="4">ROUND(L32/$E$27/1.19,2)</f>
        <v>27</v>
      </c>
      <c r="O32" s="1">
        <f t="shared" ref="O32:O34" si="5">N32*$E$27</f>
        <v>99010.62</v>
      </c>
      <c r="P32" s="87" t="e">
        <f t="shared" ref="P32:P34" si="6">O32/H32</f>
        <v>#DIV/0!</v>
      </c>
    </row>
    <row r="33" spans="2:16" ht="24.75" customHeight="1" x14ac:dyDescent="0.35">
      <c r="B33" s="21" t="s">
        <v>31</v>
      </c>
      <c r="C33" s="22">
        <v>45</v>
      </c>
      <c r="D33" s="12">
        <f>ROUND((C33*$E$27),0)</f>
        <v>165018</v>
      </c>
      <c r="E33" s="23">
        <v>0.19</v>
      </c>
      <c r="F33" s="12">
        <f t="shared" si="1"/>
        <v>196371</v>
      </c>
      <c r="G33" s="24"/>
      <c r="H33" s="12">
        <f>ROUND((G33*$E$27),0)</f>
        <v>0</v>
      </c>
      <c r="I33" s="23">
        <v>0.19</v>
      </c>
      <c r="J33" s="12">
        <f>ROUND((H33+(H33*I33)),0)</f>
        <v>0</v>
      </c>
      <c r="L33" s="71">
        <f t="shared" si="2"/>
        <v>196371</v>
      </c>
      <c r="M33" s="73">
        <f t="shared" si="3"/>
        <v>196371</v>
      </c>
      <c r="N33" s="86">
        <f t="shared" si="4"/>
        <v>45</v>
      </c>
      <c r="O33" s="1">
        <f t="shared" si="5"/>
        <v>165017.70000000001</v>
      </c>
      <c r="P33" s="87" t="e">
        <f t="shared" si="6"/>
        <v>#DIV/0!</v>
      </c>
    </row>
    <row r="34" spans="2:16" ht="24.75" customHeight="1" x14ac:dyDescent="0.35">
      <c r="B34" s="21" t="s">
        <v>32</v>
      </c>
      <c r="C34" s="22">
        <v>93</v>
      </c>
      <c r="D34" s="12">
        <f t="shared" ref="D34" si="7">ROUND((C34*$E$27),0)</f>
        <v>341037</v>
      </c>
      <c r="E34" s="23">
        <v>0.19</v>
      </c>
      <c r="F34" s="12">
        <f t="shared" si="1"/>
        <v>405834</v>
      </c>
      <c r="G34" s="24"/>
      <c r="H34" s="12">
        <f>ROUND((G34*$E$27),0)</f>
        <v>0</v>
      </c>
      <c r="I34" s="23">
        <v>0.19</v>
      </c>
      <c r="J34" s="12">
        <f>ROUND((H34+(H34*I34)),0)</f>
        <v>0</v>
      </c>
      <c r="L34" s="71">
        <f t="shared" si="2"/>
        <v>405834</v>
      </c>
      <c r="M34" s="73">
        <f t="shared" si="3"/>
        <v>405834</v>
      </c>
      <c r="N34" s="86">
        <f t="shared" si="4"/>
        <v>93</v>
      </c>
      <c r="O34" s="1">
        <f t="shared" si="5"/>
        <v>341036.58</v>
      </c>
      <c r="P34" s="87" t="e">
        <f t="shared" si="6"/>
        <v>#DIV/0!</v>
      </c>
    </row>
    <row r="35" spans="2:16" ht="15.5" x14ac:dyDescent="0.35">
      <c r="H35" s="25"/>
    </row>
    <row r="36" spans="2:16" ht="21.75" customHeight="1" x14ac:dyDescent="0.35">
      <c r="B36" s="184" t="s">
        <v>33</v>
      </c>
      <c r="C36" s="185"/>
      <c r="D36" s="185"/>
      <c r="E36" s="186"/>
      <c r="F36" s="26">
        <f>SUM(F31:F34,G22:G23)</f>
        <v>924856</v>
      </c>
      <c r="G36" s="205" t="s">
        <v>34</v>
      </c>
      <c r="H36" s="206"/>
      <c r="I36" s="207"/>
      <c r="J36" s="27" t="s">
        <v>72</v>
      </c>
      <c r="M36" s="68">
        <f>SUM(M31:M34,M22:M23)</f>
        <v>924856</v>
      </c>
    </row>
    <row r="37" spans="2:16" ht="21.75" customHeight="1" x14ac:dyDescent="0.35"/>
    <row r="38" spans="2:16" s="28" customFormat="1" ht="68.400000000000006" customHeight="1" x14ac:dyDescent="0.35">
      <c r="B38" s="204" t="s">
        <v>75</v>
      </c>
      <c r="C38" s="204"/>
      <c r="D38" s="204"/>
      <c r="E38" s="204"/>
      <c r="F38" s="204"/>
      <c r="G38" s="204"/>
      <c r="H38" s="204"/>
      <c r="I38" s="204"/>
      <c r="J38" s="204"/>
    </row>
    <row r="39" spans="2:16" s="28" customFormat="1" ht="15.5" x14ac:dyDescent="0.35"/>
    <row r="40" spans="2:16" s="28" customFormat="1" ht="15.5" x14ac:dyDescent="0.35"/>
    <row r="41" spans="2:16" s="28" customFormat="1" ht="15.5" x14ac:dyDescent="0.35"/>
    <row r="42" spans="2:16" s="28" customFormat="1" ht="15.5" x14ac:dyDescent="0.35"/>
    <row r="43" spans="2:16" s="28" customFormat="1" ht="15.5" x14ac:dyDescent="0.35"/>
    <row r="44" spans="2:16" s="28" customFormat="1" ht="15.5" x14ac:dyDescent="0.35">
      <c r="B44" s="30"/>
      <c r="C44" s="30"/>
      <c r="D44" s="30"/>
    </row>
    <row r="45" spans="2:16" s="28" customFormat="1" ht="15.5" x14ac:dyDescent="0.35">
      <c r="B45" s="31" t="s">
        <v>35</v>
      </c>
      <c r="C45" s="32"/>
      <c r="D45" s="32"/>
    </row>
    <row r="46" spans="2:16" s="28" customFormat="1" ht="15.5" x14ac:dyDescent="0.35">
      <c r="B46" s="31" t="s">
        <v>36</v>
      </c>
      <c r="C46" s="32"/>
      <c r="D46" s="32"/>
    </row>
    <row r="47" spans="2:16" s="28" customFormat="1" ht="15.5" x14ac:dyDescent="0.35">
      <c r="B47" s="33"/>
      <c r="C47" s="33"/>
      <c r="D47" s="33"/>
    </row>
  </sheetData>
  <mergeCells count="27">
    <mergeCell ref="B3:J5"/>
    <mergeCell ref="B7:J7"/>
    <mergeCell ref="B8:J8"/>
    <mergeCell ref="C10:D10"/>
    <mergeCell ref="F10:G10"/>
    <mergeCell ref="I10:J10"/>
    <mergeCell ref="B21:D21"/>
    <mergeCell ref="C11:D11"/>
    <mergeCell ref="F11:G11"/>
    <mergeCell ref="I11:J11"/>
    <mergeCell ref="C12:D12"/>
    <mergeCell ref="F12:G12"/>
    <mergeCell ref="I12:J12"/>
    <mergeCell ref="B14:J14"/>
    <mergeCell ref="B15:J15"/>
    <mergeCell ref="B17:J17"/>
    <mergeCell ref="E20:G20"/>
    <mergeCell ref="H20:J20"/>
    <mergeCell ref="B38:J38"/>
    <mergeCell ref="B36:E36"/>
    <mergeCell ref="G36:I36"/>
    <mergeCell ref="B22:D22"/>
    <mergeCell ref="B23:D23"/>
    <mergeCell ref="B25:J25"/>
    <mergeCell ref="B27:D27"/>
    <mergeCell ref="C29:F29"/>
    <mergeCell ref="G29:J29"/>
  </mergeCells>
  <conditionalFormatting sqref="J1:J2 J6 J9 J13 J16:J19 J35 J37 J39:J1048576">
    <cfRule type="containsText" dxfId="5" priority="1" operator="containsText" text="OK">
      <formula>NOT(ISERROR(SEARCH("OK",J1)))</formula>
    </cfRule>
    <cfRule type="containsText" dxfId="4" priority="2" operator="containsText" text="ERROR">
      <formula>NOT(ISERROR(SEARCH("ERROR",J1)))</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33EF-6165-4603-ACF8-C2948002CBCC}">
  <sheetPr>
    <tabColor rgb="FF00B050"/>
  </sheetPr>
  <dimension ref="B1:Q47"/>
  <sheetViews>
    <sheetView topLeftCell="D21" zoomScale="70" zoomScaleNormal="70" workbookViewId="0">
      <selection activeCell="O30" sqref="O30:Q34"/>
    </sheetView>
  </sheetViews>
  <sheetFormatPr baseColWidth="10" defaultColWidth="21.453125" defaultRowHeight="15" customHeight="1" zeroHeight="1" x14ac:dyDescent="0.35"/>
  <cols>
    <col min="1" max="1" width="4.6328125" style="1" customWidth="1"/>
    <col min="2" max="10" width="21.453125" style="1" customWidth="1"/>
    <col min="11" max="11" width="5.6328125" style="1" customWidth="1"/>
    <col min="12" max="12" width="20.90625" style="1" customWidth="1"/>
    <col min="13" max="13" width="23.54296875" style="1" customWidth="1"/>
    <col min="14" max="14" width="15.36328125" style="1" customWidth="1"/>
    <col min="15" max="15" width="20.1796875" style="1" customWidth="1"/>
    <col min="16" max="16" width="19.08984375" style="1" customWidth="1"/>
    <col min="17" max="17" width="18.6328125" style="1" customWidth="1"/>
    <col min="18" max="18" width="9.08984375" style="1" customWidth="1"/>
    <col min="19" max="16384" width="21.453125" style="1"/>
  </cols>
  <sheetData>
    <row r="1" spans="2:10" ht="15.5" x14ac:dyDescent="0.35"/>
    <row r="2" spans="2:10" ht="10.5" customHeight="1" x14ac:dyDescent="0.35">
      <c r="B2" s="2"/>
      <c r="C2" s="2"/>
      <c r="D2" s="2"/>
      <c r="E2" s="2"/>
      <c r="F2" s="2"/>
      <c r="G2" s="2"/>
    </row>
    <row r="3" spans="2:10" ht="16.5" customHeight="1" x14ac:dyDescent="0.35">
      <c r="B3" s="174" t="s">
        <v>0</v>
      </c>
      <c r="C3" s="174"/>
      <c r="D3" s="174"/>
      <c r="E3" s="174"/>
      <c r="F3" s="174"/>
      <c r="G3" s="174"/>
      <c r="H3" s="174"/>
      <c r="I3" s="174"/>
      <c r="J3" s="174"/>
    </row>
    <row r="4" spans="2:10" ht="16.5" customHeight="1" x14ac:dyDescent="0.35">
      <c r="B4" s="174"/>
      <c r="C4" s="174"/>
      <c r="D4" s="174"/>
      <c r="E4" s="174"/>
      <c r="F4" s="174"/>
      <c r="G4" s="174"/>
      <c r="H4" s="174"/>
      <c r="I4" s="174"/>
      <c r="J4" s="174"/>
    </row>
    <row r="5" spans="2:10" ht="16.5" customHeight="1" x14ac:dyDescent="0.35">
      <c r="B5" s="174"/>
      <c r="C5" s="174"/>
      <c r="D5" s="174"/>
      <c r="E5" s="174"/>
      <c r="F5" s="174"/>
      <c r="G5" s="174"/>
      <c r="H5" s="174"/>
      <c r="I5" s="174"/>
      <c r="J5" s="174"/>
    </row>
    <row r="6" spans="2:10" ht="15.5" x14ac:dyDescent="0.35">
      <c r="B6" s="3"/>
      <c r="C6" s="3"/>
      <c r="D6" s="3"/>
      <c r="E6" s="3"/>
      <c r="F6" s="3"/>
      <c r="G6" s="4"/>
      <c r="H6" s="3"/>
      <c r="I6" s="3"/>
    </row>
    <row r="7" spans="2:10" ht="15.75" customHeight="1" x14ac:dyDescent="0.35">
      <c r="B7" s="175" t="s">
        <v>1</v>
      </c>
      <c r="C7" s="175"/>
      <c r="D7" s="175"/>
      <c r="E7" s="175"/>
      <c r="F7" s="175"/>
      <c r="G7" s="175"/>
      <c r="H7" s="175"/>
      <c r="I7" s="175"/>
      <c r="J7" s="175"/>
    </row>
    <row r="8" spans="2:10" ht="39.75" customHeight="1" x14ac:dyDescent="0.35">
      <c r="B8" s="176" t="s">
        <v>2</v>
      </c>
      <c r="C8" s="176"/>
      <c r="D8" s="176"/>
      <c r="E8" s="176"/>
      <c r="F8" s="176"/>
      <c r="G8" s="176"/>
      <c r="H8" s="176"/>
      <c r="I8" s="176"/>
      <c r="J8" s="176"/>
    </row>
    <row r="9" spans="2:10" ht="15.5" x14ac:dyDescent="0.35">
      <c r="B9" s="3"/>
      <c r="C9" s="3"/>
      <c r="D9" s="3"/>
      <c r="E9" s="3"/>
      <c r="F9" s="3"/>
      <c r="G9" s="4"/>
      <c r="H9" s="3"/>
      <c r="I9" s="3"/>
    </row>
    <row r="10" spans="2:10" ht="15.5" x14ac:dyDescent="0.35">
      <c r="B10" s="5" t="s">
        <v>3</v>
      </c>
      <c r="C10" s="195" t="s">
        <v>73</v>
      </c>
      <c r="D10" s="196"/>
      <c r="E10" s="6" t="s">
        <v>4</v>
      </c>
      <c r="F10" s="197" t="s">
        <v>87</v>
      </c>
      <c r="G10" s="197"/>
      <c r="H10" s="6" t="s">
        <v>5</v>
      </c>
      <c r="I10" s="198"/>
      <c r="J10" s="198"/>
    </row>
    <row r="11" spans="2:10" ht="15.5" x14ac:dyDescent="0.35">
      <c r="B11" s="5" t="s">
        <v>6</v>
      </c>
      <c r="C11" s="195" t="s">
        <v>85</v>
      </c>
      <c r="D11" s="196"/>
      <c r="E11" s="6" t="s">
        <v>7</v>
      </c>
      <c r="F11" s="197" t="s">
        <v>88</v>
      </c>
      <c r="G11" s="197"/>
      <c r="H11" s="6" t="s">
        <v>8</v>
      </c>
      <c r="I11" s="198"/>
      <c r="J11" s="198"/>
    </row>
    <row r="12" spans="2:10" ht="15.5" x14ac:dyDescent="0.35">
      <c r="B12" s="5" t="s">
        <v>9</v>
      </c>
      <c r="C12" s="199" t="s">
        <v>86</v>
      </c>
      <c r="D12" s="196"/>
      <c r="E12" s="6" t="s">
        <v>10</v>
      </c>
      <c r="F12" s="197" t="s">
        <v>89</v>
      </c>
      <c r="G12" s="197"/>
      <c r="H12" s="6" t="s">
        <v>11</v>
      </c>
      <c r="I12" s="198"/>
      <c r="J12" s="198"/>
    </row>
    <row r="13" spans="2:10" ht="15.5" x14ac:dyDescent="0.35">
      <c r="B13" s="7"/>
      <c r="C13" s="7"/>
      <c r="D13" s="7"/>
      <c r="E13" s="7"/>
      <c r="F13" s="7"/>
      <c r="G13" s="7"/>
      <c r="H13" s="7"/>
      <c r="I13" s="7"/>
    </row>
    <row r="14" spans="2:10" ht="15.5" x14ac:dyDescent="0.35">
      <c r="B14" s="200" t="s">
        <v>12</v>
      </c>
      <c r="C14" s="200"/>
      <c r="D14" s="200"/>
      <c r="E14" s="200"/>
      <c r="F14" s="200"/>
      <c r="G14" s="200"/>
      <c r="H14" s="200"/>
      <c r="I14" s="200"/>
      <c r="J14" s="200"/>
    </row>
    <row r="15" spans="2:10" ht="151.5" customHeight="1" x14ac:dyDescent="0.35">
      <c r="B15" s="201" t="s">
        <v>13</v>
      </c>
      <c r="C15" s="201"/>
      <c r="D15" s="201"/>
      <c r="E15" s="201"/>
      <c r="F15" s="201"/>
      <c r="G15" s="201"/>
      <c r="H15" s="201"/>
      <c r="I15" s="201"/>
      <c r="J15" s="201"/>
    </row>
    <row r="16" spans="2:10" ht="15.5" x14ac:dyDescent="0.35">
      <c r="B16" s="8"/>
      <c r="C16" s="8"/>
      <c r="D16" s="8"/>
      <c r="E16" s="8"/>
      <c r="F16" s="8"/>
      <c r="G16" s="8"/>
      <c r="H16" s="8"/>
      <c r="I16" s="8"/>
    </row>
    <row r="17" spans="2:17" ht="20.25" customHeight="1" x14ac:dyDescent="0.35">
      <c r="B17" s="168" t="s">
        <v>14</v>
      </c>
      <c r="C17" s="169"/>
      <c r="D17" s="169"/>
      <c r="E17" s="169"/>
      <c r="F17" s="169"/>
      <c r="G17" s="169"/>
      <c r="H17" s="169"/>
      <c r="I17" s="169"/>
      <c r="J17" s="169"/>
    </row>
    <row r="18" spans="2:17" ht="15.5" x14ac:dyDescent="0.35">
      <c r="B18" s="8"/>
      <c r="C18" s="8"/>
      <c r="D18" s="8"/>
      <c r="E18" s="8"/>
      <c r="F18" s="8"/>
      <c r="G18" s="8"/>
      <c r="H18" s="8"/>
      <c r="I18" s="8"/>
    </row>
    <row r="19" spans="2:17" ht="15.5" x14ac:dyDescent="0.35">
      <c r="B19" s="8"/>
      <c r="C19" s="8"/>
      <c r="D19" s="8"/>
      <c r="E19" s="8"/>
      <c r="F19" s="8"/>
      <c r="G19" s="8"/>
      <c r="H19" s="8"/>
      <c r="I19" s="8"/>
      <c r="L19" s="82" t="s">
        <v>106</v>
      </c>
      <c r="M19" s="80">
        <f>1-(94000/F36)</f>
        <v>0.89836255590059422</v>
      </c>
    </row>
    <row r="20" spans="2:17" ht="15.5" x14ac:dyDescent="0.35">
      <c r="B20" s="8"/>
      <c r="C20" s="8"/>
      <c r="D20" s="8"/>
      <c r="E20" s="170" t="s">
        <v>15</v>
      </c>
      <c r="F20" s="170"/>
      <c r="G20" s="170"/>
      <c r="H20" s="202" t="s">
        <v>16</v>
      </c>
      <c r="I20" s="202"/>
      <c r="J20" s="202"/>
      <c r="L20" s="81"/>
    </row>
    <row r="21" spans="2:17" ht="60" customHeight="1" x14ac:dyDescent="0.35">
      <c r="B21" s="171" t="s">
        <v>17</v>
      </c>
      <c r="C21" s="172"/>
      <c r="D21" s="173"/>
      <c r="E21" s="10" t="s">
        <v>18</v>
      </c>
      <c r="F21" s="10" t="s">
        <v>19</v>
      </c>
      <c r="G21" s="10" t="s">
        <v>20</v>
      </c>
      <c r="H21" s="9" t="s">
        <v>18</v>
      </c>
      <c r="I21" s="10" t="s">
        <v>19</v>
      </c>
      <c r="J21" s="10" t="s">
        <v>20</v>
      </c>
      <c r="L21" s="67" t="str">
        <f>J21</f>
        <v>Tarifa administrativa IVA incluido en COP</v>
      </c>
      <c r="M21" s="67" t="s">
        <v>108</v>
      </c>
    </row>
    <row r="22" spans="2:17" ht="45" customHeight="1" x14ac:dyDescent="0.35">
      <c r="B22" s="160" t="s">
        <v>21</v>
      </c>
      <c r="C22" s="160"/>
      <c r="D22" s="160"/>
      <c r="E22" s="11">
        <v>43234</v>
      </c>
      <c r="F22" s="12">
        <f>ROUND(E22*19%,0)</f>
        <v>8214</v>
      </c>
      <c r="G22" s="12">
        <f>ROUND((E22+F22),0)</f>
        <v>51448</v>
      </c>
      <c r="H22" s="13">
        <v>38910</v>
      </c>
      <c r="I22" s="12">
        <f>ROUND(H22*19%,0)</f>
        <v>7393</v>
      </c>
      <c r="J22" s="12">
        <f>ROUND((H22+I22),0)</f>
        <v>46303</v>
      </c>
      <c r="L22" s="71">
        <f>G22*(1-$M$19)</f>
        <v>5229.0432240262289</v>
      </c>
      <c r="M22" s="73">
        <f>ROUND(L22,0)</f>
        <v>5229</v>
      </c>
    </row>
    <row r="23" spans="2:17" ht="29.25" customHeight="1" x14ac:dyDescent="0.35">
      <c r="B23" s="160" t="s">
        <v>22</v>
      </c>
      <c r="C23" s="160"/>
      <c r="D23" s="160"/>
      <c r="E23" s="11">
        <v>73885</v>
      </c>
      <c r="F23" s="12">
        <f>ROUND(E23*19%,0)</f>
        <v>14038</v>
      </c>
      <c r="G23" s="12">
        <f>ROUND((E23+F23),0)</f>
        <v>87923</v>
      </c>
      <c r="H23" s="13">
        <v>66496</v>
      </c>
      <c r="I23" s="12">
        <f>ROUND(H23*19%,0)</f>
        <v>12634</v>
      </c>
      <c r="J23" s="12">
        <f>ROUND((H23+I23),0)</f>
        <v>79130</v>
      </c>
      <c r="L23" s="71">
        <f t="shared" ref="L23" si="0">G23*(1-$M$19)</f>
        <v>8936.2689975520552</v>
      </c>
      <c r="M23" s="73">
        <f>ROUND(L23,0)</f>
        <v>8936</v>
      </c>
    </row>
    <row r="24" spans="2:17" ht="29.25" customHeight="1" x14ac:dyDescent="0.35">
      <c r="B24" s="14"/>
      <c r="C24" s="14"/>
      <c r="D24" s="14"/>
      <c r="E24" s="15"/>
      <c r="F24" s="14"/>
      <c r="G24" s="14"/>
      <c r="H24" s="14"/>
      <c r="I24" s="14"/>
      <c r="J24" s="16"/>
    </row>
    <row r="25" spans="2:17" ht="29.25" customHeight="1" x14ac:dyDescent="0.35">
      <c r="B25" s="161" t="s">
        <v>23</v>
      </c>
      <c r="C25" s="162"/>
      <c r="D25" s="162"/>
      <c r="E25" s="162"/>
      <c r="F25" s="162"/>
      <c r="G25" s="162"/>
      <c r="H25" s="162"/>
      <c r="I25" s="162"/>
      <c r="J25" s="162"/>
    </row>
    <row r="26" spans="2:17" ht="29.25" customHeight="1" x14ac:dyDescent="0.35">
      <c r="B26" s="14"/>
      <c r="C26" s="14"/>
      <c r="D26" s="14"/>
      <c r="E26" s="15"/>
      <c r="F26" s="14"/>
      <c r="G26" s="14"/>
      <c r="H26" s="14"/>
      <c r="I26" s="14"/>
      <c r="J26" s="14"/>
    </row>
    <row r="27" spans="2:17" ht="29.25" customHeight="1" x14ac:dyDescent="0.35">
      <c r="B27" s="190" t="s">
        <v>24</v>
      </c>
      <c r="C27" s="191"/>
      <c r="D27" s="192"/>
      <c r="E27" s="57">
        <v>3667.06</v>
      </c>
      <c r="F27" s="14"/>
      <c r="G27" s="14"/>
    </row>
    <row r="28" spans="2:17" ht="29.25" customHeight="1" x14ac:dyDescent="0.35">
      <c r="B28" s="17"/>
      <c r="C28" s="17"/>
      <c r="D28" s="17"/>
      <c r="E28" s="14"/>
      <c r="F28" s="18"/>
      <c r="G28" s="18"/>
      <c r="H28" s="18"/>
      <c r="I28" s="14"/>
      <c r="J28" s="14"/>
    </row>
    <row r="29" spans="2:17" ht="29.25" customHeight="1" x14ac:dyDescent="0.35">
      <c r="B29" s="17"/>
      <c r="C29" s="193" t="s">
        <v>15</v>
      </c>
      <c r="D29" s="193"/>
      <c r="E29" s="193"/>
      <c r="F29" s="193"/>
      <c r="G29" s="194" t="s">
        <v>16</v>
      </c>
      <c r="H29" s="194"/>
      <c r="I29" s="194"/>
      <c r="J29" s="194"/>
    </row>
    <row r="30" spans="2:17" ht="65.25" customHeight="1" x14ac:dyDescent="0.35">
      <c r="B30" s="19" t="s">
        <v>25</v>
      </c>
      <c r="C30" s="20" t="s">
        <v>26</v>
      </c>
      <c r="D30" s="20" t="s">
        <v>27</v>
      </c>
      <c r="E30" s="20" t="s">
        <v>19</v>
      </c>
      <c r="F30" s="20" t="s">
        <v>28</v>
      </c>
      <c r="G30" s="20" t="s">
        <v>26</v>
      </c>
      <c r="H30" s="20" t="s">
        <v>27</v>
      </c>
      <c r="I30" s="20" t="s">
        <v>19</v>
      </c>
      <c r="J30" s="20" t="s">
        <v>28</v>
      </c>
      <c r="L30" s="67" t="str">
        <f>J30</f>
        <v>Tarifa en USD convertida a pesos colombianos incluido IVA</v>
      </c>
      <c r="M30" s="67" t="s">
        <v>108</v>
      </c>
      <c r="N30" s="20" t="s">
        <v>26</v>
      </c>
      <c r="O30" s="20" t="s">
        <v>26</v>
      </c>
      <c r="P30" s="20" t="s">
        <v>27</v>
      </c>
      <c r="Q30" s="20" t="s">
        <v>28</v>
      </c>
    </row>
    <row r="31" spans="2:17" ht="24.75" customHeight="1" x14ac:dyDescent="0.35">
      <c r="B31" s="21" t="s">
        <v>29</v>
      </c>
      <c r="C31" s="22">
        <v>15</v>
      </c>
      <c r="D31" s="12">
        <f>ROUND((C31*$E$27),0)</f>
        <v>55006</v>
      </c>
      <c r="E31" s="23">
        <v>0.19</v>
      </c>
      <c r="F31" s="12">
        <f>ROUND((D31+(D31*E31)),0)</f>
        <v>65457</v>
      </c>
      <c r="G31" s="24">
        <v>14</v>
      </c>
      <c r="H31" s="12">
        <f>ROUND((G31*$E$27),0)</f>
        <v>51339</v>
      </c>
      <c r="I31" s="23">
        <v>0.19</v>
      </c>
      <c r="J31" s="12">
        <f>ROUND((H31+(H31*I31)),0)</f>
        <v>61093</v>
      </c>
      <c r="L31" s="71">
        <f>F31*(1-$M$19)</f>
        <v>6652.882178414804</v>
      </c>
      <c r="M31" s="73">
        <f>L31</f>
        <v>6652.882178414804</v>
      </c>
      <c r="N31" s="86">
        <f>ROUND(L31/$E$27/1.19,2)</f>
        <v>1.52</v>
      </c>
      <c r="O31" s="78">
        <f>M31/$E$27/1.19</f>
        <v>1.5245611723793857</v>
      </c>
      <c r="P31" s="72">
        <f>O31*$E$27</f>
        <v>5590.6572927855505</v>
      </c>
      <c r="Q31" s="72">
        <f>P31*1.19</f>
        <v>6652.8821784148049</v>
      </c>
    </row>
    <row r="32" spans="2:17" ht="24.75" customHeight="1" x14ac:dyDescent="0.35">
      <c r="B32" s="21" t="s">
        <v>30</v>
      </c>
      <c r="C32" s="22">
        <v>27</v>
      </c>
      <c r="D32" s="12">
        <f>ROUND((C32*$E$27),0)</f>
        <v>99011</v>
      </c>
      <c r="E32" s="23">
        <v>0.19</v>
      </c>
      <c r="F32" s="12">
        <f t="shared" ref="F32:F34" si="1">ROUND((D32+(D32*E32)),0)</f>
        <v>117823</v>
      </c>
      <c r="G32" s="24">
        <v>26</v>
      </c>
      <c r="H32" s="12">
        <f>ROUND((G32*$E$27),0)</f>
        <v>95344</v>
      </c>
      <c r="I32" s="23">
        <v>0.19</v>
      </c>
      <c r="J32" s="12">
        <f>ROUND((H32+(H32*I32)),0)</f>
        <v>113459</v>
      </c>
      <c r="L32" s="71">
        <f t="shared" ref="L32:L34" si="2">F32*(1-$M$19)</f>
        <v>11975.228576124287</v>
      </c>
      <c r="M32" s="73">
        <f t="shared" ref="M32:M34" si="3">L32</f>
        <v>11975.228576124287</v>
      </c>
      <c r="N32" s="86">
        <f t="shared" ref="N32:N34" si="4">ROUND(L32/$E$27/1.19,2)</f>
        <v>2.74</v>
      </c>
      <c r="O32" s="78">
        <f t="shared" ref="O32:O34" si="5">M32/$E$27/1.19</f>
        <v>2.7442194266962492</v>
      </c>
      <c r="P32" s="72">
        <f t="shared" ref="P32:P34" si="6">O32*$E$27</f>
        <v>10063.217290860748</v>
      </c>
      <c r="Q32" s="72">
        <f t="shared" ref="Q32:Q34" si="7">P32*1.19</f>
        <v>11975.228576124289</v>
      </c>
    </row>
    <row r="33" spans="2:17" ht="24.75" customHeight="1" x14ac:dyDescent="0.35">
      <c r="B33" s="21" t="s">
        <v>31</v>
      </c>
      <c r="C33" s="22">
        <v>45</v>
      </c>
      <c r="D33" s="12">
        <f>ROUND((C33*$E$27),0)</f>
        <v>165018</v>
      </c>
      <c r="E33" s="23">
        <v>0.19</v>
      </c>
      <c r="F33" s="12">
        <f t="shared" si="1"/>
        <v>196371</v>
      </c>
      <c r="G33" s="24">
        <v>45</v>
      </c>
      <c r="H33" s="12">
        <f>ROUND((G33*$E$27),0)</f>
        <v>165018</v>
      </c>
      <c r="I33" s="23">
        <v>0.19</v>
      </c>
      <c r="J33" s="12">
        <f>ROUND((H33+(H33*I33)),0)</f>
        <v>196371</v>
      </c>
      <c r="L33" s="71">
        <f t="shared" si="2"/>
        <v>19958.646535244414</v>
      </c>
      <c r="M33" s="73">
        <f t="shared" si="3"/>
        <v>19958.646535244414</v>
      </c>
      <c r="N33" s="86">
        <f t="shared" si="4"/>
        <v>4.57</v>
      </c>
      <c r="O33" s="78">
        <f t="shared" si="5"/>
        <v>4.5736835171381571</v>
      </c>
      <c r="P33" s="72">
        <f t="shared" si="6"/>
        <v>16771.97187835665</v>
      </c>
      <c r="Q33" s="72">
        <f t="shared" si="7"/>
        <v>19958.646535244414</v>
      </c>
    </row>
    <row r="34" spans="2:17" ht="24.75" customHeight="1" x14ac:dyDescent="0.35">
      <c r="B34" s="21" t="s">
        <v>32</v>
      </c>
      <c r="C34" s="22">
        <v>93</v>
      </c>
      <c r="D34" s="12">
        <f t="shared" ref="D34" si="8">ROUND((C34*$E$27),0)</f>
        <v>341037</v>
      </c>
      <c r="E34" s="23">
        <v>0.19</v>
      </c>
      <c r="F34" s="12">
        <f t="shared" si="1"/>
        <v>405834</v>
      </c>
      <c r="G34" s="24">
        <v>92</v>
      </c>
      <c r="H34" s="12">
        <f>ROUND((G34*$E$27),0)</f>
        <v>337370</v>
      </c>
      <c r="I34" s="23">
        <v>0.19</v>
      </c>
      <c r="J34" s="12">
        <f>ROUND((H34+(H34*I34)),0)</f>
        <v>401470</v>
      </c>
      <c r="L34" s="71">
        <f t="shared" si="2"/>
        <v>41247.930488638245</v>
      </c>
      <c r="M34" s="73">
        <f t="shared" si="3"/>
        <v>41247.930488638245</v>
      </c>
      <c r="N34" s="86">
        <f t="shared" si="4"/>
        <v>9.4499999999999993</v>
      </c>
      <c r="O34" s="78">
        <f t="shared" si="5"/>
        <v>9.4522932433722229</v>
      </c>
      <c r="P34" s="72">
        <f t="shared" si="6"/>
        <v>34662.126461040541</v>
      </c>
      <c r="Q34" s="72">
        <f t="shared" si="7"/>
        <v>41247.930488638245</v>
      </c>
    </row>
    <row r="35" spans="2:17" ht="15.5" x14ac:dyDescent="0.35">
      <c r="H35" s="25"/>
    </row>
    <row r="36" spans="2:17" ht="21.75" customHeight="1" x14ac:dyDescent="0.35">
      <c r="B36" s="184" t="s">
        <v>33</v>
      </c>
      <c r="C36" s="185"/>
      <c r="D36" s="185"/>
      <c r="E36" s="186"/>
      <c r="F36" s="26">
        <f>SUM(F31:F34,G22:G23)</f>
        <v>924856</v>
      </c>
      <c r="G36" s="205" t="s">
        <v>34</v>
      </c>
      <c r="H36" s="206"/>
      <c r="I36" s="207"/>
      <c r="J36" s="27">
        <f>SUM(J31:J34,J22:J23)</f>
        <v>897826</v>
      </c>
      <c r="M36" s="68">
        <f>SUM(M31:M34,M22:M23)</f>
        <v>93999.68777842175</v>
      </c>
    </row>
    <row r="37" spans="2:17" ht="21.75" customHeight="1" x14ac:dyDescent="0.35"/>
    <row r="38" spans="2:17" s="28" customFormat="1" ht="15.5" x14ac:dyDescent="0.35">
      <c r="J38" s="29"/>
    </row>
    <row r="39" spans="2:17" s="28" customFormat="1" ht="15.5" x14ac:dyDescent="0.35"/>
    <row r="40" spans="2:17" s="28" customFormat="1" ht="15.5" x14ac:dyDescent="0.35"/>
    <row r="41" spans="2:17" s="28" customFormat="1" ht="15.5" x14ac:dyDescent="0.35"/>
    <row r="42" spans="2:17" s="28" customFormat="1" ht="15.5" x14ac:dyDescent="0.35"/>
    <row r="43" spans="2:17" s="28" customFormat="1" ht="15.5" x14ac:dyDescent="0.35"/>
    <row r="44" spans="2:17" s="28" customFormat="1" ht="15.5" x14ac:dyDescent="0.35">
      <c r="B44" s="30"/>
      <c r="C44" s="30"/>
      <c r="D44" s="30"/>
    </row>
    <row r="45" spans="2:17" s="28" customFormat="1" ht="15.5" x14ac:dyDescent="0.35">
      <c r="B45" s="31" t="s">
        <v>35</v>
      </c>
      <c r="C45" s="32"/>
      <c r="D45" s="32"/>
    </row>
    <row r="46" spans="2:17" s="28" customFormat="1" ht="15.5" x14ac:dyDescent="0.35">
      <c r="B46" s="31" t="s">
        <v>36</v>
      </c>
      <c r="C46" s="32"/>
      <c r="D46" s="32"/>
    </row>
    <row r="47" spans="2:17" s="28" customFormat="1" ht="15.5" x14ac:dyDescent="0.35">
      <c r="B47" s="33"/>
      <c r="C47" s="33"/>
      <c r="D47" s="33"/>
    </row>
  </sheetData>
  <mergeCells count="26">
    <mergeCell ref="B3:J5"/>
    <mergeCell ref="B7:J7"/>
    <mergeCell ref="B8:J8"/>
    <mergeCell ref="C10:D10"/>
    <mergeCell ref="F10:G10"/>
    <mergeCell ref="I10:J10"/>
    <mergeCell ref="B21:D21"/>
    <mergeCell ref="C11:D11"/>
    <mergeCell ref="F11:G11"/>
    <mergeCell ref="I11:J11"/>
    <mergeCell ref="C12:D12"/>
    <mergeCell ref="F12:G12"/>
    <mergeCell ref="I12:J12"/>
    <mergeCell ref="B14:J14"/>
    <mergeCell ref="B15:J15"/>
    <mergeCell ref="B17:J17"/>
    <mergeCell ref="E20:G20"/>
    <mergeCell ref="H20:J20"/>
    <mergeCell ref="B36:E36"/>
    <mergeCell ref="G36:I36"/>
    <mergeCell ref="B22:D22"/>
    <mergeCell ref="B23:D23"/>
    <mergeCell ref="B25:J25"/>
    <mergeCell ref="B27:D27"/>
    <mergeCell ref="C29:F29"/>
    <mergeCell ref="G29:J29"/>
  </mergeCells>
  <conditionalFormatting sqref="J1:J2 J6 J9 J13 J16:J19 J35 J37:J1048576">
    <cfRule type="containsText" dxfId="3" priority="1" operator="containsText" text="OK">
      <formula>NOT(ISERROR(SEARCH("OK",J1)))</formula>
    </cfRule>
    <cfRule type="containsText" dxfId="2" priority="2" operator="containsText" text="ERROR">
      <formula>NOT(ISERROR(SEARCH("ERROR",J1)))</formula>
    </cfRule>
  </conditionalFormatting>
  <hyperlinks>
    <hyperlink ref="C12" r:id="rId1" xr:uid="{4487FCA2-4377-43EC-AF8E-1DF29A94B0EF}"/>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08FE8-715D-464E-B9E4-B1A07201B9EE}">
  <sheetPr>
    <tabColor rgb="FF00B050"/>
  </sheetPr>
  <dimension ref="B1:P47"/>
  <sheetViews>
    <sheetView topLeftCell="C21" zoomScale="70" zoomScaleNormal="70" workbookViewId="0">
      <selection activeCell="D31" sqref="D31:F34"/>
    </sheetView>
  </sheetViews>
  <sheetFormatPr baseColWidth="10" defaultColWidth="21.453125" defaultRowHeight="15" customHeight="1" zeroHeight="1" x14ac:dyDescent="0.35"/>
  <cols>
    <col min="1" max="1" width="4.6328125" style="1" customWidth="1"/>
    <col min="2" max="10" width="21.453125" style="1" customWidth="1"/>
    <col min="11" max="11" width="5.6328125" style="1" customWidth="1"/>
    <col min="12" max="12" width="20.90625" style="1" customWidth="1"/>
    <col min="13" max="13" width="23.54296875" style="1" customWidth="1"/>
    <col min="14" max="14" width="15.36328125" style="1" customWidth="1"/>
    <col min="15" max="15" width="20.1796875" style="1" customWidth="1"/>
    <col min="16" max="16" width="19.08984375" style="1" customWidth="1"/>
    <col min="17" max="18" width="9.08984375" style="1" customWidth="1"/>
    <col min="19" max="16384" width="21.453125" style="1"/>
  </cols>
  <sheetData>
    <row r="1" spans="2:10" ht="15.5" x14ac:dyDescent="0.35"/>
    <row r="2" spans="2:10" ht="10.5" customHeight="1" x14ac:dyDescent="0.35">
      <c r="B2" s="2"/>
      <c r="C2" s="2"/>
      <c r="D2" s="2"/>
      <c r="E2" s="2"/>
      <c r="F2" s="2"/>
      <c r="G2" s="2"/>
    </row>
    <row r="3" spans="2:10" ht="16.5" customHeight="1" x14ac:dyDescent="0.35">
      <c r="B3" s="174" t="s">
        <v>0</v>
      </c>
      <c r="C3" s="174"/>
      <c r="D3" s="174"/>
      <c r="E3" s="174"/>
      <c r="F3" s="174"/>
      <c r="G3" s="174"/>
      <c r="H3" s="174"/>
      <c r="I3" s="174"/>
      <c r="J3" s="174"/>
    </row>
    <row r="4" spans="2:10" ht="16.5" customHeight="1" x14ac:dyDescent="0.35">
      <c r="B4" s="174"/>
      <c r="C4" s="174"/>
      <c r="D4" s="174"/>
      <c r="E4" s="174"/>
      <c r="F4" s="174"/>
      <c r="G4" s="174"/>
      <c r="H4" s="174"/>
      <c r="I4" s="174"/>
      <c r="J4" s="174"/>
    </row>
    <row r="5" spans="2:10" ht="16.5" customHeight="1" x14ac:dyDescent="0.35">
      <c r="B5" s="174"/>
      <c r="C5" s="174"/>
      <c r="D5" s="174"/>
      <c r="E5" s="174"/>
      <c r="F5" s="174"/>
      <c r="G5" s="174"/>
      <c r="H5" s="174"/>
      <c r="I5" s="174"/>
      <c r="J5" s="174"/>
    </row>
    <row r="6" spans="2:10" ht="15.5" x14ac:dyDescent="0.35">
      <c r="B6" s="3"/>
      <c r="C6" s="3"/>
      <c r="D6" s="3"/>
      <c r="E6" s="3"/>
      <c r="F6" s="3"/>
      <c r="G6" s="4"/>
      <c r="H6" s="3"/>
      <c r="I6" s="3"/>
    </row>
    <row r="7" spans="2:10" ht="15.75" customHeight="1" x14ac:dyDescent="0.35">
      <c r="B7" s="175" t="s">
        <v>1</v>
      </c>
      <c r="C7" s="175"/>
      <c r="D7" s="175"/>
      <c r="E7" s="175"/>
      <c r="F7" s="175"/>
      <c r="G7" s="175"/>
      <c r="H7" s="175"/>
      <c r="I7" s="175"/>
      <c r="J7" s="175"/>
    </row>
    <row r="8" spans="2:10" ht="39.75" customHeight="1" x14ac:dyDescent="0.35">
      <c r="B8" s="176" t="s">
        <v>2</v>
      </c>
      <c r="C8" s="176"/>
      <c r="D8" s="176"/>
      <c r="E8" s="176"/>
      <c r="F8" s="176"/>
      <c r="G8" s="176"/>
      <c r="H8" s="176"/>
      <c r="I8" s="176"/>
      <c r="J8" s="176"/>
    </row>
    <row r="9" spans="2:10" ht="15.5" x14ac:dyDescent="0.35">
      <c r="B9" s="3"/>
      <c r="C9" s="3"/>
      <c r="D9" s="3"/>
      <c r="E9" s="3"/>
      <c r="F9" s="3"/>
      <c r="G9" s="4"/>
      <c r="H9" s="3"/>
      <c r="I9" s="3"/>
    </row>
    <row r="10" spans="2:10" ht="15.5" x14ac:dyDescent="0.35">
      <c r="B10" s="5" t="s">
        <v>3</v>
      </c>
      <c r="C10" s="195" t="s">
        <v>74</v>
      </c>
      <c r="D10" s="196"/>
      <c r="E10" s="6" t="s">
        <v>4</v>
      </c>
      <c r="F10" s="197" t="s">
        <v>93</v>
      </c>
      <c r="G10" s="197"/>
      <c r="H10" s="6" t="s">
        <v>5</v>
      </c>
      <c r="I10" s="198" t="s">
        <v>95</v>
      </c>
      <c r="J10" s="198"/>
    </row>
    <row r="11" spans="2:10" ht="15.5" x14ac:dyDescent="0.35">
      <c r="B11" s="5" t="s">
        <v>6</v>
      </c>
      <c r="C11" s="195" t="s">
        <v>90</v>
      </c>
      <c r="D11" s="196"/>
      <c r="E11" s="6" t="s">
        <v>7</v>
      </c>
      <c r="F11" s="197" t="s">
        <v>92</v>
      </c>
      <c r="G11" s="197"/>
      <c r="H11" s="6" t="s">
        <v>8</v>
      </c>
      <c r="I11" s="198" t="s">
        <v>96</v>
      </c>
      <c r="J11" s="198"/>
    </row>
    <row r="12" spans="2:10" ht="15.5" x14ac:dyDescent="0.35">
      <c r="B12" s="5" t="s">
        <v>9</v>
      </c>
      <c r="C12" s="199" t="s">
        <v>91</v>
      </c>
      <c r="D12" s="196"/>
      <c r="E12" s="6" t="s">
        <v>10</v>
      </c>
      <c r="F12" s="197" t="s">
        <v>94</v>
      </c>
      <c r="G12" s="197"/>
      <c r="H12" s="6" t="s">
        <v>11</v>
      </c>
      <c r="I12" s="198" t="s">
        <v>96</v>
      </c>
      <c r="J12" s="198"/>
    </row>
    <row r="13" spans="2:10" ht="15.5" x14ac:dyDescent="0.35">
      <c r="B13" s="7"/>
      <c r="C13" s="7"/>
      <c r="D13" s="7"/>
      <c r="E13" s="7"/>
      <c r="F13" s="7"/>
      <c r="G13" s="7"/>
      <c r="H13" s="7"/>
      <c r="I13" s="7"/>
    </row>
    <row r="14" spans="2:10" ht="15.5" x14ac:dyDescent="0.35">
      <c r="B14" s="200" t="s">
        <v>12</v>
      </c>
      <c r="C14" s="200"/>
      <c r="D14" s="200"/>
      <c r="E14" s="200"/>
      <c r="F14" s="200"/>
      <c r="G14" s="200"/>
      <c r="H14" s="200"/>
      <c r="I14" s="200"/>
      <c r="J14" s="200"/>
    </row>
    <row r="15" spans="2:10" ht="151.5" customHeight="1" x14ac:dyDescent="0.35">
      <c r="B15" s="201" t="s">
        <v>13</v>
      </c>
      <c r="C15" s="201"/>
      <c r="D15" s="201"/>
      <c r="E15" s="201"/>
      <c r="F15" s="201"/>
      <c r="G15" s="201"/>
      <c r="H15" s="201"/>
      <c r="I15" s="201"/>
      <c r="J15" s="201"/>
    </row>
    <row r="16" spans="2:10" ht="15.5" x14ac:dyDescent="0.35">
      <c r="B16" s="8"/>
      <c r="C16" s="8"/>
      <c r="D16" s="8"/>
      <c r="E16" s="8"/>
      <c r="F16" s="8"/>
      <c r="G16" s="8"/>
      <c r="H16" s="8"/>
      <c r="I16" s="8"/>
    </row>
    <row r="17" spans="2:16" ht="20.25" customHeight="1" x14ac:dyDescent="0.35">
      <c r="B17" s="168" t="s">
        <v>14</v>
      </c>
      <c r="C17" s="169"/>
      <c r="D17" s="169"/>
      <c r="E17" s="169"/>
      <c r="F17" s="169"/>
      <c r="G17" s="169"/>
      <c r="H17" s="169"/>
      <c r="I17" s="169"/>
      <c r="J17" s="169"/>
    </row>
    <row r="18" spans="2:16" ht="15.5" x14ac:dyDescent="0.35">
      <c r="B18" s="8"/>
      <c r="C18" s="8"/>
      <c r="D18" s="8"/>
      <c r="E18" s="8"/>
      <c r="F18" s="8"/>
      <c r="G18" s="8"/>
      <c r="H18" s="8"/>
      <c r="I18" s="8"/>
    </row>
    <row r="19" spans="2:16" ht="15.5" x14ac:dyDescent="0.35">
      <c r="B19" s="8"/>
      <c r="C19" s="8"/>
      <c r="D19" s="8"/>
      <c r="E19" s="8"/>
      <c r="F19" s="8"/>
      <c r="G19" s="8"/>
      <c r="H19" s="8"/>
      <c r="I19" s="8"/>
      <c r="L19" s="70" t="s">
        <v>106</v>
      </c>
      <c r="M19" s="77">
        <v>0.90052505471121991</v>
      </c>
    </row>
    <row r="20" spans="2:16" ht="15.5" x14ac:dyDescent="0.35">
      <c r="B20" s="8"/>
      <c r="C20" s="8"/>
      <c r="D20" s="8"/>
      <c r="E20" s="170" t="s">
        <v>15</v>
      </c>
      <c r="F20" s="170"/>
      <c r="G20" s="170"/>
      <c r="H20" s="202" t="s">
        <v>16</v>
      </c>
      <c r="I20" s="202"/>
      <c r="J20" s="202"/>
      <c r="L20" s="70"/>
    </row>
    <row r="21" spans="2:16" ht="60" customHeight="1" x14ac:dyDescent="0.35">
      <c r="B21" s="171" t="s">
        <v>17</v>
      </c>
      <c r="C21" s="172"/>
      <c r="D21" s="173"/>
      <c r="E21" s="10" t="s">
        <v>18</v>
      </c>
      <c r="F21" s="10" t="s">
        <v>19</v>
      </c>
      <c r="G21" s="10" t="s">
        <v>20</v>
      </c>
      <c r="H21" s="9" t="s">
        <v>18</v>
      </c>
      <c r="I21" s="10" t="s">
        <v>19</v>
      </c>
      <c r="J21" s="10" t="s">
        <v>20</v>
      </c>
      <c r="L21" s="67" t="str">
        <f>J21</f>
        <v>Tarifa administrativa IVA incluido en COP</v>
      </c>
      <c r="M21" s="67" t="s">
        <v>108</v>
      </c>
    </row>
    <row r="22" spans="2:16" ht="45" customHeight="1" x14ac:dyDescent="0.35">
      <c r="B22" s="160" t="s">
        <v>21</v>
      </c>
      <c r="C22" s="160"/>
      <c r="D22" s="160"/>
      <c r="E22" s="11">
        <v>43234</v>
      </c>
      <c r="F22" s="12">
        <f>ROUND(E22*19%,0)</f>
        <v>8214</v>
      </c>
      <c r="G22" s="12">
        <f>ROUND((E22+F22),0)</f>
        <v>51448</v>
      </c>
      <c r="H22" s="13">
        <v>43234</v>
      </c>
      <c r="I22" s="12">
        <f>ROUND(H22*19%,0)</f>
        <v>8214</v>
      </c>
      <c r="J22" s="12">
        <f>ROUND((H22+I22),0)</f>
        <v>51448</v>
      </c>
      <c r="L22" s="71">
        <f>G22*(1-$M$19)</f>
        <v>5117.786985217158</v>
      </c>
      <c r="M22" s="73">
        <f>ROUND(L22,0)</f>
        <v>5118</v>
      </c>
    </row>
    <row r="23" spans="2:16" ht="29.25" customHeight="1" x14ac:dyDescent="0.35">
      <c r="B23" s="160" t="s">
        <v>22</v>
      </c>
      <c r="C23" s="160"/>
      <c r="D23" s="160"/>
      <c r="E23" s="11">
        <v>73885</v>
      </c>
      <c r="F23" s="12">
        <f>ROUND(E23*19%,0)</f>
        <v>14038</v>
      </c>
      <c r="G23" s="12">
        <f>ROUND((E23+F23),0)</f>
        <v>87923</v>
      </c>
      <c r="H23" s="13">
        <v>73885</v>
      </c>
      <c r="I23" s="12">
        <f>ROUND(H23*19%,0)</f>
        <v>14038</v>
      </c>
      <c r="J23" s="12">
        <f>ROUND((H23+I23),0)</f>
        <v>87923</v>
      </c>
      <c r="L23" s="71">
        <f t="shared" ref="L23" si="0">G23*(1-$M$19)</f>
        <v>8746.1356146254129</v>
      </c>
      <c r="M23" s="73">
        <f>ROUND(L23,0)</f>
        <v>8746</v>
      </c>
    </row>
    <row r="24" spans="2:16" ht="29.25" customHeight="1" x14ac:dyDescent="0.35">
      <c r="B24" s="14"/>
      <c r="C24" s="14"/>
      <c r="D24" s="14"/>
      <c r="E24" s="15"/>
      <c r="F24" s="14"/>
      <c r="G24" s="14"/>
      <c r="H24" s="14"/>
      <c r="I24" s="14"/>
      <c r="J24" s="16"/>
    </row>
    <row r="25" spans="2:16" ht="29.25" customHeight="1" x14ac:dyDescent="0.35">
      <c r="B25" s="161" t="s">
        <v>23</v>
      </c>
      <c r="C25" s="162"/>
      <c r="D25" s="162"/>
      <c r="E25" s="162"/>
      <c r="F25" s="162"/>
      <c r="G25" s="162"/>
      <c r="H25" s="162"/>
      <c r="I25" s="162"/>
      <c r="J25" s="162"/>
    </row>
    <row r="26" spans="2:16" ht="29.25" customHeight="1" x14ac:dyDescent="0.35">
      <c r="B26" s="14"/>
      <c r="C26" s="14"/>
      <c r="D26" s="14"/>
      <c r="E26" s="15"/>
      <c r="F26" s="14"/>
      <c r="G26" s="14"/>
      <c r="H26" s="14"/>
      <c r="I26" s="14"/>
      <c r="J26" s="14"/>
    </row>
    <row r="27" spans="2:16" ht="29.25" customHeight="1" x14ac:dyDescent="0.35">
      <c r="B27" s="190" t="s">
        <v>24</v>
      </c>
      <c r="C27" s="191"/>
      <c r="D27" s="192"/>
      <c r="E27" s="57">
        <v>3667.06</v>
      </c>
      <c r="F27" s="14"/>
      <c r="G27" s="14"/>
    </row>
    <row r="28" spans="2:16" ht="29.25" customHeight="1" x14ac:dyDescent="0.35">
      <c r="B28" s="17"/>
      <c r="C28" s="17"/>
      <c r="D28" s="17"/>
      <c r="E28" s="14"/>
      <c r="F28" s="18"/>
      <c r="G28" s="18"/>
      <c r="H28" s="18"/>
      <c r="I28" s="14"/>
      <c r="J28" s="14"/>
    </row>
    <row r="29" spans="2:16" ht="29.25" customHeight="1" x14ac:dyDescent="0.35">
      <c r="B29" s="17"/>
      <c r="C29" s="193" t="s">
        <v>15</v>
      </c>
      <c r="D29" s="193"/>
      <c r="E29" s="193"/>
      <c r="F29" s="193"/>
      <c r="G29" s="194" t="s">
        <v>16</v>
      </c>
      <c r="H29" s="194"/>
      <c r="I29" s="194"/>
      <c r="J29" s="194"/>
    </row>
    <row r="30" spans="2:16" ht="65.25" customHeight="1" x14ac:dyDescent="0.35">
      <c r="B30" s="19" t="s">
        <v>25</v>
      </c>
      <c r="C30" s="20" t="s">
        <v>26</v>
      </c>
      <c r="D30" s="20" t="s">
        <v>27</v>
      </c>
      <c r="E30" s="20" t="s">
        <v>19</v>
      </c>
      <c r="F30" s="20" t="s">
        <v>28</v>
      </c>
      <c r="G30" s="20" t="s">
        <v>26</v>
      </c>
      <c r="H30" s="20" t="s">
        <v>27</v>
      </c>
      <c r="I30" s="20" t="s">
        <v>19</v>
      </c>
      <c r="J30" s="20" t="s">
        <v>28</v>
      </c>
      <c r="L30" s="67" t="str">
        <f>J30</f>
        <v>Tarifa en USD convertida a pesos colombianos incluido IVA</v>
      </c>
      <c r="M30" s="67" t="s">
        <v>108</v>
      </c>
      <c r="N30" s="20" t="s">
        <v>26</v>
      </c>
      <c r="O30" s="20" t="s">
        <v>27</v>
      </c>
      <c r="P30" s="20" t="s">
        <v>28</v>
      </c>
    </row>
    <row r="31" spans="2:16" ht="24.75" customHeight="1" x14ac:dyDescent="0.35">
      <c r="B31" s="21" t="s">
        <v>29</v>
      </c>
      <c r="C31" s="22">
        <v>15</v>
      </c>
      <c r="D31" s="12">
        <f>ROUND((C31*$E$27),0)</f>
        <v>55006</v>
      </c>
      <c r="E31" s="23">
        <v>0.19</v>
      </c>
      <c r="F31" s="12">
        <f>ROUND((D31+(D31*E31)),0)</f>
        <v>65457</v>
      </c>
      <c r="G31" s="24">
        <v>15</v>
      </c>
      <c r="H31" s="12">
        <f>ROUND((G31*$E$27),0)</f>
        <v>55006</v>
      </c>
      <c r="I31" s="23">
        <v>0.19</v>
      </c>
      <c r="J31" s="12">
        <f>ROUND((H31+(H31*I31)),0)</f>
        <v>65457</v>
      </c>
      <c r="L31" s="88">
        <f>F31*(1-$M$19)</f>
        <v>6511.3314937676787</v>
      </c>
      <c r="M31" s="73">
        <f>ROUND(L31,2)</f>
        <v>6511.33</v>
      </c>
      <c r="N31" s="78">
        <f>L31/$E$27/1.19</f>
        <v>1.4921237006266324</v>
      </c>
      <c r="O31" s="72">
        <f>N31*$E$27</f>
        <v>5471.7071376198983</v>
      </c>
      <c r="P31" s="72">
        <f>O31*1.19</f>
        <v>6511.3314937676787</v>
      </c>
    </row>
    <row r="32" spans="2:16" ht="24.75" customHeight="1" x14ac:dyDescent="0.35">
      <c r="B32" s="21" t="s">
        <v>30</v>
      </c>
      <c r="C32" s="22">
        <v>27</v>
      </c>
      <c r="D32" s="12">
        <f>ROUND((C32*$E$27),0)</f>
        <v>99011</v>
      </c>
      <c r="E32" s="23">
        <v>0.19</v>
      </c>
      <c r="F32" s="12">
        <f t="shared" ref="F32:F34" si="1">ROUND((D32+(D32*E32)),0)</f>
        <v>117823</v>
      </c>
      <c r="G32" s="24">
        <v>27</v>
      </c>
      <c r="H32" s="12">
        <f>ROUND((G32*$E$27),0)</f>
        <v>99011</v>
      </c>
      <c r="I32" s="23">
        <v>0.19</v>
      </c>
      <c r="J32" s="12">
        <f>ROUND((H32+(H32*I32)),0)</f>
        <v>117823</v>
      </c>
      <c r="L32" s="88">
        <f t="shared" ref="L32:L34" si="2">F32*(1-$M$19)</f>
        <v>11720.436478759937</v>
      </c>
      <c r="M32" s="73">
        <f t="shared" ref="M32:M34" si="3">ROUND(L32,2)</f>
        <v>11720.44</v>
      </c>
      <c r="N32" s="78">
        <f t="shared" ref="N32:N34" si="4">L32/$E$27/1.19</f>
        <v>2.6858317793197322</v>
      </c>
      <c r="O32" s="72">
        <f t="shared" ref="O32:O34" si="5">N32*$E$27</f>
        <v>9849.1062846722161</v>
      </c>
      <c r="P32" s="72">
        <f t="shared" ref="P32:P34" si="6">O32*1.19</f>
        <v>11720.436478759937</v>
      </c>
    </row>
    <row r="33" spans="2:16" ht="24.75" customHeight="1" x14ac:dyDescent="0.35">
      <c r="B33" s="21" t="s">
        <v>31</v>
      </c>
      <c r="C33" s="22">
        <v>45</v>
      </c>
      <c r="D33" s="12">
        <f>ROUND((C33*$E$27),0)</f>
        <v>165018</v>
      </c>
      <c r="E33" s="23">
        <v>0.19</v>
      </c>
      <c r="F33" s="12">
        <f t="shared" si="1"/>
        <v>196371</v>
      </c>
      <c r="G33" s="24">
        <v>45</v>
      </c>
      <c r="H33" s="12">
        <f>ROUND((G33*$E$27),0)</f>
        <v>165018</v>
      </c>
      <c r="I33" s="23">
        <v>0.19</v>
      </c>
      <c r="J33" s="12">
        <f>ROUND((H33+(H33*I33)),0)</f>
        <v>196371</v>
      </c>
      <c r="L33" s="88">
        <f t="shared" si="2"/>
        <v>19533.994481303034</v>
      </c>
      <c r="M33" s="73">
        <f t="shared" si="3"/>
        <v>19533.990000000002</v>
      </c>
      <c r="N33" s="78">
        <f t="shared" si="4"/>
        <v>4.4763711018798968</v>
      </c>
      <c r="O33" s="72">
        <f t="shared" si="5"/>
        <v>16415.121412859695</v>
      </c>
      <c r="P33" s="72">
        <f t="shared" si="6"/>
        <v>19533.994481303034</v>
      </c>
    </row>
    <row r="34" spans="2:16" ht="24.75" customHeight="1" x14ac:dyDescent="0.35">
      <c r="B34" s="21" t="s">
        <v>32</v>
      </c>
      <c r="C34" s="22">
        <v>93</v>
      </c>
      <c r="D34" s="12">
        <f t="shared" ref="D34" si="7">ROUND((C34*$E$27),0)</f>
        <v>341037</v>
      </c>
      <c r="E34" s="23">
        <v>0.19</v>
      </c>
      <c r="F34" s="12">
        <f t="shared" si="1"/>
        <v>405834</v>
      </c>
      <c r="G34" s="24">
        <v>93</v>
      </c>
      <c r="H34" s="12">
        <f>ROUND((G34*$E$27),0)</f>
        <v>341037</v>
      </c>
      <c r="I34" s="23">
        <v>0.19</v>
      </c>
      <c r="J34" s="12">
        <f>ROUND((H34+(H34*I34)),0)</f>
        <v>405834</v>
      </c>
      <c r="L34" s="88">
        <f t="shared" si="2"/>
        <v>40370.314946326776</v>
      </c>
      <c r="M34" s="73">
        <f t="shared" si="3"/>
        <v>40370.31</v>
      </c>
      <c r="N34" s="78">
        <f t="shared" si="4"/>
        <v>9.2511806211728107</v>
      </c>
      <c r="O34" s="72">
        <f t="shared" si="5"/>
        <v>33924.634408677965</v>
      </c>
      <c r="P34" s="72">
        <f t="shared" si="6"/>
        <v>40370.314946326776</v>
      </c>
    </row>
    <row r="35" spans="2:16" ht="15.5" x14ac:dyDescent="0.35">
      <c r="H35" s="25"/>
    </row>
    <row r="36" spans="2:16" ht="21.75" customHeight="1" x14ac:dyDescent="0.35">
      <c r="B36" s="208" t="s">
        <v>33</v>
      </c>
      <c r="C36" s="209"/>
      <c r="D36" s="209"/>
      <c r="E36" s="210"/>
      <c r="F36" s="26">
        <f>SUM(F31:F34,G22:G23)</f>
        <v>924856</v>
      </c>
      <c r="G36" s="211" t="s">
        <v>34</v>
      </c>
      <c r="H36" s="212"/>
      <c r="I36" s="213"/>
      <c r="J36" s="27">
        <f>SUM(J31:J34,J22:J23)</f>
        <v>924856</v>
      </c>
      <c r="M36" s="68">
        <f>SUM(M31:M34,M22:M23)</f>
        <v>92000.07</v>
      </c>
    </row>
    <row r="37" spans="2:16" ht="21.75" customHeight="1" x14ac:dyDescent="0.35"/>
    <row r="38" spans="2:16" s="28" customFormat="1" ht="15.5" x14ac:dyDescent="0.35">
      <c r="J38" s="29"/>
    </row>
    <row r="39" spans="2:16" s="28" customFormat="1" ht="15.5" x14ac:dyDescent="0.35"/>
    <row r="40" spans="2:16" s="28" customFormat="1" ht="15.5" x14ac:dyDescent="0.35"/>
    <row r="41" spans="2:16" s="28" customFormat="1" ht="15.5" x14ac:dyDescent="0.35"/>
    <row r="42" spans="2:16" s="28" customFormat="1" ht="15.5" x14ac:dyDescent="0.35"/>
    <row r="43" spans="2:16" s="28" customFormat="1" ht="15.5" x14ac:dyDescent="0.35"/>
    <row r="44" spans="2:16" s="28" customFormat="1" ht="15.5" x14ac:dyDescent="0.35">
      <c r="B44" s="30"/>
      <c r="C44" s="30"/>
      <c r="D44" s="30"/>
    </row>
    <row r="45" spans="2:16" s="28" customFormat="1" ht="15.5" x14ac:dyDescent="0.35">
      <c r="B45" s="31" t="s">
        <v>35</v>
      </c>
      <c r="C45" s="32"/>
      <c r="D45" s="32"/>
    </row>
    <row r="46" spans="2:16" s="28" customFormat="1" ht="15.5" x14ac:dyDescent="0.35">
      <c r="B46" s="31" t="s">
        <v>36</v>
      </c>
      <c r="C46" s="32"/>
      <c r="D46" s="32"/>
    </row>
    <row r="47" spans="2:16" s="28" customFormat="1" ht="15.5" x14ac:dyDescent="0.35">
      <c r="B47" s="33"/>
      <c r="C47" s="33"/>
      <c r="D47" s="33"/>
    </row>
  </sheetData>
  <mergeCells count="26">
    <mergeCell ref="B3:J5"/>
    <mergeCell ref="B7:J7"/>
    <mergeCell ref="B8:J8"/>
    <mergeCell ref="C10:D10"/>
    <mergeCell ref="F10:G10"/>
    <mergeCell ref="I10:J10"/>
    <mergeCell ref="B21:D21"/>
    <mergeCell ref="C11:D11"/>
    <mergeCell ref="F11:G11"/>
    <mergeCell ref="I11:J11"/>
    <mergeCell ref="C12:D12"/>
    <mergeCell ref="F12:G12"/>
    <mergeCell ref="I12:J12"/>
    <mergeCell ref="B14:J14"/>
    <mergeCell ref="B15:J15"/>
    <mergeCell ref="B17:J17"/>
    <mergeCell ref="E20:G20"/>
    <mergeCell ref="H20:J20"/>
    <mergeCell ref="B36:E36"/>
    <mergeCell ref="G36:I36"/>
    <mergeCell ref="B22:D22"/>
    <mergeCell ref="B23:D23"/>
    <mergeCell ref="B25:J25"/>
    <mergeCell ref="B27:D27"/>
    <mergeCell ref="C29:F29"/>
    <mergeCell ref="G29:J29"/>
  </mergeCells>
  <conditionalFormatting sqref="J1:J2 J6 J9 J13 J16:J19 J35 J37:J1048576">
    <cfRule type="containsText" dxfId="1" priority="1" operator="containsText" text="OK">
      <formula>NOT(ISERROR(SEARCH("OK",J1)))</formula>
    </cfRule>
    <cfRule type="containsText" dxfId="0" priority="2" operator="containsText" text="ERROR">
      <formula>NOT(ISERROR(SEARCH("ERROR",J1)))</formula>
    </cfRule>
  </conditionalFormatting>
  <hyperlinks>
    <hyperlink ref="C12" r:id="rId1" xr:uid="{84EE5E3E-A1A1-45F0-BE6A-CA821D6BCA88}"/>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D1D6D-EFDE-4B84-AE46-0275C2D6E256}">
  <dimension ref="A1:B19"/>
  <sheetViews>
    <sheetView workbookViewId="0"/>
  </sheetViews>
  <sheetFormatPr baseColWidth="10" defaultColWidth="8.90625" defaultRowHeight="14.5" x14ac:dyDescent="0.35"/>
  <cols>
    <col min="1" max="1" width="35" style="94" customWidth="1"/>
    <col min="2" max="2" width="90" style="94" customWidth="1"/>
    <col min="3" max="16384" width="8.90625" style="94"/>
  </cols>
  <sheetData>
    <row r="1" spans="1:2" x14ac:dyDescent="0.35">
      <c r="A1" s="92" t="s">
        <v>117</v>
      </c>
      <c r="B1" s="93" t="s">
        <v>118</v>
      </c>
    </row>
    <row r="2" spans="1:2" x14ac:dyDescent="0.35">
      <c r="A2" s="95" t="s">
        <v>119</v>
      </c>
      <c r="B2" s="96" t="s">
        <v>120</v>
      </c>
    </row>
    <row r="3" spans="1:2" x14ac:dyDescent="0.35">
      <c r="A3" s="95" t="s">
        <v>121</v>
      </c>
      <c r="B3" s="96" t="s">
        <v>122</v>
      </c>
    </row>
    <row r="4" spans="1:2" x14ac:dyDescent="0.35">
      <c r="A4" s="95" t="s">
        <v>123</v>
      </c>
      <c r="B4" s="96" t="s">
        <v>124</v>
      </c>
    </row>
    <row r="5" spans="1:2" x14ac:dyDescent="0.35">
      <c r="A5" s="95" t="s">
        <v>125</v>
      </c>
      <c r="B5" s="96" t="s">
        <v>126</v>
      </c>
    </row>
    <row r="6" spans="1:2" x14ac:dyDescent="0.35">
      <c r="A6" s="95" t="s">
        <v>127</v>
      </c>
      <c r="B6" s="96" t="s">
        <v>128</v>
      </c>
    </row>
    <row r="7" spans="1:2" x14ac:dyDescent="0.35">
      <c r="A7" s="95" t="s">
        <v>129</v>
      </c>
      <c r="B7" s="96" t="s">
        <v>130</v>
      </c>
    </row>
    <row r="8" spans="1:2" x14ac:dyDescent="0.35">
      <c r="A8" s="95" t="s">
        <v>131</v>
      </c>
      <c r="B8" s="96" t="s">
        <v>132</v>
      </c>
    </row>
    <row r="9" spans="1:2" x14ac:dyDescent="0.35">
      <c r="A9" s="95" t="s">
        <v>133</v>
      </c>
      <c r="B9" s="96" t="s">
        <v>134</v>
      </c>
    </row>
    <row r="10" spans="1:2" x14ac:dyDescent="0.35">
      <c r="A10" s="95" t="s">
        <v>135</v>
      </c>
      <c r="B10" s="96" t="s">
        <v>136</v>
      </c>
    </row>
    <row r="11" spans="1:2" x14ac:dyDescent="0.35">
      <c r="A11" s="95" t="s">
        <v>137</v>
      </c>
      <c r="B11" s="96" t="s">
        <v>138</v>
      </c>
    </row>
    <row r="12" spans="1:2" x14ac:dyDescent="0.35">
      <c r="A12" s="95" t="s">
        <v>139</v>
      </c>
      <c r="B12" s="96" t="s">
        <v>140</v>
      </c>
    </row>
    <row r="13" spans="1:2" x14ac:dyDescent="0.35">
      <c r="A13" s="95" t="s">
        <v>141</v>
      </c>
      <c r="B13" s="97" t="s">
        <v>142</v>
      </c>
    </row>
    <row r="14" spans="1:2" x14ac:dyDescent="0.35">
      <c r="A14" s="95" t="s">
        <v>143</v>
      </c>
      <c r="B14" s="96" t="s">
        <v>144</v>
      </c>
    </row>
    <row r="15" spans="1:2" x14ac:dyDescent="0.35">
      <c r="A15" s="95" t="s">
        <v>145</v>
      </c>
      <c r="B15" s="96" t="s">
        <v>140</v>
      </c>
    </row>
    <row r="16" spans="1:2" x14ac:dyDescent="0.35">
      <c r="A16" s="95" t="s">
        <v>146</v>
      </c>
      <c r="B16" s="96" t="s">
        <v>147</v>
      </c>
    </row>
    <row r="17" spans="1:2" x14ac:dyDescent="0.35">
      <c r="A17" s="95" t="s">
        <v>148</v>
      </c>
      <c r="B17" s="96" t="s">
        <v>140</v>
      </c>
    </row>
    <row r="18" spans="1:2" x14ac:dyDescent="0.35">
      <c r="A18" s="95" t="s">
        <v>149</v>
      </c>
      <c r="B18" s="96" t="s">
        <v>140</v>
      </c>
    </row>
    <row r="19" spans="1:2" x14ac:dyDescent="0.35">
      <c r="A19" s="98" t="s">
        <v>150</v>
      </c>
      <c r="B19" s="99" t="s">
        <v>140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71224-494E-433B-A686-8348CC8922FE}">
  <dimension ref="A1:F4"/>
  <sheetViews>
    <sheetView workbookViewId="0"/>
  </sheetViews>
  <sheetFormatPr baseColWidth="10" defaultColWidth="8.90625" defaultRowHeight="14.5" x14ac:dyDescent="0.35"/>
  <cols>
    <col min="1" max="6" width="35" style="94" customWidth="1"/>
    <col min="7" max="16384" width="8.90625" style="94"/>
  </cols>
  <sheetData>
    <row r="1" spans="1:6" x14ac:dyDescent="0.35">
      <c r="A1" s="100" t="s">
        <v>151</v>
      </c>
      <c r="B1" s="101" t="s">
        <v>152</v>
      </c>
      <c r="C1" s="101" t="s">
        <v>153</v>
      </c>
      <c r="D1" s="101" t="s">
        <v>154</v>
      </c>
      <c r="E1" s="101" t="s">
        <v>155</v>
      </c>
      <c r="F1" s="102" t="s">
        <v>156</v>
      </c>
    </row>
    <row r="2" spans="1:6" x14ac:dyDescent="0.35">
      <c r="A2" s="103" t="s">
        <v>73</v>
      </c>
      <c r="B2" s="104" t="s">
        <v>157</v>
      </c>
      <c r="C2" s="104" t="s">
        <v>158</v>
      </c>
      <c r="D2" s="104">
        <v>9</v>
      </c>
      <c r="E2" s="104" t="s">
        <v>159</v>
      </c>
      <c r="F2" s="105" t="s">
        <v>160</v>
      </c>
    </row>
    <row r="3" spans="1:6" x14ac:dyDescent="0.35">
      <c r="A3" s="106" t="s">
        <v>74</v>
      </c>
      <c r="B3" s="107" t="s">
        <v>161</v>
      </c>
      <c r="C3" s="107" t="s">
        <v>91</v>
      </c>
      <c r="D3" s="107">
        <v>9</v>
      </c>
      <c r="E3" s="107" t="s">
        <v>162</v>
      </c>
      <c r="F3" s="108" t="s">
        <v>163</v>
      </c>
    </row>
    <row r="4" spans="1:6" x14ac:dyDescent="0.35">
      <c r="A4" s="109" t="s">
        <v>70</v>
      </c>
      <c r="B4" s="110" t="s">
        <v>164</v>
      </c>
      <c r="C4" s="110" t="s">
        <v>165</v>
      </c>
      <c r="D4" s="110">
        <v>1</v>
      </c>
      <c r="E4" s="110" t="s">
        <v>166</v>
      </c>
      <c r="F4" s="111" t="s">
        <v>167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B8279-C164-457C-896B-50A5A6794064}">
  <dimension ref="A1:K6"/>
  <sheetViews>
    <sheetView workbookViewId="0"/>
  </sheetViews>
  <sheetFormatPr baseColWidth="10" defaultColWidth="8.90625" defaultRowHeight="14.5" x14ac:dyDescent="0.35"/>
  <cols>
    <col min="1" max="1" width="25" style="94" customWidth="1"/>
    <col min="2" max="4" width="10" style="94" customWidth="1"/>
    <col min="5" max="7" width="25" style="94" customWidth="1"/>
    <col min="8" max="8" width="10" style="94" customWidth="1"/>
    <col min="9" max="9" width="25" style="94" customWidth="1"/>
    <col min="10" max="11" width="15" style="94" customWidth="1"/>
    <col min="12" max="16384" width="8.90625" style="94"/>
  </cols>
  <sheetData>
    <row r="1" spans="1:11" ht="43.5" x14ac:dyDescent="0.35">
      <c r="A1" s="112" t="s">
        <v>168</v>
      </c>
      <c r="B1" s="113" t="s">
        <v>169</v>
      </c>
      <c r="C1" s="113" t="s">
        <v>170</v>
      </c>
      <c r="D1" s="113" t="s">
        <v>171</v>
      </c>
      <c r="E1" s="113" t="s">
        <v>73</v>
      </c>
      <c r="F1" s="113" t="s">
        <v>74</v>
      </c>
      <c r="G1" s="113" t="s">
        <v>70</v>
      </c>
      <c r="H1" s="113" t="s">
        <v>172</v>
      </c>
      <c r="I1" s="113" t="s">
        <v>173</v>
      </c>
      <c r="J1" s="113" t="s">
        <v>174</v>
      </c>
      <c r="K1" s="114" t="s">
        <v>175</v>
      </c>
    </row>
    <row r="2" spans="1:11" x14ac:dyDescent="0.35">
      <c r="A2" s="115" t="s">
        <v>55</v>
      </c>
      <c r="B2" s="116" t="s">
        <v>176</v>
      </c>
      <c r="C2" s="116">
        <v>1</v>
      </c>
      <c r="D2" s="116" t="s">
        <v>177</v>
      </c>
      <c r="E2" s="116" t="s">
        <v>177</v>
      </c>
      <c r="F2" s="116" t="s">
        <v>177</v>
      </c>
      <c r="G2" s="116" t="s">
        <v>177</v>
      </c>
      <c r="H2" s="116" t="s">
        <v>177</v>
      </c>
      <c r="I2" s="116" t="s">
        <v>74</v>
      </c>
      <c r="J2" s="116" t="s">
        <v>178</v>
      </c>
      <c r="K2" s="117" t="s">
        <v>179</v>
      </c>
    </row>
    <row r="3" spans="1:11" x14ac:dyDescent="0.35">
      <c r="A3" s="115" t="s">
        <v>180</v>
      </c>
      <c r="B3" s="116" t="s">
        <v>176</v>
      </c>
      <c r="C3" s="116">
        <v>1</v>
      </c>
      <c r="D3" s="116" t="s">
        <v>181</v>
      </c>
      <c r="E3" s="116" t="s">
        <v>182</v>
      </c>
      <c r="F3" s="116" t="s">
        <v>183</v>
      </c>
      <c r="G3" s="116" t="s">
        <v>184</v>
      </c>
      <c r="H3" s="116" t="s">
        <v>183</v>
      </c>
      <c r="I3" s="116" t="s">
        <v>74</v>
      </c>
      <c r="J3" s="116" t="s">
        <v>185</v>
      </c>
      <c r="K3" s="117" t="s">
        <v>111</v>
      </c>
    </row>
    <row r="5" spans="1:11" x14ac:dyDescent="0.35">
      <c r="D5" s="94">
        <v>924856</v>
      </c>
      <c r="E5" s="94">
        <v>94000</v>
      </c>
      <c r="F5" s="94">
        <v>92000</v>
      </c>
      <c r="G5" s="94">
        <v>603390</v>
      </c>
      <c r="H5" s="94">
        <v>92000</v>
      </c>
    </row>
    <row r="6" spans="1:11" x14ac:dyDescent="0.35">
      <c r="E6" s="118">
        <f>1-(E5/D5)</f>
        <v>0.89836255590059422</v>
      </c>
      <c r="F6" s="118">
        <f>1-(F5/$D$5)</f>
        <v>0.90052505471121991</v>
      </c>
      <c r="G6" s="118">
        <f>1-(G5/$D$5)</f>
        <v>0.34758492132829322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F1AAF-8599-4056-87ED-1332F3350CDA}">
  <dimension ref="A1:P39"/>
  <sheetViews>
    <sheetView workbookViewId="0"/>
  </sheetViews>
  <sheetFormatPr baseColWidth="10" defaultColWidth="8.90625" defaultRowHeight="14.5" x14ac:dyDescent="0.35"/>
  <cols>
    <col min="1" max="1" width="10" style="94" customWidth="1"/>
    <col min="2" max="2" width="25" style="94" customWidth="1"/>
    <col min="3" max="5" width="10" style="94" customWidth="1"/>
    <col min="6" max="7" width="25" style="94" customWidth="1"/>
    <col min="8" max="8" width="20" style="94" customWidth="1"/>
    <col min="9" max="16" width="10" style="94" customWidth="1"/>
    <col min="17" max="16384" width="8.90625" style="94"/>
  </cols>
  <sheetData>
    <row r="1" spans="1:16" ht="87" x14ac:dyDescent="0.35">
      <c r="A1" s="112" t="s">
        <v>186</v>
      </c>
      <c r="B1" s="113" t="s">
        <v>187</v>
      </c>
      <c r="C1" s="113" t="s">
        <v>169</v>
      </c>
      <c r="D1" s="113" t="s">
        <v>170</v>
      </c>
      <c r="E1" s="119" t="s">
        <v>171</v>
      </c>
      <c r="F1" s="113" t="s">
        <v>173</v>
      </c>
      <c r="G1" s="113" t="s">
        <v>188</v>
      </c>
      <c r="H1" s="113" t="s">
        <v>189</v>
      </c>
      <c r="I1" s="119" t="s">
        <v>190</v>
      </c>
      <c r="J1" s="113" t="s">
        <v>191</v>
      </c>
      <c r="K1" s="113" t="s">
        <v>192</v>
      </c>
      <c r="L1" s="119" t="s">
        <v>193</v>
      </c>
      <c r="M1" s="113" t="s">
        <v>194</v>
      </c>
      <c r="N1" s="113" t="s">
        <v>195</v>
      </c>
      <c r="O1" s="119" t="s">
        <v>196</v>
      </c>
      <c r="P1" s="114" t="s">
        <v>197</v>
      </c>
    </row>
    <row r="2" spans="1:16" x14ac:dyDescent="0.35">
      <c r="A2" s="120" t="s">
        <v>198</v>
      </c>
      <c r="B2" s="121" t="s">
        <v>55</v>
      </c>
      <c r="C2" s="121" t="s">
        <v>176</v>
      </c>
      <c r="D2" s="121">
        <v>1</v>
      </c>
      <c r="E2" s="122" t="s">
        <v>177</v>
      </c>
      <c r="F2" s="121" t="s">
        <v>74</v>
      </c>
      <c r="G2" s="121" t="s">
        <v>199</v>
      </c>
      <c r="H2" s="121" t="s">
        <v>200</v>
      </c>
      <c r="I2" s="122" t="s">
        <v>177</v>
      </c>
      <c r="J2" s="121" t="s">
        <v>178</v>
      </c>
      <c r="K2" s="121" t="s">
        <v>178</v>
      </c>
      <c r="L2" s="122" t="s">
        <v>179</v>
      </c>
      <c r="M2" s="121" t="s">
        <v>177</v>
      </c>
      <c r="N2" s="121" t="s">
        <v>178</v>
      </c>
      <c r="O2" s="122" t="s">
        <v>178</v>
      </c>
      <c r="P2" s="123" t="s">
        <v>201</v>
      </c>
    </row>
    <row r="3" spans="1:16" x14ac:dyDescent="0.35">
      <c r="A3" s="106" t="s">
        <v>198</v>
      </c>
      <c r="B3" s="107" t="s">
        <v>55</v>
      </c>
      <c r="C3" s="107" t="s">
        <v>176</v>
      </c>
      <c r="D3" s="107">
        <v>1</v>
      </c>
      <c r="E3" s="124" t="s">
        <v>177</v>
      </c>
      <c r="F3" s="107" t="s">
        <v>73</v>
      </c>
      <c r="G3" s="107" t="s">
        <v>202</v>
      </c>
      <c r="H3" s="107" t="s">
        <v>203</v>
      </c>
      <c r="I3" s="124" t="s">
        <v>177</v>
      </c>
      <c r="J3" s="107" t="s">
        <v>178</v>
      </c>
      <c r="K3" s="107" t="s">
        <v>178</v>
      </c>
      <c r="L3" s="124" t="s">
        <v>179</v>
      </c>
      <c r="M3" s="107" t="s">
        <v>177</v>
      </c>
      <c r="N3" s="107" t="s">
        <v>178</v>
      </c>
      <c r="O3" s="124" t="s">
        <v>178</v>
      </c>
      <c r="P3" s="108" t="s">
        <v>201</v>
      </c>
    </row>
    <row r="4" spans="1:16" x14ac:dyDescent="0.35">
      <c r="A4" s="106" t="s">
        <v>198</v>
      </c>
      <c r="B4" s="107" t="s">
        <v>55</v>
      </c>
      <c r="C4" s="107" t="s">
        <v>176</v>
      </c>
      <c r="D4" s="107">
        <v>1</v>
      </c>
      <c r="E4" s="124" t="s">
        <v>177</v>
      </c>
      <c r="F4" s="107" t="s">
        <v>74</v>
      </c>
      <c r="G4" s="107" t="s">
        <v>199</v>
      </c>
      <c r="H4" s="107" t="s">
        <v>204</v>
      </c>
      <c r="I4" s="124" t="s">
        <v>177</v>
      </c>
      <c r="J4" s="107" t="s">
        <v>178</v>
      </c>
      <c r="K4" s="107" t="s">
        <v>178</v>
      </c>
      <c r="L4" s="124" t="s">
        <v>179</v>
      </c>
      <c r="M4" s="107" t="s">
        <v>177</v>
      </c>
      <c r="N4" s="107" t="s">
        <v>178</v>
      </c>
      <c r="O4" s="124" t="s">
        <v>178</v>
      </c>
      <c r="P4" s="108" t="s">
        <v>201</v>
      </c>
    </row>
    <row r="5" spans="1:16" x14ac:dyDescent="0.35">
      <c r="A5" s="106" t="s">
        <v>198</v>
      </c>
      <c r="B5" s="107" t="s">
        <v>55</v>
      </c>
      <c r="C5" s="107" t="s">
        <v>176</v>
      </c>
      <c r="D5" s="107">
        <v>1</v>
      </c>
      <c r="E5" s="124" t="s">
        <v>177</v>
      </c>
      <c r="F5" s="107" t="s">
        <v>73</v>
      </c>
      <c r="G5" s="107" t="s">
        <v>202</v>
      </c>
      <c r="H5" s="107" t="s">
        <v>205</v>
      </c>
      <c r="I5" s="124" t="s">
        <v>177</v>
      </c>
      <c r="J5" s="107" t="s">
        <v>178</v>
      </c>
      <c r="K5" s="107" t="s">
        <v>178</v>
      </c>
      <c r="L5" s="124" t="s">
        <v>179</v>
      </c>
      <c r="M5" s="107" t="s">
        <v>177</v>
      </c>
      <c r="N5" s="107" t="s">
        <v>178</v>
      </c>
      <c r="O5" s="124" t="s">
        <v>178</v>
      </c>
      <c r="P5" s="108" t="s">
        <v>201</v>
      </c>
    </row>
    <row r="6" spans="1:16" x14ac:dyDescent="0.35">
      <c r="A6" s="106" t="s">
        <v>198</v>
      </c>
      <c r="B6" s="107" t="s">
        <v>55</v>
      </c>
      <c r="C6" s="107" t="s">
        <v>176</v>
      </c>
      <c r="D6" s="107">
        <v>1</v>
      </c>
      <c r="E6" s="124" t="s">
        <v>177</v>
      </c>
      <c r="F6" s="107" t="s">
        <v>74</v>
      </c>
      <c r="G6" s="107" t="s">
        <v>199</v>
      </c>
      <c r="H6" s="107" t="s">
        <v>206</v>
      </c>
      <c r="I6" s="124" t="s">
        <v>177</v>
      </c>
      <c r="J6" s="107" t="s">
        <v>178</v>
      </c>
      <c r="K6" s="107" t="s">
        <v>178</v>
      </c>
      <c r="L6" s="124" t="s">
        <v>179</v>
      </c>
      <c r="M6" s="107" t="s">
        <v>177</v>
      </c>
      <c r="N6" s="107" t="s">
        <v>178</v>
      </c>
      <c r="O6" s="124" t="s">
        <v>178</v>
      </c>
      <c r="P6" s="108" t="s">
        <v>201</v>
      </c>
    </row>
    <row r="7" spans="1:16" x14ac:dyDescent="0.35">
      <c r="A7" s="106" t="s">
        <v>198</v>
      </c>
      <c r="B7" s="107" t="s">
        <v>55</v>
      </c>
      <c r="C7" s="107" t="s">
        <v>176</v>
      </c>
      <c r="D7" s="107">
        <v>1</v>
      </c>
      <c r="E7" s="124" t="s">
        <v>177</v>
      </c>
      <c r="F7" s="107" t="s">
        <v>73</v>
      </c>
      <c r="G7" s="107" t="s">
        <v>202</v>
      </c>
      <c r="H7" s="107" t="s">
        <v>207</v>
      </c>
      <c r="I7" s="124" t="s">
        <v>177</v>
      </c>
      <c r="J7" s="107" t="s">
        <v>178</v>
      </c>
      <c r="K7" s="107" t="s">
        <v>178</v>
      </c>
      <c r="L7" s="124" t="s">
        <v>179</v>
      </c>
      <c r="M7" s="107" t="s">
        <v>177</v>
      </c>
      <c r="N7" s="107" t="s">
        <v>178</v>
      </c>
      <c r="O7" s="124" t="s">
        <v>178</v>
      </c>
      <c r="P7" s="108" t="s">
        <v>201</v>
      </c>
    </row>
    <row r="8" spans="1:16" x14ac:dyDescent="0.35">
      <c r="A8" s="106" t="s">
        <v>198</v>
      </c>
      <c r="B8" s="107" t="s">
        <v>55</v>
      </c>
      <c r="C8" s="107" t="s">
        <v>176</v>
      </c>
      <c r="D8" s="107">
        <v>1</v>
      </c>
      <c r="E8" s="124" t="s">
        <v>177</v>
      </c>
      <c r="F8" s="107" t="s">
        <v>74</v>
      </c>
      <c r="G8" s="107" t="s">
        <v>199</v>
      </c>
      <c r="H8" s="107" t="s">
        <v>208</v>
      </c>
      <c r="I8" s="124" t="s">
        <v>177</v>
      </c>
      <c r="J8" s="107" t="s">
        <v>178</v>
      </c>
      <c r="K8" s="107" t="s">
        <v>178</v>
      </c>
      <c r="L8" s="124" t="s">
        <v>179</v>
      </c>
      <c r="M8" s="107" t="s">
        <v>177</v>
      </c>
      <c r="N8" s="107" t="s">
        <v>178</v>
      </c>
      <c r="O8" s="124" t="s">
        <v>178</v>
      </c>
      <c r="P8" s="108" t="s">
        <v>201</v>
      </c>
    </row>
    <row r="9" spans="1:16" x14ac:dyDescent="0.35">
      <c r="A9" s="106" t="s">
        <v>198</v>
      </c>
      <c r="B9" s="107" t="s">
        <v>55</v>
      </c>
      <c r="C9" s="107" t="s">
        <v>176</v>
      </c>
      <c r="D9" s="107">
        <v>1</v>
      </c>
      <c r="E9" s="124" t="s">
        <v>177</v>
      </c>
      <c r="F9" s="107" t="s">
        <v>73</v>
      </c>
      <c r="G9" s="107" t="s">
        <v>202</v>
      </c>
      <c r="H9" s="107" t="s">
        <v>209</v>
      </c>
      <c r="I9" s="124" t="s">
        <v>177</v>
      </c>
      <c r="J9" s="107" t="s">
        <v>178</v>
      </c>
      <c r="K9" s="107" t="s">
        <v>178</v>
      </c>
      <c r="L9" s="124" t="s">
        <v>179</v>
      </c>
      <c r="M9" s="107" t="s">
        <v>177</v>
      </c>
      <c r="N9" s="107" t="s">
        <v>178</v>
      </c>
      <c r="O9" s="124" t="s">
        <v>178</v>
      </c>
      <c r="P9" s="108" t="s">
        <v>201</v>
      </c>
    </row>
    <row r="10" spans="1:16" x14ac:dyDescent="0.35">
      <c r="A10" s="106" t="s">
        <v>198</v>
      </c>
      <c r="B10" s="107" t="s">
        <v>55</v>
      </c>
      <c r="C10" s="107" t="s">
        <v>176</v>
      </c>
      <c r="D10" s="107">
        <v>1</v>
      </c>
      <c r="E10" s="124" t="s">
        <v>177</v>
      </c>
      <c r="F10" s="107" t="s">
        <v>74</v>
      </c>
      <c r="G10" s="107" t="s">
        <v>199</v>
      </c>
      <c r="H10" s="107" t="s">
        <v>210</v>
      </c>
      <c r="I10" s="124" t="s">
        <v>177</v>
      </c>
      <c r="J10" s="107" t="s">
        <v>178</v>
      </c>
      <c r="K10" s="107" t="s">
        <v>178</v>
      </c>
      <c r="L10" s="124" t="s">
        <v>179</v>
      </c>
      <c r="M10" s="107" t="s">
        <v>177</v>
      </c>
      <c r="N10" s="107" t="s">
        <v>178</v>
      </c>
      <c r="O10" s="124" t="s">
        <v>178</v>
      </c>
      <c r="P10" s="108" t="s">
        <v>201</v>
      </c>
    </row>
    <row r="11" spans="1:16" x14ac:dyDescent="0.35">
      <c r="A11" s="106" t="s">
        <v>198</v>
      </c>
      <c r="B11" s="107" t="s">
        <v>55</v>
      </c>
      <c r="C11" s="107" t="s">
        <v>176</v>
      </c>
      <c r="D11" s="107">
        <v>1</v>
      </c>
      <c r="E11" s="124" t="s">
        <v>177</v>
      </c>
      <c r="F11" s="107" t="s">
        <v>73</v>
      </c>
      <c r="G11" s="107" t="s">
        <v>202</v>
      </c>
      <c r="H11" s="107" t="s">
        <v>211</v>
      </c>
      <c r="I11" s="124" t="s">
        <v>177</v>
      </c>
      <c r="J11" s="107" t="s">
        <v>178</v>
      </c>
      <c r="K11" s="107" t="s">
        <v>178</v>
      </c>
      <c r="L11" s="124" t="s">
        <v>179</v>
      </c>
      <c r="M11" s="107" t="s">
        <v>177</v>
      </c>
      <c r="N11" s="107" t="s">
        <v>178</v>
      </c>
      <c r="O11" s="124" t="s">
        <v>178</v>
      </c>
      <c r="P11" s="108" t="s">
        <v>201</v>
      </c>
    </row>
    <row r="12" spans="1:16" x14ac:dyDescent="0.35">
      <c r="A12" s="106" t="s">
        <v>198</v>
      </c>
      <c r="B12" s="107" t="s">
        <v>55</v>
      </c>
      <c r="C12" s="107" t="s">
        <v>176</v>
      </c>
      <c r="D12" s="107">
        <v>1</v>
      </c>
      <c r="E12" s="124" t="s">
        <v>177</v>
      </c>
      <c r="F12" s="107" t="s">
        <v>74</v>
      </c>
      <c r="G12" s="107" t="s">
        <v>199</v>
      </c>
      <c r="H12" s="107" t="s">
        <v>212</v>
      </c>
      <c r="I12" s="124" t="s">
        <v>177</v>
      </c>
      <c r="J12" s="107" t="s">
        <v>178</v>
      </c>
      <c r="K12" s="107" t="s">
        <v>178</v>
      </c>
      <c r="L12" s="124" t="s">
        <v>179</v>
      </c>
      <c r="M12" s="107" t="s">
        <v>177</v>
      </c>
      <c r="N12" s="107" t="s">
        <v>178</v>
      </c>
      <c r="O12" s="124" t="s">
        <v>178</v>
      </c>
      <c r="P12" s="108" t="s">
        <v>201</v>
      </c>
    </row>
    <row r="13" spans="1:16" x14ac:dyDescent="0.35">
      <c r="A13" s="106" t="s">
        <v>198</v>
      </c>
      <c r="B13" s="107" t="s">
        <v>55</v>
      </c>
      <c r="C13" s="107" t="s">
        <v>176</v>
      </c>
      <c r="D13" s="107">
        <v>1</v>
      </c>
      <c r="E13" s="124" t="s">
        <v>177</v>
      </c>
      <c r="F13" s="107" t="s">
        <v>73</v>
      </c>
      <c r="G13" s="107" t="s">
        <v>202</v>
      </c>
      <c r="H13" s="107" t="s">
        <v>213</v>
      </c>
      <c r="I13" s="124" t="s">
        <v>177</v>
      </c>
      <c r="J13" s="107" t="s">
        <v>178</v>
      </c>
      <c r="K13" s="107" t="s">
        <v>178</v>
      </c>
      <c r="L13" s="124" t="s">
        <v>179</v>
      </c>
      <c r="M13" s="107" t="s">
        <v>177</v>
      </c>
      <c r="N13" s="107" t="s">
        <v>178</v>
      </c>
      <c r="O13" s="124" t="s">
        <v>178</v>
      </c>
      <c r="P13" s="108" t="s">
        <v>201</v>
      </c>
    </row>
    <row r="14" spans="1:16" x14ac:dyDescent="0.35">
      <c r="A14" s="106" t="s">
        <v>198</v>
      </c>
      <c r="B14" s="107" t="s">
        <v>55</v>
      </c>
      <c r="C14" s="107" t="s">
        <v>176</v>
      </c>
      <c r="D14" s="107">
        <v>1</v>
      </c>
      <c r="E14" s="124" t="s">
        <v>177</v>
      </c>
      <c r="F14" s="107" t="s">
        <v>74</v>
      </c>
      <c r="G14" s="107" t="s">
        <v>199</v>
      </c>
      <c r="H14" s="107" t="s">
        <v>214</v>
      </c>
      <c r="I14" s="124" t="s">
        <v>177</v>
      </c>
      <c r="J14" s="107" t="s">
        <v>178</v>
      </c>
      <c r="K14" s="107" t="s">
        <v>178</v>
      </c>
      <c r="L14" s="124" t="s">
        <v>179</v>
      </c>
      <c r="M14" s="107" t="s">
        <v>177</v>
      </c>
      <c r="N14" s="107" t="s">
        <v>178</v>
      </c>
      <c r="O14" s="124" t="s">
        <v>178</v>
      </c>
      <c r="P14" s="108" t="s">
        <v>201</v>
      </c>
    </row>
    <row r="15" spans="1:16" x14ac:dyDescent="0.35">
      <c r="A15" s="106" t="s">
        <v>198</v>
      </c>
      <c r="B15" s="107" t="s">
        <v>55</v>
      </c>
      <c r="C15" s="107" t="s">
        <v>176</v>
      </c>
      <c r="D15" s="107">
        <v>1</v>
      </c>
      <c r="E15" s="124" t="s">
        <v>177</v>
      </c>
      <c r="F15" s="107" t="s">
        <v>73</v>
      </c>
      <c r="G15" s="107" t="s">
        <v>202</v>
      </c>
      <c r="H15" s="107" t="s">
        <v>215</v>
      </c>
      <c r="I15" s="124" t="s">
        <v>177</v>
      </c>
      <c r="J15" s="107" t="s">
        <v>178</v>
      </c>
      <c r="K15" s="107" t="s">
        <v>178</v>
      </c>
      <c r="L15" s="124" t="s">
        <v>179</v>
      </c>
      <c r="M15" s="107" t="s">
        <v>177</v>
      </c>
      <c r="N15" s="107" t="s">
        <v>178</v>
      </c>
      <c r="O15" s="124" t="s">
        <v>178</v>
      </c>
      <c r="P15" s="108" t="s">
        <v>201</v>
      </c>
    </row>
    <row r="16" spans="1:16" x14ac:dyDescent="0.35">
      <c r="A16" s="106" t="s">
        <v>198</v>
      </c>
      <c r="B16" s="107" t="s">
        <v>55</v>
      </c>
      <c r="C16" s="107" t="s">
        <v>176</v>
      </c>
      <c r="D16" s="107">
        <v>1</v>
      </c>
      <c r="E16" s="124" t="s">
        <v>177</v>
      </c>
      <c r="F16" s="107" t="s">
        <v>74</v>
      </c>
      <c r="G16" s="107" t="s">
        <v>199</v>
      </c>
      <c r="H16" s="107" t="s">
        <v>216</v>
      </c>
      <c r="I16" s="124" t="s">
        <v>177</v>
      </c>
      <c r="J16" s="107" t="s">
        <v>178</v>
      </c>
      <c r="K16" s="107" t="s">
        <v>178</v>
      </c>
      <c r="L16" s="124" t="s">
        <v>179</v>
      </c>
      <c r="M16" s="107" t="s">
        <v>177</v>
      </c>
      <c r="N16" s="107" t="s">
        <v>178</v>
      </c>
      <c r="O16" s="124" t="s">
        <v>178</v>
      </c>
      <c r="P16" s="108" t="s">
        <v>201</v>
      </c>
    </row>
    <row r="17" spans="1:16" x14ac:dyDescent="0.35">
      <c r="A17" s="106" t="s">
        <v>198</v>
      </c>
      <c r="B17" s="107" t="s">
        <v>55</v>
      </c>
      <c r="C17" s="107" t="s">
        <v>176</v>
      </c>
      <c r="D17" s="107">
        <v>1</v>
      </c>
      <c r="E17" s="124" t="s">
        <v>177</v>
      </c>
      <c r="F17" s="107" t="s">
        <v>73</v>
      </c>
      <c r="G17" s="107" t="s">
        <v>202</v>
      </c>
      <c r="H17" s="107" t="s">
        <v>217</v>
      </c>
      <c r="I17" s="124" t="s">
        <v>177</v>
      </c>
      <c r="J17" s="107" t="s">
        <v>178</v>
      </c>
      <c r="K17" s="107" t="s">
        <v>178</v>
      </c>
      <c r="L17" s="124" t="s">
        <v>179</v>
      </c>
      <c r="M17" s="107" t="s">
        <v>177</v>
      </c>
      <c r="N17" s="107" t="s">
        <v>178</v>
      </c>
      <c r="O17" s="124" t="s">
        <v>178</v>
      </c>
      <c r="P17" s="108" t="s">
        <v>201</v>
      </c>
    </row>
    <row r="18" spans="1:16" x14ac:dyDescent="0.35">
      <c r="A18" s="106" t="s">
        <v>198</v>
      </c>
      <c r="B18" s="107" t="s">
        <v>55</v>
      </c>
      <c r="C18" s="107" t="s">
        <v>176</v>
      </c>
      <c r="D18" s="107">
        <v>1</v>
      </c>
      <c r="E18" s="124" t="s">
        <v>177</v>
      </c>
      <c r="F18" s="107" t="s">
        <v>70</v>
      </c>
      <c r="G18" s="107" t="s">
        <v>70</v>
      </c>
      <c r="H18" s="107" t="s">
        <v>218</v>
      </c>
      <c r="I18" s="124" t="s">
        <v>177</v>
      </c>
      <c r="J18" s="107" t="s">
        <v>178</v>
      </c>
      <c r="K18" s="107" t="s">
        <v>178</v>
      </c>
      <c r="L18" s="124" t="s">
        <v>179</v>
      </c>
      <c r="M18" s="107" t="s">
        <v>177</v>
      </c>
      <c r="N18" s="107" t="s">
        <v>178</v>
      </c>
      <c r="O18" s="124" t="s">
        <v>178</v>
      </c>
      <c r="P18" s="108" t="s">
        <v>201</v>
      </c>
    </row>
    <row r="19" spans="1:16" x14ac:dyDescent="0.35">
      <c r="A19" s="106" t="s">
        <v>198</v>
      </c>
      <c r="B19" s="107" t="s">
        <v>55</v>
      </c>
      <c r="C19" s="107" t="s">
        <v>176</v>
      </c>
      <c r="D19" s="107">
        <v>1</v>
      </c>
      <c r="E19" s="124" t="s">
        <v>177</v>
      </c>
      <c r="F19" s="107" t="s">
        <v>74</v>
      </c>
      <c r="G19" s="107" t="s">
        <v>199</v>
      </c>
      <c r="H19" s="107" t="s">
        <v>219</v>
      </c>
      <c r="I19" s="124" t="s">
        <v>177</v>
      </c>
      <c r="J19" s="107" t="s">
        <v>178</v>
      </c>
      <c r="K19" s="107" t="s">
        <v>178</v>
      </c>
      <c r="L19" s="124" t="s">
        <v>179</v>
      </c>
      <c r="M19" s="107" t="s">
        <v>177</v>
      </c>
      <c r="N19" s="107" t="s">
        <v>178</v>
      </c>
      <c r="O19" s="124" t="s">
        <v>178</v>
      </c>
      <c r="P19" s="108" t="s">
        <v>201</v>
      </c>
    </row>
    <row r="20" spans="1:16" x14ac:dyDescent="0.35">
      <c r="A20" s="109" t="s">
        <v>198</v>
      </c>
      <c r="B20" s="110" t="s">
        <v>55</v>
      </c>
      <c r="C20" s="110" t="s">
        <v>176</v>
      </c>
      <c r="D20" s="110">
        <v>1</v>
      </c>
      <c r="E20" s="125" t="s">
        <v>177</v>
      </c>
      <c r="F20" s="110" t="s">
        <v>73</v>
      </c>
      <c r="G20" s="110" t="s">
        <v>202</v>
      </c>
      <c r="H20" s="110" t="s">
        <v>220</v>
      </c>
      <c r="I20" s="125" t="s">
        <v>177</v>
      </c>
      <c r="J20" s="110" t="s">
        <v>178</v>
      </c>
      <c r="K20" s="110" t="s">
        <v>178</v>
      </c>
      <c r="L20" s="125" t="s">
        <v>179</v>
      </c>
      <c r="M20" s="110" t="s">
        <v>177</v>
      </c>
      <c r="N20" s="110" t="s">
        <v>178</v>
      </c>
      <c r="O20" s="125" t="s">
        <v>178</v>
      </c>
      <c r="P20" s="111" t="s">
        <v>201</v>
      </c>
    </row>
    <row r="21" spans="1:16" x14ac:dyDescent="0.35">
      <c r="A21" s="126" t="s">
        <v>198</v>
      </c>
      <c r="B21" s="127" t="s">
        <v>180</v>
      </c>
      <c r="C21" s="127" t="s">
        <v>176</v>
      </c>
      <c r="D21" s="127">
        <v>1</v>
      </c>
      <c r="E21" s="128" t="s">
        <v>181</v>
      </c>
      <c r="F21" s="127" t="s">
        <v>74</v>
      </c>
      <c r="G21" s="127" t="s">
        <v>199</v>
      </c>
      <c r="H21" s="127" t="s">
        <v>200</v>
      </c>
      <c r="I21" s="128" t="s">
        <v>183</v>
      </c>
      <c r="J21" s="127" t="s">
        <v>221</v>
      </c>
      <c r="K21" s="127" t="s">
        <v>221</v>
      </c>
      <c r="L21" s="128" t="s">
        <v>111</v>
      </c>
      <c r="M21" s="127" t="s">
        <v>222</v>
      </c>
      <c r="N21" s="127" t="s">
        <v>223</v>
      </c>
      <c r="O21" s="128" t="s">
        <v>223</v>
      </c>
      <c r="P21" s="129" t="s">
        <v>224</v>
      </c>
    </row>
    <row r="22" spans="1:16" x14ac:dyDescent="0.35">
      <c r="A22" s="106" t="s">
        <v>198</v>
      </c>
      <c r="B22" s="107" t="s">
        <v>180</v>
      </c>
      <c r="C22" s="107" t="s">
        <v>176</v>
      </c>
      <c r="D22" s="107">
        <v>1</v>
      </c>
      <c r="E22" s="124" t="s">
        <v>181</v>
      </c>
      <c r="F22" s="107" t="s">
        <v>73</v>
      </c>
      <c r="G22" s="107" t="s">
        <v>202</v>
      </c>
      <c r="H22" s="107" t="s">
        <v>203</v>
      </c>
      <c r="I22" s="124" t="s">
        <v>182</v>
      </c>
      <c r="J22" s="107" t="s">
        <v>225</v>
      </c>
      <c r="K22" s="107" t="s">
        <v>225</v>
      </c>
      <c r="L22" s="124" t="s">
        <v>226</v>
      </c>
      <c r="M22" s="107" t="s">
        <v>227</v>
      </c>
      <c r="N22" s="107" t="s">
        <v>228</v>
      </c>
      <c r="O22" s="124" t="s">
        <v>228</v>
      </c>
      <c r="P22" s="108" t="s">
        <v>229</v>
      </c>
    </row>
    <row r="23" spans="1:16" x14ac:dyDescent="0.35">
      <c r="A23" s="106" t="s">
        <v>198</v>
      </c>
      <c r="B23" s="107" t="s">
        <v>180</v>
      </c>
      <c r="C23" s="107" t="s">
        <v>176</v>
      </c>
      <c r="D23" s="107">
        <v>1</v>
      </c>
      <c r="E23" s="124" t="s">
        <v>181</v>
      </c>
      <c r="F23" s="107" t="s">
        <v>74</v>
      </c>
      <c r="G23" s="107" t="s">
        <v>199</v>
      </c>
      <c r="H23" s="107" t="s">
        <v>204</v>
      </c>
      <c r="I23" s="124" t="s">
        <v>230</v>
      </c>
      <c r="J23" s="107" t="s">
        <v>231</v>
      </c>
      <c r="K23" s="107" t="s">
        <v>231</v>
      </c>
      <c r="L23" s="124" t="s">
        <v>232</v>
      </c>
      <c r="M23" s="107" t="s">
        <v>222</v>
      </c>
      <c r="N23" s="107" t="s">
        <v>233</v>
      </c>
      <c r="O23" s="124" t="s">
        <v>233</v>
      </c>
      <c r="P23" s="108" t="s">
        <v>234</v>
      </c>
    </row>
    <row r="24" spans="1:16" x14ac:dyDescent="0.35">
      <c r="A24" s="106" t="s">
        <v>198</v>
      </c>
      <c r="B24" s="107" t="s">
        <v>180</v>
      </c>
      <c r="C24" s="107" t="s">
        <v>176</v>
      </c>
      <c r="D24" s="107">
        <v>1</v>
      </c>
      <c r="E24" s="124" t="s">
        <v>181</v>
      </c>
      <c r="F24" s="107" t="s">
        <v>73</v>
      </c>
      <c r="G24" s="107" t="s">
        <v>202</v>
      </c>
      <c r="H24" s="107" t="s">
        <v>205</v>
      </c>
      <c r="I24" s="124" t="s">
        <v>235</v>
      </c>
      <c r="J24" s="107" t="s">
        <v>236</v>
      </c>
      <c r="K24" s="107" t="s">
        <v>236</v>
      </c>
      <c r="L24" s="124" t="s">
        <v>237</v>
      </c>
      <c r="M24" s="107" t="s">
        <v>227</v>
      </c>
      <c r="N24" s="107" t="s">
        <v>238</v>
      </c>
      <c r="O24" s="124" t="s">
        <v>238</v>
      </c>
      <c r="P24" s="108" t="s">
        <v>239</v>
      </c>
    </row>
    <row r="25" spans="1:16" x14ac:dyDescent="0.35">
      <c r="A25" s="106" t="s">
        <v>198</v>
      </c>
      <c r="B25" s="107" t="s">
        <v>180</v>
      </c>
      <c r="C25" s="107" t="s">
        <v>176</v>
      </c>
      <c r="D25" s="107">
        <v>1</v>
      </c>
      <c r="E25" s="124" t="s">
        <v>181</v>
      </c>
      <c r="F25" s="107" t="s">
        <v>74</v>
      </c>
      <c r="G25" s="107" t="s">
        <v>199</v>
      </c>
      <c r="H25" s="107" t="s">
        <v>206</v>
      </c>
      <c r="I25" s="124" t="s">
        <v>240</v>
      </c>
      <c r="J25" s="107" t="s">
        <v>241</v>
      </c>
      <c r="K25" s="107" t="s">
        <v>241</v>
      </c>
      <c r="L25" s="124" t="s">
        <v>242</v>
      </c>
      <c r="M25" s="107" t="s">
        <v>222</v>
      </c>
      <c r="N25" s="107" t="s">
        <v>243</v>
      </c>
      <c r="O25" s="124" t="s">
        <v>243</v>
      </c>
      <c r="P25" s="108" t="s">
        <v>244</v>
      </c>
    </row>
    <row r="26" spans="1:16" x14ac:dyDescent="0.35">
      <c r="A26" s="106" t="s">
        <v>198</v>
      </c>
      <c r="B26" s="107" t="s">
        <v>180</v>
      </c>
      <c r="C26" s="107" t="s">
        <v>176</v>
      </c>
      <c r="D26" s="107">
        <v>1</v>
      </c>
      <c r="E26" s="124" t="s">
        <v>181</v>
      </c>
      <c r="F26" s="107" t="s">
        <v>73</v>
      </c>
      <c r="G26" s="107" t="s">
        <v>202</v>
      </c>
      <c r="H26" s="107" t="s">
        <v>207</v>
      </c>
      <c r="I26" s="124" t="s">
        <v>245</v>
      </c>
      <c r="J26" s="107" t="s">
        <v>246</v>
      </c>
      <c r="K26" s="107" t="s">
        <v>246</v>
      </c>
      <c r="L26" s="124" t="s">
        <v>247</v>
      </c>
      <c r="M26" s="107" t="s">
        <v>227</v>
      </c>
      <c r="N26" s="107" t="s">
        <v>248</v>
      </c>
      <c r="O26" s="124" t="s">
        <v>248</v>
      </c>
      <c r="P26" s="108" t="s">
        <v>249</v>
      </c>
    </row>
    <row r="27" spans="1:16" x14ac:dyDescent="0.35">
      <c r="A27" s="106" t="s">
        <v>198</v>
      </c>
      <c r="B27" s="107" t="s">
        <v>180</v>
      </c>
      <c r="C27" s="107" t="s">
        <v>176</v>
      </c>
      <c r="D27" s="107">
        <v>1</v>
      </c>
      <c r="E27" s="124" t="s">
        <v>181</v>
      </c>
      <c r="F27" s="107" t="s">
        <v>74</v>
      </c>
      <c r="G27" s="107" t="s">
        <v>199</v>
      </c>
      <c r="H27" s="107" t="s">
        <v>208</v>
      </c>
      <c r="I27" s="124" t="s">
        <v>250</v>
      </c>
      <c r="J27" s="107" t="s">
        <v>251</v>
      </c>
      <c r="K27" s="107" t="s">
        <v>251</v>
      </c>
      <c r="L27" s="124" t="s">
        <v>252</v>
      </c>
      <c r="M27" s="107" t="s">
        <v>222</v>
      </c>
      <c r="N27" s="107" t="s">
        <v>253</v>
      </c>
      <c r="O27" s="124" t="s">
        <v>253</v>
      </c>
      <c r="P27" s="108" t="s">
        <v>254</v>
      </c>
    </row>
    <row r="28" spans="1:16" x14ac:dyDescent="0.35">
      <c r="A28" s="106" t="s">
        <v>198</v>
      </c>
      <c r="B28" s="107" t="s">
        <v>180</v>
      </c>
      <c r="C28" s="107" t="s">
        <v>176</v>
      </c>
      <c r="D28" s="107">
        <v>1</v>
      </c>
      <c r="E28" s="124" t="s">
        <v>181</v>
      </c>
      <c r="F28" s="107" t="s">
        <v>73</v>
      </c>
      <c r="G28" s="107" t="s">
        <v>202</v>
      </c>
      <c r="H28" s="107" t="s">
        <v>209</v>
      </c>
      <c r="I28" s="124" t="s">
        <v>255</v>
      </c>
      <c r="J28" s="107" t="s">
        <v>256</v>
      </c>
      <c r="K28" s="107" t="s">
        <v>256</v>
      </c>
      <c r="L28" s="124" t="s">
        <v>257</v>
      </c>
      <c r="M28" s="107" t="s">
        <v>227</v>
      </c>
      <c r="N28" s="107" t="s">
        <v>258</v>
      </c>
      <c r="O28" s="124" t="s">
        <v>258</v>
      </c>
      <c r="P28" s="108" t="s">
        <v>259</v>
      </c>
    </row>
    <row r="29" spans="1:16" x14ac:dyDescent="0.35">
      <c r="A29" s="106" t="s">
        <v>198</v>
      </c>
      <c r="B29" s="107" t="s">
        <v>180</v>
      </c>
      <c r="C29" s="107" t="s">
        <v>176</v>
      </c>
      <c r="D29" s="107">
        <v>1</v>
      </c>
      <c r="E29" s="124" t="s">
        <v>181</v>
      </c>
      <c r="F29" s="107" t="s">
        <v>74</v>
      </c>
      <c r="G29" s="107" t="s">
        <v>199</v>
      </c>
      <c r="H29" s="107" t="s">
        <v>210</v>
      </c>
      <c r="I29" s="124" t="s">
        <v>260</v>
      </c>
      <c r="J29" s="107" t="s">
        <v>261</v>
      </c>
      <c r="K29" s="107" t="s">
        <v>261</v>
      </c>
      <c r="L29" s="124" t="s">
        <v>262</v>
      </c>
      <c r="M29" s="107" t="s">
        <v>222</v>
      </c>
      <c r="N29" s="107" t="s">
        <v>263</v>
      </c>
      <c r="O29" s="124" t="s">
        <v>263</v>
      </c>
      <c r="P29" s="108" t="s">
        <v>264</v>
      </c>
    </row>
    <row r="30" spans="1:16" x14ac:dyDescent="0.35">
      <c r="A30" s="106" t="s">
        <v>198</v>
      </c>
      <c r="B30" s="107" t="s">
        <v>180</v>
      </c>
      <c r="C30" s="107" t="s">
        <v>176</v>
      </c>
      <c r="D30" s="107">
        <v>1</v>
      </c>
      <c r="E30" s="124" t="s">
        <v>181</v>
      </c>
      <c r="F30" s="107" t="s">
        <v>73</v>
      </c>
      <c r="G30" s="107" t="s">
        <v>202</v>
      </c>
      <c r="H30" s="107" t="s">
        <v>211</v>
      </c>
      <c r="I30" s="124" t="s">
        <v>265</v>
      </c>
      <c r="J30" s="107" t="s">
        <v>266</v>
      </c>
      <c r="K30" s="107" t="s">
        <v>266</v>
      </c>
      <c r="L30" s="124" t="s">
        <v>267</v>
      </c>
      <c r="M30" s="107" t="s">
        <v>227</v>
      </c>
      <c r="N30" s="107" t="s">
        <v>268</v>
      </c>
      <c r="O30" s="124" t="s">
        <v>268</v>
      </c>
      <c r="P30" s="108" t="s">
        <v>269</v>
      </c>
    </row>
    <row r="31" spans="1:16" x14ac:dyDescent="0.35">
      <c r="A31" s="106" t="s">
        <v>198</v>
      </c>
      <c r="B31" s="107" t="s">
        <v>180</v>
      </c>
      <c r="C31" s="107" t="s">
        <v>176</v>
      </c>
      <c r="D31" s="107">
        <v>1</v>
      </c>
      <c r="E31" s="124" t="s">
        <v>181</v>
      </c>
      <c r="F31" s="107" t="s">
        <v>74</v>
      </c>
      <c r="G31" s="107" t="s">
        <v>199</v>
      </c>
      <c r="H31" s="107" t="s">
        <v>212</v>
      </c>
      <c r="I31" s="124" t="s">
        <v>270</v>
      </c>
      <c r="J31" s="107" t="s">
        <v>271</v>
      </c>
      <c r="K31" s="107" t="s">
        <v>271</v>
      </c>
      <c r="L31" s="124" t="s">
        <v>272</v>
      </c>
      <c r="M31" s="107" t="s">
        <v>222</v>
      </c>
      <c r="N31" s="107" t="s">
        <v>273</v>
      </c>
      <c r="O31" s="124" t="s">
        <v>273</v>
      </c>
      <c r="P31" s="108" t="s">
        <v>274</v>
      </c>
    </row>
    <row r="32" spans="1:16" x14ac:dyDescent="0.35">
      <c r="A32" s="106" t="s">
        <v>198</v>
      </c>
      <c r="B32" s="107" t="s">
        <v>180</v>
      </c>
      <c r="C32" s="107" t="s">
        <v>176</v>
      </c>
      <c r="D32" s="107">
        <v>1</v>
      </c>
      <c r="E32" s="124" t="s">
        <v>181</v>
      </c>
      <c r="F32" s="107" t="s">
        <v>73</v>
      </c>
      <c r="G32" s="107" t="s">
        <v>202</v>
      </c>
      <c r="H32" s="107" t="s">
        <v>213</v>
      </c>
      <c r="I32" s="124" t="s">
        <v>275</v>
      </c>
      <c r="J32" s="107" t="s">
        <v>276</v>
      </c>
      <c r="K32" s="107" t="s">
        <v>276</v>
      </c>
      <c r="L32" s="124" t="s">
        <v>277</v>
      </c>
      <c r="M32" s="107" t="s">
        <v>227</v>
      </c>
      <c r="N32" s="107" t="s">
        <v>278</v>
      </c>
      <c r="O32" s="124" t="s">
        <v>278</v>
      </c>
      <c r="P32" s="108" t="s">
        <v>279</v>
      </c>
    </row>
    <row r="33" spans="1:16" x14ac:dyDescent="0.35">
      <c r="A33" s="106" t="s">
        <v>198</v>
      </c>
      <c r="B33" s="107" t="s">
        <v>180</v>
      </c>
      <c r="C33" s="107" t="s">
        <v>176</v>
      </c>
      <c r="D33" s="107">
        <v>1</v>
      </c>
      <c r="E33" s="124" t="s">
        <v>181</v>
      </c>
      <c r="F33" s="107" t="s">
        <v>74</v>
      </c>
      <c r="G33" s="107" t="s">
        <v>199</v>
      </c>
      <c r="H33" s="107" t="s">
        <v>214</v>
      </c>
      <c r="I33" s="124" t="s">
        <v>280</v>
      </c>
      <c r="J33" s="107" t="s">
        <v>281</v>
      </c>
      <c r="K33" s="107" t="s">
        <v>281</v>
      </c>
      <c r="L33" s="124" t="s">
        <v>282</v>
      </c>
      <c r="M33" s="107" t="s">
        <v>222</v>
      </c>
      <c r="N33" s="107" t="s">
        <v>283</v>
      </c>
      <c r="O33" s="124" t="s">
        <v>283</v>
      </c>
      <c r="P33" s="108" t="s">
        <v>284</v>
      </c>
    </row>
    <row r="34" spans="1:16" x14ac:dyDescent="0.35">
      <c r="A34" s="106" t="s">
        <v>198</v>
      </c>
      <c r="B34" s="107" t="s">
        <v>180</v>
      </c>
      <c r="C34" s="107" t="s">
        <v>176</v>
      </c>
      <c r="D34" s="107">
        <v>1</v>
      </c>
      <c r="E34" s="124" t="s">
        <v>181</v>
      </c>
      <c r="F34" s="107" t="s">
        <v>73</v>
      </c>
      <c r="G34" s="107" t="s">
        <v>202</v>
      </c>
      <c r="H34" s="107" t="s">
        <v>215</v>
      </c>
      <c r="I34" s="124" t="s">
        <v>285</v>
      </c>
      <c r="J34" s="107" t="s">
        <v>286</v>
      </c>
      <c r="K34" s="107" t="s">
        <v>286</v>
      </c>
      <c r="L34" s="124" t="s">
        <v>287</v>
      </c>
      <c r="M34" s="107" t="s">
        <v>227</v>
      </c>
      <c r="N34" s="107" t="s">
        <v>288</v>
      </c>
      <c r="O34" s="124" t="s">
        <v>288</v>
      </c>
      <c r="P34" s="108" t="s">
        <v>289</v>
      </c>
    </row>
    <row r="35" spans="1:16" x14ac:dyDescent="0.35">
      <c r="A35" s="106" t="s">
        <v>198</v>
      </c>
      <c r="B35" s="107" t="s">
        <v>180</v>
      </c>
      <c r="C35" s="107" t="s">
        <v>176</v>
      </c>
      <c r="D35" s="107">
        <v>1</v>
      </c>
      <c r="E35" s="124" t="s">
        <v>181</v>
      </c>
      <c r="F35" s="107" t="s">
        <v>74</v>
      </c>
      <c r="G35" s="107" t="s">
        <v>199</v>
      </c>
      <c r="H35" s="107" t="s">
        <v>216</v>
      </c>
      <c r="I35" s="124" t="s">
        <v>290</v>
      </c>
      <c r="J35" s="107" t="s">
        <v>291</v>
      </c>
      <c r="K35" s="107" t="s">
        <v>291</v>
      </c>
      <c r="L35" s="124" t="s">
        <v>292</v>
      </c>
      <c r="M35" s="107" t="s">
        <v>222</v>
      </c>
      <c r="N35" s="107" t="s">
        <v>293</v>
      </c>
      <c r="O35" s="124" t="s">
        <v>293</v>
      </c>
      <c r="P35" s="108" t="s">
        <v>294</v>
      </c>
    </row>
    <row r="36" spans="1:16" x14ac:dyDescent="0.35">
      <c r="A36" s="106" t="s">
        <v>198</v>
      </c>
      <c r="B36" s="107" t="s">
        <v>180</v>
      </c>
      <c r="C36" s="107" t="s">
        <v>176</v>
      </c>
      <c r="D36" s="107">
        <v>1</v>
      </c>
      <c r="E36" s="124" t="s">
        <v>181</v>
      </c>
      <c r="F36" s="107" t="s">
        <v>73</v>
      </c>
      <c r="G36" s="107" t="s">
        <v>202</v>
      </c>
      <c r="H36" s="107" t="s">
        <v>217</v>
      </c>
      <c r="I36" s="124" t="s">
        <v>295</v>
      </c>
      <c r="J36" s="107" t="s">
        <v>296</v>
      </c>
      <c r="K36" s="107" t="s">
        <v>296</v>
      </c>
      <c r="L36" s="124" t="s">
        <v>297</v>
      </c>
      <c r="M36" s="107" t="s">
        <v>227</v>
      </c>
      <c r="N36" s="107" t="s">
        <v>298</v>
      </c>
      <c r="O36" s="124" t="s">
        <v>298</v>
      </c>
      <c r="P36" s="108" t="s">
        <v>299</v>
      </c>
    </row>
    <row r="37" spans="1:16" x14ac:dyDescent="0.35">
      <c r="A37" s="106" t="s">
        <v>198</v>
      </c>
      <c r="B37" s="107" t="s">
        <v>180</v>
      </c>
      <c r="C37" s="107" t="s">
        <v>176</v>
      </c>
      <c r="D37" s="107">
        <v>1</v>
      </c>
      <c r="E37" s="124" t="s">
        <v>181</v>
      </c>
      <c r="F37" s="107" t="s">
        <v>70</v>
      </c>
      <c r="G37" s="107" t="s">
        <v>70</v>
      </c>
      <c r="H37" s="107" t="s">
        <v>218</v>
      </c>
      <c r="I37" s="124" t="s">
        <v>184</v>
      </c>
      <c r="J37" s="107" t="s">
        <v>300</v>
      </c>
      <c r="K37" s="107" t="s">
        <v>300</v>
      </c>
      <c r="L37" s="124" t="s">
        <v>301</v>
      </c>
      <c r="M37" s="107" t="s">
        <v>184</v>
      </c>
      <c r="N37" s="107" t="s">
        <v>178</v>
      </c>
      <c r="O37" s="124" t="s">
        <v>178</v>
      </c>
      <c r="P37" s="108" t="s">
        <v>201</v>
      </c>
    </row>
    <row r="38" spans="1:16" x14ac:dyDescent="0.35">
      <c r="A38" s="106" t="s">
        <v>198</v>
      </c>
      <c r="B38" s="107" t="s">
        <v>180</v>
      </c>
      <c r="C38" s="107" t="s">
        <v>176</v>
      </c>
      <c r="D38" s="107">
        <v>1</v>
      </c>
      <c r="E38" s="124" t="s">
        <v>181</v>
      </c>
      <c r="F38" s="107" t="s">
        <v>74</v>
      </c>
      <c r="G38" s="107" t="s">
        <v>199</v>
      </c>
      <c r="H38" s="107" t="s">
        <v>219</v>
      </c>
      <c r="I38" s="124" t="s">
        <v>222</v>
      </c>
      <c r="J38" s="107" t="s">
        <v>302</v>
      </c>
      <c r="K38" s="107" t="s">
        <v>302</v>
      </c>
      <c r="L38" s="124" t="s">
        <v>303</v>
      </c>
      <c r="M38" s="107" t="s">
        <v>222</v>
      </c>
      <c r="N38" s="107" t="s">
        <v>178</v>
      </c>
      <c r="O38" s="124" t="s">
        <v>178</v>
      </c>
      <c r="P38" s="108" t="s">
        <v>201</v>
      </c>
    </row>
    <row r="39" spans="1:16" x14ac:dyDescent="0.35">
      <c r="A39" s="109" t="s">
        <v>198</v>
      </c>
      <c r="B39" s="110" t="s">
        <v>180</v>
      </c>
      <c r="C39" s="110" t="s">
        <v>176</v>
      </c>
      <c r="D39" s="110">
        <v>1</v>
      </c>
      <c r="E39" s="125" t="s">
        <v>181</v>
      </c>
      <c r="F39" s="110" t="s">
        <v>73</v>
      </c>
      <c r="G39" s="110" t="s">
        <v>202</v>
      </c>
      <c r="H39" s="110" t="s">
        <v>220</v>
      </c>
      <c r="I39" s="125" t="s">
        <v>227</v>
      </c>
      <c r="J39" s="110" t="s">
        <v>304</v>
      </c>
      <c r="K39" s="110" t="s">
        <v>304</v>
      </c>
      <c r="L39" s="125" t="s">
        <v>305</v>
      </c>
      <c r="M39" s="110" t="s">
        <v>227</v>
      </c>
      <c r="N39" s="110" t="s">
        <v>178</v>
      </c>
      <c r="O39" s="125" t="s">
        <v>178</v>
      </c>
      <c r="P39" s="111" t="s">
        <v>201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EC9B7-3CED-4DB3-98DF-852F06D16C2D}">
  <dimension ref="A1:D1"/>
  <sheetViews>
    <sheetView workbookViewId="0"/>
  </sheetViews>
  <sheetFormatPr baseColWidth="10" defaultColWidth="8.90625" defaultRowHeight="14.5" x14ac:dyDescent="0.35"/>
  <cols>
    <col min="1" max="1" width="15" style="94" customWidth="1"/>
    <col min="2" max="3" width="35" style="94" customWidth="1"/>
    <col min="4" max="4" width="70" style="94" customWidth="1"/>
    <col min="5" max="16384" width="8.90625" style="94"/>
  </cols>
  <sheetData>
    <row r="1" spans="1:4" x14ac:dyDescent="0.35">
      <c r="A1" s="100" t="s">
        <v>189</v>
      </c>
      <c r="B1" s="101" t="s">
        <v>306</v>
      </c>
      <c r="C1" s="101" t="s">
        <v>307</v>
      </c>
      <c r="D1" s="102" t="s">
        <v>308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vt:i4>
      </vt:variant>
    </vt:vector>
  </HeadingPairs>
  <TitlesOfParts>
    <vt:vector size="16" baseType="lpstr">
      <vt:lpstr>Ofertas Recibidas</vt:lpstr>
      <vt:lpstr>Subasta</vt:lpstr>
      <vt:lpstr>VALIDACION</vt:lpstr>
      <vt:lpstr>TarifasContrato</vt:lpstr>
      <vt:lpstr>Precios Artif Bajos (V2)</vt:lpstr>
      <vt:lpstr>Precios Artif Bajos</vt:lpstr>
      <vt:lpstr>1</vt:lpstr>
      <vt:lpstr>2</vt:lpstr>
      <vt:lpstr>3</vt:lpstr>
      <vt:lpstr>4</vt:lpstr>
      <vt:lpstr>Configuración</vt:lpstr>
      <vt:lpstr>Proveedores online</vt:lpstr>
      <vt:lpstr>Último Lance</vt:lpstr>
      <vt:lpstr>Registro de lances</vt:lpstr>
      <vt:lpstr>Mensajes</vt:lpstr>
      <vt:lpstr>OFERENTES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John Henry Bohorquez</cp:lastModifiedBy>
  <cp:lastPrinted>2026-07-08T17:01:42Z</cp:lastPrinted>
  <dcterms:created xsi:type="dcterms:W3CDTF">2026-06-29T18:18:10Z</dcterms:created>
  <dcterms:modified xsi:type="dcterms:W3CDTF">2026-07-09T02:53:16Z</dcterms:modified>
</cp:coreProperties>
</file>