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sotover_sena_edu_co/Documents/CONTRATACIÓN 2026/DOCUMENTOS SOPORTES CONTRATOS DE BIENES Y SERVICIOS DAF 2026/CONCURSO DE MERITOS - CORREDOR DE SEGUROS/"/>
    </mc:Choice>
  </mc:AlternateContent>
  <xr:revisionPtr revIDLastSave="1" documentId="8_{CCB92710-902A-4507-94AF-209C2549D715}" xr6:coauthVersionLast="47" xr6:coauthVersionMax="47" xr10:uidLastSave="{5891141E-0FDC-4682-AD76-178E1A57682B}"/>
  <bookViews>
    <workbookView xWindow="-120" yWindow="-120" windowWidth="29040" windowHeight="15720" xr2:uid="{6F8B8394-79AA-4486-A9FA-F5D6528664E5}"/>
  </bookViews>
  <sheets>
    <sheet name="Hoja1 (2)" sheetId="1" r:id="rId1"/>
  </sheets>
  <definedNames>
    <definedName name="_xlnm._FilterDatabase" localSheetId="0" hidden="1">'Hoja1 (2)'!$B$3:$AV$23</definedName>
  </definedNames>
  <calcPr calcId="191028"/>
  <pivotCaches>
    <pivotCache cacheId="993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56" i="1" l="1"/>
  <c r="AO56" i="1"/>
  <c r="D72" i="1"/>
  <c r="E71" i="1" s="1"/>
  <c r="E70" i="1"/>
  <c r="E69" i="1"/>
  <c r="E68" i="1"/>
  <c r="E67" i="1"/>
  <c r="E66" i="1"/>
  <c r="E65" i="1"/>
  <c r="E64" i="1"/>
  <c r="E63" i="1"/>
  <c r="E72" i="1" s="1"/>
  <c r="AM56" i="1"/>
  <c r="AL56" i="1"/>
  <c r="AK56" i="1"/>
  <c r="AJ56" i="1"/>
  <c r="AI46" i="1"/>
  <c r="AM45" i="1"/>
  <c r="AL45" i="1"/>
  <c r="AK45" i="1"/>
  <c r="AJ45" i="1"/>
  <c r="L32" i="1"/>
  <c r="AI31" i="1"/>
  <c r="AI25" i="1"/>
  <c r="C25" i="1"/>
  <c r="AO32" i="1" s="1"/>
  <c r="AU23" i="1"/>
  <c r="AS23" i="1"/>
  <c r="AT23" i="1" s="1"/>
  <c r="AQ23" i="1"/>
  <c r="AO23" i="1"/>
  <c r="AM23" i="1"/>
  <c r="AK23" i="1"/>
  <c r="AI23" i="1"/>
  <c r="AJ23" i="1" s="1"/>
  <c r="L23" i="1"/>
  <c r="K23" i="1"/>
  <c r="AU22" i="1"/>
  <c r="AS22" i="1"/>
  <c r="AT22" i="1" s="1"/>
  <c r="AQ22" i="1"/>
  <c r="AR22" i="1" s="1"/>
  <c r="AO22" i="1"/>
  <c r="AM22" i="1"/>
  <c r="AK22" i="1"/>
  <c r="AJ22" i="1"/>
  <c r="AI22" i="1"/>
  <c r="L22" i="1"/>
  <c r="K22" i="1"/>
  <c r="AU21" i="1"/>
  <c r="AS21" i="1"/>
  <c r="AT21" i="1" s="1"/>
  <c r="AQ21" i="1"/>
  <c r="AR21" i="1" s="1"/>
  <c r="AO21" i="1"/>
  <c r="AM21" i="1"/>
  <c r="AK21" i="1"/>
  <c r="AI21" i="1"/>
  <c r="AJ21" i="1" s="1"/>
  <c r="K21" i="1"/>
  <c r="L21" i="1" s="1"/>
  <c r="AU20" i="1"/>
  <c r="AS20" i="1"/>
  <c r="AQ20" i="1"/>
  <c r="AO20" i="1"/>
  <c r="AM20" i="1"/>
  <c r="AK20" i="1"/>
  <c r="AI20" i="1"/>
  <c r="AJ20" i="1" s="1"/>
  <c r="L20" i="1"/>
  <c r="K20" i="1"/>
  <c r="AU19" i="1"/>
  <c r="AS19" i="1"/>
  <c r="AT19" i="1" s="1"/>
  <c r="AQ19" i="1"/>
  <c r="AR19" i="1" s="1"/>
  <c r="AO19" i="1"/>
  <c r="AM19" i="1"/>
  <c r="AK19" i="1"/>
  <c r="AJ19" i="1"/>
  <c r="AI19" i="1"/>
  <c r="L19" i="1"/>
  <c r="K19" i="1"/>
  <c r="AU18" i="1"/>
  <c r="AS18" i="1"/>
  <c r="AT18" i="1" s="1"/>
  <c r="AQ18" i="1"/>
  <c r="AR18" i="1" s="1"/>
  <c r="AO18" i="1"/>
  <c r="AM18" i="1"/>
  <c r="AK18" i="1"/>
  <c r="AI18" i="1"/>
  <c r="AJ18" i="1" s="1"/>
  <c r="K18" i="1"/>
  <c r="L18" i="1" s="1"/>
  <c r="AU17" i="1"/>
  <c r="AS17" i="1"/>
  <c r="AQ17" i="1"/>
  <c r="AO17" i="1"/>
  <c r="AM17" i="1"/>
  <c r="AK17" i="1"/>
  <c r="AI17" i="1"/>
  <c r="AJ17" i="1" s="1"/>
  <c r="L17" i="1"/>
  <c r="K17" i="1"/>
  <c r="AU16" i="1"/>
  <c r="AS16" i="1"/>
  <c r="AT16" i="1" s="1"/>
  <c r="AQ16" i="1"/>
  <c r="AR16" i="1" s="1"/>
  <c r="AO16" i="1"/>
  <c r="AM16" i="1"/>
  <c r="AK16" i="1"/>
  <c r="AJ16" i="1"/>
  <c r="AI16" i="1"/>
  <c r="L16" i="1"/>
  <c r="K16" i="1"/>
  <c r="AU15" i="1"/>
  <c r="AS15" i="1"/>
  <c r="AQ15" i="1"/>
  <c r="AO15" i="1"/>
  <c r="AM15" i="1"/>
  <c r="AK15" i="1"/>
  <c r="AI15" i="1"/>
  <c r="AJ15" i="1" s="1"/>
  <c r="K15" i="1"/>
  <c r="L15" i="1" s="1"/>
  <c r="AU14" i="1"/>
  <c r="AS14" i="1"/>
  <c r="AT14" i="1" s="1"/>
  <c r="AR14" i="1"/>
  <c r="AQ14" i="1"/>
  <c r="AO14" i="1"/>
  <c r="AM14" i="1"/>
  <c r="AK14" i="1"/>
  <c r="AI14" i="1"/>
  <c r="AJ14" i="1" s="1"/>
  <c r="L14" i="1"/>
  <c r="K14" i="1"/>
  <c r="AU13" i="1"/>
  <c r="AS13" i="1"/>
  <c r="AT13" i="1" s="1"/>
  <c r="AQ13" i="1"/>
  <c r="AR13" i="1" s="1"/>
  <c r="AO13" i="1"/>
  <c r="AM13" i="1"/>
  <c r="AK13" i="1"/>
  <c r="AJ13" i="1"/>
  <c r="AI13" i="1"/>
  <c r="L13" i="1"/>
  <c r="K13" i="1"/>
  <c r="AU12" i="1"/>
  <c r="AS12" i="1"/>
  <c r="AQ12" i="1"/>
  <c r="AO12" i="1"/>
  <c r="AM12" i="1"/>
  <c r="AK12" i="1"/>
  <c r="AI12" i="1"/>
  <c r="AJ12" i="1" s="1"/>
  <c r="K12" i="1"/>
  <c r="L12" i="1" s="1"/>
  <c r="AU11" i="1"/>
  <c r="AS11" i="1"/>
  <c r="AT11" i="1" s="1"/>
  <c r="AR11" i="1"/>
  <c r="AQ11" i="1"/>
  <c r="AO11" i="1"/>
  <c r="AM11" i="1"/>
  <c r="AK11" i="1"/>
  <c r="AI11" i="1"/>
  <c r="AJ11" i="1" s="1"/>
  <c r="L11" i="1"/>
  <c r="K11" i="1"/>
  <c r="AU10" i="1"/>
  <c r="AS10" i="1"/>
  <c r="AT10" i="1" s="1"/>
  <c r="AQ10" i="1"/>
  <c r="AO10" i="1"/>
  <c r="AM10" i="1"/>
  <c r="AK10" i="1"/>
  <c r="AJ10" i="1"/>
  <c r="AI10" i="1"/>
  <c r="L10" i="1"/>
  <c r="K10" i="1"/>
  <c r="AU9" i="1"/>
  <c r="AS9" i="1"/>
  <c r="AT9" i="1" s="1"/>
  <c r="AQ9" i="1"/>
  <c r="AR9" i="1" s="1"/>
  <c r="AO9" i="1"/>
  <c r="AM9" i="1"/>
  <c r="AK9" i="1"/>
  <c r="AI9" i="1"/>
  <c r="AJ9" i="1" s="1"/>
  <c r="K9" i="1"/>
  <c r="L9" i="1" s="1"/>
  <c r="AU8" i="1"/>
  <c r="AS8" i="1"/>
  <c r="AT8" i="1" s="1"/>
  <c r="AR8" i="1"/>
  <c r="AQ8" i="1"/>
  <c r="AO8" i="1"/>
  <c r="AM8" i="1"/>
  <c r="AK8" i="1"/>
  <c r="AI8" i="1"/>
  <c r="AJ8" i="1" s="1"/>
  <c r="L8" i="1"/>
  <c r="K8" i="1"/>
  <c r="AU7" i="1"/>
  <c r="AS7" i="1"/>
  <c r="AQ7" i="1"/>
  <c r="AO7" i="1"/>
  <c r="AM7" i="1"/>
  <c r="AK7" i="1"/>
  <c r="AJ7" i="1"/>
  <c r="AI7" i="1"/>
  <c r="L7" i="1"/>
  <c r="K7" i="1"/>
  <c r="AU6" i="1"/>
  <c r="AS6" i="1"/>
  <c r="AT6" i="1" s="1"/>
  <c r="AQ6" i="1"/>
  <c r="AR6" i="1" s="1"/>
  <c r="AO6" i="1"/>
  <c r="AM6" i="1"/>
  <c r="AK6" i="1"/>
  <c r="AI6" i="1"/>
  <c r="AJ6" i="1" s="1"/>
  <c r="K6" i="1"/>
  <c r="L6" i="1" s="1"/>
  <c r="AU5" i="1"/>
  <c r="AS5" i="1"/>
  <c r="AR5" i="1"/>
  <c r="AQ5" i="1"/>
  <c r="AO5" i="1"/>
  <c r="AM5" i="1"/>
  <c r="AK5" i="1"/>
  <c r="AI5" i="1"/>
  <c r="AJ5" i="1" s="1"/>
  <c r="L5" i="1"/>
  <c r="K5" i="1"/>
  <c r="AU4" i="1"/>
  <c r="AO44" i="1" s="1"/>
  <c r="AS4" i="1"/>
  <c r="AS25" i="1" s="1"/>
  <c r="AN31" i="1" s="1"/>
  <c r="AQ4" i="1"/>
  <c r="AQ25" i="1" s="1"/>
  <c r="AO4" i="1"/>
  <c r="AL46" i="1" s="1"/>
  <c r="AM4" i="1"/>
  <c r="AK44" i="1" s="1"/>
  <c r="AK4" i="1"/>
  <c r="AJ44" i="1" s="1"/>
  <c r="AJ4" i="1"/>
  <c r="AI4" i="1"/>
  <c r="AI56" i="1" s="1"/>
  <c r="L4" i="1"/>
  <c r="K4" i="1"/>
  <c r="AV8" i="1" l="1"/>
  <c r="AP19" i="1"/>
  <c r="AV10" i="1"/>
  <c r="AV23" i="1"/>
  <c r="AP13" i="1"/>
  <c r="AV5" i="1"/>
  <c r="AV18" i="1"/>
  <c r="AV13" i="1"/>
  <c r="AP16" i="1"/>
  <c r="L29" i="1"/>
  <c r="K37" i="1" s="1"/>
  <c r="AV16" i="1"/>
  <c r="AJ25" i="1"/>
  <c r="AI33" i="1" s="1"/>
  <c r="AV6" i="1"/>
  <c r="AV11" i="1"/>
  <c r="AK49" i="1"/>
  <c r="AV19" i="1"/>
  <c r="AP22" i="1"/>
  <c r="AL12" i="1"/>
  <c r="AR23" i="1"/>
  <c r="AR20" i="1"/>
  <c r="AM31" i="1"/>
  <c r="AV9" i="1"/>
  <c r="AV14" i="1"/>
  <c r="AV22" i="1"/>
  <c r="AO49" i="1"/>
  <c r="AR12" i="1"/>
  <c r="AR17" i="1"/>
  <c r="AP7" i="1"/>
  <c r="AT12" i="1"/>
  <c r="AT17" i="1"/>
  <c r="AR7" i="1"/>
  <c r="AV12" i="1"/>
  <c r="AV17" i="1"/>
  <c r="AT7" i="1"/>
  <c r="AL10" i="1"/>
  <c r="AR15" i="1"/>
  <c r="AT20" i="1"/>
  <c r="AP10" i="1"/>
  <c r="AT15" i="1"/>
  <c r="AV20" i="1"/>
  <c r="AR10" i="1"/>
  <c r="AV15" i="1"/>
  <c r="AT5" i="1"/>
  <c r="AP4" i="1"/>
  <c r="AK25" i="1"/>
  <c r="AJ31" i="1" s="1"/>
  <c r="AT4" i="1"/>
  <c r="AM25" i="1"/>
  <c r="AK31" i="1" s="1"/>
  <c r="AK32" i="1"/>
  <c r="AN46" i="1"/>
  <c r="AO25" i="1"/>
  <c r="AL32" i="1"/>
  <c r="AO46" i="1"/>
  <c r="AM32" i="1"/>
  <c r="AI48" i="1"/>
  <c r="AO45" i="1"/>
  <c r="AK46" i="1"/>
  <c r="AJ48" i="1"/>
  <c r="AK48" i="1"/>
  <c r="AN48" i="1"/>
  <c r="AO48" i="1"/>
  <c r="AL44" i="1"/>
  <c r="L26" i="1"/>
  <c r="AM44" i="1"/>
  <c r="L27" i="1"/>
  <c r="K35" i="1" s="1"/>
  <c r="AN44" i="1"/>
  <c r="AN45" i="1"/>
  <c r="AI32" i="1"/>
  <c r="AJ32" i="1"/>
  <c r="AI44" i="1"/>
  <c r="AI49" i="1" s="1"/>
  <c r="AJ46" i="1"/>
  <c r="AJ49" i="1" s="1"/>
  <c r="AR4" i="1"/>
  <c r="AR25" i="1" s="1"/>
  <c r="AM33" i="1" s="1"/>
  <c r="AM34" i="1" s="1"/>
  <c r="AM46" i="1"/>
  <c r="AN32" i="1"/>
  <c r="AU25" i="1"/>
  <c r="AO31" i="1" s="1"/>
  <c r="L28" i="1"/>
  <c r="K36" i="1" s="1"/>
  <c r="AI45" i="1"/>
  <c r="AL6" i="1" l="1"/>
  <c r="AN49" i="1"/>
  <c r="AN4" i="1"/>
  <c r="AN20" i="1"/>
  <c r="AL17" i="1"/>
  <c r="AL16" i="1"/>
  <c r="K34" i="1"/>
  <c r="L30" i="1"/>
  <c r="AN22" i="1"/>
  <c r="AN8" i="1"/>
  <c r="AL22" i="1"/>
  <c r="AL21" i="1"/>
  <c r="AL18" i="1"/>
  <c r="AN13" i="1"/>
  <c r="AN17" i="1"/>
  <c r="AN11" i="1"/>
  <c r="AT25" i="1"/>
  <c r="AN33" i="1" s="1"/>
  <c r="AN34" i="1" s="1"/>
  <c r="AN15" i="1"/>
  <c r="AN16" i="1"/>
  <c r="AL11" i="1"/>
  <c r="AL4" i="1"/>
  <c r="AL25" i="1" s="1"/>
  <c r="AJ33" i="1" s="1"/>
  <c r="AJ34" i="1" s="1"/>
  <c r="AL15" i="1"/>
  <c r="AN18" i="1"/>
  <c r="AL20" i="1"/>
  <c r="AN7" i="1"/>
  <c r="AN9" i="1"/>
  <c r="AL8" i="1"/>
  <c r="AL13" i="1"/>
  <c r="AN5" i="1"/>
  <c r="AI34" i="1"/>
  <c r="AN23" i="1"/>
  <c r="AL7" i="1"/>
  <c r="AL9" i="1"/>
  <c r="AN19" i="1"/>
  <c r="AN14" i="1"/>
  <c r="AN12" i="1"/>
  <c r="AN10" i="1"/>
  <c r="AL14" i="1"/>
  <c r="AP23" i="1"/>
  <c r="AP20" i="1"/>
  <c r="AP17" i="1"/>
  <c r="AP14" i="1"/>
  <c r="AP11" i="1"/>
  <c r="AP8" i="1"/>
  <c r="AP5" i="1"/>
  <c r="AP21" i="1"/>
  <c r="AP18" i="1"/>
  <c r="AP15" i="1"/>
  <c r="AP12" i="1"/>
  <c r="AP9" i="1"/>
  <c r="AP6" i="1"/>
  <c r="AP25" i="1" s="1"/>
  <c r="AL33" i="1" s="1"/>
  <c r="AL34" i="1" s="1"/>
  <c r="AL31" i="1"/>
  <c r="AV7" i="1"/>
  <c r="AV21" i="1"/>
  <c r="AV4" i="1"/>
  <c r="AV25" i="1" s="1"/>
  <c r="AO33" i="1" s="1"/>
  <c r="AO34" i="1" s="1"/>
  <c r="AL5" i="1"/>
  <c r="AL19" i="1"/>
  <c r="AN21" i="1"/>
  <c r="AL23" i="1"/>
  <c r="AN6" i="1"/>
  <c r="K38" i="1" l="1"/>
  <c r="L34" i="1"/>
  <c r="AN25" i="1"/>
  <c r="AK33" i="1" s="1"/>
  <c r="AK34" i="1" s="1"/>
  <c r="AN57" i="1" l="1"/>
  <c r="AI57" i="1"/>
  <c r="AK57" i="1"/>
  <c r="AL57" i="1"/>
  <c r="AJ57" i="1"/>
  <c r="AM57" i="1"/>
  <c r="AO57" i="1"/>
  <c r="L35" i="1"/>
  <c r="L38" i="1" s="1"/>
  <c r="L37" i="1"/>
  <c r="L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Luis Rios Garcia</author>
  </authors>
  <commentList>
    <comment ref="Z3" authorId="0" shapeId="0" xr:uid="{32FA583E-0126-45CB-8141-4A0C750065B0}">
      <text>
        <r>
          <rPr>
            <b/>
            <sz val="9"/>
            <color indexed="81"/>
            <rFont val="Tahoma"/>
            <family val="2"/>
          </rPr>
          <t xml:space="preserve">ingresos Operacionales …?
</t>
        </r>
      </text>
    </comment>
    <comment ref="AB3" authorId="0" shapeId="0" xr:uid="{FF75FA9F-AF31-4CCB-A88A-1EE2D4F0CA67}">
      <text>
        <r>
          <rPr>
            <b/>
            <sz val="9"/>
            <color indexed="81"/>
            <rFont val="Tahoma"/>
            <family val="2"/>
          </rPr>
          <t xml:space="preserve">utilidad bruta
</t>
        </r>
      </text>
    </comment>
    <comment ref="AC3" authorId="0" shapeId="0" xr:uid="{B23F2814-C606-465E-9B71-AD3F5BEB2629}">
      <text>
        <r>
          <rPr>
            <b/>
            <sz val="9"/>
            <color indexed="81"/>
            <rFont val="Tahoma"/>
            <family val="2"/>
          </rPr>
          <t>utilidad Operacional</t>
        </r>
      </text>
    </comment>
    <comment ref="AF3" authorId="0" shapeId="0" xr:uid="{1E7812DB-C512-4A63-B92A-D249949C0535}">
      <text>
        <r>
          <rPr>
            <b/>
            <sz val="9"/>
            <color indexed="81"/>
            <rFont val="Tahoma"/>
            <family val="2"/>
          </rPr>
          <t>utilidad neta</t>
        </r>
      </text>
    </comment>
  </commentList>
</comments>
</file>

<file path=xl/sharedStrings.xml><?xml version="1.0" encoding="utf-8"?>
<sst xmlns="http://schemas.openxmlformats.org/spreadsheetml/2006/main" count="277" uniqueCount="124">
  <si>
    <t>SMMLV 2025</t>
  </si>
  <si>
    <t>Expresado en miles de $</t>
  </si>
  <si>
    <t>INDICADORES FINANCIEROS</t>
  </si>
  <si>
    <t>GRUPO</t>
  </si>
  <si>
    <t>Nit</t>
  </si>
  <si>
    <t>Fecha Corte</t>
  </si>
  <si>
    <t>Razón social de la sociedad</t>
  </si>
  <si>
    <t>CODIGOS CIIU 4</t>
  </si>
  <si>
    <t>DESCRIPCION CLASIFICACION INTERNACIONAL INDUSTRIAL UNIFORME VERSION 4 A.C.</t>
  </si>
  <si>
    <t>Tipo societario</t>
  </si>
  <si>
    <t>Departamento de la dirección del domicilio</t>
  </si>
  <si>
    <t>TAMAÑO</t>
  </si>
  <si>
    <t>RANGO</t>
  </si>
  <si>
    <t>Efectivo y equivalentes al efectivo</t>
  </si>
  <si>
    <t>Inventarios corrientes</t>
  </si>
  <si>
    <t>Activos corrientes totales</t>
  </si>
  <si>
    <t>Inventarios no corrientes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</si>
  <si>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</si>
  <si>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</si>
  <si>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</si>
  <si>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</si>
  <si>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</si>
  <si>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</si>
  <si>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Total de patrimonio y pasivos</t>
  </si>
  <si>
    <t>Ingresos de actividades ordinarias</t>
  </si>
  <si>
    <t>Costo de ventas</t>
  </si>
  <si>
    <t>Ganancia bruta</t>
  </si>
  <si>
    <t>Ganancia (pérdida) por actividades de operación</t>
  </si>
  <si>
    <t>Costos financieros</t>
  </si>
  <si>
    <t>Ganancia (pérdida), antes de impuestos</t>
  </si>
  <si>
    <t>Ganancia (pérdida)</t>
  </si>
  <si>
    <t>LIQUIDEZ</t>
  </si>
  <si>
    <t>CUMPL LIQ</t>
  </si>
  <si>
    <t>ENDEUDAMIENTO</t>
  </si>
  <si>
    <t>CUMPL ENDEU</t>
  </si>
  <si>
    <t>COBERTURA DE INTERESES</t>
  </si>
  <si>
    <t>CUMPLI COBERT</t>
  </si>
  <si>
    <t>CAPITAL DE TRABAJO</t>
  </si>
  <si>
    <t>CUMPLI KW</t>
  </si>
  <si>
    <t>PATRIMONIO</t>
  </si>
  <si>
    <t>CUMPL PATRIM</t>
  </si>
  <si>
    <t>RENTABILIDAD DEL PATRIMONIO</t>
  </si>
  <si>
    <t>CUMPLIM RENT PATRIM</t>
  </si>
  <si>
    <t>RENTABILIDAD DEL ACTIVO</t>
  </si>
  <si>
    <t>CUMPL RENT ACTIV</t>
  </si>
  <si>
    <t>Pymes-Individuales</t>
  </si>
  <si>
    <t>2024-12-31</t>
  </si>
  <si>
    <t>BRAVO CORTES SAS -EN REORGANIZACION</t>
  </si>
  <si>
    <t>K6621</t>
  </si>
  <si>
    <t>K6621 - Actividades de agentes y corredores de seguros</t>
  </si>
  <si>
    <t>08. SOCIEDAD POR ACCIONES SIMPLIFICADA SAS</t>
  </si>
  <si>
    <t>BOGOTA D.C.</t>
  </si>
  <si>
    <t>JOSE LUIS NAVARRO MEJIA Y CIA SAS</t>
  </si>
  <si>
    <t>FONDO REGIONAL DE GARANTIAS DEL CARIBE COLOMBIANO SA</t>
  </si>
  <si>
    <t>01. SOCIEDAD ANÓNIMA</t>
  </si>
  <si>
    <t>ATLANTICO</t>
  </si>
  <si>
    <t>AMAYA RANGEL ASESORES DE SEGUROS LTDA</t>
  </si>
  <si>
    <t>03. SOCIEDAD LIMITADA</t>
  </si>
  <si>
    <t>NORTE DE SANTANDER</t>
  </si>
  <si>
    <t>RINCON SIERRA PROMOTORA BOLIVARIANA LTDA BIC</t>
  </si>
  <si>
    <t>ANTIOQUIA</t>
  </si>
  <si>
    <t>COASSIST LTDA</t>
  </si>
  <si>
    <t>MILLENIUM BROKER LTDA</t>
  </si>
  <si>
    <t>JAH COMPANY SERVICES SAS</t>
  </si>
  <si>
    <t>ALFONSO ROZO Y CIA LTDA</t>
  </si>
  <si>
    <t>jJORGE CORTES Y CIA LTDA  ASESORES DE SEGUROS</t>
  </si>
  <si>
    <t>ASEGURADORES DE SEGUROS GENERALES Y DE VIDA LIMITADA</t>
  </si>
  <si>
    <t>LA OCCIDENTAL LTDA</t>
  </si>
  <si>
    <t>VALLE</t>
  </si>
  <si>
    <t>TORRES GUARIN Y CIA LTDA ASESORES DE SEGUROS</t>
  </si>
  <si>
    <t>CALDAS</t>
  </si>
  <si>
    <t>AGENCIA DE SEGUROS ARANGO PAREJA Y CIA LIMITADA EN REORGANIZACION</t>
  </si>
  <si>
    <t>JAVIER PAZ SUAREZ Y CIA LTDA</t>
  </si>
  <si>
    <t>CAUCA</t>
  </si>
  <si>
    <t>QUALITY GRUPO ASEGURADOR LTDA</t>
  </si>
  <si>
    <t>RISARALDA</t>
  </si>
  <si>
    <t>NSC ASESORES DE SEGUROS LTDA</t>
  </si>
  <si>
    <t>SANTANDER</t>
  </si>
  <si>
    <t>RAVE, AGENCIA DE SEGUROS LTDA.</t>
  </si>
  <si>
    <t>Plenas-Individuales</t>
  </si>
  <si>
    <t>VARDI AGENCIA DE SEGUROS LTDA</t>
  </si>
  <si>
    <t>NACORA LIMITADA AGENCIA DE SEGUROS</t>
  </si>
  <si>
    <t>CANTIDAD</t>
  </si>
  <si>
    <t>MICROEMPRESAS</t>
  </si>
  <si>
    <t>Etiquetas de fila</t>
  </si>
  <si>
    <t>Cuenta de Nit</t>
  </si>
  <si>
    <t>PEQUEÑAS</t>
  </si>
  <si>
    <t>PLAZO:</t>
  </si>
  <si>
    <t>PPTO 2025</t>
  </si>
  <si>
    <t>MEDIANAS</t>
  </si>
  <si>
    <t>GRANDES</t>
  </si>
  <si>
    <t xml:space="preserve">INDICADORES PROCESO "        "  CODIGOS CIIU </t>
  </si>
  <si>
    <t>TOTAL</t>
  </si>
  <si>
    <t>VARIABLES</t>
  </si>
  <si>
    <t>RCI</t>
  </si>
  <si>
    <t>KW</t>
  </si>
  <si>
    <t>REN. PATRIMONIO</t>
  </si>
  <si>
    <t>REN. ACTIVOS</t>
  </si>
  <si>
    <t>INDICADORES</t>
  </si>
  <si>
    <t>SMMLV 2024</t>
  </si>
  <si>
    <t>EMPRESAS TOTALES</t>
  </si>
  <si>
    <t>N° DE EMPRESAS</t>
  </si>
  <si>
    <t>PARTICIPACIÓN</t>
  </si>
  <si>
    <t>EMPRESAS APTAS</t>
  </si>
  <si>
    <t>% EMP. APTAS</t>
  </si>
  <si>
    <t>Total general</t>
  </si>
  <si>
    <t>PROMEDIO INDICADORES</t>
  </si>
  <si>
    <t>RENT PATR</t>
  </si>
  <si>
    <t>RENT ACT</t>
  </si>
  <si>
    <t>INDICADORES DEL PROCESO</t>
  </si>
  <si>
    <t>PRESUPUESTO OFICIAL DEL PROCESO</t>
  </si>
  <si>
    <t>ANTICIPO</t>
  </si>
  <si>
    <t>PAGO 1</t>
  </si>
  <si>
    <t>PAGO 2</t>
  </si>
  <si>
    <t>PAGO 3</t>
  </si>
  <si>
    <t>CUARTIL 1</t>
  </si>
  <si>
    <t>CUARTIL 2</t>
  </si>
  <si>
    <t>CUARTIL 3</t>
  </si>
  <si>
    <t>desviación estandar</t>
  </si>
  <si>
    <t>INDICADORES PROPUESTOS</t>
  </si>
  <si>
    <t>Empresas que cumplen con los indicadores propuestos</t>
  </si>
  <si>
    <t>DEPARTAMENTO</t>
  </si>
  <si>
    <t># EMPRESAS</t>
  </si>
  <si>
    <t>% PARTICIPACIÓN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</si>
</sst>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$&quot;\ #,##0"/>
    <numFmt numFmtId="167" formatCode="_-* #,##0_-;\-* #,##0_-;_-* &quot;-&quot;??_-;_-@_-"/>
    <numFmt numFmtId="168" formatCode="_-[$$-240A]\ * #,##0.00_-;\-[$$-240A]\ * #,##0.00_-;_-[$$-240A]\ * &quot;-&quot;??_-;_-@_-"/>
    <numFmt numFmtId="169" formatCode="0.0%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61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2"/>
      <color theme="1"/>
      <name val="Arial"/>
    </font>
    <font>
      <b/>
      <i/>
      <sz val="9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1"/>
      <color rgb="FF9C6500"/>
      <name val="Aptos Narrow"/>
      <family val="2"/>
      <scheme val="minor"/>
    </font>
    <font>
      <b/>
      <sz val="10"/>
      <name val="Aptos Narrow"/>
      <family val="2"/>
      <scheme val="minor"/>
    </font>
    <font>
      <b/>
      <i/>
      <sz val="1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57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vertical="center"/>
    </xf>
    <xf numFmtId="0" fontId="7" fillId="0" borderId="0" xfId="0" applyFont="1" applyAlignment="1">
      <alignment horizontal="center" vertical="center"/>
    </xf>
    <xf numFmtId="167" fontId="7" fillId="0" borderId="0" xfId="1" applyNumberFormat="1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0" fontId="5" fillId="4" borderId="4" xfId="5" applyFont="1" applyFill="1" applyBorder="1" applyAlignment="1">
      <alignment horizontal="center" vertical="center"/>
    </xf>
    <xf numFmtId="0" fontId="5" fillId="4" borderId="5" xfId="5" applyFont="1" applyFill="1" applyBorder="1" applyAlignment="1">
      <alignment horizontal="center" vertical="center"/>
    </xf>
    <xf numFmtId="14" fontId="5" fillId="4" borderId="5" xfId="5" applyNumberFormat="1" applyFont="1" applyFill="1" applyBorder="1" applyAlignment="1">
      <alignment horizontal="center" vertical="center"/>
    </xf>
    <xf numFmtId="0" fontId="5" fillId="4" borderId="6" xfId="5" applyFont="1" applyFill="1" applyBorder="1" applyAlignment="1">
      <alignment horizontal="center" vertical="center"/>
    </xf>
    <xf numFmtId="166" fontId="10" fillId="2" borderId="4" xfId="4" applyNumberFormat="1" applyFont="1" applyBorder="1" applyAlignment="1">
      <alignment horizontal="center" vertical="center"/>
    </xf>
    <xf numFmtId="166" fontId="10" fillId="2" borderId="5" xfId="4" applyNumberFormat="1" applyFont="1" applyBorder="1" applyAlignment="1">
      <alignment horizontal="center" vertical="center"/>
    </xf>
    <xf numFmtId="166" fontId="10" fillId="2" borderId="6" xfId="4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5" fontId="0" fillId="0" borderId="10" xfId="1" applyFont="1" applyBorder="1" applyAlignment="1">
      <alignment horizontal="center" vertical="center"/>
    </xf>
    <xf numFmtId="166" fontId="0" fillId="0" borderId="10" xfId="1" applyNumberFormat="1" applyFont="1" applyBorder="1" applyAlignment="1">
      <alignment horizontal="right" vertical="center"/>
    </xf>
    <xf numFmtId="166" fontId="0" fillId="0" borderId="9" xfId="1" applyNumberFormat="1" applyFont="1" applyBorder="1" applyAlignment="1">
      <alignment horizontal="right" vertical="center"/>
    </xf>
    <xf numFmtId="166" fontId="0" fillId="0" borderId="9" xfId="1" applyNumberFormat="1" applyFont="1" applyBorder="1" applyAlignment="1">
      <alignment horizontal="center" vertical="center"/>
    </xf>
    <xf numFmtId="166" fontId="0" fillId="0" borderId="11" xfId="1" applyNumberFormat="1" applyFont="1" applyBorder="1" applyAlignment="1">
      <alignment horizontal="right" vertical="center"/>
    </xf>
    <xf numFmtId="165" fontId="0" fillId="0" borderId="0" xfId="1" applyFont="1" applyAlignment="1">
      <alignment horizontal="center" vertical="center"/>
    </xf>
    <xf numFmtId="166" fontId="0" fillId="0" borderId="10" xfId="1" applyNumberFormat="1" applyFont="1" applyBorder="1" applyAlignment="1">
      <alignment vertical="center"/>
    </xf>
    <xf numFmtId="167" fontId="0" fillId="0" borderId="0" xfId="1" applyNumberFormat="1" applyFont="1" applyAlignment="1">
      <alignment horizontal="center" vertical="center"/>
    </xf>
    <xf numFmtId="165" fontId="0" fillId="0" borderId="10" xfId="1" applyFont="1" applyBorder="1" applyAlignment="1">
      <alignment vertical="center"/>
    </xf>
    <xf numFmtId="0" fontId="0" fillId="6" borderId="9" xfId="0" applyFill="1" applyBorder="1" applyAlignment="1">
      <alignment horizontal="center" vertical="center"/>
    </xf>
    <xf numFmtId="10" fontId="0" fillId="0" borderId="9" xfId="3" applyNumberFormat="1" applyFont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6" fillId="0" borderId="0" xfId="0" applyFont="1"/>
    <xf numFmtId="167" fontId="12" fillId="7" borderId="12" xfId="1" applyNumberFormat="1" applyFont="1" applyFill="1" applyBorder="1" applyAlignment="1">
      <alignment horizontal="center" vertical="center" readingOrder="1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165" fontId="5" fillId="0" borderId="13" xfId="1" applyFont="1" applyBorder="1" applyAlignment="1">
      <alignment vertical="center"/>
    </xf>
    <xf numFmtId="165" fontId="5" fillId="0" borderId="15" xfId="1" applyFont="1" applyBorder="1" applyAlignment="1">
      <alignment vertical="center"/>
    </xf>
    <xf numFmtId="167" fontId="0" fillId="0" borderId="11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7" fontId="0" fillId="0" borderId="17" xfId="1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right" vertical="center" readingOrder="1"/>
    </xf>
    <xf numFmtId="2" fontId="13" fillId="9" borderId="0" xfId="0" applyNumberFormat="1" applyFont="1" applyFill="1"/>
    <xf numFmtId="168" fontId="0" fillId="9" borderId="0" xfId="0" applyNumberFormat="1" applyFill="1" applyAlignment="1">
      <alignment vertical="center"/>
    </xf>
    <xf numFmtId="2" fontId="14" fillId="0" borderId="0" xfId="2" applyNumberFormat="1" applyFont="1" applyAlignment="1">
      <alignment horizontal="center"/>
    </xf>
    <xf numFmtId="2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 vertical="center" readingOrder="1"/>
    </xf>
    <xf numFmtId="2" fontId="13" fillId="0" borderId="0" xfId="0" applyNumberFormat="1" applyFont="1"/>
    <xf numFmtId="2" fontId="15" fillId="0" borderId="0" xfId="0" applyNumberFormat="1" applyFont="1" applyAlignment="1">
      <alignment horizontal="center" vertical="center"/>
    </xf>
    <xf numFmtId="2" fontId="15" fillId="0" borderId="0" xfId="2" applyNumberFormat="1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167" fontId="5" fillId="8" borderId="14" xfId="1" applyNumberFormat="1" applyFont="1" applyFill="1" applyBorder="1" applyAlignment="1">
      <alignment horizontal="center" vertical="center"/>
    </xf>
    <xf numFmtId="2" fontId="17" fillId="3" borderId="13" xfId="5" applyNumberFormat="1" applyFont="1" applyBorder="1" applyAlignment="1">
      <alignment horizontal="center" vertical="center"/>
    </xf>
    <xf numFmtId="2" fontId="17" fillId="3" borderId="15" xfId="5" applyNumberFormat="1" applyFont="1" applyBorder="1" applyAlignment="1">
      <alignment vertical="center"/>
    </xf>
    <xf numFmtId="2" fontId="17" fillId="3" borderId="15" xfId="5" applyNumberFormat="1" applyFont="1" applyBorder="1" applyAlignment="1">
      <alignment horizontal="center" vertical="center"/>
    </xf>
    <xf numFmtId="2" fontId="17" fillId="3" borderId="14" xfId="5" applyNumberFormat="1" applyFont="1" applyBorder="1" applyAlignment="1">
      <alignment horizontal="center" vertical="center"/>
    </xf>
    <xf numFmtId="2" fontId="18" fillId="10" borderId="8" xfId="1" applyNumberFormat="1" applyFont="1" applyFill="1" applyBorder="1" applyAlignment="1">
      <alignment horizontal="center" vertical="center"/>
    </xf>
    <xf numFmtId="2" fontId="19" fillId="0" borderId="9" xfId="0" applyNumberFormat="1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164" fontId="5" fillId="0" borderId="23" xfId="2" applyFont="1" applyBorder="1" applyAlignment="1">
      <alignment horizontal="center" vertical="center"/>
    </xf>
    <xf numFmtId="2" fontId="20" fillId="10" borderId="16" xfId="1" applyNumberFormat="1" applyFont="1" applyFill="1" applyBorder="1" applyAlignment="1">
      <alignment horizontal="center" vertical="center"/>
    </xf>
    <xf numFmtId="167" fontId="5" fillId="0" borderId="10" xfId="1" applyNumberFormat="1" applyFont="1" applyBorder="1" applyAlignment="1">
      <alignment vertical="center"/>
    </xf>
    <xf numFmtId="0" fontId="5" fillId="8" borderId="24" xfId="0" applyFont="1" applyFill="1" applyBorder="1" applyAlignment="1">
      <alignment horizontal="center" vertical="center"/>
    </xf>
    <xf numFmtId="167" fontId="0" fillId="0" borderId="10" xfId="1" applyNumberFormat="1" applyFont="1" applyBorder="1" applyAlignment="1">
      <alignment vertical="center"/>
    </xf>
    <xf numFmtId="167" fontId="0" fillId="0" borderId="10" xfId="1" applyNumberFormat="1" applyFont="1" applyBorder="1" applyAlignment="1">
      <alignment horizontal="center" vertical="center"/>
    </xf>
    <xf numFmtId="167" fontId="0" fillId="0" borderId="9" xfId="0" applyNumberFormat="1" applyBorder="1" applyAlignment="1">
      <alignment vertical="center"/>
    </xf>
    <xf numFmtId="10" fontId="0" fillId="0" borderId="11" xfId="3" applyNumberFormat="1" applyFont="1" applyBorder="1" applyAlignment="1">
      <alignment horizontal="center" vertical="center"/>
    </xf>
    <xf numFmtId="2" fontId="21" fillId="11" borderId="25" xfId="1" applyNumberFormat="1" applyFont="1" applyFill="1" applyBorder="1" applyAlignment="1">
      <alignment horizontal="center" vertical="center"/>
    </xf>
    <xf numFmtId="10" fontId="6" fillId="11" borderId="26" xfId="3" applyNumberFormat="1" applyFont="1" applyFill="1" applyBorder="1" applyAlignment="1">
      <alignment vertical="center"/>
    </xf>
    <xf numFmtId="10" fontId="6" fillId="11" borderId="26" xfId="3" applyNumberFormat="1" applyFont="1" applyFill="1" applyBorder="1" applyAlignment="1">
      <alignment horizontal="center" vertical="center"/>
    </xf>
    <xf numFmtId="10" fontId="6" fillId="11" borderId="27" xfId="3" applyNumberFormat="1" applyFont="1" applyFill="1" applyBorder="1" applyAlignment="1">
      <alignment horizontal="center" vertical="center"/>
    </xf>
    <xf numFmtId="167" fontId="0" fillId="0" borderId="10" xfId="0" applyNumberFormat="1" applyBorder="1" applyAlignment="1">
      <alignment vertical="center"/>
    </xf>
    <xf numFmtId="167" fontId="0" fillId="0" borderId="23" xfId="0" applyNumberFormat="1" applyBorder="1" applyAlignment="1">
      <alignment vertical="center"/>
    </xf>
    <xf numFmtId="2" fontId="20" fillId="12" borderId="13" xfId="1" applyNumberFormat="1" applyFont="1" applyFill="1" applyBorder="1" applyAlignment="1">
      <alignment horizontal="center" vertical="center"/>
    </xf>
    <xf numFmtId="2" fontId="20" fillId="12" borderId="15" xfId="1" applyNumberFormat="1" applyFont="1" applyFill="1" applyBorder="1" applyAlignment="1">
      <alignment vertical="center"/>
    </xf>
    <xf numFmtId="2" fontId="20" fillId="12" borderId="15" xfId="1" applyNumberFormat="1" applyFont="1" applyFill="1" applyBorder="1" applyAlignment="1">
      <alignment horizontal="center" vertical="center"/>
    </xf>
    <xf numFmtId="2" fontId="20" fillId="12" borderId="14" xfId="1" applyNumberFormat="1" applyFont="1" applyFill="1" applyBorder="1" applyAlignment="1">
      <alignment horizontal="center" vertical="center"/>
    </xf>
    <xf numFmtId="167" fontId="5" fillId="8" borderId="15" xfId="0" applyNumberFormat="1" applyFont="1" applyFill="1" applyBorder="1" applyAlignment="1">
      <alignment vertical="center"/>
    </xf>
    <xf numFmtId="9" fontId="5" fillId="8" borderId="14" xfId="3" applyFont="1" applyFill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9" fontId="20" fillId="0" borderId="10" xfId="3" applyFont="1" applyBorder="1" applyAlignment="1">
      <alignment vertical="center"/>
    </xf>
    <xf numFmtId="2" fontId="20" fillId="0" borderId="10" xfId="2" applyNumberFormat="1" applyFont="1" applyBorder="1" applyAlignment="1">
      <alignment horizontal="center" vertical="center"/>
    </xf>
    <xf numFmtId="2" fontId="20" fillId="0" borderId="17" xfId="2" applyNumberFormat="1" applyFont="1" applyBorder="1" applyAlignment="1">
      <alignment horizontal="center" vertical="center"/>
    </xf>
    <xf numFmtId="2" fontId="20" fillId="0" borderId="18" xfId="0" applyNumberFormat="1" applyFont="1" applyBorder="1" applyAlignment="1">
      <alignment horizontal="center" vertical="center"/>
    </xf>
    <xf numFmtId="9" fontId="20" fillId="0" borderId="23" xfId="3" applyFont="1" applyBorder="1" applyAlignment="1">
      <alignment vertical="center"/>
    </xf>
    <xf numFmtId="2" fontId="20" fillId="0" borderId="23" xfId="2" applyNumberFormat="1" applyFont="1" applyBorder="1" applyAlignment="1">
      <alignment horizontal="center" vertical="center"/>
    </xf>
    <xf numFmtId="2" fontId="20" fillId="0" borderId="19" xfId="2" applyNumberFormat="1" applyFont="1" applyBorder="1" applyAlignment="1">
      <alignment horizontal="center" vertical="center"/>
    </xf>
    <xf numFmtId="2" fontId="18" fillId="13" borderId="34" xfId="1" applyNumberFormat="1" applyFont="1" applyFill="1" applyBorder="1" applyAlignment="1">
      <alignment horizontal="center" vertical="center"/>
    </xf>
    <xf numFmtId="2" fontId="22" fillId="13" borderId="35" xfId="1" applyNumberFormat="1" applyFont="1" applyFill="1" applyBorder="1" applyAlignment="1">
      <alignment vertical="center"/>
    </xf>
    <xf numFmtId="10" fontId="22" fillId="13" borderId="35" xfId="3" applyNumberFormat="1" applyFont="1" applyFill="1" applyBorder="1" applyAlignment="1">
      <alignment horizontal="center" vertical="center"/>
    </xf>
    <xf numFmtId="2" fontId="22" fillId="13" borderId="35" xfId="1" applyNumberFormat="1" applyFont="1" applyFill="1" applyBorder="1" applyAlignment="1">
      <alignment horizontal="center" vertical="center"/>
    </xf>
    <xf numFmtId="165" fontId="22" fillId="13" borderId="35" xfId="1" applyFont="1" applyFill="1" applyBorder="1" applyAlignment="1">
      <alignment horizontal="center" vertical="center"/>
    </xf>
    <xf numFmtId="2" fontId="20" fillId="13" borderId="16" xfId="1" applyNumberFormat="1" applyFont="1" applyFill="1" applyBorder="1" applyAlignment="1">
      <alignment horizontal="center" vertical="center"/>
    </xf>
    <xf numFmtId="2" fontId="23" fillId="13" borderId="10" xfId="1" applyNumberFormat="1" applyFont="1" applyFill="1" applyBorder="1" applyAlignment="1">
      <alignment vertical="center"/>
    </xf>
    <xf numFmtId="10" fontId="23" fillId="13" borderId="10" xfId="3" applyNumberFormat="1" applyFont="1" applyFill="1" applyBorder="1" applyAlignment="1">
      <alignment horizontal="center" vertical="center"/>
    </xf>
    <xf numFmtId="2" fontId="23" fillId="13" borderId="10" xfId="1" applyNumberFormat="1" applyFont="1" applyFill="1" applyBorder="1" applyAlignment="1">
      <alignment horizontal="center" vertical="center"/>
    </xf>
    <xf numFmtId="165" fontId="23" fillId="13" borderId="10" xfId="1" applyFont="1" applyFill="1" applyBorder="1" applyAlignment="1">
      <alignment horizontal="center" vertical="center"/>
    </xf>
    <xf numFmtId="2" fontId="23" fillId="13" borderId="17" xfId="1" applyNumberFormat="1" applyFont="1" applyFill="1" applyBorder="1" applyAlignment="1">
      <alignment horizontal="center" vertical="center"/>
    </xf>
    <xf numFmtId="2" fontId="20" fillId="13" borderId="25" xfId="1" applyNumberFormat="1" applyFont="1" applyFill="1" applyBorder="1" applyAlignment="1">
      <alignment horizontal="center" vertical="center"/>
    </xf>
    <xf numFmtId="2" fontId="23" fillId="13" borderId="26" xfId="1" applyNumberFormat="1" applyFont="1" applyFill="1" applyBorder="1" applyAlignment="1">
      <alignment vertical="center"/>
    </xf>
    <xf numFmtId="10" fontId="23" fillId="13" borderId="26" xfId="3" applyNumberFormat="1" applyFont="1" applyFill="1" applyBorder="1" applyAlignment="1">
      <alignment horizontal="center" vertical="center"/>
    </xf>
    <xf numFmtId="2" fontId="23" fillId="13" borderId="26" xfId="1" applyNumberFormat="1" applyFont="1" applyFill="1" applyBorder="1" applyAlignment="1">
      <alignment horizontal="center" vertical="center"/>
    </xf>
    <xf numFmtId="165" fontId="23" fillId="13" borderId="26" xfId="1" applyFont="1" applyFill="1" applyBorder="1" applyAlignment="1">
      <alignment horizontal="center" vertical="center"/>
    </xf>
    <xf numFmtId="2" fontId="23" fillId="13" borderId="27" xfId="1" applyNumberFormat="1" applyFont="1" applyFill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165" fontId="0" fillId="0" borderId="1" xfId="1" applyFont="1" applyBorder="1" applyAlignment="1">
      <alignment vertical="center"/>
    </xf>
    <xf numFmtId="9" fontId="0" fillId="0" borderId="2" xfId="3" applyFont="1" applyBorder="1" applyAlignment="1">
      <alignment horizontal="center" vertical="center"/>
    </xf>
    <xf numFmtId="165" fontId="0" fillId="0" borderId="2" xfId="1" applyFont="1" applyBorder="1" applyAlignment="1">
      <alignment horizontal="center" vertical="center"/>
    </xf>
    <xf numFmtId="165" fontId="0" fillId="0" borderId="2" xfId="1" applyFont="1" applyBorder="1" applyAlignment="1">
      <alignment vertical="center"/>
    </xf>
    <xf numFmtId="165" fontId="0" fillId="0" borderId="3" xfId="1" applyFont="1" applyBorder="1" applyAlignment="1">
      <alignment vertical="center"/>
    </xf>
    <xf numFmtId="165" fontId="0" fillId="7" borderId="1" xfId="1" applyFont="1" applyFill="1" applyBorder="1" applyAlignment="1">
      <alignment vertical="center"/>
    </xf>
    <xf numFmtId="10" fontId="0" fillId="7" borderId="2" xfId="3" applyNumberFormat="1" applyFont="1" applyFill="1" applyBorder="1" applyAlignment="1">
      <alignment horizontal="center" vertical="center"/>
    </xf>
    <xf numFmtId="165" fontId="0" fillId="7" borderId="2" xfId="1" applyFont="1" applyFill="1" applyBorder="1" applyAlignment="1">
      <alignment horizontal="center" vertical="center"/>
    </xf>
    <xf numFmtId="165" fontId="0" fillId="7" borderId="3" xfId="1" applyFont="1" applyFill="1" applyBorder="1" applyAlignment="1">
      <alignment horizontal="center" vertical="center"/>
    </xf>
    <xf numFmtId="2" fontId="20" fillId="8" borderId="10" xfId="1" applyNumberFormat="1" applyFont="1" applyFill="1" applyBorder="1" applyAlignment="1">
      <alignment horizontal="center" vertical="center"/>
    </xf>
    <xf numFmtId="2" fontId="20" fillId="8" borderId="10" xfId="1" applyNumberFormat="1" applyFont="1" applyFill="1" applyBorder="1" applyAlignment="1">
      <alignment vertical="center"/>
    </xf>
    <xf numFmtId="2" fontId="22" fillId="9" borderId="10" xfId="1" applyNumberFormat="1" applyFont="1" applyFill="1" applyBorder="1" applyAlignment="1">
      <alignment horizontal="center" vertical="center"/>
    </xf>
    <xf numFmtId="9" fontId="22" fillId="9" borderId="10" xfId="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9" fontId="0" fillId="0" borderId="10" xfId="3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0" xfId="0" applyBorder="1"/>
    <xf numFmtId="10" fontId="0" fillId="0" borderId="10" xfId="3" applyNumberFormat="1" applyFont="1" applyBorder="1" applyAlignment="1">
      <alignment horizontal="center" vertical="center"/>
    </xf>
    <xf numFmtId="0" fontId="5" fillId="0" borderId="39" xfId="0" applyFont="1" applyBorder="1"/>
    <xf numFmtId="0" fontId="5" fillId="0" borderId="24" xfId="0" applyFont="1" applyBorder="1" applyAlignment="1">
      <alignment horizontal="center" vertical="center"/>
    </xf>
    <xf numFmtId="10" fontId="5" fillId="0" borderId="40" xfId="3" applyNumberFormat="1" applyFont="1" applyBorder="1" applyAlignment="1">
      <alignment horizontal="center" vertical="center"/>
    </xf>
    <xf numFmtId="0" fontId="0" fillId="0" borderId="0" xfId="0" pivotButton="1"/>
    <xf numFmtId="0" fontId="24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readingOrder="1"/>
    </xf>
    <xf numFmtId="0" fontId="9" fillId="0" borderId="3" xfId="0" applyFont="1" applyBorder="1" applyAlignment="1">
      <alignment horizontal="center" vertical="center" readingOrder="1"/>
    </xf>
    <xf numFmtId="2" fontId="16" fillId="0" borderId="20" xfId="0" applyNumberFormat="1" applyFont="1" applyBorder="1" applyAlignment="1">
      <alignment horizontal="center" vertical="center"/>
    </xf>
    <xf numFmtId="2" fontId="16" fillId="0" borderId="21" xfId="0" applyNumberFormat="1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 vertical="center"/>
    </xf>
    <xf numFmtId="2" fontId="9" fillId="7" borderId="28" xfId="0" applyNumberFormat="1" applyFont="1" applyFill="1" applyBorder="1" applyAlignment="1">
      <alignment horizontal="center" vertical="center"/>
    </xf>
    <xf numFmtId="2" fontId="9" fillId="7" borderId="29" xfId="0" applyNumberFormat="1" applyFont="1" applyFill="1" applyBorder="1" applyAlignment="1">
      <alignment horizontal="center" vertical="center"/>
    </xf>
    <xf numFmtId="2" fontId="9" fillId="7" borderId="30" xfId="0" applyNumberFormat="1" applyFont="1" applyFill="1" applyBorder="1" applyAlignment="1">
      <alignment horizontal="center" vertical="center"/>
    </xf>
    <xf numFmtId="2" fontId="5" fillId="0" borderId="31" xfId="0" applyNumberFormat="1" applyFont="1" applyBorder="1" applyAlignment="1">
      <alignment horizontal="center" vertical="center"/>
    </xf>
    <xf numFmtId="2" fontId="5" fillId="0" borderId="32" xfId="0" applyNumberFormat="1" applyFont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2" fontId="20" fillId="8" borderId="36" xfId="1" applyNumberFormat="1" applyFont="1" applyFill="1" applyBorder="1" applyAlignment="1">
      <alignment horizontal="center" vertical="center"/>
    </xf>
    <xf numFmtId="2" fontId="20" fillId="8" borderId="37" xfId="1" applyNumberFormat="1" applyFont="1" applyFill="1" applyBorder="1" applyAlignment="1">
      <alignment horizontal="center" vertical="center"/>
    </xf>
    <xf numFmtId="2" fontId="20" fillId="8" borderId="38" xfId="1" applyNumberFormat="1" applyFont="1" applyFill="1" applyBorder="1" applyAlignment="1">
      <alignment horizontal="center" vertical="center"/>
    </xf>
  </cellXfs>
  <cellStyles count="6">
    <cellStyle name="Bueno" xfId="4" builtinId="26"/>
    <cellStyle name="Millares" xfId="1" builtinId="3"/>
    <cellStyle name="Moneda" xfId="2" builtinId="4"/>
    <cellStyle name="Neutral" xfId="5" builtinId="28"/>
    <cellStyle name="Normal" xfId="0" builtinId="0"/>
    <cellStyle name="Porcentaje" xfId="3" builtinId="5"/>
  </cellStyles>
  <dxfs count="6"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tha Isabel Clavijo Pinzón" refreshedDate="46092.489624768517" createdVersion="8" refreshedVersion="8" minRefreshableVersion="3" recordCount="20" xr:uid="{D498998A-7E20-40E4-8AA3-BAA7EA4663CD}">
  <cacheSource type="worksheet">
    <worksheetSource ref="C3:L23" sheet="Hoja1 (2)"/>
  </cacheSource>
  <cacheFields count="10">
    <cacheField name="GRUPO" numFmtId="0">
      <sharedItems/>
    </cacheField>
    <cacheField name="Nit" numFmtId="0">
      <sharedItems containsSemiMixedTypes="0" containsString="0" containsNumber="1" containsInteger="1" minValue="800051086" maxValue="900407272"/>
    </cacheField>
    <cacheField name="Fecha Corte" numFmtId="14">
      <sharedItems/>
    </cacheField>
    <cacheField name="Razón social de la sociedad" numFmtId="0">
      <sharedItems/>
    </cacheField>
    <cacheField name="CODIGOS CIIU 4" numFmtId="0">
      <sharedItems/>
    </cacheField>
    <cacheField name="DESCRIPCION CLASIFICACION INTERNACIONAL INDUSTRIAL UNIFORME VERSION 4 A.C." numFmtId="0">
      <sharedItems/>
    </cacheField>
    <cacheField name="Tipo societario" numFmtId="0">
      <sharedItems/>
    </cacheField>
    <cacheField name="Departamento de la dirección del domicilio" numFmtId="0">
      <sharedItems count="9">
        <s v="BOGOTA D.C."/>
        <s v="ATLANTICO"/>
        <s v="NORTE DE SANTANDER"/>
        <s v="ANTIOQUIA"/>
        <s v="VALLE"/>
        <s v="CALDAS"/>
        <s v="CAUCA"/>
        <s v="RISARALDA"/>
        <s v="SANTANDER"/>
      </sharedItems>
    </cacheField>
    <cacheField name="TAMAÑO" numFmtId="165">
      <sharedItems containsSemiMixedTypes="0" containsString="0" containsNumber="1" minValue="47.040393396557782" maxValue="24712.142606252197"/>
    </cacheField>
    <cacheField name="RANGO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s v="Pymes-Individuales"/>
    <n v="800051086"/>
    <s v="2024-12-31"/>
    <s v="BRAVO CORTES SAS -EN REORGANIZACION"/>
    <s v="K6621"/>
    <s v="K6621 - Actividades de agentes y corredores de seguros"/>
    <s v="08. SOCIEDAD POR ACCIONES SIMPLIFICADA SAS"/>
    <x v="0"/>
    <n v="3119.2736213558132"/>
    <s v="PEQUEÑA"/>
  </r>
  <r>
    <s v="Pymes-Individuales"/>
    <n v="800210590"/>
    <s v="2024-12-31"/>
    <s v="JOSE LUIS NAVARRO MEJIA Y CIA SAS"/>
    <s v="K6621"/>
    <s v="K6621 - Actividades de agentes y corredores de seguros"/>
    <s v="08. SOCIEDAD POR ACCIONES SIMPLIFICADA SAS"/>
    <x v="0"/>
    <n v="1365.4682121531437"/>
    <s v="PEQUEÑA"/>
  </r>
  <r>
    <s v="Pymes-Individuales"/>
    <n v="802004610"/>
    <s v="2024-12-31"/>
    <s v="FONDO REGIONAL DE GARANTIAS DEL CARIBE COLOMBIANO SA"/>
    <s v="K6621"/>
    <s v="K6621 - Actividades de agentes y corredores de seguros"/>
    <s v="01. SOCIEDAD ANÓNIMA"/>
    <x v="1"/>
    <n v="8731.5742887249744"/>
    <s v="MEDIANA"/>
  </r>
  <r>
    <s v="Pymes-Individuales"/>
    <n v="807003078"/>
    <s v="2024-12-31"/>
    <s v="AMAYA RANGEL ASESORES DE SEGUROS LTDA"/>
    <s v="K6621"/>
    <s v="K6621 - Actividades de agentes y corredores de seguros"/>
    <s v="03. SOCIEDAD LIMITADA"/>
    <x v="2"/>
    <n v="404.5591851071303"/>
    <s v="MICRO EMPRESA"/>
  </r>
  <r>
    <s v="Pymes-Individuales"/>
    <n v="811012274"/>
    <s v="2024-12-31"/>
    <s v="RINCON SIERRA PROMOTORA BOLIVARIANA LTDA BIC"/>
    <s v="K6621"/>
    <s v="K6621 - Actividades de agentes y corredores de seguros"/>
    <s v="03. SOCIEDAD LIMITADA"/>
    <x v="3"/>
    <n v="7199.3909378292938"/>
    <s v="MEDIANA"/>
  </r>
  <r>
    <s v="Pymes-Individuales"/>
    <n v="811017425"/>
    <s v="2024-12-31"/>
    <s v="COASSIST LTDA"/>
    <s v="K6621"/>
    <s v="K6621 - Actividades de agentes y corredores de seguros"/>
    <s v="03. SOCIEDAD LIMITADA"/>
    <x v="3"/>
    <n v="24712.142606252197"/>
    <s v="MEDIANA"/>
  </r>
  <r>
    <s v="Pymes-Individuales"/>
    <n v="830041025"/>
    <s v="2024-12-31"/>
    <s v="MILLENIUM BROKER LTDA"/>
    <s v="K6621"/>
    <s v="K6621 - Actividades de agentes y corredores de seguros"/>
    <s v="03. SOCIEDAD LIMITADA"/>
    <x v="0"/>
    <n v="4120.8310502283102"/>
    <s v="PEQUEÑA"/>
  </r>
  <r>
    <s v="Pymes-Individuales"/>
    <n v="830109678"/>
    <s v="2024-12-31"/>
    <s v="JAH COMPANY SERVICES SAS"/>
    <s v="K6621"/>
    <s v="K6621 - Actividades de agentes y corredores de seguros"/>
    <s v="08. SOCIEDAD POR ACCIONES SIMPLIFICADA SAS"/>
    <x v="0"/>
    <n v="3007.893220934317"/>
    <s v="PEQUEÑA"/>
  </r>
  <r>
    <s v="Pymes-Individuales"/>
    <n v="860010499"/>
    <s v="2024-12-31"/>
    <s v="ALFONSO ROZO Y CIA LTDA"/>
    <s v="K6621"/>
    <s v="K6621 - Actividades de agentes y corredores de seguros"/>
    <s v="03. SOCIEDAD LIMITADA"/>
    <x v="0"/>
    <n v="5521.6234632946962"/>
    <s v="MEDIANA"/>
  </r>
  <r>
    <s v="Pymes-Individuales"/>
    <n v="860503459"/>
    <s v="2024-12-31"/>
    <s v="jJORGE CORTES Y CIA LTDA  ASESORES DE SEGUROS"/>
    <s v="K6621"/>
    <s v="K6621 - Actividades de agentes y corredores de seguros"/>
    <s v="03. SOCIEDAD LIMITADA"/>
    <x v="0"/>
    <n v="3819.0024587284861"/>
    <s v="PEQUEÑA"/>
  </r>
  <r>
    <s v="Pymes-Individuales"/>
    <n v="890106957"/>
    <s v="2024-12-31"/>
    <s v="ASEGURADORES DE SEGUROS GENERALES Y DE VIDA LIMITADA"/>
    <s v="K6621"/>
    <s v="K6621 - Actividades de agentes y corredores de seguros"/>
    <s v="03. SOCIEDAD LIMITADA"/>
    <x v="1"/>
    <n v="1530.2430628732"/>
    <s v="PEQUEÑA"/>
  </r>
  <r>
    <s v="Pymes-Individuales"/>
    <n v="890304882"/>
    <s v="2024-12-31"/>
    <s v="LA OCCIDENTAL LTDA"/>
    <s v="K6621"/>
    <s v="K6621 - Actividades de agentes y corredores de seguros"/>
    <s v="03. SOCIEDAD LIMITADA"/>
    <x v="4"/>
    <n v="5442.9666315419736"/>
    <s v="MEDIANA"/>
  </r>
  <r>
    <s v="Pymes-Individuales"/>
    <n v="890803304"/>
    <s v="2024-12-31"/>
    <s v="TORRES GUARIN Y CIA LTDA ASESORES DE SEGUROS"/>
    <s v="K6621"/>
    <s v="K6621 - Actividades de agentes y corredores de seguros"/>
    <s v="03. SOCIEDAD LIMITADA"/>
    <x v="5"/>
    <n v="8394.8394801545492"/>
    <s v="MEDIANA"/>
  </r>
  <r>
    <s v="Pymes-Individuales"/>
    <n v="890917657"/>
    <s v="2024-12-31"/>
    <s v="AGENCIA DE SEGUROS ARANGO PAREJA Y CIA LIMITADA EN REORGANIZACION"/>
    <s v="K6621"/>
    <s v="K6621 - Actividades de agentes y corredores de seguros"/>
    <s v="03. SOCIEDAD LIMITADA"/>
    <x v="3"/>
    <n v="47.040393396557782"/>
    <s v="MICRO EMPRESA"/>
  </r>
  <r>
    <s v="Pymes-Individuales"/>
    <n v="891502661"/>
    <s v="2024-12-31"/>
    <s v="JAVIER PAZ SUAREZ Y CIA LTDA"/>
    <s v="K6621"/>
    <s v="K6621 - Actividades de agentes y corredores de seguros"/>
    <s v="03. SOCIEDAD LIMITADA"/>
    <x v="6"/>
    <n v="2482.0920266947664"/>
    <s v="PEQUEÑA"/>
  </r>
  <r>
    <s v="Pymes-Individuales"/>
    <n v="900068666"/>
    <s v="2024-12-31"/>
    <s v="QUALITY GRUPO ASEGURADOR LTDA"/>
    <s v="K6621"/>
    <s v="K6621 - Actividades de agentes y corredores de seguros"/>
    <s v="03. SOCIEDAD LIMITADA"/>
    <x v="7"/>
    <n v="5220.9919213206886"/>
    <s v="MEDIANA"/>
  </r>
  <r>
    <s v="Pymes-Individuales"/>
    <n v="900265778"/>
    <s v="2024-12-31"/>
    <s v="NSC ASESORES DE SEGUROS LTDA"/>
    <s v="K6621"/>
    <s v="K6621 - Actividades de agentes y corredores de seguros"/>
    <s v="03. SOCIEDAD LIMITADA"/>
    <x v="8"/>
    <n v="712.80646294344922"/>
    <s v="PEQUEÑA"/>
  </r>
  <r>
    <s v="Pymes-Individuales"/>
    <n v="900407272"/>
    <s v="2024-12-31"/>
    <s v="RAVE, AGENCIA DE SEGUROS LTDA."/>
    <s v="K6621"/>
    <s v="K6621 - Actividades de agentes y corredores de seguros"/>
    <s v="03. SOCIEDAD LIMITADA"/>
    <x v="3"/>
    <n v="1382.6455918510712"/>
    <s v="PEQUEÑA"/>
  </r>
  <r>
    <s v="Plenas-Individuales"/>
    <n v="900382405"/>
    <s v="2024-12-31"/>
    <s v="VARDI AGENCIA DE SEGUROS LTDA"/>
    <s v="K6621"/>
    <s v="K6621 - Actividades de agentes y corredores de seguros"/>
    <s v="03. SOCIEDAD LIMITADA"/>
    <x v="0"/>
    <n v="6474.9582016157356"/>
    <s v="MEDIANA"/>
  </r>
  <r>
    <s v="Plenas-Individuales"/>
    <n v="900400934"/>
    <s v="2024-12-31"/>
    <s v="NACORA LIMITADA AGENCIA DE SEGUROS"/>
    <s v="K6621"/>
    <s v="K6621 - Actividades de agentes y corredores de seguros"/>
    <s v="03. SOCIEDAD LIMITADA"/>
    <x v="0"/>
    <n v="1858.8500175623462"/>
    <s v="PEQUEÑ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3D41EB-08B1-4E7F-A5E5-49D280FA3627}" name="TablaDinámica1" cacheId="9938" applyNumberFormats="0" applyBorderFormats="0" applyFontFormats="0" applyPatternFormats="0" applyAlignmentFormats="0" applyWidthHeightFormats="1" dataCaption="Valores" updatedVersion="8" minRefreshableVersion="3" useAutoFormatting="1" itemPrintTitles="1" createdVersion="7" indent="0" outline="1" outlineData="1" multipleFieldFilters="0">
  <location ref="C27:D37" firstHeaderRow="1" firstDataRow="1" firstDataCol="1"/>
  <pivotFields count="10"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0">
        <item x="3"/>
        <item x="1"/>
        <item x="0"/>
        <item x="5"/>
        <item x="6"/>
        <item x="2"/>
        <item x="7"/>
        <item x="8"/>
        <item x="4"/>
        <item t="default"/>
      </items>
    </pivotField>
    <pivotField numFmtId="165" showAll="0"/>
    <pivotField showAll="0"/>
  </pivotFields>
  <rowFields count="1">
    <field x="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uenta de Nit" fld="1" subtotal="count" baseField="7" baseItem="4"/>
  </dataFields>
  <formats count="6">
    <format dxfId="0">
      <pivotArea type="all" dataOnly="0" outline="0" fieldPosition="0"/>
    </format>
    <format dxfId="1">
      <pivotArea outline="0" collapsedLevelsAreSubtotals="1" fieldPosition="0"/>
    </format>
    <format dxfId="2">
      <pivotArea field="7" type="button" dataOnly="0" labelOnly="1" outline="0" axis="axisRow" fieldPosition="0"/>
    </format>
    <format dxfId="3">
      <pivotArea dataOnly="0" labelOnly="1" fieldPosition="0">
        <references count="1">
          <reference field="7" count="0"/>
        </references>
      </pivotArea>
    </format>
    <format dxfId="4">
      <pivotArea dataOnly="0" labelOnly="1" grandRow="1" outline="0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1FF8-EAE9-40B0-8C3B-2953588F6553}">
  <dimension ref="B1:AV72"/>
  <sheetViews>
    <sheetView tabSelected="1" workbookViewId="0">
      <pane xSplit="4" ySplit="3" topLeftCell="AD41" activePane="bottomRight" state="frozen"/>
      <selection pane="bottomRight" activeCell="AO50" sqref="AO50"/>
      <selection pane="bottomLeft" activeCell="A4" sqref="A4"/>
      <selection pane="topRight" activeCell="E1" sqref="E1"/>
    </sheetView>
  </sheetViews>
  <sheetFormatPr defaultColWidth="11.42578125" defaultRowHeight="15"/>
  <cols>
    <col min="1" max="1" width="3.7109375" customWidth="1"/>
    <col min="2" max="2" width="6" style="41" bestFit="1" customWidth="1"/>
    <col min="3" max="3" width="20.85546875" bestFit="1" customWidth="1"/>
    <col min="4" max="4" width="13.42578125" bestFit="1" customWidth="1"/>
    <col min="5" max="5" width="19.7109375" customWidth="1"/>
    <col min="6" max="6" width="23.28515625" customWidth="1"/>
    <col min="7" max="7" width="11.42578125" customWidth="1"/>
    <col min="8" max="8" width="25.140625" customWidth="1"/>
    <col min="9" max="9" width="16.5703125" customWidth="1"/>
    <col min="10" max="10" width="16" customWidth="1"/>
    <col min="11" max="11" width="18.140625" customWidth="1"/>
    <col min="12" max="12" width="16.140625" bestFit="1" customWidth="1"/>
    <col min="13" max="17" width="9.140625" bestFit="1" customWidth="1"/>
    <col min="18" max="24" width="13.7109375" customWidth="1"/>
    <col min="25" max="25" width="9.140625" bestFit="1" customWidth="1"/>
    <col min="26" max="32" width="19.7109375" customWidth="1"/>
    <col min="33" max="33" width="9.140625" bestFit="1" customWidth="1"/>
    <col min="34" max="34" width="24" customWidth="1"/>
    <col min="35" max="37" width="9.140625" hidden="1" customWidth="1"/>
    <col min="38" max="38" width="12.42578125" hidden="1" customWidth="1"/>
    <col min="39" max="39" width="14.85546875" hidden="1" customWidth="1"/>
    <col min="40" max="40" width="9.140625" bestFit="1" customWidth="1"/>
    <col min="41" max="41" width="15.28515625" customWidth="1"/>
    <col min="42" max="42" width="9.140625" bestFit="1" customWidth="1"/>
    <col min="43" max="43" width="15.5703125" customWidth="1"/>
  </cols>
  <sheetData>
    <row r="1" spans="2:48" s="2" customFormat="1" ht="15.75" thickBot="1">
      <c r="B1" s="1"/>
      <c r="D1" s="3"/>
      <c r="E1" s="4"/>
      <c r="G1" s="3"/>
      <c r="H1" s="5"/>
      <c r="I1" s="5"/>
      <c r="K1" s="3"/>
      <c r="L1" s="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Z1" s="7"/>
      <c r="AA1" s="7"/>
      <c r="AB1" s="7"/>
      <c r="AC1" s="7"/>
      <c r="AD1" s="7"/>
      <c r="AE1" s="7"/>
      <c r="AF1" s="7"/>
      <c r="AM1" s="3"/>
    </row>
    <row r="2" spans="2:48" s="2" customFormat="1" ht="18.75" customHeight="1" thickBot="1">
      <c r="B2" s="1"/>
      <c r="D2" s="3"/>
      <c r="E2" s="4"/>
      <c r="G2" s="3"/>
      <c r="H2" s="5"/>
      <c r="I2" s="5"/>
      <c r="K2" s="8" t="s">
        <v>0</v>
      </c>
      <c r="L2" s="9">
        <v>1423500</v>
      </c>
      <c r="N2" s="6"/>
      <c r="O2" s="6"/>
      <c r="P2" s="6"/>
      <c r="Q2" s="6"/>
      <c r="R2" s="6"/>
      <c r="S2" s="6"/>
      <c r="T2" s="6"/>
      <c r="U2" s="6"/>
      <c r="V2" s="6"/>
      <c r="W2" s="6"/>
      <c r="X2" s="10" t="s">
        <v>1</v>
      </c>
      <c r="Z2" s="7"/>
      <c r="AA2" s="7"/>
      <c r="AB2" s="7"/>
      <c r="AC2" s="7"/>
      <c r="AD2" s="7"/>
      <c r="AE2" s="7"/>
      <c r="AF2" s="10" t="s">
        <v>1</v>
      </c>
      <c r="AI2" s="142" t="s">
        <v>2</v>
      </c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4"/>
    </row>
    <row r="3" spans="2:48" s="3" customFormat="1">
      <c r="B3" s="1"/>
      <c r="C3" s="11" t="s">
        <v>3</v>
      </c>
      <c r="D3" s="12" t="s">
        <v>4</v>
      </c>
      <c r="E3" s="13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4" t="s">
        <v>12</v>
      </c>
      <c r="N3" s="15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7" t="s">
        <v>23</v>
      </c>
      <c r="Y3" s="18"/>
      <c r="Z3" s="15" t="s">
        <v>24</v>
      </c>
      <c r="AA3" s="16" t="s">
        <v>25</v>
      </c>
      <c r="AB3" s="16" t="s">
        <v>26</v>
      </c>
      <c r="AC3" s="16" t="s">
        <v>27</v>
      </c>
      <c r="AD3" s="16" t="s">
        <v>28</v>
      </c>
      <c r="AE3" s="16" t="s">
        <v>29</v>
      </c>
      <c r="AF3" s="17" t="s">
        <v>30</v>
      </c>
      <c r="AH3" s="18"/>
      <c r="AI3" s="19" t="s">
        <v>31</v>
      </c>
      <c r="AJ3" s="20" t="s">
        <v>32</v>
      </c>
      <c r="AK3" s="21" t="s">
        <v>33</v>
      </c>
      <c r="AL3" s="20" t="s">
        <v>34</v>
      </c>
      <c r="AM3" s="21" t="s">
        <v>35</v>
      </c>
      <c r="AN3" s="20" t="s">
        <v>36</v>
      </c>
      <c r="AO3" s="21" t="s">
        <v>37</v>
      </c>
      <c r="AP3" s="20" t="s">
        <v>38</v>
      </c>
      <c r="AQ3" s="21" t="s">
        <v>39</v>
      </c>
      <c r="AR3" s="22" t="s">
        <v>40</v>
      </c>
      <c r="AS3" s="21" t="s">
        <v>41</v>
      </c>
      <c r="AT3" s="20" t="s">
        <v>42</v>
      </c>
      <c r="AU3" s="21" t="s">
        <v>43</v>
      </c>
      <c r="AV3" s="23" t="s">
        <v>44</v>
      </c>
    </row>
    <row r="4" spans="2:48" s="2" customFormat="1">
      <c r="B4" s="1">
        <v>2628</v>
      </c>
      <c r="C4" s="24" t="s">
        <v>45</v>
      </c>
      <c r="D4" s="25">
        <v>800051086</v>
      </c>
      <c r="E4" s="26" t="s">
        <v>46</v>
      </c>
      <c r="F4" s="27" t="s">
        <v>47</v>
      </c>
      <c r="G4" s="25" t="s">
        <v>48</v>
      </c>
      <c r="H4" s="25" t="s">
        <v>49</v>
      </c>
      <c r="I4" s="28" t="s">
        <v>50</v>
      </c>
      <c r="J4" s="25" t="s">
        <v>51</v>
      </c>
      <c r="K4" s="29">
        <f t="shared" ref="K4:K23" si="0">+(S4*1000)/$L$2</f>
        <v>3119.2736213558132</v>
      </c>
      <c r="L4" s="29" t="str">
        <f t="shared" ref="L4:L23" si="1">+IF(K4&lt;500,"MICRO EMPRESA",IF(AND(K4&gt;=500,K4&lt;5000),"PEQUEÑA",IF(AND(K4&gt;=5000,K4&lt;30000),"MEDIANA",IF(K4&gt;=30000,"GRANDE"))))</f>
        <v>PEQUEÑA</v>
      </c>
      <c r="N4" s="30">
        <v>621</v>
      </c>
      <c r="O4" s="31"/>
      <c r="P4" s="31">
        <v>4440286</v>
      </c>
      <c r="Q4" s="32">
        <v>0</v>
      </c>
      <c r="R4" s="32">
        <v>0</v>
      </c>
      <c r="S4" s="32">
        <v>4440286</v>
      </c>
      <c r="T4" s="31">
        <v>69758</v>
      </c>
      <c r="U4" s="31">
        <v>522335</v>
      </c>
      <c r="V4" s="31">
        <v>592093</v>
      </c>
      <c r="W4" s="31">
        <v>3848193</v>
      </c>
      <c r="X4" s="33">
        <v>4440286</v>
      </c>
      <c r="Y4" s="34"/>
      <c r="Z4" s="35">
        <v>0</v>
      </c>
      <c r="AA4" s="35">
        <v>0</v>
      </c>
      <c r="AB4" s="35">
        <v>0</v>
      </c>
      <c r="AC4" s="35">
        <v>-25923</v>
      </c>
      <c r="AD4" s="35">
        <v>0</v>
      </c>
      <c r="AE4" s="35">
        <v>-25923</v>
      </c>
      <c r="AF4" s="35">
        <v>-25923</v>
      </c>
      <c r="AG4" s="36"/>
      <c r="AI4" s="37">
        <f t="shared" ref="AI4:AI23" si="2">+IFERROR(P4/T4,0)</f>
        <v>63.652713667249635</v>
      </c>
      <c r="AJ4" s="38" t="str">
        <f t="shared" ref="AJ4:AJ23" si="3">+IF(AI4&gt;=$AI$25,"SI","NO")</f>
        <v>SI</v>
      </c>
      <c r="AK4" s="39">
        <f t="shared" ref="AK4:AK23" si="4">+IFERROR(V4/S4,0)</f>
        <v>0.13334568989475001</v>
      </c>
      <c r="AL4" s="38" t="str">
        <f t="shared" ref="AL4:AL23" si="5">+IF(AK4&lt;=$AK$25,"SI","NO")</f>
        <v>SI</v>
      </c>
      <c r="AM4" s="29" t="str">
        <f t="shared" ref="AM4:AM23" si="6">+IFERROR(AC4/AD4,"INDETERMINADO")</f>
        <v>INDETERMINADO</v>
      </c>
      <c r="AN4" s="38" t="str">
        <f t="shared" ref="AN4:AN23" si="7">+IF(AM4&gt;=$AM$25,"SI","NO")</f>
        <v>SI</v>
      </c>
      <c r="AO4" s="30">
        <f t="shared" ref="AO4:AO23" si="8">+P4-T4</f>
        <v>4370528</v>
      </c>
      <c r="AP4" s="38" t="str">
        <f t="shared" ref="AP4:AP23" si="9">+IF(AO4&gt;=$AO$25,"SI","NO")</f>
        <v>SI</v>
      </c>
      <c r="AQ4" s="30">
        <f t="shared" ref="AQ4:AQ23" si="10">+S4-V4</f>
        <v>3848193</v>
      </c>
      <c r="AR4" s="38" t="str">
        <f t="shared" ref="AR4:AR23" si="11">+IF(AQ4&gt;=$AQ$25,"SI","NO")</f>
        <v>SI</v>
      </c>
      <c r="AS4" s="29">
        <f t="shared" ref="AS4:AS23" si="12">+IFERROR(AC4/W4,0)</f>
        <v>-6.7364084909462699E-3</v>
      </c>
      <c r="AT4" s="38" t="str">
        <f t="shared" ref="AT4:AT23" si="13">+IF(AS4&gt;=$AS$25,"SI","NO")</f>
        <v>NO</v>
      </c>
      <c r="AU4" s="29">
        <f t="shared" ref="AU4:AU23" si="14">+IFERROR(AC4/S4,0)</f>
        <v>-5.838137453308188E-3</v>
      </c>
      <c r="AV4" s="40" t="str">
        <f t="shared" ref="AV4:AV23" si="15">+IF(AU4&gt;=$AU$25,"SI","NO")</f>
        <v>NO</v>
      </c>
    </row>
    <row r="5" spans="2:48" s="2" customFormat="1">
      <c r="B5" s="1">
        <v>4101</v>
      </c>
      <c r="C5" s="24" t="s">
        <v>45</v>
      </c>
      <c r="D5" s="25">
        <v>800210590</v>
      </c>
      <c r="E5" s="26" t="s">
        <v>46</v>
      </c>
      <c r="F5" s="27" t="s">
        <v>52</v>
      </c>
      <c r="G5" s="25" t="s">
        <v>48</v>
      </c>
      <c r="H5" s="25" t="s">
        <v>49</v>
      </c>
      <c r="I5" s="28" t="s">
        <v>50</v>
      </c>
      <c r="J5" s="25" t="s">
        <v>51</v>
      </c>
      <c r="K5" s="29">
        <f t="shared" si="0"/>
        <v>1365.4682121531437</v>
      </c>
      <c r="L5" s="29" t="str">
        <f t="shared" si="1"/>
        <v>PEQUEÑA</v>
      </c>
      <c r="N5" s="30">
        <v>544870</v>
      </c>
      <c r="O5" s="31"/>
      <c r="P5" s="31">
        <v>1440885</v>
      </c>
      <c r="Q5" s="32">
        <v>0</v>
      </c>
      <c r="R5" s="32">
        <v>502859</v>
      </c>
      <c r="S5" s="32">
        <v>1943744</v>
      </c>
      <c r="T5" s="31">
        <v>383382</v>
      </c>
      <c r="U5" s="31">
        <v>740742</v>
      </c>
      <c r="V5" s="31">
        <v>1124124</v>
      </c>
      <c r="W5" s="31">
        <v>819620</v>
      </c>
      <c r="X5" s="33">
        <v>1943744</v>
      </c>
      <c r="Y5" s="34"/>
      <c r="Z5" s="35">
        <v>3713246</v>
      </c>
      <c r="AA5" s="35">
        <v>1221745</v>
      </c>
      <c r="AB5" s="35">
        <v>2491501</v>
      </c>
      <c r="AC5" s="35">
        <v>436705</v>
      </c>
      <c r="AD5" s="35">
        <v>31259</v>
      </c>
      <c r="AE5" s="35">
        <v>444422</v>
      </c>
      <c r="AF5" s="35">
        <v>276277</v>
      </c>
      <c r="AG5" s="36"/>
      <c r="AI5" s="37">
        <f t="shared" si="2"/>
        <v>3.7583532873217833</v>
      </c>
      <c r="AJ5" s="38" t="str">
        <f t="shared" si="3"/>
        <v>SI</v>
      </c>
      <c r="AK5" s="39">
        <f t="shared" si="4"/>
        <v>0.57832924500345728</v>
      </c>
      <c r="AL5" s="38" t="str">
        <f t="shared" si="5"/>
        <v>SI</v>
      </c>
      <c r="AM5" s="29">
        <f t="shared" si="6"/>
        <v>13.970536485492179</v>
      </c>
      <c r="AN5" s="38" t="str">
        <f t="shared" si="7"/>
        <v>NO</v>
      </c>
      <c r="AO5" s="30">
        <f t="shared" si="8"/>
        <v>1057503</v>
      </c>
      <c r="AP5" s="38" t="str">
        <f t="shared" si="9"/>
        <v>SI</v>
      </c>
      <c r="AQ5" s="30">
        <f t="shared" si="10"/>
        <v>819620</v>
      </c>
      <c r="AR5" s="38" t="str">
        <f t="shared" si="11"/>
        <v>NO</v>
      </c>
      <c r="AS5" s="29">
        <f t="shared" si="12"/>
        <v>0.53281398696957127</v>
      </c>
      <c r="AT5" s="38" t="str">
        <f t="shared" si="13"/>
        <v>SI</v>
      </c>
      <c r="AU5" s="29">
        <f t="shared" si="14"/>
        <v>0.22467207615817722</v>
      </c>
      <c r="AV5" s="40" t="str">
        <f t="shared" si="15"/>
        <v>SI</v>
      </c>
    </row>
    <row r="6" spans="2:48" s="2" customFormat="1">
      <c r="B6" s="1">
        <v>4667</v>
      </c>
      <c r="C6" s="24" t="s">
        <v>45</v>
      </c>
      <c r="D6" s="25">
        <v>802004610</v>
      </c>
      <c r="E6" s="26" t="s">
        <v>46</v>
      </c>
      <c r="F6" s="27" t="s">
        <v>53</v>
      </c>
      <c r="G6" s="25" t="s">
        <v>48</v>
      </c>
      <c r="H6" s="25" t="s">
        <v>49</v>
      </c>
      <c r="I6" s="28" t="s">
        <v>54</v>
      </c>
      <c r="J6" s="25" t="s">
        <v>55</v>
      </c>
      <c r="K6" s="29">
        <f t="shared" si="0"/>
        <v>8731.5742887249744</v>
      </c>
      <c r="L6" s="29" t="str">
        <f t="shared" si="1"/>
        <v>MEDIANA</v>
      </c>
      <c r="N6" s="30">
        <v>697728</v>
      </c>
      <c r="O6" s="31">
        <v>0</v>
      </c>
      <c r="P6" s="31">
        <v>10737107</v>
      </c>
      <c r="Q6" s="32">
        <v>0</v>
      </c>
      <c r="R6" s="32">
        <v>1692289</v>
      </c>
      <c r="S6" s="32">
        <v>12429396</v>
      </c>
      <c r="T6" s="31">
        <v>2739317</v>
      </c>
      <c r="U6" s="31">
        <v>209037</v>
      </c>
      <c r="V6" s="31">
        <v>2948354</v>
      </c>
      <c r="W6" s="31">
        <v>9481042</v>
      </c>
      <c r="X6" s="33">
        <v>12429396</v>
      </c>
      <c r="Y6" s="34"/>
      <c r="Z6" s="35">
        <v>7139286</v>
      </c>
      <c r="AA6" s="35">
        <v>58691</v>
      </c>
      <c r="AB6" s="35">
        <v>7080595</v>
      </c>
      <c r="AC6" s="35">
        <v>1378584</v>
      </c>
      <c r="AD6" s="35">
        <v>280372</v>
      </c>
      <c r="AE6" s="35">
        <v>1267117</v>
      </c>
      <c r="AF6" s="35">
        <v>803811</v>
      </c>
      <c r="AG6" s="36"/>
      <c r="AI6" s="37">
        <f t="shared" si="2"/>
        <v>3.9196292360467955</v>
      </c>
      <c r="AJ6" s="38" t="str">
        <f t="shared" si="3"/>
        <v>SI</v>
      </c>
      <c r="AK6" s="39">
        <f t="shared" si="4"/>
        <v>0.23720814752382174</v>
      </c>
      <c r="AL6" s="38" t="str">
        <f t="shared" si="5"/>
        <v>SI</v>
      </c>
      <c r="AM6" s="29">
        <f t="shared" si="6"/>
        <v>4.9169817242805989</v>
      </c>
      <c r="AN6" s="38" t="str">
        <f t="shared" si="7"/>
        <v>NO</v>
      </c>
      <c r="AO6" s="30">
        <f t="shared" si="8"/>
        <v>7997790</v>
      </c>
      <c r="AP6" s="38" t="str">
        <f t="shared" si="9"/>
        <v>SI</v>
      </c>
      <c r="AQ6" s="30">
        <f t="shared" si="10"/>
        <v>9481042</v>
      </c>
      <c r="AR6" s="38" t="str">
        <f t="shared" si="11"/>
        <v>SI</v>
      </c>
      <c r="AS6" s="29">
        <f t="shared" si="12"/>
        <v>0.1454042709651534</v>
      </c>
      <c r="AT6" s="38" t="str">
        <f t="shared" si="13"/>
        <v>SI</v>
      </c>
      <c r="AU6" s="29">
        <f t="shared" si="14"/>
        <v>0.11091319320745754</v>
      </c>
      <c r="AV6" s="40" t="str">
        <f t="shared" si="15"/>
        <v>NO</v>
      </c>
    </row>
    <row r="7" spans="2:48" s="2" customFormat="1">
      <c r="B7" s="1">
        <v>5591</v>
      </c>
      <c r="C7" s="24" t="s">
        <v>45</v>
      </c>
      <c r="D7" s="25">
        <v>807003078</v>
      </c>
      <c r="E7" s="26" t="s">
        <v>46</v>
      </c>
      <c r="F7" s="27" t="s">
        <v>56</v>
      </c>
      <c r="G7" s="25" t="s">
        <v>48</v>
      </c>
      <c r="H7" s="25" t="s">
        <v>49</v>
      </c>
      <c r="I7" s="28" t="s">
        <v>57</v>
      </c>
      <c r="J7" s="25" t="s">
        <v>58</v>
      </c>
      <c r="K7" s="29">
        <f t="shared" si="0"/>
        <v>404.5591851071303</v>
      </c>
      <c r="L7" s="29" t="str">
        <f t="shared" si="1"/>
        <v>MICRO EMPRESA</v>
      </c>
      <c r="N7" s="30">
        <v>82000</v>
      </c>
      <c r="O7" s="31"/>
      <c r="P7" s="31">
        <v>148990</v>
      </c>
      <c r="Q7" s="32">
        <v>0</v>
      </c>
      <c r="R7" s="32">
        <v>426900</v>
      </c>
      <c r="S7" s="32">
        <v>575890</v>
      </c>
      <c r="T7" s="31">
        <v>436585</v>
      </c>
      <c r="U7" s="31">
        <v>210000</v>
      </c>
      <c r="V7" s="31">
        <v>646585</v>
      </c>
      <c r="W7" s="31">
        <v>-70695</v>
      </c>
      <c r="X7" s="33">
        <v>575890</v>
      </c>
      <c r="Y7" s="34"/>
      <c r="Z7" s="35">
        <v>114369</v>
      </c>
      <c r="AA7" s="35">
        <v>12581</v>
      </c>
      <c r="AB7" s="35">
        <v>101788</v>
      </c>
      <c r="AC7" s="35">
        <v>39792</v>
      </c>
      <c r="AD7" s="35">
        <v>2300</v>
      </c>
      <c r="AE7" s="35">
        <v>37492</v>
      </c>
      <c r="AF7" s="35">
        <v>37492</v>
      </c>
      <c r="AG7" s="36"/>
      <c r="AI7" s="37">
        <f t="shared" si="2"/>
        <v>0.34126229714717637</v>
      </c>
      <c r="AJ7" s="38" t="str">
        <f t="shared" si="3"/>
        <v>NO</v>
      </c>
      <c r="AK7" s="39">
        <f t="shared" si="4"/>
        <v>1.1227578183333622</v>
      </c>
      <c r="AL7" s="38" t="str">
        <f t="shared" si="5"/>
        <v>NO</v>
      </c>
      <c r="AM7" s="29">
        <f t="shared" si="6"/>
        <v>17.30086956521739</v>
      </c>
      <c r="AN7" s="38" t="str">
        <f t="shared" si="7"/>
        <v>NO</v>
      </c>
      <c r="AO7" s="30">
        <f t="shared" si="8"/>
        <v>-287595</v>
      </c>
      <c r="AP7" s="38" t="str">
        <f t="shared" si="9"/>
        <v>NO</v>
      </c>
      <c r="AQ7" s="30">
        <f t="shared" si="10"/>
        <v>-70695</v>
      </c>
      <c r="AR7" s="38" t="str">
        <f t="shared" si="11"/>
        <v>NO</v>
      </c>
      <c r="AS7" s="29">
        <f t="shared" si="12"/>
        <v>-0.56286866115001066</v>
      </c>
      <c r="AT7" s="38" t="str">
        <f t="shared" si="13"/>
        <v>NO</v>
      </c>
      <c r="AU7" s="29">
        <f t="shared" si="14"/>
        <v>6.9096528850995848E-2</v>
      </c>
      <c r="AV7" s="40" t="str">
        <f t="shared" si="15"/>
        <v>NO</v>
      </c>
    </row>
    <row r="8" spans="2:48" s="2" customFormat="1">
      <c r="B8" s="1">
        <v>5899</v>
      </c>
      <c r="C8" s="24" t="s">
        <v>45</v>
      </c>
      <c r="D8" s="25">
        <v>811012274</v>
      </c>
      <c r="E8" s="26" t="s">
        <v>46</v>
      </c>
      <c r="F8" s="27" t="s">
        <v>59</v>
      </c>
      <c r="G8" s="25" t="s">
        <v>48</v>
      </c>
      <c r="H8" s="25" t="s">
        <v>49</v>
      </c>
      <c r="I8" s="28" t="s">
        <v>57</v>
      </c>
      <c r="J8" s="25" t="s">
        <v>60</v>
      </c>
      <c r="K8" s="29">
        <f t="shared" si="0"/>
        <v>7199.3909378292938</v>
      </c>
      <c r="L8" s="29" t="str">
        <f t="shared" si="1"/>
        <v>MEDIANA</v>
      </c>
      <c r="N8" s="30">
        <v>1212162</v>
      </c>
      <c r="O8" s="31"/>
      <c r="P8" s="31">
        <v>5247891</v>
      </c>
      <c r="Q8" s="32">
        <v>0</v>
      </c>
      <c r="R8" s="32">
        <v>5000442</v>
      </c>
      <c r="S8" s="32">
        <v>10248333</v>
      </c>
      <c r="T8" s="31">
        <v>1990300</v>
      </c>
      <c r="U8" s="31">
        <v>5104124</v>
      </c>
      <c r="V8" s="31">
        <v>7094424</v>
      </c>
      <c r="W8" s="31">
        <v>3153909</v>
      </c>
      <c r="X8" s="33">
        <v>10248333</v>
      </c>
      <c r="Y8" s="34"/>
      <c r="Z8" s="35">
        <v>12018389</v>
      </c>
      <c r="AA8" s="35">
        <v>0</v>
      </c>
      <c r="AB8" s="35">
        <v>12018389</v>
      </c>
      <c r="AC8" s="35">
        <v>5305661</v>
      </c>
      <c r="AD8" s="35">
        <v>292359</v>
      </c>
      <c r="AE8" s="35">
        <v>5084329</v>
      </c>
      <c r="AF8" s="35">
        <v>3102073</v>
      </c>
      <c r="AG8" s="36"/>
      <c r="AI8" s="37">
        <f t="shared" si="2"/>
        <v>2.6367336582424761</v>
      </c>
      <c r="AJ8" s="38" t="str">
        <f t="shared" si="3"/>
        <v>NO</v>
      </c>
      <c r="AK8" s="39">
        <f t="shared" si="4"/>
        <v>0.69225151056274226</v>
      </c>
      <c r="AL8" s="38" t="str">
        <f t="shared" si="5"/>
        <v>NO</v>
      </c>
      <c r="AM8" s="29">
        <f t="shared" si="6"/>
        <v>18.147760116842647</v>
      </c>
      <c r="AN8" s="38" t="str">
        <f t="shared" si="7"/>
        <v>NO</v>
      </c>
      <c r="AO8" s="30">
        <f t="shared" si="8"/>
        <v>3257591</v>
      </c>
      <c r="AP8" s="38" t="str">
        <f t="shared" si="9"/>
        <v>SI</v>
      </c>
      <c r="AQ8" s="30">
        <f t="shared" si="10"/>
        <v>3153909</v>
      </c>
      <c r="AR8" s="38" t="str">
        <f t="shared" si="11"/>
        <v>SI</v>
      </c>
      <c r="AS8" s="29">
        <f t="shared" si="12"/>
        <v>1.6822492342042843</v>
      </c>
      <c r="AT8" s="38" t="str">
        <f t="shared" si="13"/>
        <v>SI</v>
      </c>
      <c r="AU8" s="29">
        <f t="shared" si="14"/>
        <v>0.51770966068335211</v>
      </c>
      <c r="AV8" s="40" t="str">
        <f t="shared" si="15"/>
        <v>SI</v>
      </c>
    </row>
    <row r="9" spans="2:48" s="2" customFormat="1">
      <c r="B9" s="1">
        <v>5969</v>
      </c>
      <c r="C9" s="24" t="s">
        <v>45</v>
      </c>
      <c r="D9" s="25">
        <v>811017425</v>
      </c>
      <c r="E9" s="26" t="s">
        <v>46</v>
      </c>
      <c r="F9" s="27" t="s">
        <v>61</v>
      </c>
      <c r="G9" s="25" t="s">
        <v>48</v>
      </c>
      <c r="H9" s="25" t="s">
        <v>49</v>
      </c>
      <c r="I9" s="28" t="s">
        <v>57</v>
      </c>
      <c r="J9" s="25" t="s">
        <v>60</v>
      </c>
      <c r="K9" s="29">
        <f t="shared" si="0"/>
        <v>24712.142606252197</v>
      </c>
      <c r="L9" s="29" t="str">
        <f t="shared" si="1"/>
        <v>MEDIANA</v>
      </c>
      <c r="N9" s="30">
        <v>1872114</v>
      </c>
      <c r="O9" s="31"/>
      <c r="P9" s="31">
        <v>22056493</v>
      </c>
      <c r="Q9" s="32">
        <v>0</v>
      </c>
      <c r="R9" s="32">
        <v>13121242</v>
      </c>
      <c r="S9" s="32">
        <v>35177735</v>
      </c>
      <c r="T9" s="31">
        <v>3889830</v>
      </c>
      <c r="U9" s="31">
        <v>3679412</v>
      </c>
      <c r="V9" s="31">
        <v>7569242</v>
      </c>
      <c r="W9" s="31">
        <v>27608493</v>
      </c>
      <c r="X9" s="33">
        <v>35177735</v>
      </c>
      <c r="Y9" s="34"/>
      <c r="Z9" s="35">
        <v>15298729</v>
      </c>
      <c r="AA9" s="35">
        <v>0</v>
      </c>
      <c r="AB9" s="35">
        <v>15298729</v>
      </c>
      <c r="AC9" s="35">
        <v>7759995</v>
      </c>
      <c r="AD9" s="35">
        <v>73051</v>
      </c>
      <c r="AE9" s="35">
        <v>8073157</v>
      </c>
      <c r="AF9" s="35">
        <v>5103471</v>
      </c>
      <c r="AG9" s="36"/>
      <c r="AI9" s="37">
        <f t="shared" si="2"/>
        <v>5.670297416596612</v>
      </c>
      <c r="AJ9" s="38" t="str">
        <f t="shared" si="3"/>
        <v>SI</v>
      </c>
      <c r="AK9" s="39">
        <f t="shared" si="4"/>
        <v>0.21517138610544426</v>
      </c>
      <c r="AL9" s="38" t="str">
        <f t="shared" si="5"/>
        <v>SI</v>
      </c>
      <c r="AM9" s="29">
        <f t="shared" si="6"/>
        <v>106.2270879248744</v>
      </c>
      <c r="AN9" s="38" t="str">
        <f t="shared" si="7"/>
        <v>SI</v>
      </c>
      <c r="AO9" s="30">
        <f t="shared" si="8"/>
        <v>18166663</v>
      </c>
      <c r="AP9" s="38" t="str">
        <f t="shared" si="9"/>
        <v>SI</v>
      </c>
      <c r="AQ9" s="30">
        <f t="shared" si="10"/>
        <v>27608493</v>
      </c>
      <c r="AR9" s="38" t="str">
        <f t="shared" si="11"/>
        <v>SI</v>
      </c>
      <c r="AS9" s="29">
        <f t="shared" si="12"/>
        <v>0.28107274815760497</v>
      </c>
      <c r="AT9" s="38" t="str">
        <f t="shared" si="13"/>
        <v>SI</v>
      </c>
      <c r="AU9" s="29">
        <f t="shared" si="14"/>
        <v>0.22059393534006666</v>
      </c>
      <c r="AV9" s="40" t="str">
        <f t="shared" si="15"/>
        <v>SI</v>
      </c>
    </row>
    <row r="10" spans="2:48" s="2" customFormat="1">
      <c r="B10" s="1">
        <v>7448</v>
      </c>
      <c r="C10" s="24" t="s">
        <v>45</v>
      </c>
      <c r="D10" s="25">
        <v>830041025</v>
      </c>
      <c r="E10" s="26" t="s">
        <v>46</v>
      </c>
      <c r="F10" s="27" t="s">
        <v>62</v>
      </c>
      <c r="G10" s="25" t="s">
        <v>48</v>
      </c>
      <c r="H10" s="25" t="s">
        <v>49</v>
      </c>
      <c r="I10" s="28" t="s">
        <v>57</v>
      </c>
      <c r="J10" s="25" t="s">
        <v>51</v>
      </c>
      <c r="K10" s="29">
        <f t="shared" si="0"/>
        <v>4120.8310502283102</v>
      </c>
      <c r="L10" s="29" t="str">
        <f t="shared" si="1"/>
        <v>PEQUEÑA</v>
      </c>
      <c r="N10" s="30">
        <v>70166</v>
      </c>
      <c r="O10" s="31"/>
      <c r="P10" s="31">
        <v>3806146</v>
      </c>
      <c r="Q10" s="32">
        <v>0</v>
      </c>
      <c r="R10" s="32">
        <v>2059857</v>
      </c>
      <c r="S10" s="32">
        <v>5866003</v>
      </c>
      <c r="T10" s="31">
        <v>804633</v>
      </c>
      <c r="U10" s="31">
        <v>1534408</v>
      </c>
      <c r="V10" s="31">
        <v>2339041</v>
      </c>
      <c r="W10" s="31">
        <v>3526962</v>
      </c>
      <c r="X10" s="33">
        <v>5866003</v>
      </c>
      <c r="Y10" s="34"/>
      <c r="Z10" s="35">
        <v>4478806</v>
      </c>
      <c r="AA10" s="35">
        <v>0</v>
      </c>
      <c r="AB10" s="35">
        <v>4478806</v>
      </c>
      <c r="AC10" s="35">
        <v>1980564</v>
      </c>
      <c r="AD10" s="35">
        <v>24737</v>
      </c>
      <c r="AE10" s="35">
        <v>1969262</v>
      </c>
      <c r="AF10" s="35">
        <v>1141467</v>
      </c>
      <c r="AG10" s="36"/>
      <c r="AI10" s="37">
        <f t="shared" si="2"/>
        <v>4.7302882183554491</v>
      </c>
      <c r="AJ10" s="38" t="str">
        <f t="shared" si="3"/>
        <v>SI</v>
      </c>
      <c r="AK10" s="39">
        <f t="shared" si="4"/>
        <v>0.39874527851417735</v>
      </c>
      <c r="AL10" s="38" t="str">
        <f t="shared" si="5"/>
        <v>SI</v>
      </c>
      <c r="AM10" s="29">
        <f t="shared" si="6"/>
        <v>80.064842139305497</v>
      </c>
      <c r="AN10" s="38" t="str">
        <f t="shared" si="7"/>
        <v>SI</v>
      </c>
      <c r="AO10" s="30">
        <f t="shared" si="8"/>
        <v>3001513</v>
      </c>
      <c r="AP10" s="38" t="str">
        <f t="shared" si="9"/>
        <v>SI</v>
      </c>
      <c r="AQ10" s="30">
        <f t="shared" si="10"/>
        <v>3526962</v>
      </c>
      <c r="AR10" s="38" t="str">
        <f t="shared" si="11"/>
        <v>SI</v>
      </c>
      <c r="AS10" s="29">
        <f t="shared" si="12"/>
        <v>0.56154957155761809</v>
      </c>
      <c r="AT10" s="38" t="str">
        <f t="shared" si="13"/>
        <v>SI</v>
      </c>
      <c r="AU10" s="29">
        <f t="shared" si="14"/>
        <v>0.3376343312473587</v>
      </c>
      <c r="AV10" s="40" t="str">
        <f t="shared" si="15"/>
        <v>SI</v>
      </c>
    </row>
    <row r="11" spans="2:48" s="2" customFormat="1">
      <c r="B11" s="1">
        <v>8458</v>
      </c>
      <c r="C11" s="24" t="s">
        <v>45</v>
      </c>
      <c r="D11" s="25">
        <v>830109678</v>
      </c>
      <c r="E11" s="26" t="s">
        <v>46</v>
      </c>
      <c r="F11" s="27" t="s">
        <v>63</v>
      </c>
      <c r="G11" s="25" t="s">
        <v>48</v>
      </c>
      <c r="H11" s="25" t="s">
        <v>49</v>
      </c>
      <c r="I11" s="28" t="s">
        <v>50</v>
      </c>
      <c r="J11" s="25" t="s">
        <v>51</v>
      </c>
      <c r="K11" s="29">
        <f t="shared" si="0"/>
        <v>3007.893220934317</v>
      </c>
      <c r="L11" s="29" t="str">
        <f t="shared" si="1"/>
        <v>PEQUEÑA</v>
      </c>
      <c r="N11" s="30">
        <v>1851038</v>
      </c>
      <c r="O11" s="31"/>
      <c r="P11" s="31">
        <v>2759487</v>
      </c>
      <c r="Q11" s="32">
        <v>0</v>
      </c>
      <c r="R11" s="32">
        <v>1522249</v>
      </c>
      <c r="S11" s="32">
        <v>4281736</v>
      </c>
      <c r="T11" s="31">
        <v>1055578</v>
      </c>
      <c r="U11" s="31">
        <v>1704092</v>
      </c>
      <c r="V11" s="31">
        <v>2759670</v>
      </c>
      <c r="W11" s="31">
        <v>1522066</v>
      </c>
      <c r="X11" s="33">
        <v>4281736</v>
      </c>
      <c r="Y11" s="34"/>
      <c r="Z11" s="35">
        <v>2815705</v>
      </c>
      <c r="AA11" s="35">
        <v>495924</v>
      </c>
      <c r="AB11" s="35">
        <v>2319781</v>
      </c>
      <c r="AC11" s="35">
        <v>490146</v>
      </c>
      <c r="AD11" s="35">
        <v>0</v>
      </c>
      <c r="AE11" s="35">
        <v>490146</v>
      </c>
      <c r="AF11" s="35">
        <v>463978</v>
      </c>
      <c r="AG11" s="36"/>
      <c r="AI11" s="37">
        <f t="shared" si="2"/>
        <v>2.6141952560587658</v>
      </c>
      <c r="AJ11" s="38" t="str">
        <f t="shared" si="3"/>
        <v>NO</v>
      </c>
      <c r="AK11" s="39">
        <f t="shared" si="4"/>
        <v>0.64452128762726146</v>
      </c>
      <c r="AL11" s="38" t="str">
        <f t="shared" si="5"/>
        <v>NO</v>
      </c>
      <c r="AM11" s="29" t="str">
        <f t="shared" si="6"/>
        <v>INDETERMINADO</v>
      </c>
      <c r="AN11" s="38" t="str">
        <f t="shared" si="7"/>
        <v>SI</v>
      </c>
      <c r="AO11" s="30">
        <f t="shared" si="8"/>
        <v>1703909</v>
      </c>
      <c r="AP11" s="38" t="str">
        <f t="shared" si="9"/>
        <v>SI</v>
      </c>
      <c r="AQ11" s="30">
        <f t="shared" si="10"/>
        <v>1522066</v>
      </c>
      <c r="AR11" s="38" t="str">
        <f t="shared" si="11"/>
        <v>SI</v>
      </c>
      <c r="AS11" s="29">
        <f t="shared" si="12"/>
        <v>0.32202677150662323</v>
      </c>
      <c r="AT11" s="38" t="str">
        <f t="shared" si="13"/>
        <v>SI</v>
      </c>
      <c r="AU11" s="29">
        <f t="shared" si="14"/>
        <v>0.11447366208472451</v>
      </c>
      <c r="AV11" s="40" t="str">
        <f t="shared" si="15"/>
        <v>SI</v>
      </c>
    </row>
    <row r="12" spans="2:48" s="2" customFormat="1">
      <c r="B12" s="1">
        <v>9552</v>
      </c>
      <c r="C12" s="24" t="s">
        <v>45</v>
      </c>
      <c r="D12" s="25">
        <v>860010499</v>
      </c>
      <c r="E12" s="26" t="s">
        <v>46</v>
      </c>
      <c r="F12" s="27" t="s">
        <v>64</v>
      </c>
      <c r="G12" s="25" t="s">
        <v>48</v>
      </c>
      <c r="H12" s="25" t="s">
        <v>49</v>
      </c>
      <c r="I12" s="28" t="s">
        <v>57</v>
      </c>
      <c r="J12" s="25" t="s">
        <v>51</v>
      </c>
      <c r="K12" s="29">
        <f t="shared" si="0"/>
        <v>5521.6234632946962</v>
      </c>
      <c r="L12" s="29" t="str">
        <f t="shared" si="1"/>
        <v>MEDIANA</v>
      </c>
      <c r="N12" s="30">
        <v>206608</v>
      </c>
      <c r="O12" s="31"/>
      <c r="P12" s="31">
        <v>3857033</v>
      </c>
      <c r="Q12" s="32">
        <v>0</v>
      </c>
      <c r="R12" s="32">
        <v>4002998</v>
      </c>
      <c r="S12" s="32">
        <v>7860031</v>
      </c>
      <c r="T12" s="31">
        <v>135461</v>
      </c>
      <c r="U12" s="31">
        <v>3108695</v>
      </c>
      <c r="V12" s="31">
        <v>3244156</v>
      </c>
      <c r="W12" s="31">
        <v>4615875</v>
      </c>
      <c r="X12" s="33">
        <v>7860031</v>
      </c>
      <c r="Y12" s="34"/>
      <c r="Z12" s="35">
        <v>297627</v>
      </c>
      <c r="AA12" s="35">
        <v>0</v>
      </c>
      <c r="AB12" s="35">
        <v>297627</v>
      </c>
      <c r="AC12" s="35">
        <v>-286721</v>
      </c>
      <c r="AD12" s="35">
        <v>0</v>
      </c>
      <c r="AE12" s="35">
        <v>-286721</v>
      </c>
      <c r="AF12" s="35">
        <v>-301198</v>
      </c>
      <c r="AG12" s="36"/>
      <c r="AI12" s="37">
        <f t="shared" si="2"/>
        <v>28.473383483068929</v>
      </c>
      <c r="AJ12" s="38" t="str">
        <f t="shared" si="3"/>
        <v>SI</v>
      </c>
      <c r="AK12" s="39">
        <f t="shared" si="4"/>
        <v>0.41274086578030034</v>
      </c>
      <c r="AL12" s="38" t="str">
        <f t="shared" si="5"/>
        <v>SI</v>
      </c>
      <c r="AM12" s="29" t="str">
        <f t="shared" si="6"/>
        <v>INDETERMINADO</v>
      </c>
      <c r="AN12" s="38" t="str">
        <f t="shared" si="7"/>
        <v>SI</v>
      </c>
      <c r="AO12" s="30">
        <f t="shared" si="8"/>
        <v>3721572</v>
      </c>
      <c r="AP12" s="38" t="str">
        <f t="shared" si="9"/>
        <v>SI</v>
      </c>
      <c r="AQ12" s="30">
        <f t="shared" si="10"/>
        <v>4615875</v>
      </c>
      <c r="AR12" s="38" t="str">
        <f t="shared" si="11"/>
        <v>SI</v>
      </c>
      <c r="AS12" s="29">
        <f t="shared" si="12"/>
        <v>-6.2116283478213775E-2</v>
      </c>
      <c r="AT12" s="38" t="str">
        <f t="shared" si="13"/>
        <v>NO</v>
      </c>
      <c r="AU12" s="29">
        <f t="shared" si="14"/>
        <v>-3.647835485636125E-2</v>
      </c>
      <c r="AV12" s="40" t="str">
        <f t="shared" si="15"/>
        <v>NO</v>
      </c>
    </row>
    <row r="13" spans="2:48" s="2" customFormat="1">
      <c r="B13" s="1">
        <v>10418</v>
      </c>
      <c r="C13" s="24" t="s">
        <v>45</v>
      </c>
      <c r="D13" s="25">
        <v>860503459</v>
      </c>
      <c r="E13" s="26" t="s">
        <v>46</v>
      </c>
      <c r="F13" s="27" t="s">
        <v>65</v>
      </c>
      <c r="G13" s="25" t="s">
        <v>48</v>
      </c>
      <c r="H13" s="25" t="s">
        <v>49</v>
      </c>
      <c r="I13" s="28" t="s">
        <v>57</v>
      </c>
      <c r="J13" s="25" t="s">
        <v>51</v>
      </c>
      <c r="K13" s="29">
        <f t="shared" si="0"/>
        <v>3819.0024587284861</v>
      </c>
      <c r="L13" s="29" t="str">
        <f t="shared" si="1"/>
        <v>PEQUEÑA</v>
      </c>
      <c r="N13" s="30">
        <v>38667</v>
      </c>
      <c r="O13" s="31">
        <v>350000</v>
      </c>
      <c r="P13" s="31">
        <v>2813496</v>
      </c>
      <c r="Q13" s="32">
        <v>0</v>
      </c>
      <c r="R13" s="32">
        <v>2622854</v>
      </c>
      <c r="S13" s="32">
        <v>5436350</v>
      </c>
      <c r="T13" s="31">
        <v>355066</v>
      </c>
      <c r="U13" s="31">
        <v>1251456</v>
      </c>
      <c r="V13" s="31">
        <v>1606522</v>
      </c>
      <c r="W13" s="31">
        <v>3829828</v>
      </c>
      <c r="X13" s="33">
        <v>5436350</v>
      </c>
      <c r="Y13" s="34"/>
      <c r="Z13" s="35">
        <v>1800976</v>
      </c>
      <c r="AA13" s="35">
        <v>0</v>
      </c>
      <c r="AB13" s="35">
        <v>1800976</v>
      </c>
      <c r="AC13" s="35">
        <v>1736863</v>
      </c>
      <c r="AD13" s="35">
        <v>0</v>
      </c>
      <c r="AE13" s="35">
        <v>1736863</v>
      </c>
      <c r="AF13" s="35">
        <v>1178694</v>
      </c>
      <c r="AG13" s="36"/>
      <c r="AI13" s="37">
        <f t="shared" si="2"/>
        <v>7.923867675305436</v>
      </c>
      <c r="AJ13" s="38" t="str">
        <f t="shared" si="3"/>
        <v>SI</v>
      </c>
      <c r="AK13" s="39">
        <f t="shared" si="4"/>
        <v>0.29551482152547204</v>
      </c>
      <c r="AL13" s="38" t="str">
        <f t="shared" si="5"/>
        <v>SI</v>
      </c>
      <c r="AM13" s="29" t="str">
        <f t="shared" si="6"/>
        <v>INDETERMINADO</v>
      </c>
      <c r="AN13" s="38" t="str">
        <f t="shared" si="7"/>
        <v>SI</v>
      </c>
      <c r="AO13" s="30">
        <f t="shared" si="8"/>
        <v>2458430</v>
      </c>
      <c r="AP13" s="38" t="str">
        <f t="shared" si="9"/>
        <v>SI</v>
      </c>
      <c r="AQ13" s="30">
        <f t="shared" si="10"/>
        <v>3829828</v>
      </c>
      <c r="AR13" s="38" t="str">
        <f t="shared" si="11"/>
        <v>SI</v>
      </c>
      <c r="AS13" s="29">
        <f t="shared" si="12"/>
        <v>0.45350940042215993</v>
      </c>
      <c r="AT13" s="38" t="str">
        <f t="shared" si="13"/>
        <v>SI</v>
      </c>
      <c r="AU13" s="29">
        <f t="shared" si="14"/>
        <v>0.31949065089628154</v>
      </c>
      <c r="AV13" s="40" t="str">
        <f t="shared" si="15"/>
        <v>SI</v>
      </c>
    </row>
    <row r="14" spans="2:48" s="2" customFormat="1">
      <c r="B14" s="1">
        <v>10905</v>
      </c>
      <c r="C14" s="24" t="s">
        <v>45</v>
      </c>
      <c r="D14" s="25">
        <v>890106957</v>
      </c>
      <c r="E14" s="26" t="s">
        <v>46</v>
      </c>
      <c r="F14" s="27" t="s">
        <v>66</v>
      </c>
      <c r="G14" s="25" t="s">
        <v>48</v>
      </c>
      <c r="H14" s="25" t="s">
        <v>49</v>
      </c>
      <c r="I14" s="28" t="s">
        <v>57</v>
      </c>
      <c r="J14" s="25" t="s">
        <v>55</v>
      </c>
      <c r="K14" s="29">
        <f t="shared" si="0"/>
        <v>1530.2430628732</v>
      </c>
      <c r="L14" s="29" t="str">
        <f t="shared" si="1"/>
        <v>PEQUEÑA</v>
      </c>
      <c r="N14" s="30">
        <v>79600</v>
      </c>
      <c r="O14" s="31"/>
      <c r="P14" s="31">
        <v>619338</v>
      </c>
      <c r="Q14" s="32">
        <v>0</v>
      </c>
      <c r="R14" s="32">
        <v>1558963</v>
      </c>
      <c r="S14" s="32">
        <v>2178301</v>
      </c>
      <c r="T14" s="31">
        <v>259833</v>
      </c>
      <c r="U14" s="31">
        <v>68352</v>
      </c>
      <c r="V14" s="31">
        <v>328185</v>
      </c>
      <c r="W14" s="31">
        <v>1850116</v>
      </c>
      <c r="X14" s="33">
        <v>2178301</v>
      </c>
      <c r="Y14" s="34"/>
      <c r="Z14" s="35">
        <v>709681</v>
      </c>
      <c r="AA14" s="35">
        <v>0</v>
      </c>
      <c r="AB14" s="35">
        <v>709681</v>
      </c>
      <c r="AC14" s="35">
        <v>183206</v>
      </c>
      <c r="AD14" s="35">
        <v>0</v>
      </c>
      <c r="AE14" s="35">
        <v>183206</v>
      </c>
      <c r="AF14" s="35">
        <v>114854</v>
      </c>
      <c r="AG14" s="36"/>
      <c r="AI14" s="37">
        <f t="shared" si="2"/>
        <v>2.3836002355359018</v>
      </c>
      <c r="AJ14" s="38" t="str">
        <f t="shared" si="3"/>
        <v>NO</v>
      </c>
      <c r="AK14" s="39">
        <f t="shared" si="4"/>
        <v>0.15066099680439021</v>
      </c>
      <c r="AL14" s="38" t="str">
        <f t="shared" si="5"/>
        <v>SI</v>
      </c>
      <c r="AM14" s="29" t="str">
        <f t="shared" si="6"/>
        <v>INDETERMINADO</v>
      </c>
      <c r="AN14" s="38" t="str">
        <f t="shared" si="7"/>
        <v>SI</v>
      </c>
      <c r="AO14" s="30">
        <f t="shared" si="8"/>
        <v>359505</v>
      </c>
      <c r="AP14" s="38" t="str">
        <f t="shared" si="9"/>
        <v>NO</v>
      </c>
      <c r="AQ14" s="30">
        <f t="shared" si="10"/>
        <v>1850116</v>
      </c>
      <c r="AR14" s="38" t="str">
        <f t="shared" si="11"/>
        <v>SI</v>
      </c>
      <c r="AS14" s="29">
        <f t="shared" si="12"/>
        <v>9.9024061194000812E-2</v>
      </c>
      <c r="AT14" s="38" t="str">
        <f t="shared" si="13"/>
        <v>NO</v>
      </c>
      <c r="AU14" s="29">
        <f t="shared" si="14"/>
        <v>8.4104997426893716E-2</v>
      </c>
      <c r="AV14" s="40" t="str">
        <f t="shared" si="15"/>
        <v>NO</v>
      </c>
    </row>
    <row r="15" spans="2:48" s="2" customFormat="1">
      <c r="B15" s="1">
        <v>11172</v>
      </c>
      <c r="C15" s="24" t="s">
        <v>45</v>
      </c>
      <c r="D15" s="25">
        <v>890304882</v>
      </c>
      <c r="E15" s="26" t="s">
        <v>46</v>
      </c>
      <c r="F15" s="27" t="s">
        <v>67</v>
      </c>
      <c r="G15" s="25" t="s">
        <v>48</v>
      </c>
      <c r="H15" s="25" t="s">
        <v>49</v>
      </c>
      <c r="I15" s="28" t="s">
        <v>57</v>
      </c>
      <c r="J15" s="25" t="s">
        <v>68</v>
      </c>
      <c r="K15" s="29">
        <f t="shared" si="0"/>
        <v>5442.9666315419736</v>
      </c>
      <c r="L15" s="29" t="str">
        <f t="shared" si="1"/>
        <v>MEDIANA</v>
      </c>
      <c r="N15" s="30">
        <v>5659433</v>
      </c>
      <c r="O15" s="31"/>
      <c r="P15" s="31">
        <v>6321256</v>
      </c>
      <c r="Q15" s="32">
        <v>0</v>
      </c>
      <c r="R15" s="32">
        <v>1426807</v>
      </c>
      <c r="S15" s="32">
        <v>7748063</v>
      </c>
      <c r="T15" s="31">
        <v>2848691</v>
      </c>
      <c r="U15" s="31">
        <v>152915</v>
      </c>
      <c r="V15" s="31">
        <v>3001606</v>
      </c>
      <c r="W15" s="31">
        <v>4746457</v>
      </c>
      <c r="X15" s="33">
        <v>7748063</v>
      </c>
      <c r="Y15" s="34"/>
      <c r="Z15" s="35">
        <v>10489491</v>
      </c>
      <c r="AA15" s="35">
        <v>0</v>
      </c>
      <c r="AB15" s="35">
        <v>10489491</v>
      </c>
      <c r="AC15" s="35">
        <v>3143470</v>
      </c>
      <c r="AD15" s="35">
        <v>0</v>
      </c>
      <c r="AE15" s="35">
        <v>3473303</v>
      </c>
      <c r="AF15" s="35">
        <v>1387464</v>
      </c>
      <c r="AG15" s="36"/>
      <c r="AI15" s="37">
        <f t="shared" si="2"/>
        <v>2.2190037459310257</v>
      </c>
      <c r="AJ15" s="38" t="str">
        <f t="shared" si="3"/>
        <v>NO</v>
      </c>
      <c r="AK15" s="39">
        <f t="shared" si="4"/>
        <v>0.38740082521270153</v>
      </c>
      <c r="AL15" s="38" t="str">
        <f t="shared" si="5"/>
        <v>SI</v>
      </c>
      <c r="AM15" s="29" t="str">
        <f t="shared" si="6"/>
        <v>INDETERMINADO</v>
      </c>
      <c r="AN15" s="38" t="str">
        <f t="shared" si="7"/>
        <v>SI</v>
      </c>
      <c r="AO15" s="30">
        <f t="shared" si="8"/>
        <v>3472565</v>
      </c>
      <c r="AP15" s="38" t="str">
        <f t="shared" si="9"/>
        <v>SI</v>
      </c>
      <c r="AQ15" s="30">
        <f t="shared" si="10"/>
        <v>4746457</v>
      </c>
      <c r="AR15" s="38" t="str">
        <f t="shared" si="11"/>
        <v>SI</v>
      </c>
      <c r="AS15" s="29">
        <f t="shared" si="12"/>
        <v>0.66227714693296491</v>
      </c>
      <c r="AT15" s="38" t="str">
        <f t="shared" si="13"/>
        <v>SI</v>
      </c>
      <c r="AU15" s="29">
        <f t="shared" si="14"/>
        <v>0.40571043369162074</v>
      </c>
      <c r="AV15" s="40" t="str">
        <f t="shared" si="15"/>
        <v>SI</v>
      </c>
    </row>
    <row r="16" spans="2:48" s="2" customFormat="1">
      <c r="B16" s="1">
        <v>11595</v>
      </c>
      <c r="C16" s="24" t="s">
        <v>45</v>
      </c>
      <c r="D16" s="25">
        <v>890803304</v>
      </c>
      <c r="E16" s="26" t="s">
        <v>46</v>
      </c>
      <c r="F16" s="27" t="s">
        <v>69</v>
      </c>
      <c r="G16" s="25" t="s">
        <v>48</v>
      </c>
      <c r="H16" s="25" t="s">
        <v>49</v>
      </c>
      <c r="I16" s="28" t="s">
        <v>57</v>
      </c>
      <c r="J16" s="25" t="s">
        <v>70</v>
      </c>
      <c r="K16" s="29">
        <f t="shared" si="0"/>
        <v>8394.8394801545492</v>
      </c>
      <c r="L16" s="29" t="str">
        <f t="shared" si="1"/>
        <v>MEDIANA</v>
      </c>
      <c r="N16" s="30">
        <v>3582336</v>
      </c>
      <c r="O16" s="31"/>
      <c r="P16" s="31">
        <v>5405272</v>
      </c>
      <c r="Q16" s="32">
        <v>0</v>
      </c>
      <c r="R16" s="32">
        <v>6544782</v>
      </c>
      <c r="S16" s="32">
        <v>11950054</v>
      </c>
      <c r="T16" s="31">
        <v>6354669</v>
      </c>
      <c r="U16" s="31">
        <v>1297297</v>
      </c>
      <c r="V16" s="31">
        <v>7651966</v>
      </c>
      <c r="W16" s="31">
        <v>4298088</v>
      </c>
      <c r="X16" s="33">
        <v>11950054</v>
      </c>
      <c r="Y16" s="34"/>
      <c r="Z16" s="35">
        <v>8806229</v>
      </c>
      <c r="AA16" s="35">
        <v>437056</v>
      </c>
      <c r="AB16" s="35">
        <v>8369173</v>
      </c>
      <c r="AC16" s="35">
        <v>3346495</v>
      </c>
      <c r="AD16" s="35">
        <v>87985</v>
      </c>
      <c r="AE16" s="35">
        <v>3691477</v>
      </c>
      <c r="AF16" s="35">
        <v>2327064</v>
      </c>
      <c r="AG16" s="36"/>
      <c r="AI16" s="37">
        <f t="shared" si="2"/>
        <v>0.85059851268413822</v>
      </c>
      <c r="AJ16" s="38" t="str">
        <f t="shared" si="3"/>
        <v>NO</v>
      </c>
      <c r="AK16" s="39">
        <f t="shared" si="4"/>
        <v>0.64032898930833282</v>
      </c>
      <c r="AL16" s="38" t="str">
        <f t="shared" si="5"/>
        <v>NO</v>
      </c>
      <c r="AM16" s="29">
        <f t="shared" si="6"/>
        <v>38.034835483321018</v>
      </c>
      <c r="AN16" s="38" t="str">
        <f t="shared" si="7"/>
        <v>SI</v>
      </c>
      <c r="AO16" s="30">
        <f t="shared" si="8"/>
        <v>-949397</v>
      </c>
      <c r="AP16" s="38" t="str">
        <f t="shared" si="9"/>
        <v>NO</v>
      </c>
      <c r="AQ16" s="30">
        <f t="shared" si="10"/>
        <v>4298088</v>
      </c>
      <c r="AR16" s="38" t="str">
        <f t="shared" si="11"/>
        <v>SI</v>
      </c>
      <c r="AS16" s="29">
        <f t="shared" si="12"/>
        <v>0.77860085693917858</v>
      </c>
      <c r="AT16" s="38" t="str">
        <f t="shared" si="13"/>
        <v>SI</v>
      </c>
      <c r="AU16" s="29">
        <f t="shared" si="14"/>
        <v>0.28004015714071251</v>
      </c>
      <c r="AV16" s="40" t="str">
        <f t="shared" si="15"/>
        <v>SI</v>
      </c>
    </row>
    <row r="17" spans="2:48" s="2" customFormat="1">
      <c r="B17" s="1">
        <v>11847</v>
      </c>
      <c r="C17" s="24" t="s">
        <v>45</v>
      </c>
      <c r="D17" s="25">
        <v>890917657</v>
      </c>
      <c r="E17" s="26" t="s">
        <v>46</v>
      </c>
      <c r="F17" s="27" t="s">
        <v>71</v>
      </c>
      <c r="G17" s="25" t="s">
        <v>48</v>
      </c>
      <c r="H17" s="25" t="s">
        <v>49</v>
      </c>
      <c r="I17" s="28" t="s">
        <v>57</v>
      </c>
      <c r="J17" s="25" t="s">
        <v>60</v>
      </c>
      <c r="K17" s="29">
        <f t="shared" si="0"/>
        <v>47.040393396557782</v>
      </c>
      <c r="L17" s="29" t="str">
        <f t="shared" si="1"/>
        <v>MICRO EMPRESA</v>
      </c>
      <c r="N17" s="30">
        <v>1005</v>
      </c>
      <c r="O17" s="31"/>
      <c r="P17" s="31">
        <v>56924</v>
      </c>
      <c r="Q17" s="32">
        <v>0</v>
      </c>
      <c r="R17" s="32">
        <v>10038</v>
      </c>
      <c r="S17" s="32">
        <v>66962</v>
      </c>
      <c r="T17" s="31">
        <v>90480</v>
      </c>
      <c r="U17" s="31">
        <v>486214</v>
      </c>
      <c r="V17" s="31">
        <v>576694</v>
      </c>
      <c r="W17" s="31">
        <v>-509732</v>
      </c>
      <c r="X17" s="33">
        <v>66962</v>
      </c>
      <c r="Y17" s="34"/>
      <c r="Z17" s="35">
        <v>415220</v>
      </c>
      <c r="AA17" s="35">
        <v>0</v>
      </c>
      <c r="AB17" s="35">
        <v>415220</v>
      </c>
      <c r="AC17" s="35">
        <v>9090</v>
      </c>
      <c r="AD17" s="35">
        <v>4340</v>
      </c>
      <c r="AE17" s="35">
        <v>4750</v>
      </c>
      <c r="AF17" s="35">
        <v>-4502</v>
      </c>
      <c r="AG17" s="36"/>
      <c r="AI17" s="37">
        <f t="shared" si="2"/>
        <v>0.6291335101679929</v>
      </c>
      <c r="AJ17" s="38" t="str">
        <f t="shared" si="3"/>
        <v>NO</v>
      </c>
      <c r="AK17" s="39">
        <f t="shared" si="4"/>
        <v>8.612257698396105</v>
      </c>
      <c r="AL17" s="38" t="str">
        <f t="shared" si="5"/>
        <v>NO</v>
      </c>
      <c r="AM17" s="29">
        <f t="shared" si="6"/>
        <v>2.0944700460829493</v>
      </c>
      <c r="AN17" s="38" t="str">
        <f t="shared" si="7"/>
        <v>NO</v>
      </c>
      <c r="AO17" s="30">
        <f t="shared" si="8"/>
        <v>-33556</v>
      </c>
      <c r="AP17" s="38" t="str">
        <f t="shared" si="9"/>
        <v>NO</v>
      </c>
      <c r="AQ17" s="30">
        <f t="shared" si="10"/>
        <v>-509732</v>
      </c>
      <c r="AR17" s="38" t="str">
        <f t="shared" si="11"/>
        <v>NO</v>
      </c>
      <c r="AS17" s="29">
        <f t="shared" si="12"/>
        <v>-1.7832900426106267E-2</v>
      </c>
      <c r="AT17" s="38" t="str">
        <f t="shared" si="13"/>
        <v>NO</v>
      </c>
      <c r="AU17" s="29">
        <f t="shared" si="14"/>
        <v>0.13574863355335862</v>
      </c>
      <c r="AV17" s="40" t="str">
        <f t="shared" si="15"/>
        <v>SI</v>
      </c>
    </row>
    <row r="18" spans="2:48" s="2" customFormat="1">
      <c r="B18" s="1">
        <v>12331</v>
      </c>
      <c r="C18" s="24" t="s">
        <v>45</v>
      </c>
      <c r="D18" s="25">
        <v>891502661</v>
      </c>
      <c r="E18" s="26" t="s">
        <v>46</v>
      </c>
      <c r="F18" s="27" t="s">
        <v>72</v>
      </c>
      <c r="G18" s="25" t="s">
        <v>48</v>
      </c>
      <c r="H18" s="25" t="s">
        <v>49</v>
      </c>
      <c r="I18" s="28" t="s">
        <v>57</v>
      </c>
      <c r="J18" s="25" t="s">
        <v>73</v>
      </c>
      <c r="K18" s="29">
        <f t="shared" si="0"/>
        <v>2482.0920266947664</v>
      </c>
      <c r="L18" s="29" t="str">
        <f t="shared" si="1"/>
        <v>PEQUEÑA</v>
      </c>
      <c r="N18" s="30">
        <v>1174824</v>
      </c>
      <c r="O18" s="31">
        <v>0</v>
      </c>
      <c r="P18" s="31">
        <v>2002124</v>
      </c>
      <c r="Q18" s="32">
        <v>0</v>
      </c>
      <c r="R18" s="32">
        <v>1531134</v>
      </c>
      <c r="S18" s="32">
        <v>3533258</v>
      </c>
      <c r="T18" s="31">
        <v>575035</v>
      </c>
      <c r="U18" s="31">
        <v>0</v>
      </c>
      <c r="V18" s="31">
        <v>575035</v>
      </c>
      <c r="W18" s="31">
        <v>2958223</v>
      </c>
      <c r="X18" s="33">
        <v>3533258</v>
      </c>
      <c r="Y18" s="34"/>
      <c r="Z18" s="35">
        <v>1905603</v>
      </c>
      <c r="AA18" s="35">
        <v>0</v>
      </c>
      <c r="AB18" s="35">
        <v>1905603</v>
      </c>
      <c r="AC18" s="35">
        <v>736814</v>
      </c>
      <c r="AD18" s="35">
        <v>14516</v>
      </c>
      <c r="AE18" s="35">
        <v>835402</v>
      </c>
      <c r="AF18" s="35">
        <v>486455</v>
      </c>
      <c r="AG18" s="36"/>
      <c r="AI18" s="37">
        <f t="shared" si="2"/>
        <v>3.4817428504351908</v>
      </c>
      <c r="AJ18" s="38" t="str">
        <f t="shared" si="3"/>
        <v>SI</v>
      </c>
      <c r="AK18" s="39">
        <f t="shared" si="4"/>
        <v>0.16274922465328034</v>
      </c>
      <c r="AL18" s="38" t="str">
        <f t="shared" si="5"/>
        <v>SI</v>
      </c>
      <c r="AM18" s="29">
        <f t="shared" si="6"/>
        <v>50.758748966657478</v>
      </c>
      <c r="AN18" s="38" t="str">
        <f t="shared" si="7"/>
        <v>SI</v>
      </c>
      <c r="AO18" s="30">
        <f t="shared" si="8"/>
        <v>1427089</v>
      </c>
      <c r="AP18" s="38" t="str">
        <f t="shared" si="9"/>
        <v>SI</v>
      </c>
      <c r="AQ18" s="30">
        <f t="shared" si="10"/>
        <v>2958223</v>
      </c>
      <c r="AR18" s="38" t="str">
        <f t="shared" si="11"/>
        <v>SI</v>
      </c>
      <c r="AS18" s="29">
        <f t="shared" si="12"/>
        <v>0.24907317670101273</v>
      </c>
      <c r="AT18" s="38" t="str">
        <f t="shared" si="13"/>
        <v>SI</v>
      </c>
      <c r="AU18" s="29">
        <f t="shared" si="14"/>
        <v>0.20853671031099341</v>
      </c>
      <c r="AV18" s="40" t="str">
        <f t="shared" si="15"/>
        <v>SI</v>
      </c>
    </row>
    <row r="19" spans="2:48" s="2" customFormat="1">
      <c r="B19" s="1">
        <v>13092</v>
      </c>
      <c r="C19" s="24" t="s">
        <v>45</v>
      </c>
      <c r="D19" s="25">
        <v>900068666</v>
      </c>
      <c r="E19" s="26" t="s">
        <v>46</v>
      </c>
      <c r="F19" s="27" t="s">
        <v>74</v>
      </c>
      <c r="G19" s="25" t="s">
        <v>48</v>
      </c>
      <c r="H19" s="25" t="s">
        <v>49</v>
      </c>
      <c r="I19" s="28" t="s">
        <v>57</v>
      </c>
      <c r="J19" s="25" t="s">
        <v>75</v>
      </c>
      <c r="K19" s="29">
        <f t="shared" si="0"/>
        <v>5220.9919213206886</v>
      </c>
      <c r="L19" s="29" t="str">
        <f t="shared" si="1"/>
        <v>MEDIANA</v>
      </c>
      <c r="N19" s="30">
        <v>34041</v>
      </c>
      <c r="O19" s="31"/>
      <c r="P19" s="31">
        <v>5822111</v>
      </c>
      <c r="Q19" s="32">
        <v>0</v>
      </c>
      <c r="R19" s="32">
        <v>1609971</v>
      </c>
      <c r="S19" s="32">
        <v>7432082</v>
      </c>
      <c r="T19" s="31">
        <v>1249851</v>
      </c>
      <c r="U19" s="31">
        <v>848223</v>
      </c>
      <c r="V19" s="31">
        <v>2098074</v>
      </c>
      <c r="W19" s="31">
        <v>5334008</v>
      </c>
      <c r="X19" s="33">
        <v>7432082</v>
      </c>
      <c r="Y19" s="34"/>
      <c r="Z19" s="35">
        <v>3506639</v>
      </c>
      <c r="AA19" s="35">
        <v>0</v>
      </c>
      <c r="AB19" s="35">
        <v>3506639</v>
      </c>
      <c r="AC19" s="35">
        <v>1150507</v>
      </c>
      <c r="AD19" s="35">
        <v>0</v>
      </c>
      <c r="AE19" s="35">
        <v>1150507</v>
      </c>
      <c r="AF19" s="35">
        <v>724860</v>
      </c>
      <c r="AG19" s="36"/>
      <c r="AI19" s="37">
        <f t="shared" si="2"/>
        <v>4.6582440626922725</v>
      </c>
      <c r="AJ19" s="38" t="str">
        <f t="shared" si="3"/>
        <v>SI</v>
      </c>
      <c r="AK19" s="39">
        <f t="shared" si="4"/>
        <v>0.28229963017092652</v>
      </c>
      <c r="AL19" s="38" t="str">
        <f t="shared" si="5"/>
        <v>SI</v>
      </c>
      <c r="AM19" s="29" t="str">
        <f t="shared" si="6"/>
        <v>INDETERMINADO</v>
      </c>
      <c r="AN19" s="38" t="str">
        <f t="shared" si="7"/>
        <v>SI</v>
      </c>
      <c r="AO19" s="30">
        <f t="shared" si="8"/>
        <v>4572260</v>
      </c>
      <c r="AP19" s="38" t="str">
        <f t="shared" si="9"/>
        <v>SI</v>
      </c>
      <c r="AQ19" s="30">
        <f t="shared" si="10"/>
        <v>5334008</v>
      </c>
      <c r="AR19" s="38" t="str">
        <f t="shared" si="11"/>
        <v>SI</v>
      </c>
      <c r="AS19" s="29">
        <f t="shared" si="12"/>
        <v>0.21569277736366349</v>
      </c>
      <c r="AT19" s="38" t="str">
        <f t="shared" si="13"/>
        <v>SI</v>
      </c>
      <c r="AU19" s="29">
        <f t="shared" si="14"/>
        <v>0.15480278608336129</v>
      </c>
      <c r="AV19" s="40" t="str">
        <f t="shared" si="15"/>
        <v>SI</v>
      </c>
    </row>
    <row r="20" spans="2:48" s="2" customFormat="1">
      <c r="B20" s="1">
        <v>15543</v>
      </c>
      <c r="C20" s="24" t="s">
        <v>45</v>
      </c>
      <c r="D20" s="25">
        <v>900265778</v>
      </c>
      <c r="E20" s="26" t="s">
        <v>46</v>
      </c>
      <c r="F20" s="27" t="s">
        <v>76</v>
      </c>
      <c r="G20" s="25" t="s">
        <v>48</v>
      </c>
      <c r="H20" s="25" t="s">
        <v>49</v>
      </c>
      <c r="I20" s="28" t="s">
        <v>57</v>
      </c>
      <c r="J20" s="25" t="s">
        <v>77</v>
      </c>
      <c r="K20" s="29">
        <f t="shared" si="0"/>
        <v>712.80646294344922</v>
      </c>
      <c r="L20" s="29" t="str">
        <f t="shared" si="1"/>
        <v>PEQUEÑA</v>
      </c>
      <c r="N20" s="30">
        <v>155298</v>
      </c>
      <c r="O20" s="31"/>
      <c r="P20" s="31">
        <v>786511</v>
      </c>
      <c r="Q20" s="32">
        <v>0</v>
      </c>
      <c r="R20" s="32">
        <v>228169</v>
      </c>
      <c r="S20" s="32">
        <v>1014680</v>
      </c>
      <c r="T20" s="31">
        <v>307824</v>
      </c>
      <c r="U20" s="31">
        <v>101097</v>
      </c>
      <c r="V20" s="31">
        <v>408921</v>
      </c>
      <c r="W20" s="31">
        <v>605759</v>
      </c>
      <c r="X20" s="33">
        <v>1014680</v>
      </c>
      <c r="Y20" s="34"/>
      <c r="Z20" s="35">
        <v>859208</v>
      </c>
      <c r="AA20" s="35">
        <v>291543</v>
      </c>
      <c r="AB20" s="35">
        <v>567665</v>
      </c>
      <c r="AC20" s="35">
        <v>424392</v>
      </c>
      <c r="AD20" s="35">
        <v>3357</v>
      </c>
      <c r="AE20" s="35">
        <v>421035</v>
      </c>
      <c r="AF20" s="35">
        <v>273673</v>
      </c>
      <c r="AG20" s="36"/>
      <c r="AI20" s="37">
        <f t="shared" si="2"/>
        <v>2.5550671812464265</v>
      </c>
      <c r="AJ20" s="38" t="str">
        <f t="shared" si="3"/>
        <v>NO</v>
      </c>
      <c r="AK20" s="39">
        <f t="shared" si="4"/>
        <v>0.40300488824062758</v>
      </c>
      <c r="AL20" s="38" t="str">
        <f t="shared" si="5"/>
        <v>SI</v>
      </c>
      <c r="AM20" s="29">
        <f t="shared" si="6"/>
        <v>126.42001787310099</v>
      </c>
      <c r="AN20" s="38" t="str">
        <f t="shared" si="7"/>
        <v>SI</v>
      </c>
      <c r="AO20" s="30">
        <f t="shared" si="8"/>
        <v>478687</v>
      </c>
      <c r="AP20" s="38" t="str">
        <f t="shared" si="9"/>
        <v>SI</v>
      </c>
      <c r="AQ20" s="30">
        <f t="shared" si="10"/>
        <v>605759</v>
      </c>
      <c r="AR20" s="38" t="str">
        <f t="shared" si="11"/>
        <v>NO</v>
      </c>
      <c r="AS20" s="29">
        <f t="shared" si="12"/>
        <v>0.70059545132635259</v>
      </c>
      <c r="AT20" s="38" t="str">
        <f t="shared" si="13"/>
        <v>SI</v>
      </c>
      <c r="AU20" s="29">
        <f t="shared" si="14"/>
        <v>0.41825205976268381</v>
      </c>
      <c r="AV20" s="40" t="str">
        <f t="shared" si="15"/>
        <v>SI</v>
      </c>
    </row>
    <row r="21" spans="2:48" s="2" customFormat="1">
      <c r="B21" s="1">
        <v>17523</v>
      </c>
      <c r="C21" s="24" t="s">
        <v>45</v>
      </c>
      <c r="D21" s="25">
        <v>900407272</v>
      </c>
      <c r="E21" s="26" t="s">
        <v>46</v>
      </c>
      <c r="F21" s="27" t="s">
        <v>78</v>
      </c>
      <c r="G21" s="25" t="s">
        <v>48</v>
      </c>
      <c r="H21" s="25" t="s">
        <v>49</v>
      </c>
      <c r="I21" s="28" t="s">
        <v>57</v>
      </c>
      <c r="J21" s="25" t="s">
        <v>60</v>
      </c>
      <c r="K21" s="29">
        <f t="shared" si="0"/>
        <v>1382.6455918510712</v>
      </c>
      <c r="L21" s="29" t="str">
        <f t="shared" si="1"/>
        <v>PEQUEÑA</v>
      </c>
      <c r="N21" s="30">
        <v>324862</v>
      </c>
      <c r="O21" s="31"/>
      <c r="P21" s="31">
        <v>1968196</v>
      </c>
      <c r="Q21" s="32">
        <v>0</v>
      </c>
      <c r="R21" s="32">
        <v>0</v>
      </c>
      <c r="S21" s="32">
        <v>1968196</v>
      </c>
      <c r="T21" s="31">
        <v>752825</v>
      </c>
      <c r="U21" s="31">
        <v>0</v>
      </c>
      <c r="V21" s="31">
        <v>752825</v>
      </c>
      <c r="W21" s="31">
        <v>1215371</v>
      </c>
      <c r="X21" s="33">
        <v>1968196</v>
      </c>
      <c r="Y21" s="34"/>
      <c r="Z21" s="35">
        <v>7498472</v>
      </c>
      <c r="AA21" s="35">
        <v>0</v>
      </c>
      <c r="AB21" s="35">
        <v>7498472</v>
      </c>
      <c r="AC21" s="35">
        <v>803159</v>
      </c>
      <c r="AD21" s="35">
        <v>187</v>
      </c>
      <c r="AE21" s="35">
        <v>825373</v>
      </c>
      <c r="AF21" s="35">
        <v>432822</v>
      </c>
      <c r="AG21" s="36"/>
      <c r="AI21" s="37">
        <f t="shared" si="2"/>
        <v>2.614413708365158</v>
      </c>
      <c r="AJ21" s="38" t="str">
        <f t="shared" si="3"/>
        <v>NO</v>
      </c>
      <c r="AK21" s="39">
        <f t="shared" si="4"/>
        <v>0.38249493444758548</v>
      </c>
      <c r="AL21" s="38" t="str">
        <f t="shared" si="5"/>
        <v>SI</v>
      </c>
      <c r="AM21" s="29">
        <f t="shared" si="6"/>
        <v>4294.9679144385027</v>
      </c>
      <c r="AN21" s="38" t="str">
        <f t="shared" si="7"/>
        <v>SI</v>
      </c>
      <c r="AO21" s="30">
        <f t="shared" si="8"/>
        <v>1215371</v>
      </c>
      <c r="AP21" s="38" t="str">
        <f t="shared" si="9"/>
        <v>SI</v>
      </c>
      <c r="AQ21" s="30">
        <f t="shared" si="10"/>
        <v>1215371</v>
      </c>
      <c r="AR21" s="38" t="str">
        <f t="shared" si="11"/>
        <v>SI</v>
      </c>
      <c r="AS21" s="29">
        <f t="shared" si="12"/>
        <v>0.66083442833505157</v>
      </c>
      <c r="AT21" s="38" t="str">
        <f t="shared" si="13"/>
        <v>SI</v>
      </c>
      <c r="AU21" s="29">
        <f t="shared" si="14"/>
        <v>0.40806860698832842</v>
      </c>
      <c r="AV21" s="40" t="str">
        <f t="shared" si="15"/>
        <v>SI</v>
      </c>
    </row>
    <row r="22" spans="2:48" s="2" customFormat="1">
      <c r="B22" s="1">
        <v>27299</v>
      </c>
      <c r="C22" s="24" t="s">
        <v>79</v>
      </c>
      <c r="D22" s="25">
        <v>900382405</v>
      </c>
      <c r="E22" s="26" t="s">
        <v>46</v>
      </c>
      <c r="F22" s="27" t="s">
        <v>80</v>
      </c>
      <c r="G22" s="25" t="s">
        <v>48</v>
      </c>
      <c r="H22" s="25" t="s">
        <v>49</v>
      </c>
      <c r="I22" s="28" t="s">
        <v>57</v>
      </c>
      <c r="J22" s="25" t="s">
        <v>51</v>
      </c>
      <c r="K22" s="29">
        <f t="shared" si="0"/>
        <v>6474.9582016157356</v>
      </c>
      <c r="L22" s="29" t="str">
        <f t="shared" si="1"/>
        <v>MEDIANA</v>
      </c>
      <c r="N22" s="30">
        <v>2996972</v>
      </c>
      <c r="O22" s="31">
        <v>0</v>
      </c>
      <c r="P22" s="31">
        <v>8412641</v>
      </c>
      <c r="Q22" s="32">
        <v>0</v>
      </c>
      <c r="R22" s="32">
        <v>804462</v>
      </c>
      <c r="S22" s="32">
        <v>9217103</v>
      </c>
      <c r="T22" s="31">
        <v>3151764</v>
      </c>
      <c r="U22" s="31">
        <v>227431</v>
      </c>
      <c r="V22" s="31">
        <v>3379195</v>
      </c>
      <c r="W22" s="31">
        <v>5837908</v>
      </c>
      <c r="X22" s="33">
        <v>9217103</v>
      </c>
      <c r="Y22" s="34"/>
      <c r="Z22" s="35">
        <v>9442315</v>
      </c>
      <c r="AA22" s="35">
        <v>0</v>
      </c>
      <c r="AB22" s="35">
        <v>9442315</v>
      </c>
      <c r="AC22" s="35">
        <v>2305080</v>
      </c>
      <c r="AD22" s="35">
        <v>163090</v>
      </c>
      <c r="AE22" s="35">
        <v>2766683</v>
      </c>
      <c r="AF22" s="35">
        <v>1746704</v>
      </c>
      <c r="AG22" s="36"/>
      <c r="AI22" s="37">
        <f t="shared" si="2"/>
        <v>2.6691849389738573</v>
      </c>
      <c r="AJ22" s="38" t="str">
        <f t="shared" si="3"/>
        <v>SI</v>
      </c>
      <c r="AK22" s="39">
        <f t="shared" si="4"/>
        <v>0.36662224562316381</v>
      </c>
      <c r="AL22" s="38" t="str">
        <f t="shared" si="5"/>
        <v>SI</v>
      </c>
      <c r="AM22" s="29">
        <f t="shared" si="6"/>
        <v>14.133791158256178</v>
      </c>
      <c r="AN22" s="38" t="str">
        <f t="shared" si="7"/>
        <v>NO</v>
      </c>
      <c r="AO22" s="30">
        <f t="shared" si="8"/>
        <v>5260877</v>
      </c>
      <c r="AP22" s="38" t="str">
        <f t="shared" si="9"/>
        <v>SI</v>
      </c>
      <c r="AQ22" s="30">
        <f t="shared" si="10"/>
        <v>5837908</v>
      </c>
      <c r="AR22" s="38" t="str">
        <f t="shared" si="11"/>
        <v>SI</v>
      </c>
      <c r="AS22" s="29">
        <f t="shared" si="12"/>
        <v>0.39484692119163234</v>
      </c>
      <c r="AT22" s="38" t="str">
        <f t="shared" si="13"/>
        <v>SI</v>
      </c>
      <c r="AU22" s="29">
        <f t="shared" si="14"/>
        <v>0.25008725626696371</v>
      </c>
      <c r="AV22" s="40" t="str">
        <f t="shared" si="15"/>
        <v>SI</v>
      </c>
    </row>
    <row r="23" spans="2:48" s="2" customFormat="1">
      <c r="B23" s="1">
        <v>27349</v>
      </c>
      <c r="C23" s="24" t="s">
        <v>79</v>
      </c>
      <c r="D23" s="25">
        <v>900400934</v>
      </c>
      <c r="E23" s="26" t="s">
        <v>46</v>
      </c>
      <c r="F23" s="27" t="s">
        <v>81</v>
      </c>
      <c r="G23" s="25" t="s">
        <v>48</v>
      </c>
      <c r="H23" s="25" t="s">
        <v>49</v>
      </c>
      <c r="I23" s="28" t="s">
        <v>57</v>
      </c>
      <c r="J23" s="25" t="s">
        <v>51</v>
      </c>
      <c r="K23" s="29">
        <f t="shared" si="0"/>
        <v>1858.8500175623462</v>
      </c>
      <c r="L23" s="29" t="str">
        <f t="shared" si="1"/>
        <v>PEQUEÑA</v>
      </c>
      <c r="N23" s="30">
        <v>991560</v>
      </c>
      <c r="O23" s="31">
        <v>0</v>
      </c>
      <c r="P23" s="31">
        <v>1341550</v>
      </c>
      <c r="Q23" s="32">
        <v>0</v>
      </c>
      <c r="R23" s="32">
        <v>1304523</v>
      </c>
      <c r="S23" s="32">
        <v>2646073</v>
      </c>
      <c r="T23" s="31">
        <v>1458505</v>
      </c>
      <c r="U23" s="31">
        <v>0</v>
      </c>
      <c r="V23" s="31">
        <v>1458505</v>
      </c>
      <c r="W23" s="31">
        <v>1187568</v>
      </c>
      <c r="X23" s="33">
        <v>2646073</v>
      </c>
      <c r="Y23" s="34"/>
      <c r="Z23" s="35">
        <v>4546172</v>
      </c>
      <c r="AA23" s="35">
        <v>0</v>
      </c>
      <c r="AB23" s="35">
        <v>4546172</v>
      </c>
      <c r="AC23" s="35">
        <v>1493753</v>
      </c>
      <c r="AD23" s="35">
        <v>16386</v>
      </c>
      <c r="AE23" s="35">
        <v>1632079</v>
      </c>
      <c r="AF23" s="35">
        <v>1030221</v>
      </c>
      <c r="AG23" s="36"/>
      <c r="AI23" s="37">
        <f t="shared" si="2"/>
        <v>0.91981172501979769</v>
      </c>
      <c r="AJ23" s="38" t="str">
        <f t="shared" si="3"/>
        <v>NO</v>
      </c>
      <c r="AK23" s="39">
        <f t="shared" si="4"/>
        <v>0.55119605543762396</v>
      </c>
      <c r="AL23" s="38" t="str">
        <f t="shared" si="5"/>
        <v>SI</v>
      </c>
      <c r="AM23" s="29">
        <f t="shared" si="6"/>
        <v>91.160319785182466</v>
      </c>
      <c r="AN23" s="38" t="str">
        <f t="shared" si="7"/>
        <v>SI</v>
      </c>
      <c r="AO23" s="30">
        <f t="shared" si="8"/>
        <v>-116955</v>
      </c>
      <c r="AP23" s="38" t="str">
        <f t="shared" si="9"/>
        <v>NO</v>
      </c>
      <c r="AQ23" s="30">
        <f t="shared" si="10"/>
        <v>1187568</v>
      </c>
      <c r="AR23" s="38" t="str">
        <f t="shared" si="11"/>
        <v>NO</v>
      </c>
      <c r="AS23" s="29">
        <f t="shared" si="12"/>
        <v>1.2578252361127953</v>
      </c>
      <c r="AT23" s="38" t="str">
        <f t="shared" si="13"/>
        <v>SI</v>
      </c>
      <c r="AU23" s="29">
        <f t="shared" si="14"/>
        <v>0.56451692753752447</v>
      </c>
      <c r="AV23" s="40" t="str">
        <f t="shared" si="15"/>
        <v>SI</v>
      </c>
    </row>
    <row r="24" spans="2:48" ht="15.75" thickBot="1"/>
    <row r="25" spans="2:48" ht="21.75" thickBot="1">
      <c r="C25" s="42">
        <f>+COUNT(B4:B23)</f>
        <v>20</v>
      </c>
      <c r="J25" s="2"/>
      <c r="K25" s="43" t="s">
        <v>11</v>
      </c>
      <c r="L25" s="44" t="s">
        <v>82</v>
      </c>
      <c r="AI25" s="45">
        <f>+_xlfn.QUARTILE.EXC(AI4:AI23,2)</f>
        <v>2.6529592986081667</v>
      </c>
      <c r="AJ25" s="46">
        <f>+COUNTIF(AJ4:AJ23,"SI")</f>
        <v>10</v>
      </c>
      <c r="AK25" s="45">
        <f>+_xlfn.QUARTILE.EXC(AK4:AK23,3)</f>
        <v>0.62482905323211391</v>
      </c>
      <c r="AL25" s="46">
        <f>+COUNTIF(AL4:AL23,"SI")</f>
        <v>15</v>
      </c>
      <c r="AM25" s="45">
        <f>+_xlfn.QUARTILE.EXC(AM4:AM23,2)</f>
        <v>38.034835483321018</v>
      </c>
      <c r="AN25" s="46">
        <f>+COUNTIF(AN4:AN23,"SI")</f>
        <v>14</v>
      </c>
      <c r="AO25" s="45">
        <f>+_xlfn.QUARTILE.EXC(AO4:AO23,1)</f>
        <v>389300.5</v>
      </c>
      <c r="AP25" s="46">
        <f>+COUNTIF(AP4:AP23,"SI")</f>
        <v>15</v>
      </c>
      <c r="AQ25" s="45">
        <f>+_xlfn.QUARTILE.EXC(AQ4:AQ23,1)</f>
        <v>1194518.75</v>
      </c>
      <c r="AR25" s="46">
        <f>+COUNTIF(AR4:AR23,"SI")</f>
        <v>15</v>
      </c>
      <c r="AS25" s="45">
        <f>+_xlfn.QUARTILE.EXC(AS4:AS23,1)</f>
        <v>0.11061911363678896</v>
      </c>
      <c r="AT25" s="46">
        <f>+COUNTIF(AT4:AT23,"SI")</f>
        <v>15</v>
      </c>
      <c r="AU25" s="45">
        <f>+_xlfn.QUARTILE.EXC(AU4:AU23,1)</f>
        <v>0.11180331042677429</v>
      </c>
      <c r="AV25" s="46">
        <f>+COUNTIF(AV4:AV23,"SI")</f>
        <v>15</v>
      </c>
    </row>
    <row r="26" spans="2:48">
      <c r="J26" s="2"/>
      <c r="K26" s="24" t="s">
        <v>83</v>
      </c>
      <c r="L26" s="47">
        <f>+COUNTIF($L$4:$L$23,"MICRO EMPRESA")</f>
        <v>2</v>
      </c>
    </row>
    <row r="27" spans="2:48" ht="15.75">
      <c r="C27" s="140" t="s">
        <v>84</v>
      </c>
      <c r="D27" t="s">
        <v>85</v>
      </c>
      <c r="J27" s="2"/>
      <c r="K27" s="48" t="s">
        <v>86</v>
      </c>
      <c r="L27" s="49">
        <f>+COUNTIF($L$4:$L$23,"PEQUEÑA")</f>
        <v>10</v>
      </c>
      <c r="AH27" s="50" t="s">
        <v>87</v>
      </c>
      <c r="AI27" s="51"/>
      <c r="AJ27" s="50" t="s">
        <v>88</v>
      </c>
      <c r="AK27" s="52">
        <v>0</v>
      </c>
      <c r="AL27" s="53"/>
      <c r="AM27" s="53"/>
      <c r="AN27" s="54"/>
      <c r="AO27" s="54"/>
    </row>
    <row r="28" spans="2:48" ht="15.75" thickBot="1">
      <c r="C28" s="55" t="s">
        <v>60</v>
      </c>
      <c r="D28">
        <v>4</v>
      </c>
      <c r="J28" s="2"/>
      <c r="K28" s="48" t="s">
        <v>89</v>
      </c>
      <c r="L28" s="49">
        <f>+COUNTIF($L$4:$L$23,"MEDIANA")</f>
        <v>8</v>
      </c>
      <c r="AH28" s="56"/>
      <c r="AI28" s="57"/>
      <c r="AJ28" s="54"/>
      <c r="AK28" s="58"/>
      <c r="AL28" s="59"/>
      <c r="AM28" s="54"/>
      <c r="AN28" s="54"/>
      <c r="AO28" s="54"/>
    </row>
    <row r="29" spans="2:48" ht="16.5" thickBot="1">
      <c r="C29" s="55" t="s">
        <v>55</v>
      </c>
      <c r="D29">
        <v>2</v>
      </c>
      <c r="J29" s="2"/>
      <c r="K29" s="60" t="s">
        <v>90</v>
      </c>
      <c r="L29" s="61">
        <f>+COUNTIF($L$4:$L$23,"GRANDE")</f>
        <v>0</v>
      </c>
      <c r="AH29" s="145" t="s">
        <v>91</v>
      </c>
      <c r="AI29" s="146"/>
      <c r="AJ29" s="146"/>
      <c r="AK29" s="146"/>
      <c r="AL29" s="146"/>
      <c r="AM29" s="146"/>
      <c r="AN29" s="146"/>
      <c r="AO29" s="147"/>
    </row>
    <row r="30" spans="2:48" ht="15.75" thickBot="1">
      <c r="C30" s="55" t="s">
        <v>51</v>
      </c>
      <c r="D30">
        <v>8</v>
      </c>
      <c r="J30" s="2"/>
      <c r="K30" s="43" t="s">
        <v>92</v>
      </c>
      <c r="L30" s="62">
        <f>+SUBTOTAL(9,L26:L29)</f>
        <v>20</v>
      </c>
      <c r="AH30" s="63" t="s">
        <v>93</v>
      </c>
      <c r="AI30" s="64" t="s">
        <v>31</v>
      </c>
      <c r="AJ30" s="65" t="s">
        <v>33</v>
      </c>
      <c r="AK30" s="65" t="s">
        <v>94</v>
      </c>
      <c r="AL30" s="65" t="s">
        <v>95</v>
      </c>
      <c r="AM30" s="65" t="s">
        <v>39</v>
      </c>
      <c r="AN30" s="65" t="s">
        <v>96</v>
      </c>
      <c r="AO30" s="66" t="s">
        <v>97</v>
      </c>
    </row>
    <row r="31" spans="2:48">
      <c r="C31" s="55" t="s">
        <v>70</v>
      </c>
      <c r="D31">
        <v>1</v>
      </c>
      <c r="J31" s="2"/>
      <c r="K31" s="3"/>
      <c r="L31" s="3"/>
      <c r="AH31" s="67" t="s">
        <v>98</v>
      </c>
      <c r="AI31" s="68">
        <f>+AI25</f>
        <v>2.6529592986081667</v>
      </c>
      <c r="AJ31" s="68">
        <f>+AK25</f>
        <v>0.62482905323211391</v>
      </c>
      <c r="AK31" s="68">
        <f>+AM25</f>
        <v>38.034835483321018</v>
      </c>
      <c r="AL31" s="68">
        <f>+AO25</f>
        <v>389300.5</v>
      </c>
      <c r="AM31" s="68">
        <f>+AQ25</f>
        <v>1194518.75</v>
      </c>
      <c r="AN31" s="68">
        <f>+AS25</f>
        <v>0.11061911363678896</v>
      </c>
      <c r="AO31" s="68">
        <f>+AU25</f>
        <v>0.11180331042677429</v>
      </c>
    </row>
    <row r="32" spans="2:48" ht="15.75" thickBot="1">
      <c r="C32" s="55" t="s">
        <v>73</v>
      </c>
      <c r="D32">
        <v>1</v>
      </c>
      <c r="J32" s="2"/>
      <c r="K32" s="69" t="s">
        <v>99</v>
      </c>
      <c r="L32" s="70">
        <f>+L2</f>
        <v>1423500</v>
      </c>
      <c r="AH32" s="71" t="s">
        <v>100</v>
      </c>
      <c r="AI32" s="72">
        <f t="shared" ref="AI32:AO32" si="16">+$C$25</f>
        <v>20</v>
      </c>
      <c r="AJ32" s="72">
        <f t="shared" si="16"/>
        <v>20</v>
      </c>
      <c r="AK32" s="72">
        <f t="shared" si="16"/>
        <v>20</v>
      </c>
      <c r="AL32" s="72">
        <f t="shared" si="16"/>
        <v>20</v>
      </c>
      <c r="AM32" s="72">
        <f t="shared" si="16"/>
        <v>20</v>
      </c>
      <c r="AN32" s="72">
        <f t="shared" si="16"/>
        <v>20</v>
      </c>
      <c r="AO32" s="72">
        <f t="shared" si="16"/>
        <v>20</v>
      </c>
    </row>
    <row r="33" spans="3:41" ht="15.75" thickBot="1">
      <c r="C33" s="55" t="s">
        <v>58</v>
      </c>
      <c r="D33">
        <v>1</v>
      </c>
      <c r="J33" s="43" t="s">
        <v>11</v>
      </c>
      <c r="K33" s="73" t="s">
        <v>101</v>
      </c>
      <c r="L33" s="44" t="s">
        <v>102</v>
      </c>
      <c r="AH33" s="71" t="s">
        <v>103</v>
      </c>
      <c r="AI33" s="74">
        <f>+AJ25</f>
        <v>10</v>
      </c>
      <c r="AJ33" s="75">
        <f>+AL25</f>
        <v>15</v>
      </c>
      <c r="AK33" s="75">
        <f>+AN25</f>
        <v>14</v>
      </c>
      <c r="AL33" s="75">
        <f>+AP25</f>
        <v>15</v>
      </c>
      <c r="AM33" s="75">
        <f>+AR25</f>
        <v>15</v>
      </c>
      <c r="AN33" s="75">
        <f>+AT25</f>
        <v>15</v>
      </c>
      <c r="AO33" s="49">
        <f>+AV25</f>
        <v>15</v>
      </c>
    </row>
    <row r="34" spans="3:41" ht="15.75" thickBot="1">
      <c r="C34" s="55" t="s">
        <v>75</v>
      </c>
      <c r="D34">
        <v>1</v>
      </c>
      <c r="J34" s="24" t="s">
        <v>83</v>
      </c>
      <c r="K34" s="76">
        <f>+L26</f>
        <v>2</v>
      </c>
      <c r="L34" s="77">
        <f>+K34/$K$38</f>
        <v>0.1</v>
      </c>
      <c r="AH34" s="78" t="s">
        <v>104</v>
      </c>
      <c r="AI34" s="79">
        <f t="shared" ref="AI34:AO34" si="17">+AI33/AI32</f>
        <v>0.5</v>
      </c>
      <c r="AJ34" s="80">
        <f t="shared" si="17"/>
        <v>0.75</v>
      </c>
      <c r="AK34" s="80">
        <f t="shared" si="17"/>
        <v>0.7</v>
      </c>
      <c r="AL34" s="80">
        <f t="shared" si="17"/>
        <v>0.75</v>
      </c>
      <c r="AM34" s="80">
        <f t="shared" si="17"/>
        <v>0.75</v>
      </c>
      <c r="AN34" s="80">
        <f t="shared" si="17"/>
        <v>0.75</v>
      </c>
      <c r="AO34" s="81">
        <f t="shared" si="17"/>
        <v>0.75</v>
      </c>
    </row>
    <row r="35" spans="3:41">
      <c r="C35" s="55" t="s">
        <v>77</v>
      </c>
      <c r="D35">
        <v>1</v>
      </c>
      <c r="J35" s="48" t="s">
        <v>86</v>
      </c>
      <c r="K35" s="82">
        <f>+L27</f>
        <v>10</v>
      </c>
      <c r="L35" s="77">
        <f>+K35/$K$38</f>
        <v>0.5</v>
      </c>
      <c r="AH35" s="2"/>
      <c r="AI35" s="2"/>
      <c r="AJ35" s="2"/>
      <c r="AK35" s="2"/>
      <c r="AL35" s="2"/>
      <c r="AM35" s="3"/>
      <c r="AN35" s="2"/>
      <c r="AO35" s="2"/>
    </row>
    <row r="36" spans="3:41" ht="15.75" thickBot="1">
      <c r="C36" s="55" t="s">
        <v>68</v>
      </c>
      <c r="D36">
        <v>1</v>
      </c>
      <c r="J36" s="48" t="s">
        <v>89</v>
      </c>
      <c r="K36" s="82">
        <f>+L28</f>
        <v>8</v>
      </c>
      <c r="L36" s="77">
        <f>+K36/$K$38</f>
        <v>0.4</v>
      </c>
      <c r="AH36" s="2"/>
      <c r="AI36" s="2"/>
      <c r="AJ36" s="2"/>
      <c r="AK36" s="2"/>
      <c r="AL36" s="2"/>
      <c r="AM36" s="3"/>
      <c r="AN36" s="2"/>
      <c r="AO36" s="2"/>
    </row>
    <row r="37" spans="3:41" ht="15.75" thickBot="1">
      <c r="C37" s="55" t="s">
        <v>105</v>
      </c>
      <c r="D37">
        <v>20</v>
      </c>
      <c r="J37" s="60" t="s">
        <v>90</v>
      </c>
      <c r="K37" s="83">
        <f>+L29</f>
        <v>0</v>
      </c>
      <c r="L37" s="77">
        <f>+K37/$K$38</f>
        <v>0</v>
      </c>
      <c r="AH37" s="84" t="s">
        <v>106</v>
      </c>
      <c r="AI37" s="85" t="s">
        <v>31</v>
      </c>
      <c r="AJ37" s="86" t="s">
        <v>33</v>
      </c>
      <c r="AK37" s="86" t="s">
        <v>94</v>
      </c>
      <c r="AL37" s="86" t="s">
        <v>95</v>
      </c>
      <c r="AM37" s="86" t="s">
        <v>39</v>
      </c>
      <c r="AN37" s="86" t="s">
        <v>107</v>
      </c>
      <c r="AO37" s="87" t="s">
        <v>108</v>
      </c>
    </row>
    <row r="38" spans="3:41" ht="19.5" thickBot="1">
      <c r="J38" s="43" t="s">
        <v>92</v>
      </c>
      <c r="K38" s="88">
        <f>+SUM(K34:K37)</f>
        <v>20</v>
      </c>
      <c r="L38" s="89">
        <f>+SUM(L34:L37)</f>
        <v>1</v>
      </c>
      <c r="AH38" s="148" t="s">
        <v>109</v>
      </c>
      <c r="AI38" s="149"/>
      <c r="AJ38" s="149"/>
      <c r="AK38" s="149"/>
      <c r="AL38" s="149"/>
      <c r="AM38" s="149"/>
      <c r="AN38" s="149"/>
      <c r="AO38" s="150"/>
    </row>
    <row r="39" spans="3:41">
      <c r="AH39" s="151" t="s">
        <v>110</v>
      </c>
      <c r="AI39" s="152"/>
      <c r="AJ39" s="152"/>
      <c r="AK39" s="152"/>
      <c r="AL39" s="152"/>
      <c r="AM39" s="152"/>
      <c r="AN39" s="152"/>
      <c r="AO39" s="153"/>
    </row>
    <row r="40" spans="3:41">
      <c r="AH40" s="90" t="s">
        <v>111</v>
      </c>
      <c r="AI40" s="91"/>
      <c r="AJ40" s="92"/>
      <c r="AK40" s="92"/>
      <c r="AL40" s="92"/>
      <c r="AM40" s="92"/>
      <c r="AN40" s="92"/>
      <c r="AO40" s="93"/>
    </row>
    <row r="41" spans="3:41">
      <c r="AH41" s="90" t="s">
        <v>112</v>
      </c>
      <c r="AI41" s="91"/>
      <c r="AJ41" s="92"/>
      <c r="AK41" s="92"/>
      <c r="AL41" s="92"/>
      <c r="AM41" s="92"/>
      <c r="AN41" s="92"/>
      <c r="AO41" s="93"/>
    </row>
    <row r="42" spans="3:41">
      <c r="AH42" s="90" t="s">
        <v>113</v>
      </c>
      <c r="AI42" s="91"/>
      <c r="AJ42" s="92"/>
      <c r="AK42" s="92"/>
      <c r="AL42" s="92"/>
      <c r="AM42" s="92"/>
      <c r="AN42" s="92"/>
      <c r="AO42" s="93"/>
    </row>
    <row r="43" spans="3:41" ht="15.75" thickBot="1">
      <c r="AH43" s="94" t="s">
        <v>114</v>
      </c>
      <c r="AI43" s="95"/>
      <c r="AJ43" s="96"/>
      <c r="AK43" s="96"/>
      <c r="AL43" s="96"/>
      <c r="AM43" s="96"/>
      <c r="AN43" s="96"/>
      <c r="AO43" s="97"/>
    </row>
    <row r="44" spans="3:41">
      <c r="AH44" s="98" t="s">
        <v>115</v>
      </c>
      <c r="AI44" s="99">
        <f>_xlfn.QUARTILE.INC($AI$4:$AI$23,1)</f>
        <v>2.3424511131346826</v>
      </c>
      <c r="AJ44" s="100">
        <f>_xlfn.QUARTILE.INC($AK$4:$AK$23,1)</f>
        <v>0.27102675950915034</v>
      </c>
      <c r="AK44" s="101">
        <f>_xlfn.QUARTILE.INC($AM$4:$AM$23,1)</f>
        <v>14.133791158256178</v>
      </c>
      <c r="AL44" s="102">
        <f>_xlfn.QUARTILE.INC($AO$4:$AO$23,1)</f>
        <v>448891.5</v>
      </c>
      <c r="AM44" s="102">
        <f>_xlfn.QUARTILE.INC($AQ$4:$AQ$23,1)</f>
        <v>1208420.25</v>
      </c>
      <c r="AN44" s="101">
        <f>_xlfn.QUARTILE.INC($AS$4:$AS$23,1)</f>
        <v>0.13380921852236527</v>
      </c>
      <c r="AO44" s="101">
        <f>_xlfn.QUARTILE.INC($AU$4:$AU$23,1)</f>
        <v>0.11358354486540777</v>
      </c>
    </row>
    <row r="45" spans="3:41">
      <c r="E45" s="4"/>
      <c r="AH45" s="103" t="s">
        <v>116</v>
      </c>
      <c r="AI45" s="104">
        <f>_xlfn.QUARTILE.INC($AI$4:$AI$23,2)</f>
        <v>2.6529592986081667</v>
      </c>
      <c r="AJ45" s="105">
        <f>_xlfn.QUARTILE.INC($AK$4:$AK$23,2)</f>
        <v>0.39307305186343944</v>
      </c>
      <c r="AK45" s="106">
        <f>_xlfn.QUARTILE.INC($AM$4:$AM$23,2)</f>
        <v>38.034835483321018</v>
      </c>
      <c r="AL45" s="107">
        <f>_xlfn.QUARTILE.INC($AO$4:$AO$23,2)</f>
        <v>2081169.5</v>
      </c>
      <c r="AM45" s="107">
        <f>_xlfn.QUARTILE.INC($AQ$4:$AQ$23,2)</f>
        <v>3340435.5</v>
      </c>
      <c r="AN45" s="106">
        <f>_xlfn.QUARTILE.INC($AS$4:$AS$23,2)</f>
        <v>0.35843684634912776</v>
      </c>
      <c r="AO45" s="108">
        <f>_xlfn.QUARTILE.INC($AU$4:$AU$23,2)</f>
        <v>0.22263300574912193</v>
      </c>
    </row>
    <row r="46" spans="3:41" ht="15.75" thickBot="1">
      <c r="E46" s="4"/>
      <c r="AH46" s="109" t="s">
        <v>117</v>
      </c>
      <c r="AI46" s="110">
        <f>_xlfn.QUARTILE.INC($AI$4:$AI$23,3)</f>
        <v>4.6762551016080671</v>
      </c>
      <c r="AJ46" s="111">
        <f>_xlfn.QUARTILE.INC($AK$4:$AK$23,3)</f>
        <v>0.59382918107967619</v>
      </c>
      <c r="AK46" s="112">
        <f>_xlfn.QUARTILE.INC($AM$4:$AM$23,3)</f>
        <v>91.160319785182466</v>
      </c>
      <c r="AL46" s="113">
        <f>_xlfn.QUARTILE.INC($AO$4:$AO$23,3)</f>
        <v>3883811</v>
      </c>
      <c r="AM46" s="113">
        <f>_xlfn.QUARTILE.INC($AQ$4:$AQ$23,3)</f>
        <v>4648520.5</v>
      </c>
      <c r="AN46" s="112">
        <f>_xlfn.QUARTILE.INC($AS$4:$AS$23,3)</f>
        <v>0.66119510798452996</v>
      </c>
      <c r="AO46" s="114">
        <f>_xlfn.QUARTILE.INC($AU$4:$AU$23,3)</f>
        <v>0.3546533568584242</v>
      </c>
    </row>
    <row r="47" spans="3:41" ht="15.75" thickBot="1">
      <c r="E47" s="4"/>
      <c r="AH47" s="2"/>
      <c r="AI47" s="2"/>
      <c r="AJ47" s="2"/>
      <c r="AK47" s="2"/>
      <c r="AL47" s="2"/>
      <c r="AM47" s="2"/>
      <c r="AN47" s="2"/>
      <c r="AO47" s="2"/>
    </row>
    <row r="48" spans="3:41" ht="15.75" thickBot="1">
      <c r="E48" s="4"/>
      <c r="AH48" s="115" t="s">
        <v>118</v>
      </c>
      <c r="AI48" s="116">
        <f>STDEVA(AI4:AI23,0)</f>
        <v>14.256864703751848</v>
      </c>
      <c r="AJ48" s="117">
        <f>STDEVA(AK4:AK23,0)</f>
        <v>1.8083339504614937</v>
      </c>
      <c r="AK48" s="118">
        <f>STDEVA(AM4:AM23,0)</f>
        <v>931.93085643692416</v>
      </c>
      <c r="AL48" s="119"/>
      <c r="AM48" s="119"/>
      <c r="AN48" s="119">
        <f>STDEVA(AS4:AS23,0)</f>
        <v>0.48322401035820012</v>
      </c>
      <c r="AO48" s="120">
        <f>STDEVA(AU4:AU23,0)</f>
        <v>0.17094459505497431</v>
      </c>
    </row>
    <row r="49" spans="3:41" ht="15.75" thickBot="1">
      <c r="E49" s="4"/>
      <c r="AH49" s="2"/>
      <c r="AI49" s="121">
        <f>+MIN(AI44:AI46)</f>
        <v>2.3424511131346826</v>
      </c>
      <c r="AJ49" s="122">
        <f>+MAX(AJ44:AJ46)</f>
        <v>0.59382918107967619</v>
      </c>
      <c r="AK49" s="123">
        <f>+MIN(AK44:AK46)</f>
        <v>14.133791158256178</v>
      </c>
      <c r="AL49" s="123"/>
      <c r="AM49" s="123"/>
      <c r="AN49" s="123">
        <f>+MIN(AN44:AN46)</f>
        <v>0.13380921852236527</v>
      </c>
      <c r="AO49" s="124">
        <f>+MIN(AO44:AO46)</f>
        <v>0.11358354486540777</v>
      </c>
    </row>
    <row r="50" spans="3:41">
      <c r="E50" s="4"/>
      <c r="AH50" s="2"/>
      <c r="AI50" s="2"/>
      <c r="AJ50" s="2"/>
      <c r="AK50" s="2"/>
      <c r="AL50" s="2"/>
      <c r="AM50" s="3"/>
      <c r="AN50" s="2"/>
      <c r="AO50" s="2"/>
    </row>
    <row r="51" spans="3:41">
      <c r="E51" s="4"/>
      <c r="AH51" s="2"/>
      <c r="AI51" s="125" t="s">
        <v>31</v>
      </c>
      <c r="AJ51" s="125" t="s">
        <v>33</v>
      </c>
      <c r="AK51" s="125" t="s">
        <v>94</v>
      </c>
      <c r="AL51" s="125" t="s">
        <v>95</v>
      </c>
      <c r="AM51" s="125" t="s">
        <v>39</v>
      </c>
      <c r="AN51" s="125" t="s">
        <v>107</v>
      </c>
      <c r="AO51" s="125" t="s">
        <v>108</v>
      </c>
    </row>
    <row r="52" spans="3:41">
      <c r="E52" s="4"/>
      <c r="AH52" s="126" t="s">
        <v>119</v>
      </c>
      <c r="AI52" s="127">
        <v>2.5</v>
      </c>
      <c r="AJ52" s="128">
        <v>0.5</v>
      </c>
      <c r="AK52" s="127">
        <v>10</v>
      </c>
      <c r="AL52" s="127"/>
      <c r="AM52" s="127"/>
      <c r="AN52" s="127">
        <v>0.3</v>
      </c>
      <c r="AO52" s="127">
        <v>0.2</v>
      </c>
    </row>
    <row r="53" spans="3:41">
      <c r="E53" s="4"/>
      <c r="AH53" s="2"/>
      <c r="AI53" s="2"/>
      <c r="AJ53" s="2"/>
      <c r="AK53" s="2"/>
      <c r="AL53" s="2"/>
      <c r="AM53" s="3"/>
      <c r="AN53" s="2"/>
      <c r="AO53" s="2"/>
    </row>
    <row r="54" spans="3:41">
      <c r="E54" s="4"/>
      <c r="AH54" s="154" t="s">
        <v>120</v>
      </c>
      <c r="AI54" s="155"/>
      <c r="AJ54" s="155"/>
      <c r="AK54" s="155"/>
      <c r="AL54" s="155"/>
      <c r="AM54" s="155"/>
      <c r="AN54" s="155"/>
      <c r="AO54" s="156"/>
    </row>
    <row r="55" spans="3:41">
      <c r="E55" s="4"/>
      <c r="AH55" s="141" t="s">
        <v>120</v>
      </c>
      <c r="AI55" s="125" t="s">
        <v>31</v>
      </c>
      <c r="AJ55" s="125" t="s">
        <v>33</v>
      </c>
      <c r="AK55" s="125" t="s">
        <v>94</v>
      </c>
      <c r="AL55" s="125" t="s">
        <v>95</v>
      </c>
      <c r="AM55" s="125" t="s">
        <v>39</v>
      </c>
      <c r="AN55" s="125" t="s">
        <v>107</v>
      </c>
      <c r="AO55" s="125" t="s">
        <v>108</v>
      </c>
    </row>
    <row r="56" spans="3:41">
      <c r="E56" s="4"/>
      <c r="AH56" s="141"/>
      <c r="AI56" s="129">
        <f>+COUNTIF(AI4:AI23,"&gt;=2.50")</f>
        <v>0</v>
      </c>
      <c r="AJ56" s="129">
        <f>+COUNTIF(AK4:AK23,"&gt;=0.50")</f>
        <v>0</v>
      </c>
      <c r="AK56" s="129">
        <f>+COUNTIF(AM4:AM23,"&gt;=5,00")</f>
        <v>11</v>
      </c>
      <c r="AL56" s="129">
        <f>+COUNTIF(AO4:AO23,"&gt;=6000000")</f>
        <v>2</v>
      </c>
      <c r="AM56" s="129">
        <f>+COUNTIF(AQ4:AQ23,"&gt;=6000000")</f>
        <v>2</v>
      </c>
      <c r="AN56" s="129">
        <f>+COUNTIF(AS4:AS23,"&gt;=0,30")</f>
        <v>11</v>
      </c>
      <c r="AO56" s="129">
        <f>+COUNTIF(AU4:AU23,"&gt;=0,22")</f>
        <v>11</v>
      </c>
    </row>
    <row r="57" spans="3:41">
      <c r="E57" s="4"/>
      <c r="AH57" s="141"/>
      <c r="AI57" s="130">
        <f t="shared" ref="AI57:AO57" si="18">+AI56/$K$38</f>
        <v>0</v>
      </c>
      <c r="AJ57" s="130">
        <f t="shared" si="18"/>
        <v>0</v>
      </c>
      <c r="AK57" s="130">
        <f t="shared" si="18"/>
        <v>0.55000000000000004</v>
      </c>
      <c r="AL57" s="130">
        <f t="shared" si="18"/>
        <v>0.1</v>
      </c>
      <c r="AM57" s="130">
        <f t="shared" si="18"/>
        <v>0.1</v>
      </c>
      <c r="AN57" s="130">
        <f t="shared" si="18"/>
        <v>0.55000000000000004</v>
      </c>
      <c r="AO57" s="130">
        <f t="shared" si="18"/>
        <v>0.55000000000000004</v>
      </c>
    </row>
    <row r="58" spans="3:41">
      <c r="E58" s="4"/>
    </row>
    <row r="59" spans="3:41">
      <c r="E59" s="4"/>
    </row>
    <row r="60" spans="3:41">
      <c r="E60" s="3"/>
    </row>
    <row r="61" spans="3:41" ht="15.75" thickBot="1">
      <c r="E61" s="2"/>
    </row>
    <row r="62" spans="3:41">
      <c r="C62" s="131" t="s">
        <v>121</v>
      </c>
      <c r="D62" s="132" t="s">
        <v>122</v>
      </c>
      <c r="E62" s="133" t="s">
        <v>123</v>
      </c>
    </row>
    <row r="63" spans="3:41">
      <c r="C63" s="134" t="s">
        <v>60</v>
      </c>
      <c r="D63" s="135">
        <v>4</v>
      </c>
      <c r="E63" s="136">
        <f t="shared" ref="E63:E71" si="19">+D63/$D$72</f>
        <v>0.18181818181818182</v>
      </c>
    </row>
    <row r="64" spans="3:41">
      <c r="C64" s="134" t="s">
        <v>55</v>
      </c>
      <c r="D64" s="135">
        <v>2</v>
      </c>
      <c r="E64" s="136">
        <f t="shared" si="19"/>
        <v>9.0909090909090912E-2</v>
      </c>
    </row>
    <row r="65" spans="3:5">
      <c r="C65" s="134" t="s">
        <v>51</v>
      </c>
      <c r="D65" s="135">
        <v>10</v>
      </c>
      <c r="E65" s="136">
        <f t="shared" si="19"/>
        <v>0.45454545454545453</v>
      </c>
    </row>
    <row r="66" spans="3:5">
      <c r="C66" s="134" t="s">
        <v>70</v>
      </c>
      <c r="D66" s="135">
        <v>1</v>
      </c>
      <c r="E66" s="136">
        <f t="shared" si="19"/>
        <v>4.5454545454545456E-2</v>
      </c>
    </row>
    <row r="67" spans="3:5">
      <c r="C67" s="134" t="s">
        <v>73</v>
      </c>
      <c r="D67" s="135">
        <v>1</v>
      </c>
      <c r="E67" s="136">
        <f t="shared" si="19"/>
        <v>4.5454545454545456E-2</v>
      </c>
    </row>
    <row r="68" spans="3:5">
      <c r="C68" s="134" t="s">
        <v>58</v>
      </c>
      <c r="D68" s="135">
        <v>1</v>
      </c>
      <c r="E68" s="136">
        <f t="shared" si="19"/>
        <v>4.5454545454545456E-2</v>
      </c>
    </row>
    <row r="69" spans="3:5">
      <c r="C69" s="134" t="s">
        <v>75</v>
      </c>
      <c r="D69" s="135">
        <v>1</v>
      </c>
      <c r="E69" s="136">
        <f t="shared" si="19"/>
        <v>4.5454545454545456E-2</v>
      </c>
    </row>
    <row r="70" spans="3:5">
      <c r="C70" s="134" t="s">
        <v>77</v>
      </c>
      <c r="D70" s="135">
        <v>1</v>
      </c>
      <c r="E70" s="136">
        <f t="shared" si="19"/>
        <v>4.5454545454545456E-2</v>
      </c>
    </row>
    <row r="71" spans="3:5">
      <c r="C71" s="134" t="s">
        <v>68</v>
      </c>
      <c r="D71" s="135">
        <v>1</v>
      </c>
      <c r="E71" s="136">
        <f t="shared" si="19"/>
        <v>4.5454545454545456E-2</v>
      </c>
    </row>
    <row r="72" spans="3:5" ht="15.75" thickBot="1">
      <c r="C72" s="137" t="s">
        <v>92</v>
      </c>
      <c r="D72" s="138">
        <f>+SUM(D63:D71)</f>
        <v>22</v>
      </c>
      <c r="E72" s="139">
        <f>+SUM(E63:E71)</f>
        <v>0.99999999999999978</v>
      </c>
    </row>
  </sheetData>
  <autoFilter ref="B3:AV23" xr:uid="{61F6776D-E53C-47F1-8EB2-0AB4CB62C25B}"/>
  <mergeCells count="6">
    <mergeCell ref="AH55:AH57"/>
    <mergeCell ref="AI2:AV2"/>
    <mergeCell ref="AH29:AO29"/>
    <mergeCell ref="AH38:AO38"/>
    <mergeCell ref="AH39:AO39"/>
    <mergeCell ref="AH54:AO54"/>
  </mergeCells>
  <pageMargins left="0.7" right="0.7" top="0.75" bottom="0.75" header="0.3" footer="0.3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a2e6e9-0d5d-4353-887a-12afe249cf9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6" ma:contentTypeDescription="Create a new document." ma:contentTypeScope="" ma:versionID="f321de506b8507574958532c1199ca90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23e9ae26d11aeacb688264bf76394ed5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C4F1DE-0DAA-4B5E-BA06-A1D4463A2932}"/>
</file>

<file path=customXml/itemProps2.xml><?xml version="1.0" encoding="utf-8"?>
<ds:datastoreItem xmlns:ds="http://schemas.openxmlformats.org/officeDocument/2006/customXml" ds:itemID="{26B4797B-422D-4F70-B85D-CDE905D00573}"/>
</file>

<file path=customXml/itemProps3.xml><?xml version="1.0" encoding="utf-8"?>
<ds:datastoreItem xmlns:ds="http://schemas.openxmlformats.org/officeDocument/2006/customXml" ds:itemID="{46D818B0-9056-4322-B2A0-51715D254E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Isabel Clavijo Pinzón</dc:creator>
  <cp:keywords/>
  <dc:description/>
  <cp:lastModifiedBy>Martha Isabel Clavijo Pinzón</cp:lastModifiedBy>
  <cp:revision/>
  <dcterms:created xsi:type="dcterms:W3CDTF">2026-03-11T16:40:27Z</dcterms:created>
  <dcterms:modified xsi:type="dcterms:W3CDTF">2026-03-31T06:26:17Z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2026-03-11T16:58:45Z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f2f860f8-992e-44aa-abef-1aad3a59d06f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0x0101005928819E34B0A54AAD923EBAE771D2A6</vt:lpwstr>
  </property>
</Properties>
</file>