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C:\Users\shark\OneDrive\Escritorio\CONTRATOS POR HACER\ENERO 2026\MENOR CUANTIA\DOCUMENTOS PARA CARGAR\"/>
    </mc:Choice>
  </mc:AlternateContent>
  <xr:revisionPtr revIDLastSave="0" documentId="8_{6D0241EB-7451-4B2A-9B94-E524978EEE5B}" xr6:coauthVersionLast="36" xr6:coauthVersionMax="36" xr10:uidLastSave="{00000000-0000-0000-0000-000000000000}"/>
  <bookViews>
    <workbookView xWindow="0" yWindow="0" windowWidth="20490" windowHeight="6525" xr2:uid="{00000000-000D-0000-FFFF-FFFF00000000}"/>
  </bookViews>
  <sheets>
    <sheet name="ESTUDIO DE MERCADO" sheetId="1" r:id="rId1"/>
    <sheet name="BOLSA ADECUACIÓN DE ESPACIO FIS" sheetId="7" r:id="rId2"/>
    <sheet name="BOLSAProtección cuerpos de agua" sheetId="5" r:id="rId3"/>
    <sheet name="BOLSA Energias alternativas" sheetId="4" r:id="rId4"/>
  </sheets>
  <definedNames>
    <definedName name="_xlnm._FilterDatabase" localSheetId="1" hidden="1">'BOLSA ADECUACIÓN DE ESPACIO FIS'!$A$5:$AG$10</definedName>
    <definedName name="_xlnm._FilterDatabase" localSheetId="3" hidden="1">'BOLSA Energias alternativas'!$A$5:$S$35</definedName>
    <definedName name="_xlnm._FilterDatabase" localSheetId="2" hidden="1">'BOLSAProtección cuerpos de agua'!$A$5:$AC$5</definedName>
    <definedName name="_xlnm._FilterDatabase" localSheetId="0" hidden="1">'ESTUDIO DE MERCADO'!$A$5:$AN$24</definedName>
    <definedName name="_xlnm.Print_Area" localSheetId="1">'BOLSA ADECUACIÓN DE ESPACIO FIS'!$A$1:$AG$10</definedName>
    <definedName name="_xlnm.Print_Area" localSheetId="3">'BOLSA Energias alternativas'!$A$1:$L$35</definedName>
    <definedName name="_xlnm.Print_Area" localSheetId="2">'BOLSAProtección cuerpos de agua'!$A$1:$V$20</definedName>
    <definedName name="_xlnm.Print_Area" localSheetId="0">'ESTUDIO DE MERCADO'!$A$2:$I$25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AM24" i="1" l="1"/>
  <c r="AL23" i="1"/>
  <c r="H8" i="1"/>
  <c r="AL10" i="7" l="1"/>
  <c r="AA20" i="5"/>
  <c r="Q35" i="4"/>
  <c r="U8" i="5"/>
  <c r="V8" i="5"/>
  <c r="W8" i="5"/>
  <c r="X8" i="5" s="1"/>
  <c r="AA8" i="5" s="1"/>
  <c r="Y8" i="5" s="1"/>
  <c r="Z8" i="5" s="1"/>
  <c r="N16" i="5"/>
  <c r="L16" i="5"/>
  <c r="H16" i="5"/>
  <c r="AF20" i="1"/>
  <c r="AG20" i="1"/>
  <c r="AH20" i="1"/>
  <c r="AI20" i="1" s="1"/>
  <c r="AL20" i="1" s="1"/>
  <c r="O33" i="4"/>
  <c r="P33" i="4"/>
  <c r="O31" i="4"/>
  <c r="P31" i="4"/>
  <c r="P29" i="4"/>
  <c r="O29" i="4"/>
  <c r="P26" i="4"/>
  <c r="P27" i="4"/>
  <c r="O26" i="4"/>
  <c r="O27" i="4"/>
  <c r="P25" i="4"/>
  <c r="O25" i="4"/>
  <c r="P18" i="4"/>
  <c r="O18" i="4"/>
  <c r="AJ20" i="1" l="1"/>
  <c r="AK20" i="1" s="1"/>
  <c r="AM20" i="1"/>
  <c r="K11" i="4"/>
  <c r="L11" i="4"/>
  <c r="M11" i="4"/>
  <c r="O6" i="4"/>
  <c r="P6" i="4"/>
  <c r="N11" i="4" l="1"/>
  <c r="W9" i="5" l="1"/>
  <c r="W10" i="5"/>
  <c r="W11" i="5"/>
  <c r="W12" i="5"/>
  <c r="W13" i="5"/>
  <c r="W14" i="5"/>
  <c r="W15" i="5"/>
  <c r="W16" i="5"/>
  <c r="W17" i="5"/>
  <c r="W18" i="5"/>
  <c r="W19" i="5"/>
  <c r="H11" i="1" l="1"/>
  <c r="V9" i="5" l="1"/>
  <c r="V10" i="5"/>
  <c r="V11" i="5"/>
  <c r="V12" i="5"/>
  <c r="V13" i="5"/>
  <c r="V14" i="5"/>
  <c r="V15" i="5"/>
  <c r="V16" i="5"/>
  <c r="V17" i="5"/>
  <c r="V18" i="5"/>
  <c r="V19" i="5"/>
  <c r="U9" i="5"/>
  <c r="U10" i="5"/>
  <c r="U11" i="5"/>
  <c r="U12" i="5"/>
  <c r="U13" i="5"/>
  <c r="U14" i="5"/>
  <c r="U15" i="5"/>
  <c r="U16" i="5"/>
  <c r="U17" i="5"/>
  <c r="U18" i="5"/>
  <c r="U19" i="5"/>
  <c r="W6" i="5"/>
  <c r="V6" i="5"/>
  <c r="U6" i="5"/>
  <c r="H13" i="1" l="1"/>
  <c r="AH19" i="1"/>
  <c r="AG19" i="1"/>
  <c r="AF19" i="1"/>
  <c r="AH16" i="1"/>
  <c r="AH17" i="1"/>
  <c r="AG16" i="1"/>
  <c r="AG17" i="1"/>
  <c r="AF16" i="1"/>
  <c r="AF17" i="1"/>
  <c r="AH15" i="1"/>
  <c r="AG15" i="1"/>
  <c r="AF15" i="1"/>
  <c r="AH6" i="1"/>
  <c r="AG6" i="1"/>
  <c r="AF6" i="1"/>
  <c r="M7" i="4" l="1"/>
  <c r="M8" i="4"/>
  <c r="M9" i="4"/>
  <c r="M10" i="4"/>
  <c r="M12" i="4"/>
  <c r="M13" i="4"/>
  <c r="M14" i="4"/>
  <c r="M15" i="4"/>
  <c r="M16" i="4"/>
  <c r="M17" i="4"/>
  <c r="M18" i="4"/>
  <c r="M19" i="4"/>
  <c r="M20" i="4"/>
  <c r="M21" i="4"/>
  <c r="M22" i="4"/>
  <c r="M23" i="4"/>
  <c r="M24" i="4"/>
  <c r="M25" i="4"/>
  <c r="M26" i="4"/>
  <c r="M27" i="4"/>
  <c r="M28" i="4"/>
  <c r="M29" i="4"/>
  <c r="M30" i="4"/>
  <c r="M31" i="4"/>
  <c r="M32" i="4"/>
  <c r="M33" i="4"/>
  <c r="M34" i="4"/>
  <c r="L7" i="4"/>
  <c r="L8" i="4"/>
  <c r="L9" i="4"/>
  <c r="L10" i="4"/>
  <c r="L12" i="4"/>
  <c r="L13" i="4"/>
  <c r="L14" i="4"/>
  <c r="L15" i="4"/>
  <c r="L16" i="4"/>
  <c r="L17" i="4"/>
  <c r="L18" i="4"/>
  <c r="L19" i="4"/>
  <c r="L20" i="4"/>
  <c r="L21" i="4"/>
  <c r="L22" i="4"/>
  <c r="L23" i="4"/>
  <c r="L24" i="4"/>
  <c r="L25" i="4"/>
  <c r="L26" i="4"/>
  <c r="L27" i="4"/>
  <c r="L28" i="4"/>
  <c r="L29" i="4"/>
  <c r="L30" i="4"/>
  <c r="L31" i="4"/>
  <c r="L32" i="4"/>
  <c r="L33" i="4"/>
  <c r="L34" i="4"/>
  <c r="K7" i="4"/>
  <c r="K8" i="4"/>
  <c r="K9" i="4"/>
  <c r="K10" i="4"/>
  <c r="K12" i="4"/>
  <c r="K13" i="4"/>
  <c r="K14" i="4"/>
  <c r="K15" i="4"/>
  <c r="K16" i="4"/>
  <c r="K17" i="4"/>
  <c r="K18" i="4"/>
  <c r="K19" i="4"/>
  <c r="K20" i="4"/>
  <c r="K21" i="4"/>
  <c r="K22" i="4"/>
  <c r="K23" i="4"/>
  <c r="K24" i="4"/>
  <c r="K25" i="4"/>
  <c r="K26" i="4"/>
  <c r="K27" i="4"/>
  <c r="K28" i="4"/>
  <c r="K29" i="4"/>
  <c r="K30" i="4"/>
  <c r="K31" i="4"/>
  <c r="K32" i="4"/>
  <c r="K33" i="4"/>
  <c r="K34" i="4"/>
  <c r="M6" i="4"/>
  <c r="L6" i="4"/>
  <c r="K6" i="4"/>
  <c r="Y9" i="7" l="1"/>
  <c r="W9" i="7"/>
  <c r="U9" i="7"/>
  <c r="W8" i="7"/>
  <c r="U8" i="7"/>
  <c r="AH8" i="7" s="1"/>
  <c r="AE7" i="7"/>
  <c r="AC7" i="7"/>
  <c r="AA7" i="7"/>
  <c r="Y6" i="7"/>
  <c r="W6" i="7"/>
  <c r="U6" i="7"/>
  <c r="AI15" i="1" l="1"/>
  <c r="AI17" i="1"/>
  <c r="AI16" i="1"/>
  <c r="AH9" i="7"/>
  <c r="AH6" i="7"/>
  <c r="AI6" i="7" s="1"/>
  <c r="AH7" i="7"/>
  <c r="AG6" i="7"/>
  <c r="AF9" i="7"/>
  <c r="AF8" i="7"/>
  <c r="AG9" i="7"/>
  <c r="AI9" i="7" s="1"/>
  <c r="AL9" i="7" s="1"/>
  <c r="AJ9" i="7" s="1"/>
  <c r="AK9" i="7" s="1"/>
  <c r="AG7" i="7"/>
  <c r="AI7" i="7" s="1"/>
  <c r="AL7" i="7" s="1"/>
  <c r="AJ7" i="7" s="1"/>
  <c r="AK7" i="7" s="1"/>
  <c r="AF7" i="7"/>
  <c r="AG8" i="7"/>
  <c r="AI8" i="7" s="1"/>
  <c r="AL8" i="7" s="1"/>
  <c r="AJ8" i="7" s="1"/>
  <c r="AK8" i="7" s="1"/>
  <c r="AF6" i="7"/>
  <c r="AL6" i="7" l="1"/>
  <c r="AJ6" i="7" s="1"/>
  <c r="AK6" i="7" s="1"/>
  <c r="AM7" i="1" l="1"/>
  <c r="AL11" i="1" l="1"/>
  <c r="AM11" i="1" s="1"/>
  <c r="Z21" i="1"/>
  <c r="X21" i="1"/>
  <c r="AG21" i="1" l="1"/>
  <c r="AF21" i="1"/>
  <c r="AH21" i="1"/>
  <c r="AJ11" i="1"/>
  <c r="AK11" i="1" s="1"/>
  <c r="N14" i="4"/>
  <c r="Q14" i="4" s="1"/>
  <c r="O14" i="4" l="1"/>
  <c r="P14" i="4" s="1"/>
  <c r="AM23" i="1" l="1"/>
  <c r="AM22" i="1"/>
  <c r="AJ10" i="7" l="1"/>
  <c r="AK10" i="7" s="1"/>
  <c r="N6" i="4" l="1"/>
  <c r="Q6" i="4" s="1"/>
  <c r="K7" i="1" l="1"/>
  <c r="L7" i="5"/>
  <c r="J7" i="5"/>
  <c r="H7" i="5"/>
  <c r="W7" i="5" l="1"/>
  <c r="V7" i="5"/>
  <c r="U7" i="5"/>
  <c r="AG7" i="1"/>
  <c r="AF7" i="1"/>
  <c r="AH7" i="1"/>
  <c r="AM10" i="1"/>
  <c r="AL12" i="1"/>
  <c r="AM12" i="1" s="1"/>
  <c r="AL13" i="1"/>
  <c r="AM13" i="1" s="1"/>
  <c r="AL14" i="1"/>
  <c r="AM14" i="1" s="1"/>
  <c r="AL8" i="1"/>
  <c r="AM8" i="1" s="1"/>
  <c r="AI7" i="1" l="1"/>
  <c r="AM9" i="1"/>
  <c r="X12" i="5" l="1"/>
  <c r="AA12" i="5" s="1"/>
  <c r="X13" i="5"/>
  <c r="AA13" i="5" s="1"/>
  <c r="N8" i="4"/>
  <c r="Q8" i="4" s="1"/>
  <c r="N22" i="4"/>
  <c r="Q22" i="4" s="1"/>
  <c r="Y13" i="5" l="1"/>
  <c r="Z13" i="5" s="1"/>
  <c r="Y12" i="5"/>
  <c r="Z12" i="5" s="1"/>
  <c r="O22" i="4"/>
  <c r="P22" i="4" s="1"/>
  <c r="O8" i="4"/>
  <c r="P8" i="4" s="1"/>
  <c r="X9" i="5"/>
  <c r="AA9" i="5" s="1"/>
  <c r="X6" i="5"/>
  <c r="X10" i="5"/>
  <c r="AA10" i="5" s="1"/>
  <c r="N24" i="4"/>
  <c r="Q24" i="4" s="1"/>
  <c r="N27" i="4"/>
  <c r="N16" i="4"/>
  <c r="Q16" i="4" s="1"/>
  <c r="N20" i="4"/>
  <c r="Q20" i="4" s="1"/>
  <c r="N25" i="4"/>
  <c r="Q25" i="4" s="1"/>
  <c r="N18" i="4"/>
  <c r="Q18" i="4" s="1"/>
  <c r="N29" i="4"/>
  <c r="N26" i="4"/>
  <c r="Q26" i="4" s="1"/>
  <c r="N15" i="4"/>
  <c r="Q15" i="4" s="1"/>
  <c r="X19" i="5"/>
  <c r="AA19" i="5" s="1"/>
  <c r="N31" i="4"/>
  <c r="Q31" i="4" s="1"/>
  <c r="N28" i="4"/>
  <c r="Q28" i="4" s="1"/>
  <c r="N17" i="4"/>
  <c r="Q17" i="4" s="1"/>
  <c r="N13" i="4"/>
  <c r="Q13" i="4" s="1"/>
  <c r="N34" i="4"/>
  <c r="Q34" i="4" s="1"/>
  <c r="N23" i="4"/>
  <c r="Q23" i="4" s="1"/>
  <c r="N12" i="4"/>
  <c r="Q12" i="4" s="1"/>
  <c r="N7" i="4"/>
  <c r="Q7" i="4" s="1"/>
  <c r="N30" i="4"/>
  <c r="Q30" i="4" s="1"/>
  <c r="Q11" i="4"/>
  <c r="O11" i="4" s="1"/>
  <c r="P11" i="4" s="1"/>
  <c r="N33" i="4"/>
  <c r="Q33" i="4" s="1"/>
  <c r="N10" i="4"/>
  <c r="Q10" i="4" s="1"/>
  <c r="X15" i="5"/>
  <c r="AA15" i="5" s="1"/>
  <c r="N32" i="4"/>
  <c r="Q32" i="4" s="1"/>
  <c r="N19" i="4"/>
  <c r="Q19" i="4" s="1"/>
  <c r="N21" i="4"/>
  <c r="Q21" i="4" s="1"/>
  <c r="N9" i="4"/>
  <c r="Q9" i="4" s="1"/>
  <c r="X14" i="5"/>
  <c r="AA14" i="5" s="1"/>
  <c r="X18" i="5"/>
  <c r="AA18" i="5" s="1"/>
  <c r="X17" i="5"/>
  <c r="AA17" i="5" s="1"/>
  <c r="X16" i="5"/>
  <c r="AA16" i="5" s="1"/>
  <c r="X7" i="5"/>
  <c r="AA7" i="5" s="1"/>
  <c r="X11" i="5"/>
  <c r="AA11" i="5" s="1"/>
  <c r="AJ10" i="1"/>
  <c r="AK10" i="1" s="1"/>
  <c r="AJ13" i="1"/>
  <c r="AK13" i="1" s="1"/>
  <c r="AA6" i="5" l="1"/>
  <c r="Y6" i="5" s="1"/>
  <c r="Z6" i="5" s="1"/>
  <c r="Q29" i="4"/>
  <c r="Q27" i="4"/>
  <c r="Y10" i="5"/>
  <c r="Z10" i="5" s="1"/>
  <c r="Y14" i="5"/>
  <c r="Z14" i="5" s="1"/>
  <c r="Y16" i="5"/>
  <c r="Z16" i="5" s="1"/>
  <c r="Y17" i="5"/>
  <c r="Z17" i="5" s="1"/>
  <c r="Y9" i="5"/>
  <c r="Z9" i="5" s="1"/>
  <c r="Y15" i="5"/>
  <c r="Z15" i="5" s="1"/>
  <c r="Y11" i="5"/>
  <c r="Z11" i="5" s="1"/>
  <c r="Y7" i="5"/>
  <c r="Z7" i="5" s="1"/>
  <c r="O9" i="4"/>
  <c r="P9" i="4" s="1"/>
  <c r="O21" i="4"/>
  <c r="P21" i="4" s="1"/>
  <c r="O19" i="4"/>
  <c r="P19" i="4" s="1"/>
  <c r="O32" i="4"/>
  <c r="P32" i="4" s="1"/>
  <c r="O10" i="4"/>
  <c r="P10" i="4" s="1"/>
  <c r="O12" i="4"/>
  <c r="P12" i="4" s="1"/>
  <c r="O23" i="4"/>
  <c r="P23" i="4" s="1"/>
  <c r="O34" i="4"/>
  <c r="P34" i="4" s="1"/>
  <c r="O13" i="4"/>
  <c r="P13" i="4" s="1"/>
  <c r="O17" i="4"/>
  <c r="P17" i="4" s="1"/>
  <c r="O28" i="4"/>
  <c r="P28" i="4" s="1"/>
  <c r="O15" i="4"/>
  <c r="P15" i="4" s="1"/>
  <c r="O20" i="4"/>
  <c r="P20" i="4" s="1"/>
  <c r="O16" i="4"/>
  <c r="P16" i="4" s="1"/>
  <c r="O24" i="4"/>
  <c r="P24" i="4" s="1"/>
  <c r="O30" i="4"/>
  <c r="P30" i="4" s="1"/>
  <c r="O7" i="4"/>
  <c r="P7" i="4" s="1"/>
  <c r="AL16" i="1"/>
  <c r="AM16" i="1" s="1"/>
  <c r="AI21" i="1"/>
  <c r="AL21" i="1" s="1"/>
  <c r="AJ9" i="1"/>
  <c r="AK9" i="1" s="1"/>
  <c r="AI6" i="1"/>
  <c r="AL6" i="1" s="1"/>
  <c r="AL24" i="1" s="1"/>
  <c r="AJ8" i="1"/>
  <c r="AK8" i="1" s="1"/>
  <c r="AJ12" i="1"/>
  <c r="AK12" i="1" s="1"/>
  <c r="AJ14" i="1"/>
  <c r="AK14" i="1" s="1"/>
  <c r="AI19" i="1"/>
  <c r="AL19" i="1" s="1"/>
  <c r="AM19" i="1" s="1"/>
  <c r="AL17" i="1"/>
  <c r="AM17" i="1" s="1"/>
  <c r="AL15" i="1"/>
  <c r="Y20" i="5" l="1"/>
  <c r="Z20" i="5" s="1"/>
  <c r="AJ15" i="1"/>
  <c r="AK15" i="1" s="1"/>
  <c r="AM15" i="1"/>
  <c r="AJ21" i="1"/>
  <c r="AK21" i="1" s="1"/>
  <c r="AM21" i="1"/>
  <c r="AJ6" i="1"/>
  <c r="AK6" i="1" s="1"/>
  <c r="AM6" i="1"/>
  <c r="AJ16" i="1"/>
  <c r="AK16" i="1" s="1"/>
  <c r="AJ19" i="1"/>
  <c r="AK19" i="1" s="1"/>
  <c r="AJ17" i="1"/>
  <c r="AK17" i="1" s="1"/>
  <c r="AM18" i="1" l="1"/>
</calcChain>
</file>

<file path=xl/sharedStrings.xml><?xml version="1.0" encoding="utf-8"?>
<sst xmlns="http://schemas.openxmlformats.org/spreadsheetml/2006/main" count="476" uniqueCount="229">
  <si>
    <t xml:space="preserve"> </t>
  </si>
  <si>
    <t xml:space="preserve">SECRETARIA DE GOBIERNO
ALCALDIA LOCAL DE CIDAD BOLIVAR </t>
  </si>
  <si>
    <t xml:space="preserve">ESTUDIO DE MERCADO </t>
  </si>
  <si>
    <t>OBJETO: “PRESTAR LOS SERVICIOS TÉCNICOS NECESARIOS PARA PARA LA IMPLEMENTACIÓN DE ACCIONES DE PROTECCIÓN DE CUERPOS DE AGUA,  BUENAS PRÁCTICAS AGROPECUARIAS Y AMBIENTALES A TRAVÉS DEL USO DE ENERGIAS ALTERNATIVAS, BIOINSUMOS Y USO EFICIENTE DE MATERIAS PRIMAS DE LA LOCALIDAD DE CIUDAD BOLÍVAR EN EL MARCO DEL PLAN DE DESARROLLO LOCAL VIGENCIA 2026 ‘CIUDAD BOLÍVAR CAMINA SEGURA.”.</t>
  </si>
  <si>
    <t>Resolución Tabla de Honorarios 
No. 1124 de 2024
(Memorando 27-10-2025)</t>
  </si>
  <si>
    <t>PANAMERICANA LEBRERIA Y PAPELERIA S.A.
NIT: 830.037.946-3</t>
  </si>
  <si>
    <t>PALILI EVENTOS S.A.S. 
2025
NIT: 901.463.924-5</t>
  </si>
  <si>
    <r>
      <t xml:space="preserve"> </t>
    </r>
    <r>
      <rPr>
        <sz val="14"/>
        <color theme="0"/>
        <rFont val="Garamond"/>
        <family val="1"/>
      </rPr>
      <t>FUNDACION SOCIAL Y CULTURAL GUERREROS DE LA VIDA
NIT:900384469</t>
    </r>
  </si>
  <si>
    <t>A&amp;C
NIT:901.114.690-0</t>
  </si>
  <si>
    <t>DISTRIBUIDORA NACIONAL GROUP S.A.S.
NIT 901.708.000-9</t>
  </si>
  <si>
    <t xml:space="preserve">COMPAÑÍA PAPELERA NACIONAL S.A.S.
NIT: 900.009.495 - 8 </t>
  </si>
  <si>
    <t>Papelería y Suministros El Escritorio S.A.S.  
NIT. 901.247.654-3</t>
  </si>
  <si>
    <t>TELEMARKETER BPO &amp; LOGISTICS S.A.S.
2025
NIT: 901.012.708-6</t>
  </si>
  <si>
    <t>FUNDACIÓN IWOKE
2025
NIT: 900.094963-5</t>
  </si>
  <si>
    <t>CAC PUBLICIDAD
NIT: 830.135.170-5</t>
  </si>
  <si>
    <t>IDDENTIFY S.A.S
NIT: 901.412.899 -0</t>
  </si>
  <si>
    <t>H&amp;C CONSULTORIA AMBIENTAL- NATURAL
NIT: 10987651481</t>
  </si>
  <si>
    <t xml:space="preserve"> ERIKA CASTELLANOS
NIT:  1057011026</t>
  </si>
  <si>
    <t>Fundación ECODES
NIT:   900.359.095-6</t>
  </si>
  <si>
    <t>COLOR PRINT AGENCIA PUBLICITARIA
NIT: 860.076.508-1</t>
  </si>
  <si>
    <t>SOT PUBLICIDAD SAS
NIT:901909848-1</t>
  </si>
  <si>
    <t>ANALISIS COTIZACIONES</t>
  </si>
  <si>
    <t>ITEM</t>
  </si>
  <si>
    <t>ACTIVIDAD</t>
  </si>
  <si>
    <t>ELEMENTO REQUERIDO</t>
  </si>
  <si>
    <t>DESCRIPCIÓN</t>
  </si>
  <si>
    <t>UNIDAD DE MEDIDA</t>
  </si>
  <si>
    <t>CANTIDAD</t>
  </si>
  <si>
    <t>TIEMPO</t>
  </si>
  <si>
    <t>VALOR UNITARIO (IVA INCLUIDO)</t>
  </si>
  <si>
    <t>VALOR UNITARIO 2025 + IPC (5,10%)
IVA INCLUIDO</t>
  </si>
  <si>
    <t>VALOR UNITARIO 2025 + IPC (5,10%) 
IVA INCLUIDO</t>
  </si>
  <si>
    <t xml:space="preserve">MEDIANA  </t>
  </si>
  <si>
    <t xml:space="preserve">PROMEDIO </t>
  </si>
  <si>
    <t xml:space="preserve">DESVIACIÓN ESTÁNDAR 
</t>
  </si>
  <si>
    <t>DISPERSIÓN PRECIOS 
(Promedio)</t>
  </si>
  <si>
    <t>VALOR UNITARIO ANTES DE IMPUESTO (IVA O INC)</t>
  </si>
  <si>
    <t>VALOR IVA O INC</t>
  </si>
  <si>
    <t>VALOR UNITARIO TECHO
IMPUESTOS INCLUIDOS (IVA O INC)</t>
  </si>
  <si>
    <t xml:space="preserve">VALOR TOTAL
</t>
  </si>
  <si>
    <t>OBSERVACIÓN</t>
  </si>
  <si>
    <t>Presentación Publica</t>
  </si>
  <si>
    <t>INVITACIÓN CONVOCATORIA</t>
  </si>
  <si>
    <t>INVITACIONES: Tarjetas de invitación para presentación pública, en papel Kimberly a dos (2) tintas, a media carta, diseñadas y entregadas por el contratista, revisadas y aprobadas por el Comité técnico y la Alcaldía Local.</t>
  </si>
  <si>
    <t>Unidad</t>
  </si>
  <si>
    <t>SE TOMA LA MEDIANA COMO MEDIDA DE TENDENCIA CENTRAL PARA EL CALCULO.</t>
  </si>
  <si>
    <t>ESTACIÓN DE CAFÉ Y/O HIDRATACIÓN  (100 PERSONAS)</t>
  </si>
  <si>
    <t>Servicio de cafetería (tinto, aromática y agua): Operario + presentación mesa + vasos biodegradable bebida caliente  4 oz. + mezclador + azúcar + crema para café), (bebida fría vaso material biodegradable de 10 onzas). Duración del evento aprox. 5 horas. Transporte incluido.</t>
  </si>
  <si>
    <t>Servicio</t>
  </si>
  <si>
    <t xml:space="preserve">SE TOMA EL PROMEDIO COMO MEDIDA DE TENDENCIA CENTRAL PARA EL CALCULO. VALORES TOMADOS DE LA CANASTA DE COSTOS 2026 DE LA ENTIDAD. </t>
  </si>
  <si>
    <t xml:space="preserve">Inscripciones </t>
  </si>
  <si>
    <t>PERSONAL APOYO LOGISTICO</t>
  </si>
  <si>
    <t xml:space="preserve">Título de Bachiller para Apoyo Logístico para realización de inscripciones en las diferentes UPL (cada uno por un MES) Experiencia de 12 meses como apoyo logistico.
</t>
  </si>
  <si>
    <t>Mes</t>
  </si>
  <si>
    <t xml:space="preserve">SE TOMA VALOR DE  RESOLUCIÓN No 1124 DE 2024 MEMORANDO  CON RADICADO 20254000408633 DEL 27 DE OCTUBRE DEL 2025 DE LA SECRETARIA DISTRITAL DE GOBIERNO, TABLA DE HONORARIOS PERSONAS NATURALES POR PRESTACION DE SERVICIOS PROFESIONALES Y DE APOYO A LA GESTION </t>
  </si>
  <si>
    <t>Recurso Humano</t>
  </si>
  <si>
    <t xml:space="preserve">COORDINADOR  </t>
  </si>
  <si>
    <r>
      <rPr>
        <sz val="14"/>
        <color rgb="FF000000"/>
        <rFont val="Garamond"/>
        <family val="1"/>
      </rPr>
      <t xml:space="preserve">Título profesional en NBC: Ingeniero Ambiental y/o Administrador ambiental y/o Ingeniero Forestal o afines,con tarjeta profesional vigente expedida por la autoridad competente; con título de posgrado en Gerencia Ambiental y/o gestión de recursos hídricos
</t>
    </r>
    <r>
      <rPr>
        <b/>
        <sz val="14"/>
        <color rgb="FF000000"/>
        <rFont val="Garamond"/>
        <family val="1"/>
      </rPr>
      <t xml:space="preserve">Experiencia profesional:  3 años de experiencia profesional contados a partir </t>
    </r>
    <r>
      <rPr>
        <sz val="14"/>
        <color rgb="FF000000"/>
        <rFont val="Garamond"/>
        <family val="1"/>
      </rPr>
      <t xml:space="preserve">de la expedición de la tarjeta profesional, cuando aplique 
</t>
    </r>
    <r>
      <rPr>
        <b/>
        <sz val="14"/>
        <color rgb="FF000000"/>
        <rFont val="Garamond"/>
        <family val="1"/>
      </rPr>
      <t>Experiencia específica</t>
    </r>
    <r>
      <rPr>
        <sz val="14"/>
        <color rgb="FF000000"/>
        <rFont val="Garamond"/>
        <family val="1"/>
      </rPr>
      <t>: Dos (2) certificaciones como coordinador de  proyectos para  la  implementación de buenas prácticas ambientales y/o agropecuarias.</t>
    </r>
  </si>
  <si>
    <t xml:space="preserve">PROFESIONAL AGROPECUARIO </t>
  </si>
  <si>
    <r>
      <rPr>
        <sz val="14"/>
        <color rgb="FF000000"/>
        <rFont val="Garamond"/>
        <family val="1"/>
      </rPr>
      <t xml:space="preserve">Título profesional en  NBC: Medicina Veterinaria y Zootecnia, Ingeniería Agrícola o Agroindustrial o Biología o Microbiología o Administración de Empresas Agropecuarias o Ciencias Ambientales Ingeniería Agrónoma o Ingeniería Agropecuaria o ingeniería agrícola.
</t>
    </r>
    <r>
      <rPr>
        <b/>
        <sz val="14"/>
        <color rgb="FF000000"/>
        <rFont val="Garamond"/>
        <family val="1"/>
      </rPr>
      <t>Experiencia profesional</t>
    </r>
    <r>
      <rPr>
        <sz val="14"/>
        <color rgb="FF000000"/>
        <rFont val="Garamond"/>
        <family val="1"/>
      </rPr>
      <t xml:space="preserve">: Con Dos (2) años de experiencia profesional contados a partir de la expedición de la tarjeta profesional, debidamente certificada.
</t>
    </r>
    <r>
      <rPr>
        <b/>
        <sz val="14"/>
        <color rgb="FF000000"/>
        <rFont val="Garamond"/>
        <family val="1"/>
      </rPr>
      <t xml:space="preserve">Experiencia específica: </t>
    </r>
    <r>
      <rPr>
        <sz val="14"/>
        <color rgb="FF000000"/>
        <rFont val="Garamond"/>
        <family val="1"/>
      </rPr>
      <t xml:space="preserve"> Dos certificaciones como profesional desarrollando actividades en sistemas de información geográfica</t>
    </r>
  </si>
  <si>
    <t xml:space="preserve">PROFESIONAL SIG  </t>
  </si>
  <si>
    <r>
      <t xml:space="preserve">Título profesional en NBC: Ingeniero catastral, ambiental y/o geodesta. con título de posgrado en sistemas de información geográfica 
</t>
    </r>
    <r>
      <rPr>
        <b/>
        <sz val="14"/>
        <color rgb="FF000000"/>
        <rFont val="Garamond"/>
        <family val="1"/>
      </rPr>
      <t xml:space="preserve">Experiencia profesional: </t>
    </r>
    <r>
      <rPr>
        <sz val="14"/>
        <color rgb="FF000000"/>
        <rFont val="Garamond"/>
        <family val="1"/>
      </rPr>
      <t xml:space="preserve">Con un (1) año de experiencia profesional  relacionada contados a partir de la expedición de la tarjeta profesional, debidamente certificada.
</t>
    </r>
    <r>
      <rPr>
        <b/>
        <sz val="14"/>
        <color rgb="FF000000"/>
        <rFont val="Garamond"/>
        <family val="1"/>
      </rPr>
      <t xml:space="preserve">                                                                                                                                                                                                                                                                                                    Experiencia específica:  </t>
    </r>
    <r>
      <rPr>
        <sz val="14"/>
        <color rgb="FF000000"/>
        <rFont val="Garamond"/>
        <family val="1"/>
      </rPr>
      <t xml:space="preserve">Una certificación como profesional en la que se evidencie la implementacion de los sistemas de informacion geografica 
</t>
    </r>
    <r>
      <rPr>
        <b/>
        <sz val="14"/>
        <color rgb="FF000000"/>
        <rFont val="Garamond"/>
        <family val="1"/>
      </rPr>
      <t xml:space="preserve">Con un porcentaje de dedicación del 50% </t>
    </r>
  </si>
  <si>
    <t xml:space="preserve">PROFESIONAL DE ENERGIAS ALTERNATIVAS  </t>
  </si>
  <si>
    <r>
      <rPr>
        <sz val="14"/>
        <color rgb="FF000000"/>
        <rFont val="Garamond"/>
        <family val="1"/>
      </rPr>
      <t xml:space="preserve">Título Profesional NBC: Ingeniero eléctrico, Ingeniero electromecánico, ingeniero mecatrónico y/o afines.
</t>
    </r>
    <r>
      <rPr>
        <b/>
        <sz val="14"/>
        <color rgb="FF000000"/>
        <rFont val="Garamond"/>
        <family val="1"/>
      </rPr>
      <t xml:space="preserve">Experiencia profesional: </t>
    </r>
    <r>
      <rPr>
        <sz val="14"/>
        <color rgb="FF000000"/>
        <rFont val="Garamond"/>
        <family val="1"/>
      </rPr>
      <t xml:space="preserve">Con Dos (2) años de experiencia profesional contados a partir de la expedición de la tarjeta profesional, debidamente certificada.
</t>
    </r>
    <r>
      <rPr>
        <b/>
        <sz val="14"/>
        <color rgb="FF000000"/>
        <rFont val="Garamond"/>
        <family val="1"/>
      </rPr>
      <t>Experiencia específica:</t>
    </r>
    <r>
      <rPr>
        <sz val="14"/>
        <color rgb="FF000000"/>
        <rFont val="Garamond"/>
        <family val="1"/>
      </rPr>
      <t xml:space="preserve">  Dos certificaciones como profesional en la implementacion de proyectos con energías alternativas asociado a proyectos ambientales.</t>
    </r>
  </si>
  <si>
    <t xml:space="preserve">TÉCNICO I </t>
  </si>
  <si>
    <r>
      <rPr>
        <sz val="14"/>
        <color rgb="FF000000"/>
        <rFont val="Garamond"/>
        <family val="1"/>
      </rPr>
      <t xml:space="preserve">Título Técnico o tecnólogo en Ingeniería Ambiental, Ingeniería Forestal, Ecología o áreas afines.
</t>
    </r>
    <r>
      <rPr>
        <b/>
        <sz val="14"/>
        <color rgb="FF000000"/>
        <rFont val="Garamond"/>
        <family val="1"/>
      </rPr>
      <t xml:space="preserve">Experiencia: </t>
    </r>
    <r>
      <rPr>
        <sz val="14"/>
        <color rgb="FF000000"/>
        <rFont val="Garamond"/>
        <family val="1"/>
      </rPr>
      <t xml:space="preserve">Con Dos (2) años de experiencia proyectos de energías alternativas y/o protección de cuerpos de agua </t>
    </r>
  </si>
  <si>
    <t xml:space="preserve">BACHILLERES 
CUADRILLA (4) OPERATIVA </t>
  </si>
  <si>
    <t xml:space="preserve">Título de Bachiller con experiencia de 24 meses en temas relacionados con buenas prácticas ambientales  </t>
  </si>
  <si>
    <t>Capacitaciones</t>
  </si>
  <si>
    <t>FORMATO IMPRESO</t>
  </si>
  <si>
    <t>Formatos impresos tamaño carta, impresión a dos caras en blanco y negro, elaborados en papel tipo bond de 75 g/m². Incluye diseño y diagramación con incorporación de logos institucionales de la Alcaldía Local y número de contrato, conforme a lineamientos establecidos. El servicio contempla la producción, impresión y entrega de los formatos requeridos para cada una de las etapas del contrato.</t>
  </si>
  <si>
    <t xml:space="preserve">
MARCADOR PERMANENTE</t>
  </si>
  <si>
    <t xml:space="preserve">Marcador permanente Tinta indeleble a base de alcohol de secado rápido, calor y humedad, para escribir sobre cualquier superficie Longitud de cuerpo entre 120 - 155 mm, diámetro 12 - 18 mm negro, verde, azul o rojo, Caja x 10 unds
</t>
  </si>
  <si>
    <t>Caja</t>
  </si>
  <si>
    <t xml:space="preserve">SE TOMA EL PROMEDIO COMO MEDIDA DE TENDENCIA CENTRAL PARA EL CALCULO. </t>
  </si>
  <si>
    <t xml:space="preserve">PAPEL </t>
  </si>
  <si>
    <t>Papel Kraft, 60 grs, 70 cm x 100 cm,</t>
  </si>
  <si>
    <t>Pliego</t>
  </si>
  <si>
    <t xml:space="preserve">SE TOMA LA MEDIANA COMO MEDIDA DE TENDENCIA CENTRAL PARA EL CALCULO. </t>
  </si>
  <si>
    <t>BOLSA ADECUACIÓN DE ESPACIO FISICO PARA CAPACITACIÓN EN RURALIDAD</t>
  </si>
  <si>
    <t>Bolsa a monto agotable de adecuación de espacio fisíco para capacitación en ruralidad para alquiler de sillas, mesas y carpas con el fin de desarrollar  la etapa de capacitación
El valor de la bolsa corresponde a cuattro millones seiscientos ochenta y seis mil doscientos veintisiente pesos ($4.686.227).</t>
  </si>
  <si>
    <r>
      <rPr>
        <sz val="12"/>
        <color rgb="FF000000"/>
        <rFont val="Garamond"/>
        <family val="1"/>
      </rPr>
      <t>ESTE ITEM COMPRENDE EL VALOR DE  LA BOLSA LOGÍSTICA CAPACITACIONES.  ES UN VALOR INMODIFICABLE E INOFERTABLE. ESTE VALOR UNITARIAMENTE CORRESPONDE A</t>
    </r>
    <r>
      <rPr>
        <sz val="12"/>
        <color rgb="FFFF0000"/>
        <rFont val="Garamond"/>
        <family val="1"/>
      </rPr>
      <t xml:space="preserve"> </t>
    </r>
    <r>
      <rPr>
        <sz val="12"/>
        <color rgb="FF000000"/>
        <rFont val="Garamond"/>
        <family val="1"/>
      </rPr>
      <t>CUATRO MILLONES SEISCIENTOS OCHENTA Y SEIS MIL DOSCIENTOS VEINTISIETE PESOS  ($4.686.227), EL CUAL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""BOLSA ADECUACIÓN DE ESPACIÓN FISICO PARA CAPACITACIÓN EN RURALIDAD"" DEL PRESENTE ESTUDIO DE MERCADO, LOS CUALES SERAN EJECUTADOS A MONTO AGOTABLE.</t>
    </r>
  </si>
  <si>
    <t xml:space="preserve">Capacitación </t>
  </si>
  <si>
    <t>KIT</t>
  </si>
  <si>
    <t>Kit de Inicio para cada participante. Una agenda pasta dura argollada, 21,4 cm x 28cm, 112 páginas en papel ecológico, con 4 separadores en propalcote, impresos a dos tintas alusivos a tips de  buenas practicas agropecuarias y ambientales / recurso hídrico. Un esfero negro, un lápiz, borrador, tajalápiz, resaltador, tula y una USB de 16 gigas</t>
  </si>
  <si>
    <t>REFRIGERIO TIPO 1</t>
  </si>
  <si>
    <t>Un (1) producto de panadería de sal de mínimo 120 gr (pastel de pollo o carne) o sándwich (pan tipo molde, 1 rodaja de jamón (cerdo, pollo, cordero, pavo, etc.), 1 rodaja de queso (doble crema o mozzarella), o empanada de carne o pollo de 80 gr. Una (1) fruta entera de temporada de mínimo 80 g. Una (1) Golosina Una (1) una bebida de refresco o néctar de fruta no alcoholica, no láctea, no energizante envasada en empaques 100% biodegradables en procesos de compostaje, biodegradable en proceso natural o que cuente con contenido de materia prima 100% reciclada de mínimo 200 ml o Bebida caliente de 9 onzas.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</si>
  <si>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DIPLOMA</t>
  </si>
  <si>
    <t>Diplomas en papel opalina, tamaña carta , impresión laser, full color, para los participantes del proceso , con los logos de la alcaldia local de ciudad bolivar, donde incluye el nombre del participante y una frase de participacion en dicho proceso.</t>
  </si>
  <si>
    <t xml:space="preserve">SE TOMA LA MEDIANA COMO MEDIDA DE TENDENCIA CENTRAL PARA EL CALCULO. VALORES TOMADOS DE LA CANASTA DE COSTOS 2026 DE LA ENTIDAD. </t>
  </si>
  <si>
    <t>Implementación</t>
  </si>
  <si>
    <t>BOLSA PROTECCIÓN DE CUERPOS AGUA</t>
  </si>
  <si>
    <t>Bolsa de monto agotable de intervención física para la protección o  Restauración o Rehabilitación  o Recuperación de zonas de preservación de los cuerpos de agu.  
El valor de la bolsa corresponde a Doscientos cuatro millones setecientos diez mil pesos ($204.710.000).</t>
  </si>
  <si>
    <t>ESTE ITEM COMPRENDE EL VALOR DE  LA BOLSA PROTECCIÓN DE CUERPOS DE AGUA.  ES UN VALOR INMODIFICABLE E INOFERTABLE. ESTE VALOR UNITARIAMENTE CORRESPONDE A DOSCIENTOS CUATRO MILLONES SETECIENTOS DIEZ MIL PESOS ($204.710.000), EL CUAL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"BOLSA PROTECCIÓN DE CUERPOS DE AGUA" DEL PRESENTE ESTUDIO DE MERCADO, LOS CUALES SERAN EJECUTADOS A MONTO AGOTABLE.</t>
  </si>
  <si>
    <t xml:space="preserve">BOLSA DE IMPLEMENTACIÓN DE ENERGÍAS ALTERNATIVAS </t>
  </si>
  <si>
    <t>Bolsa de monto agotable de intervención física para la implementación de energías alternativas en las actividades agropecuarias
El valor de la bolsa corresponde a Ciento setenta millones ($184.925.988)</t>
  </si>
  <si>
    <t>ESTE ITEM COMPRENDE EL VALOR DE  LA BOLSA ENERGIAS ALTERNATIVAS.  ES UN VALOR INMODIFICABLE E INOFERTABLE. . ESTE VALOR UNITARIAMENTE CORRESPONDE A CIENTO SETENTA MILLONES  DE PESOS ($184.925.988), EL CUAL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"BOLSA ENERGIAS ALTERNATIVAS" DEL PRESENTE ESTUDIO DE MERCADO, LOS CUALES SERAN EJECUTADOS A MONTO AGOTABLE.</t>
  </si>
  <si>
    <t>TOTAL</t>
  </si>
  <si>
    <r>
      <t xml:space="preserve">NOTA 1:  </t>
    </r>
    <r>
      <rPr>
        <sz val="12"/>
        <color rgb="FF000000"/>
        <rFont val="Arial Narrow"/>
        <family val="2"/>
      </rPr>
      <t xml:space="preserve">Para efectos del presente estudio de mercado, la Entidad ha definido el siguiente criterio para la determinación de los precios unitarios techo, con base en las cotizaciones obtenidas:
- Cuando la dispersión de los precios cotizados (calculada mediante el coeficiente de variación) es inferior al 15%, se considera que existe una alta consistencia en las cotizaciones, por lo que se adopta el promedio como valor representativo del precio unitario techo.
- Cuando la dispersión se encuentra entre el 15% y hasta el 30%, se identifica una mayor variabilidad en los datos, lo cual puede indicar la presencia de valores atípicos o diferencias significativas en condiciones ofertadas. En este caso, se utiliza la mediana como medida representativa, en razón de que esta estadística es menos sensible a valores extremos y permite normalizar la muestra con base en datos reales, reflejando de forma más objetiva el comportamiento central de los precios del mercado.
- Este criterio busca garantizar transparencia, objetividad y razonabilidad en la determinación de los precios de referencia utilizados por la Entidad, alineado con buenas prácticas de análisis de datos de mercado.
</t>
    </r>
  </si>
  <si>
    <t xml:space="preserve">SECRETATIA DE GOBIERNO
ALCALDIA LOCAL DE CIDAD BOLIVAR </t>
  </si>
  <si>
    <t>ESTUDIO DE MERCADO</t>
  </si>
  <si>
    <t>HOMECENTER - SODIMAC COLOMBIA S.A.
NIT: 800.242.106-2</t>
  </si>
  <si>
    <t>DEPOSITO Y FERRETERIA ALQUERIA S.A.S.
NIT: 901.390.728-3</t>
  </si>
  <si>
    <t>FICO FERRETERIA S.A.S.
NIT 900.922.409-1</t>
  </si>
  <si>
    <t>FERRE ELECTRICOS FABIAN - MARÍA MARCELA ROJAS NIÑO
NIT: 30.024.825-2</t>
  </si>
  <si>
    <t>EASY - CENCOSUD COLOMBIA S.A.
NIT 900.155.107-1</t>
  </si>
  <si>
    <t>TECNIGAS
NIT.  9007770001</t>
  </si>
  <si>
    <t>SUMINISTROS Y FERRETERÍA INSTITUCIONAL S&amp;J S.A.S.                           
NIT: 901.643.816-7</t>
  </si>
  <si>
    <t>CONSULTORES Y ASESORES TIC S.A.S.
NIT: 901.360.556-5
(AÑO 2025)</t>
  </si>
  <si>
    <t>FUNDACIÓN JUSTICIA SOCIAL
NIT: 830.069.703-8
(AÑO 2025)</t>
  </si>
  <si>
    <t>Operador Logístico Terranova S.A.S.          
NIT. 901.115.603-8</t>
  </si>
  <si>
    <t>FLUVPMATIN  
NIT:4235834-2</t>
  </si>
  <si>
    <t>FUNDACION SOCIAL Y CULTURAL GUERREROS DE LA VIDA
NIT:90038446-9</t>
  </si>
  <si>
    <t>VALOR UNITARIO
IVA INCLUIDO</t>
  </si>
  <si>
    <t>VALOR UNITARIO ANTESDE IMPUESTO (IVA)</t>
  </si>
  <si>
    <t>VALOR IVA</t>
  </si>
  <si>
    <t>VALOR UNITARIO TECHO
IMPUESTOS INCLUIDOS (IVA)</t>
  </si>
  <si>
    <t>BOLSA ADECUACION DE ESPACIO FISICO PARA CAPACITACION EN RURALIDAD</t>
  </si>
  <si>
    <t>SILLAS SIN BRAZO</t>
  </si>
  <si>
    <t>Alquiler de Silla plástica sin apoyabrazos (Día)</t>
  </si>
  <si>
    <t>Servicio/Dia</t>
  </si>
  <si>
    <t>SE TOMA LA MEDIANA COMO MEDIDA DE TENDENCIA CENTRAL PARA EL CALCULO. VALORES TOMADOS DE LA CANASTA DE COSTOS VIGENCIA 2026.</t>
  </si>
  <si>
    <t>MESA 4 PERSONAS</t>
  </si>
  <si>
    <t>Alquiler mesa plástica cuadrada para 4 personas</t>
  </si>
  <si>
    <t>SE TOMA EL PROMEDIO COMO MEDIDA DE TENDENCIA CENTRAL PARA EL CALCULO. VALORES TOMADOS DE LA CANASTA DE COSTOS VIGENCIA 2026.</t>
  </si>
  <si>
    <t>CARPA 4X4</t>
  </si>
  <si>
    <t>Alquiler de Carpa 4 mts X 4 mtscon laterales, contra peso, incluye montaje, transporte y desmontaje  (Por día)</t>
  </si>
  <si>
    <t>Sonido 50W</t>
  </si>
  <si>
    <t>Sonido potencia 50 w de la batería 8 horas incluyendo batería recargable, formato de del parlante torre, con luces led con radia, portátil inalámbrico, 1 micrófono, control remoto, bluetooth un conector auxiliar de entrada. (Día)</t>
  </si>
  <si>
    <t xml:space="preserve">TOTAL </t>
  </si>
  <si>
    <t>CENTRO FERRETERO MAFER SAS
NIT: 830.129.423-9</t>
  </si>
  <si>
    <t xml:space="preserve">VALOR IVA </t>
  </si>
  <si>
    <t>IMPLEMENTACIÓN DE PROTECCIÓN DE CUERPOS DE AGUA</t>
  </si>
  <si>
    <t>POSTE DE MADERA</t>
  </si>
  <si>
    <t>Poste para cerca de madera inmunizada con unas dimensiones de: largo de 2 metros y diametro minimo de 10 cm, en la que se incluya traslado de material y puesta en el lugar</t>
  </si>
  <si>
    <t>unidad</t>
  </si>
  <si>
    <t>ALAMBRE DE PUAS</t>
  </si>
  <si>
    <t xml:space="preserve"> Rollo de Alambre de Puas calibre 16.5 por 500 metros, de material de acero de alta resistencia recubierto con galvanizado y con protección contra corrosión</t>
  </si>
  <si>
    <t>CLAVO</t>
  </si>
  <si>
    <t>Clavo de acero al carbono de alta resistencia, de 3 pulgadas (aprox. 75 mm) de longitud, con cabeza plana o avellanada que aporta mayor resistencia al impacto y una fijación segura por 500 gr</t>
  </si>
  <si>
    <t>SE TOMA EL PROMEDIO COMO MEDIDA DE TENDENCIA CENTRAL PARA EL CALCULO.</t>
  </si>
  <si>
    <t>POLÍMERO ABSORBENTE</t>
  </si>
  <si>
    <t xml:space="preserve">Cristales de Hidrogel  para retención de agua  en el suelo : Producto a base de polímeros superabsorbentes en forma de cristales o gránulos, diseñado para mejorar la retención y disponibilidad de agua en el suelo. </t>
  </si>
  <si>
    <t>kilo</t>
  </si>
  <si>
    <t>PALA CUADRADA</t>
  </si>
  <si>
    <t>Pala manual tipo cuadrada, fabricada en acero al carbono de alta resistencia, con un ancho aproximado de 24 cm,  con mango largo elaborado en madera de fresno de 144 cm de longitud, que proporciona mayor alcance, resistencia estructural y ergonomía durante su uso</t>
  </si>
  <si>
    <t>CARRETILLA</t>
  </si>
  <si>
    <t xml:space="preserve">
Carretilla Grande  de balde plastico con capacidad de carga de 170 litros con  Rueda Neumática Reforzada</t>
  </si>
  <si>
    <t>BARRA</t>
  </si>
  <si>
    <t xml:space="preserve">
Barra de palanca de 18 pulgadas (aprox. 45 cm), con mango en madera,  fabricada en acero de alta resistencia, punta: biselada/angulada para mayor penetración y apalancamiento</t>
  </si>
  <si>
    <t>AZADÓN</t>
  </si>
  <si>
    <t xml:space="preserve">Azadón Forjado Con Mango de  madera de 1850 Gramos y de  1,2 Metros, con un ancho de 14 cm y fabricado en acero de alta resistencia </t>
  </si>
  <si>
    <t xml:space="preserve">PICA </t>
  </si>
  <si>
    <t xml:space="preserve">
Pica fabricada en acero de alta resistencia  con un mango largo de 90 cm, adecuada para labores de construcción y obra civil.</t>
  </si>
  <si>
    <t>COSTALES/LONAS</t>
  </si>
  <si>
    <t>Empaque tipo saco elaborado en lona de polipropileno de alta resistencia, con dimensiones aproximadas de 92 x 60 cm, diseñado para el almacenamiento, transporte y manipulación de materiales a granel en actividades de construcción, agricultura, jardinería y logística.</t>
  </si>
  <si>
    <t>MARTILLO</t>
  </si>
  <si>
    <t xml:space="preserve"> Herramienta manual tipo martillo de uña, con cabeza de 16 onzas (450 gramos), fabricada en acero al carbono forjado y tratado térmicamente, con cara de golpeo lisa para mayor precisión y uña curva que facilita la remoción de clavos mediante efecto de palanca. Con mango  en madera resistente, proporcionando un agarre cómodo, absorción natural de vibraciones y control durante </t>
  </si>
  <si>
    <t>GRAPA</t>
  </si>
  <si>
    <t xml:space="preserve"> Grapa metálica tipo “U” de 1 1/4 pulgadas (≈ 32 mm), fabricada en acero de bajo carbono con recubrimiento galvanizado, diseñada para la fijación de alambres, mallas y cercas en estructuras de madera.
</t>
  </si>
  <si>
    <t>PLANTACIÓN DE ARBOLES  PORTE BAJO</t>
  </si>
  <si>
    <t>Suministro y plantación de árboles incluye especie vegetal de acuerdo al diseño aprobado de porte bajo, (menor a 60cm de altura), ahoyado, plantación, sustrato (tierra abonada para el llenado con certificado de calidad), hidroretenedor, tutor, cerramiento, transporte mayor y menor, retiro y disposición de escombro,</t>
  </si>
  <si>
    <t>PLANTACIÓN DE ARBOLES  PORTE ALTO</t>
  </si>
  <si>
    <t>Suministro y plantación de árboles incluye especie vegetal de acuerdo al diseño aprobado de porte alto  (mínimo de  80cm de altura), ahoyado, plantación, sustrato (tierra abonada para el llenado con certificado de calidad), hidroretenedor, tutor, cerramiento, transporte mayor y menor, retiro y disposición de escombro</t>
  </si>
  <si>
    <t xml:space="preserve">SECRETARIA DE GOBIERNO 
ALCALDIA LOCAL DE CIDAD BOLIVAR </t>
  </si>
  <si>
    <t>Cerca electrica</t>
  </si>
  <si>
    <t xml:space="preserve">PANEL SOLAR </t>
  </si>
  <si>
    <t>panel solar monocristalino de  60watts con una potencia de salida Pmax: 60 W
-Tolerancias de potencia de salida Pmax: 0 / + 5 %
-Eficiencia del módulo: 16.48 %
-Tensión en Pmax: 19.25 V
-Intensidad en Pmax: 3.12 A
-Tensión en circuito abierto: 20.36 V
-Intensidad en cortocircuito: 3.37 A
-Tensión máxima del sistema: 1000 V DC
-Valor máximo del fusible en serie: 10 A
-Rango de temperatura de funcionamiento: -40°C to 85°C
-Cubierta frontal (material / espesor): Vidrio templado de bajo contenido en hierro / 0.32 cm
-Célula solar (cantidad / tipo / dimensiones / número de busbar): 36 / silicio multicristalino / 7.8 x 15.6 cm
-Marco: Aluminio anodizado
-Caja de conexiones (grado de protección): ≥ IP65
-Dimensiones: 54.5 x 66.8 x 2.5 Cm
-Peso: 4 kg</t>
  </si>
  <si>
    <t>IMPULSOR</t>
  </si>
  <si>
    <t xml:space="preserve">Impulsor ultra 12 voltios, energizador de cercas eléctricas diseñado para generar pulsos eléctricos de alto voltaje,  compatible con baterías y panel solar, que permita un voltaje de salida: entre 12.000 y 15.000 V y que tenga un alcance minimo de 25Km </t>
  </si>
  <si>
    <t>SE TOMA LA MEDIANA COMO MEDIDA DE TENDENCIA CENTRAL PARA EL CALCULO</t>
  </si>
  <si>
    <t>BATERIA</t>
  </si>
  <si>
    <t>Batería de acumulación de energía tipo sellada, libre de mantenimiento, con capacidad nominal de 12 voltios (12 VDC) y 12 amperios-hora (12 Ah), diseñada para aplicaciones en sistemas autónomos, especialmente en cercas eléctricas alimentadas mediante panel solar, que incluya juego de clables para ser utilizada</t>
  </si>
  <si>
    <t>SE TOMA EL PROMEDIO COMO MEDIDA DE TENDENCIA CENTRAL PARA EL CALCULO</t>
  </si>
  <si>
    <t xml:space="preserve">GABINETE </t>
  </si>
  <si>
    <t>gabinete metálico  de medidas: 40cm (ancho) x 50cm (alto) x 25cm (profundidad) hecho en 
material lámina cold rolled, calibre 20 y con acabado en pintura electrostática</t>
  </si>
  <si>
    <t>CUCHILLA ELECTRICA</t>
  </si>
  <si>
    <t xml:space="preserve">Cuchilla doble tiro, diseñado para el seccionamiento, control y protección de circuitos en sistemas de cercas eléctricas. Fabricado con materiales de alta resistencia mecánica y eléctrica, aptos para uso en exteriores, ofreciendo durabilidad y confiabilidad en condiciones ambientales exigentes, propias de entornos rurales y agropecuarios.
Placa base (Dimensiones: 140 mm x 110 mm x 12 mm ), Material: policarbonato color negro, Diseño reforzado con nervaduras inferiores que brindan mayor rigidez estructural y resistencia al impacto con Perilla de accionamiento (Dimensiones: 65 mm x 35 mm x 14 mm), con sus respectivos herrajes, tornilleria en acero 1020 resistente a la corrosion
</t>
  </si>
  <si>
    <t>CONTROLADOR</t>
  </si>
  <si>
    <t>Controlador de carga fotovoltaico que contenga tecnologia de regulacion PMW, con capacidad de corriente de 10 amperios (10A) tension nominal de 12V /24VC con corriente maxima de carga de 10A fabricado en plastico de alta resistencia , con recubrimiento de aluminio de alta conductividad</t>
  </si>
  <si>
    <t>DESVIADOR</t>
  </si>
  <si>
    <t xml:space="preserve">Desviador de rayos, diseñado para sistemas de cercas eléctricas, fabricado en polipropileno de alta resistencia con protección contra rayos UV, lo que garantiza durabilidad, estabilidad estructural y adecuado desempeño en condiciones de intemperie y exposición prolongada al sol, en la que se incluya láminas y tornillería metálica con recubrimiento galvanizado. </t>
  </si>
  <si>
    <t>AISLADOR TIPO PIVOTE</t>
  </si>
  <si>
    <t xml:space="preserve">Paquete por 100 unidades de aislador tipo pivote para sistemas de cerca eléctrica, fabricado en plástico de alta resistencia, diseñado para soportar condiciones de intemperie y garantizar el adecuado aislamiento eléctrico del alambre o conductor respecto a la estructura de soporte. Debera incluir fijación mediante puntilla metálica. </t>
  </si>
  <si>
    <t xml:space="preserve">Paquete </t>
  </si>
  <si>
    <t>AISLADOR TIPO PERA</t>
  </si>
  <si>
    <t>Paquete por 25 unidades de aislador para cerca eléctrica tipo pera (también conocido como aislador tensor o de terminación), fabricado en material polimérico resistente a impactos, humedad y radiación UV.</t>
  </si>
  <si>
    <t>TENSOR</t>
  </si>
  <si>
    <t>Tensor metálico para cerca eléctrica (alcance hasta 500 m) – paquete x 8 unidades, fabricado en acero galvanizado o con recubrimiento anticorrosivo.</t>
  </si>
  <si>
    <t>ALAMBRE AISLADO</t>
  </si>
  <si>
    <t>Rollo de 50 metros de alambre aislado para sistemas de cerca eléctrica, con diámetro total aproximado de 7,4 mm (incluyendo recubrimiento), diseñado para la conducción segura de corriente eléctrica recubierto con material aislante de alta resistencia (polipropileno, PVC o equivalente), que evita fugas de energía y protege el sistema eléctrico en puntos críticos como postes, puertas, esquinas y conexiones</t>
  </si>
  <si>
    <t>Rollo</t>
  </si>
  <si>
    <t>ALAMBRE ACERADO</t>
  </si>
  <si>
    <t>Rollo de alambre acerado de 50 metros,  calibre N° 14, fabricado en acero de alto contenido de carbono o acero endurecido, diseñado para aplicaciones de cerramiento, sujeción y construcción de cercas en entornos agrícolas, ganaderos e industriales.</t>
  </si>
  <si>
    <t xml:space="preserve">Suministro  de poste para cerca en madera inmunizada, con longitud de 2,0 metros y diámetro mínimo de 10 cm, tipo rollizo, apto para cerramientos rurales o ganaderos. Incluye transporte al sitio y hincado en el punto definido. Producto resistente a la intemperie y al ataque de agentes biológicos, disponible en el mercado. Garantía mínima por calidad del tratamiento.
</t>
  </si>
  <si>
    <t>Batería de almacenamiento de energía tipo gel de ciclo profundo, con voltaje nominal de 12V y capacidad de 150Ah, diseñada para aplicaciones en sistemas fotovoltaicos, respaldo energético y uso continuo en entornos rurales, agrícolas e institucionales, con tecnología VRLA (válvula regulada) con electrolito en gel de sílice, que inmoviliza el ácido en su interior, garantizando un funcionamiento seguro, libre de derrames y sin requerimientos de mantenimiento</t>
  </si>
  <si>
    <t>Controlador de carga solar tipo MPPT de 40 amperios, modelo ML2440 o equivalente, con tensión nominal de operación de 12/24V, diseñado para la gestión eficiente de energía en sistemas fotovoltaicos. El equipo debe contar con tecnología de seguimiento del punto de máxima potencia (MPPT), que optimiza el rendimiento del sistema solar y maximiza la eficiencia de carga de baterías.
Incluye pantalla LCD para monitoreo y visualización de parámetros de operación (voltaje, corriente, estado de carga), y compatibilidad con diferentes tipos de baterías (gel, AGM, plomo-ácido o equivalentes). Debe estar fabricado con materiales de alta resistencia y ofrecer adecuado desempeño en condiciones de intemperie y uso continuo en entornos rurales, agropecuarios e institucionales.</t>
  </si>
  <si>
    <t>BOMBA DE AGUA</t>
  </si>
  <si>
    <t>Electrobomba de agua de funcionamiento solar tipo QB60-DC, diseñada para el bombeo y suministro de agua mediante energía fotovoltaica en sistemas autónomos. fabricado con materiales de alta resistencia, adecuados para operación en condiciones de campo y entornos rurales</t>
  </si>
  <si>
    <t xml:space="preserve"> KIT ACCESORIOS</t>
  </si>
  <si>
    <t xml:space="preserve">
Kit de accesorios para conexión de agua de 1”, compuesto por adaptador macho y hembra de 1”, manguera flexible de 1” de mínimo 2 metros de longitud, dos (2) reducciones de 1” a 1/2”, cinta teflón para sellado de roscas y adhesivo PVC en presentación comercial. Elementos compatibles entre sí, listos para instalación en sistemas hidráulicos de uso doméstico, agrícola o institucional. </t>
  </si>
  <si>
    <t>MANGERA</t>
  </si>
  <si>
    <t>Manguera de riego fabricada en polietileno de alta densidad (PEAD), con resistencia nominal de 120 PSI, diámetro de 1/2 pulgada, presentada en rollo de 100 metros de longitud. Diseñada para conducción y distribución de agua en sistemas de riego agrícola, con alta resistencia a la presión, flexibilidad, durabilidad y comportamiento adecuado frente a condiciones de intemperie y radiación UV.</t>
  </si>
  <si>
    <t>metros</t>
  </si>
  <si>
    <t>Bebedero para ganado</t>
  </si>
  <si>
    <t>MAQUINARIA PARA ADECUACIÓN DE TERRENO</t>
  </si>
  <si>
    <t xml:space="preserve">Alquiler de minicargador tipo Bobcat, con capacidad mínima de balde de 0,39 m³, destinado a actividades de cargue y recolección para adecuacion de terrenos. Incluye operario calificado, suministro de combustible, transporte del equipo al sitio de trabajo (ida y regreso) y mantenimiento básico durante la operación.
El equipo debe encontrarse en óptimas condiciones técnicas y contar con documentación vigente. </t>
  </si>
  <si>
    <t>jornada</t>
  </si>
  <si>
    <t>BEBEDERO</t>
  </si>
  <si>
    <t xml:space="preserve">Bebedero para ganado tipo australiano, con capacidad de almacenamiento mínima de 8.000 litros de agua, diseñado para uso en sistemas ganaderos en entornos rurales.El bebedero deberá estar conformado por estructura en lámina galvanizada de alta resistencia, con recubrimiento interno mediante geomembrana en PVC reforzada o material equivalente, garantizando estanqueidad, durabilidad y condiciones adecuadas para el almacenamiento de agua para consumo animal.
</t>
  </si>
  <si>
    <t xml:space="preserve">Equipo  de ordeño solar </t>
  </si>
  <si>
    <t>EQUIPO  DE ORDEÑO</t>
  </si>
  <si>
    <t>Equipo portátil de ordeño mecánico tipo móvil, con estructura modular y chasis metálico con ruedas, diseñado para operación en fincas y entornos rurales, con capacidad de ordeño entre 8 y 10 vacas por hora. El equipo deberá estar dotado de sistema de vacío mediante bomba de capacidad mínima de 400 litros/minuto, con motor eléctrico de 1,5 HP, apto para operación continua y eficiente en condiciones de campo</t>
  </si>
  <si>
    <t>PLANTA ELECTRICA CON PANEL SOLAR</t>
  </si>
  <si>
    <t>kit solar  incluye una central eléctrica de 3600wh, potencia nominal de 3600w y la potencia máxima de 4500w y tres paneles solares flexible de 400 w capacidad equipo: 3600wh capacidad batería: 75000mah (3600wh / 48v)potencia nominal: 3600w nominal 4500w x-boost</t>
  </si>
  <si>
    <t xml:space="preserve">Sistema de riego </t>
  </si>
  <si>
    <t>BOMBA SUMERGIBLE</t>
  </si>
  <si>
    <t>Bomba sumergible con potencia de 0,4 HP (300 W), diseñada para el bombeo y conducción de agua en sistemas de riego y abastecimiento hídrico en entornos rurales y agropecuarios. Fabricada en materiales de alta resistencia a la humedad y a la corrosión</t>
  </si>
  <si>
    <t>TUBO DE PVC DE 1 PULGADA</t>
  </si>
  <si>
    <t>Tubo de PVC rígido de 1 pulgada de diámetro, con longitud comercial de 6 metros, diseñado para la conducción de agua potable. Fabricado en policloruro de vinilo (PVC) de alta resistencia, apto para instalaciones hidráulicas, con adecuada resistencia a la presión, corrosión y condiciones de uso en entornos rurales y agropecuarios.</t>
  </si>
  <si>
    <t>TANQUE DE AGUA</t>
  </si>
  <si>
    <t>Tanque de almacenamiento de agua de 1.000 litros, fabricado en polietileno de alta densidad (HDPE) o material equivalente, tipo vertical, apto para uso doméstico, agrícola e institucional. Debe contar con tapa superior hermética y kit completo de instalación que incluya conexiones de entrada y salida, válvula de control, adaptadores y accesorios necesarios para su funcionamiento. Debe garantizar resistencia a la intemperie y protección UV. Dimensiones minimas: altura entre 1,20 y 1,50 m y diámetro entre 0,90 y 1,10 m.
Incluye garantía mínima de 12 meses</t>
  </si>
  <si>
    <t>Panel solar bifacial de alta eficiencia con potencia nominal de 610W, fabricado con tecnología de celdas monocristalinas tipo N (N-type), diseñado para sistemas fotovoltaicos en entornos rurales, agropecuarios e institucionales. El módulo debe contar con tecnología bifacial de doble vidrio que permita la captación de radiación solar en ambas caras, optimizando la generación de energía. Deberá garantizar alta resistencia a condiciones climáticas adversas, radiación UV y variaciones de temperatura, así como una estructura robusta en aluminio anodizado resistente a la corrosión.</t>
  </si>
  <si>
    <t>Batería tipo gel sellada de ciclo profundo, con voltaje nominal de 12V y capacidad mínima de 150 amperios-hora (Ah),  diseñada para aplicaciones de almacenamiento de energía en sistemas solares fotovoltaicos, equipos eléctricos, respaldo energético (UPS) y usos agropecuarios o rurales.</t>
  </si>
  <si>
    <t>KIT DE RIEGO POR GOTEO</t>
  </si>
  <si>
    <t>kit de riego por goteo para 100 metros con el controlador y demas accesorios necesarios para su correcto funcionamiento que tenga como minimo (manguera de 1/2 pulgada adaptadores,conectores 4 vias , conectores con bloqueo en t,estacas con soporte para goteo,clavijas, enchufes de extremos, goteadores,etc.</t>
  </si>
  <si>
    <t xml:space="preserve">Recoleccion de  aguas lluvias </t>
  </si>
  <si>
    <t>KIT DE RECOLECCION DE AGUAS LLUVIAS</t>
  </si>
  <si>
    <t>kit para 6m2 que debe contener como minimo (1 canal en pvc 16 x 14 cm x 3 m ,1 tapa para canaleta derecha (interna) ,1 tapa para canaleta izquierda (interna),1 embudo para bajante cuadroda,1 bajante cuadrada,2 codos , 2 semicodos, 1 caneca plástica de 55 galones con tapa,1   malla,1 metro tubo de 1 ½ pulgada,2 adaptador hembra con rosca 1 ½ ,2 adaptador macho con rosca 1 ½, 1 llave registro de 1 ½, 2 codos de 1 ½ ,limpiador para pvc,pegante para pvc, 3 cerchas metalicas,  4 parales en acero y tejas plasticas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</si>
</sst>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5" formatCode="&quot;$&quot;\ #,##0;\-&quot;$&quot;\ #,##0"/>
    <numFmt numFmtId="41" formatCode="_-* #,##0_-;\-* #,##0_-;_-* &quot;-&quot;_-;_-@_-"/>
    <numFmt numFmtId="44" formatCode="_-&quot;$&quot;\ * #,##0.00_-;\-&quot;$&quot;\ * #,##0.00_-;_-&quot;$&quot;\ * &quot;-&quot;??_-;_-@_-"/>
    <numFmt numFmtId="164" formatCode="&quot;$&quot;\ #,##0"/>
    <numFmt numFmtId="165" formatCode="&quot;$&quot;\ #,##0.00"/>
    <numFmt numFmtId="166" formatCode="_-&quot;$&quot;\ * #,##0_-;\-&quot;$&quot;\ * #,##0_-;_-&quot;$&quot;\ * &quot;-&quot;??_-;_-@_-"/>
    <numFmt numFmtId="167" formatCode="&quot;$ &quot;#,##0.00"/>
    <numFmt numFmtId="168" formatCode="&quot;$&quot;\ #,##0.0"/>
  </numFmts>
  <fonts count="33">
    <font>
      <sz val="10"/>
      <color rgb="FF000000"/>
      <name val="Times New Roman"/>
      <family val="1"/>
    </font>
    <font>
      <sz val="11"/>
      <color theme="1"/>
      <name val="Calibri"/>
      <family val="2"/>
      <scheme val="minor"/>
    </font>
    <font>
      <sz val="10"/>
      <color rgb="FF000000"/>
      <name val="Times New Roman"/>
      <family val="1"/>
    </font>
    <font>
      <b/>
      <sz val="14"/>
      <color rgb="FF000000"/>
      <name val="Garamond"/>
      <family val="1"/>
    </font>
    <font>
      <b/>
      <sz val="14"/>
      <name val="Garamond"/>
      <family val="1"/>
    </font>
    <font>
      <sz val="14"/>
      <name val="Garamond"/>
      <family val="1"/>
    </font>
    <font>
      <sz val="14"/>
      <color rgb="FF000000"/>
      <name val="Garamond"/>
      <family val="1"/>
    </font>
    <font>
      <b/>
      <sz val="14"/>
      <color theme="1"/>
      <name val="Garamond"/>
      <family val="1"/>
    </font>
    <font>
      <sz val="14"/>
      <color theme="1"/>
      <name val="Garamond"/>
      <family val="1"/>
    </font>
    <font>
      <sz val="14"/>
      <color rgb="FFFF0000"/>
      <name val="Garamond"/>
      <family val="1"/>
    </font>
    <font>
      <b/>
      <sz val="14"/>
      <color theme="0"/>
      <name val="Garamond"/>
      <family val="1"/>
    </font>
    <font>
      <sz val="14"/>
      <color theme="0"/>
      <name val="Aptos Narrow"/>
      <family val="2"/>
    </font>
    <font>
      <sz val="14"/>
      <color theme="1"/>
      <name val="Aptos Narrow"/>
      <family val="2"/>
    </font>
    <font>
      <sz val="14"/>
      <color theme="0"/>
      <name val="Garamond"/>
      <family val="1"/>
    </font>
    <font>
      <sz val="14"/>
      <name val="Aptos Narrow"/>
      <family val="2"/>
    </font>
    <font>
      <b/>
      <sz val="14"/>
      <name val="Aptos Narrow"/>
      <family val="2"/>
    </font>
    <font>
      <sz val="14"/>
      <color rgb="FF000000"/>
      <name val="Garamond"/>
      <family val="1"/>
      <charset val="1"/>
    </font>
    <font>
      <sz val="16"/>
      <name val="Garamond"/>
      <family val="1"/>
    </font>
    <font>
      <b/>
      <sz val="12"/>
      <color rgb="FFFFFFFF"/>
      <name val="Garamond"/>
      <family val="1"/>
    </font>
    <font>
      <sz val="11"/>
      <name val="Aptos Narrow"/>
      <family val="2"/>
    </font>
    <font>
      <b/>
      <sz val="12"/>
      <color theme="1"/>
      <name val="Garamond"/>
      <family val="1"/>
    </font>
    <font>
      <b/>
      <sz val="12"/>
      <color rgb="FF000000"/>
      <name val="Garamond"/>
      <family val="1"/>
    </font>
    <font>
      <b/>
      <sz val="12"/>
      <color theme="0"/>
      <name val="Garamond"/>
      <family val="1"/>
    </font>
    <font>
      <sz val="12"/>
      <color rgb="FF000000"/>
      <name val="Garamond"/>
      <family val="1"/>
    </font>
    <font>
      <sz val="11"/>
      <color rgb="FF000000"/>
      <name val="Garamond"/>
      <family val="1"/>
    </font>
    <font>
      <sz val="11"/>
      <color theme="1"/>
      <name val="Garamond"/>
      <family val="1"/>
    </font>
    <font>
      <sz val="12"/>
      <color theme="1"/>
      <name val="Garamond"/>
      <family val="1"/>
    </font>
    <font>
      <sz val="14"/>
      <name val="Garamond"/>
      <family val="1"/>
      <charset val="1"/>
    </font>
    <font>
      <sz val="11"/>
      <color theme="1"/>
      <name val="Aptos Narrow"/>
      <family val="2"/>
    </font>
    <font>
      <sz val="11"/>
      <color theme="0"/>
      <name val="Aptos Narrow"/>
      <family val="2"/>
    </font>
    <font>
      <b/>
      <sz val="12"/>
      <color rgb="FF000000"/>
      <name val="Arial Narrow"/>
      <family val="2"/>
    </font>
    <font>
      <sz val="12"/>
      <color rgb="FF000000"/>
      <name val="Arial Narrow"/>
      <family val="2"/>
    </font>
    <font>
      <sz val="12"/>
      <color rgb="FFFF0000"/>
      <name val="Garamond"/>
      <family val="1"/>
    </font>
  </fonts>
  <fills count="22">
    <fill>
      <patternFill patternType="none"/>
    </fill>
    <fill>
      <patternFill patternType="gray125"/>
    </fill>
    <fill>
      <patternFill patternType="solid">
        <fgColor theme="0" tint="-0.14999847407452621"/>
        <bgColor indexed="64"/>
      </patternFill>
    </fill>
    <fill>
      <patternFill patternType="solid">
        <fgColor rgb="FFD9D9D9"/>
      </patternFill>
    </fill>
    <fill>
      <patternFill patternType="solid">
        <fgColor theme="0"/>
        <bgColor indexed="64"/>
      </patternFill>
    </fill>
    <fill>
      <patternFill patternType="solid">
        <fgColor rgb="FFD8D8D8"/>
        <bgColor rgb="FFD8D8D8"/>
      </patternFill>
    </fill>
    <fill>
      <patternFill patternType="solid">
        <fgColor rgb="FFFFCCFF"/>
        <bgColor rgb="FFFFCCFF"/>
      </patternFill>
    </fill>
    <fill>
      <patternFill patternType="solid">
        <fgColor rgb="FFC1EEF5"/>
        <bgColor indexed="64"/>
      </patternFill>
    </fill>
    <fill>
      <patternFill patternType="solid">
        <fgColor theme="8" tint="0.39997558519241921"/>
        <bgColor rgb="FFD8D8D8"/>
      </patternFill>
    </fill>
    <fill>
      <patternFill patternType="solid">
        <fgColor theme="8" tint="0.79998168889431442"/>
        <bgColor indexed="64"/>
      </patternFill>
    </fill>
    <fill>
      <patternFill patternType="solid">
        <fgColor rgb="FFC1EEF5"/>
        <bgColor rgb="FF002060"/>
      </patternFill>
    </fill>
    <fill>
      <patternFill patternType="solid">
        <fgColor rgb="FFC1EEF5"/>
        <bgColor rgb="FF95DCF7"/>
      </patternFill>
    </fill>
    <fill>
      <patternFill patternType="solid">
        <fgColor theme="4" tint="-0.499984740745262"/>
        <bgColor rgb="FF00B0F0"/>
      </patternFill>
    </fill>
    <fill>
      <patternFill patternType="solid">
        <fgColor theme="4" tint="-0.499984740745262"/>
        <bgColor indexed="64"/>
      </patternFill>
    </fill>
    <fill>
      <patternFill patternType="solid">
        <fgColor theme="4" tint="-0.499984740745262"/>
        <bgColor rgb="FF002060"/>
      </patternFill>
    </fill>
    <fill>
      <patternFill patternType="solid">
        <fgColor theme="4" tint="-0.499984740745262"/>
        <bgColor rgb="FF95DCF7"/>
      </patternFill>
    </fill>
    <fill>
      <patternFill patternType="solid">
        <fgColor rgb="FF002060"/>
        <bgColor rgb="FF002060"/>
      </patternFill>
    </fill>
    <fill>
      <patternFill patternType="solid">
        <fgColor rgb="FF00B0F0"/>
        <bgColor rgb="FF00B0F0"/>
      </patternFill>
    </fill>
    <fill>
      <patternFill patternType="solid">
        <fgColor theme="6" tint="0.79998168889431442"/>
        <bgColor rgb="FFFFCCFF"/>
      </patternFill>
    </fill>
    <fill>
      <patternFill patternType="solid">
        <fgColor theme="7" tint="0.59999389629810485"/>
        <bgColor indexed="64"/>
      </patternFill>
    </fill>
    <fill>
      <patternFill patternType="solid">
        <fgColor rgb="FF002060"/>
        <bgColor indexed="64"/>
      </patternFill>
    </fill>
    <fill>
      <patternFill patternType="solid">
        <fgColor rgb="FF002060"/>
        <bgColor rgb="FF00B0F0"/>
      </patternFill>
    </fill>
  </fills>
  <borders count="3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rgb="FF000000"/>
      </right>
      <top style="thin">
        <color rgb="FF000000"/>
      </top>
      <bottom style="thin">
        <color rgb="FF000000"/>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right style="thin">
        <color rgb="FF000000"/>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5">
    <xf numFmtId="0" fontId="0" fillId="0" borderId="0"/>
    <xf numFmtId="44" fontId="2" fillId="0" borderId="0" applyFont="0" applyFill="0" applyBorder="0" applyAlignment="0" applyProtection="0"/>
    <xf numFmtId="9" fontId="2" fillId="0" borderId="0" applyFont="0" applyFill="0" applyBorder="0" applyAlignment="0" applyProtection="0"/>
    <xf numFmtId="41" fontId="2" fillId="0" borderId="0" applyFont="0" applyFill="0" applyBorder="0" applyAlignment="0" applyProtection="0"/>
    <xf numFmtId="0" fontId="1" fillId="0" borderId="0"/>
  </cellStyleXfs>
  <cellXfs count="244">
    <xf numFmtId="0" fontId="0" fillId="0" borderId="0" xfId="0"/>
    <xf numFmtId="0" fontId="4"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1" fontId="6" fillId="0" borderId="1" xfId="0" applyNumberFormat="1" applyFont="1" applyBorder="1" applyAlignment="1">
      <alignment horizontal="center" vertical="center" shrinkToFit="1"/>
    </xf>
    <xf numFmtId="0" fontId="6" fillId="0" borderId="1" xfId="0" applyFont="1" applyBorder="1" applyAlignment="1">
      <alignment horizontal="center" vertical="center"/>
    </xf>
    <xf numFmtId="0" fontId="6"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wrapText="1"/>
    </xf>
    <xf numFmtId="0" fontId="8" fillId="0" borderId="0" xfId="0" applyFont="1" applyAlignment="1">
      <alignment horizontal="center" vertical="center"/>
    </xf>
    <xf numFmtId="0" fontId="6" fillId="0" borderId="0" xfId="0" applyFont="1"/>
    <xf numFmtId="0" fontId="6" fillId="0" borderId="0" xfId="0" applyFont="1" applyAlignment="1">
      <alignment horizontal="center" vertical="center" wrapText="1"/>
    </xf>
    <xf numFmtId="0" fontId="6" fillId="0" borderId="0" xfId="0" applyFont="1" applyAlignment="1">
      <alignment vertical="center"/>
    </xf>
    <xf numFmtId="44" fontId="6" fillId="0" borderId="0" xfId="1" applyFont="1" applyAlignment="1">
      <alignment horizontal="center" vertical="center"/>
    </xf>
    <xf numFmtId="9" fontId="6" fillId="0" borderId="0" xfId="2" applyFont="1" applyAlignment="1">
      <alignment horizontal="center" vertical="center"/>
    </xf>
    <xf numFmtId="166" fontId="4" fillId="3" borderId="1" xfId="1" applyNumberFormat="1" applyFont="1" applyFill="1" applyBorder="1" applyAlignment="1">
      <alignment horizontal="center" vertical="center" wrapText="1"/>
    </xf>
    <xf numFmtId="166" fontId="6" fillId="0" borderId="0" xfId="1" applyNumberFormat="1" applyFont="1" applyAlignment="1">
      <alignment horizontal="center" vertical="center"/>
    </xf>
    <xf numFmtId="166" fontId="3" fillId="7" borderId="5" xfId="1" applyNumberFormat="1" applyFont="1" applyFill="1" applyBorder="1" applyAlignment="1">
      <alignment horizontal="center" vertical="center" wrapText="1"/>
    </xf>
    <xf numFmtId="168" fontId="3" fillId="7" borderId="5" xfId="1" applyNumberFormat="1" applyFont="1" applyFill="1" applyBorder="1" applyAlignment="1">
      <alignment horizontal="center" vertical="center" wrapText="1"/>
    </xf>
    <xf numFmtId="168" fontId="4" fillId="3" borderId="1" xfId="1" applyNumberFormat="1" applyFont="1" applyFill="1" applyBorder="1" applyAlignment="1">
      <alignment horizontal="center" vertical="center" wrapText="1"/>
    </xf>
    <xf numFmtId="164" fontId="4" fillId="3" borderId="1" xfId="1" applyNumberFormat="1" applyFont="1" applyFill="1" applyBorder="1" applyAlignment="1">
      <alignment horizontal="center" vertical="center" wrapText="1"/>
    </xf>
    <xf numFmtId="164" fontId="6" fillId="0" borderId="0" xfId="1" applyNumberFormat="1" applyFont="1" applyAlignment="1">
      <alignment horizontal="center" vertical="center"/>
    </xf>
    <xf numFmtId="164" fontId="6" fillId="0" borderId="0" xfId="0" applyNumberFormat="1" applyFont="1" applyAlignment="1">
      <alignment horizontal="center" vertical="center"/>
    </xf>
    <xf numFmtId="0" fontId="6" fillId="0" borderId="1" xfId="0" applyFont="1" applyBorder="1" applyAlignment="1">
      <alignment horizontal="center" vertical="center" wrapText="1"/>
    </xf>
    <xf numFmtId="0" fontId="5" fillId="9" borderId="1" xfId="0" applyFont="1" applyFill="1" applyBorder="1" applyAlignment="1">
      <alignment horizontal="center" vertical="center" wrapText="1"/>
    </xf>
    <xf numFmtId="44" fontId="6" fillId="9" borderId="1" xfId="1" applyFont="1" applyFill="1" applyBorder="1" applyAlignment="1">
      <alignment horizontal="center" vertical="center"/>
    </xf>
    <xf numFmtId="9" fontId="6" fillId="9" borderId="1" xfId="2" applyFont="1" applyFill="1" applyBorder="1" applyAlignment="1">
      <alignment horizontal="center" vertical="center"/>
    </xf>
    <xf numFmtId="166" fontId="10" fillId="13" borderId="5" xfId="1" applyNumberFormat="1" applyFont="1" applyFill="1" applyBorder="1" applyAlignment="1">
      <alignment horizontal="center" vertical="center" wrapText="1"/>
    </xf>
    <xf numFmtId="44" fontId="10" fillId="14" borderId="19" xfId="1" applyFont="1" applyFill="1" applyBorder="1" applyAlignment="1">
      <alignment horizontal="center" wrapText="1"/>
    </xf>
    <xf numFmtId="44" fontId="7" fillId="11" borderId="19" xfId="1" applyFont="1" applyFill="1" applyBorder="1" applyAlignment="1">
      <alignment horizontal="center" wrapText="1"/>
    </xf>
    <xf numFmtId="44" fontId="10" fillId="12" borderId="16" xfId="1" applyFont="1" applyFill="1" applyBorder="1" applyAlignment="1">
      <alignment horizontal="center" wrapText="1"/>
    </xf>
    <xf numFmtId="44" fontId="7" fillId="5" borderId="15" xfId="1" applyFont="1" applyFill="1" applyBorder="1" applyAlignment="1">
      <alignment horizontal="center" wrapText="1"/>
    </xf>
    <xf numFmtId="44" fontId="3" fillId="5" borderId="15" xfId="1" applyFont="1" applyFill="1" applyBorder="1" applyAlignment="1">
      <alignment horizontal="center" vertical="center" wrapText="1"/>
    </xf>
    <xf numFmtId="9" fontId="7" fillId="6" borderId="15" xfId="2" applyFont="1" applyFill="1" applyBorder="1" applyAlignment="1">
      <alignment horizontal="center" vertical="center" wrapText="1"/>
    </xf>
    <xf numFmtId="164" fontId="7" fillId="5" borderId="15" xfId="0" applyNumberFormat="1" applyFont="1" applyFill="1" applyBorder="1" applyAlignment="1">
      <alignment horizontal="center" vertical="center" wrapText="1"/>
    </xf>
    <xf numFmtId="165" fontId="7" fillId="6" borderId="18" xfId="0" applyNumberFormat="1" applyFont="1" applyFill="1" applyBorder="1" applyAlignment="1">
      <alignment horizontal="center" vertical="center" wrapText="1"/>
    </xf>
    <xf numFmtId="44" fontId="7" fillId="6" borderId="18" xfId="1" applyFont="1" applyFill="1" applyBorder="1" applyAlignment="1">
      <alignment horizontal="center" vertical="center" wrapText="1"/>
    </xf>
    <xf numFmtId="9" fontId="7" fillId="6" borderId="18" xfId="2" applyFont="1" applyFill="1" applyBorder="1" applyAlignment="1">
      <alignment horizontal="center" vertical="center" wrapText="1"/>
    </xf>
    <xf numFmtId="164" fontId="7" fillId="5" borderId="18" xfId="0" applyNumberFormat="1" applyFont="1" applyFill="1" applyBorder="1" applyAlignment="1">
      <alignment horizontal="center" vertical="center" wrapText="1"/>
    </xf>
    <xf numFmtId="0" fontId="5" fillId="4" borderId="3" xfId="0" applyFont="1" applyFill="1" applyBorder="1" applyAlignment="1">
      <alignment horizontal="center" vertical="center" wrapText="1"/>
    </xf>
    <xf numFmtId="168" fontId="6" fillId="0" borderId="0" xfId="1" applyNumberFormat="1" applyFont="1" applyAlignment="1">
      <alignment horizontal="center" vertical="center"/>
    </xf>
    <xf numFmtId="0" fontId="5" fillId="0" borderId="3" xfId="0" applyFont="1" applyBorder="1" applyAlignment="1">
      <alignment horizontal="center" vertical="center" wrapText="1"/>
    </xf>
    <xf numFmtId="164" fontId="5" fillId="0" borderId="1" xfId="0" applyNumberFormat="1" applyFont="1" applyBorder="1" applyAlignment="1">
      <alignment horizontal="center" vertical="center" wrapText="1"/>
    </xf>
    <xf numFmtId="44" fontId="6" fillId="0" borderId="1" xfId="1" applyFont="1" applyFill="1" applyBorder="1" applyAlignment="1">
      <alignment horizontal="center" vertical="center"/>
    </xf>
    <xf numFmtId="166" fontId="6" fillId="0" borderId="1" xfId="1" applyNumberFormat="1" applyFont="1" applyFill="1" applyBorder="1" applyAlignment="1">
      <alignment horizontal="center" vertical="center"/>
    </xf>
    <xf numFmtId="9" fontId="6" fillId="0" borderId="1" xfId="2" applyFont="1" applyFill="1" applyBorder="1" applyAlignment="1">
      <alignment horizontal="center" vertical="center"/>
    </xf>
    <xf numFmtId="0" fontId="5" fillId="9" borderId="3" xfId="0" applyFont="1" applyFill="1" applyBorder="1" applyAlignment="1">
      <alignment horizontal="center" vertical="center" wrapText="1"/>
    </xf>
    <xf numFmtId="1" fontId="6" fillId="9" borderId="3" xfId="0" applyNumberFormat="1" applyFont="1" applyFill="1" applyBorder="1" applyAlignment="1">
      <alignment horizontal="center" vertical="center" shrinkToFit="1"/>
    </xf>
    <xf numFmtId="166" fontId="6" fillId="9" borderId="1" xfId="1" applyNumberFormat="1" applyFont="1" applyFill="1" applyBorder="1" applyAlignment="1">
      <alignment horizontal="center" vertical="center"/>
    </xf>
    <xf numFmtId="0" fontId="5" fillId="9" borderId="12" xfId="0" applyFont="1" applyFill="1" applyBorder="1" applyAlignment="1">
      <alignment horizontal="center" vertical="center" wrapText="1"/>
    </xf>
    <xf numFmtId="0" fontId="5" fillId="9" borderId="11" xfId="0" applyFont="1" applyFill="1" applyBorder="1" applyAlignment="1">
      <alignment horizontal="center" vertical="center" wrapText="1"/>
    </xf>
    <xf numFmtId="1" fontId="6" fillId="9" borderId="11" xfId="0" applyNumberFormat="1" applyFont="1" applyFill="1" applyBorder="1" applyAlignment="1">
      <alignment horizontal="center" vertical="center" shrinkToFit="1"/>
    </xf>
    <xf numFmtId="164" fontId="5" fillId="0" borderId="1" xfId="1" applyNumberFormat="1" applyFont="1" applyFill="1" applyBorder="1" applyAlignment="1">
      <alignment horizontal="center" vertical="center" wrapText="1"/>
    </xf>
    <xf numFmtId="164" fontId="6" fillId="0" borderId="1" xfId="0" applyNumberFormat="1" applyFont="1" applyBorder="1" applyAlignment="1">
      <alignment horizontal="center" vertical="center"/>
    </xf>
    <xf numFmtId="0" fontId="6" fillId="0" borderId="1" xfId="0" applyFont="1" applyBorder="1" applyAlignment="1">
      <alignment vertical="center" wrapText="1"/>
    </xf>
    <xf numFmtId="165" fontId="6" fillId="0" borderId="1" xfId="0" applyNumberFormat="1" applyFont="1" applyBorder="1" applyAlignment="1">
      <alignment horizontal="left" vertical="center" wrapText="1"/>
    </xf>
    <xf numFmtId="0" fontId="8" fillId="0" borderId="1" xfId="0" applyFont="1" applyBorder="1" applyAlignment="1">
      <alignment horizontal="center" vertical="center" wrapText="1"/>
    </xf>
    <xf numFmtId="165" fontId="8" fillId="0" borderId="1" xfId="0" applyNumberFormat="1" applyFont="1" applyBorder="1" applyAlignment="1">
      <alignment horizontal="left" vertical="center" wrapText="1"/>
    </xf>
    <xf numFmtId="0" fontId="8" fillId="0" borderId="1" xfId="0" applyFont="1" applyBorder="1" applyAlignment="1">
      <alignment horizontal="center" vertical="center"/>
    </xf>
    <xf numFmtId="164" fontId="8" fillId="0" borderId="1" xfId="1" applyNumberFormat="1" applyFont="1" applyFill="1" applyBorder="1" applyAlignment="1">
      <alignment horizontal="center" vertical="center" wrapText="1"/>
    </xf>
    <xf numFmtId="9" fontId="8" fillId="0" borderId="1" xfId="2" applyFont="1" applyFill="1" applyBorder="1" applyAlignment="1">
      <alignment horizontal="center" vertical="center"/>
    </xf>
    <xf numFmtId="164" fontId="8" fillId="0" borderId="1" xfId="0" applyNumberFormat="1" applyFont="1" applyBorder="1" applyAlignment="1">
      <alignment horizontal="center" vertical="center"/>
    </xf>
    <xf numFmtId="5" fontId="20" fillId="5" borderId="13" xfId="0" applyNumberFormat="1" applyFont="1" applyFill="1" applyBorder="1" applyAlignment="1">
      <alignment horizontal="center" vertical="center" wrapText="1" readingOrder="1"/>
    </xf>
    <xf numFmtId="5" fontId="21" fillId="5" borderId="13" xfId="0" applyNumberFormat="1" applyFont="1" applyFill="1" applyBorder="1" applyAlignment="1">
      <alignment horizontal="center" vertical="center"/>
    </xf>
    <xf numFmtId="5" fontId="21" fillId="5" borderId="13" xfId="0" applyNumberFormat="1" applyFont="1" applyFill="1" applyBorder="1" applyAlignment="1">
      <alignment horizontal="center" vertical="center" wrapText="1"/>
    </xf>
    <xf numFmtId="166" fontId="20" fillId="5" borderId="15" xfId="1" applyNumberFormat="1" applyFont="1" applyFill="1" applyBorder="1" applyAlignment="1">
      <alignment horizontal="center" vertical="center" wrapText="1" readingOrder="1"/>
    </xf>
    <xf numFmtId="166" fontId="21" fillId="5" borderId="15" xfId="1" applyNumberFormat="1" applyFont="1" applyFill="1" applyBorder="1" applyAlignment="1">
      <alignment horizontal="center" vertical="center"/>
    </xf>
    <xf numFmtId="166" fontId="20" fillId="5" borderId="13" xfId="1" applyNumberFormat="1" applyFont="1" applyFill="1" applyBorder="1" applyAlignment="1">
      <alignment horizontal="center" vertical="center" wrapText="1" readingOrder="1"/>
    </xf>
    <xf numFmtId="166" fontId="21" fillId="5" borderId="13" xfId="1" applyNumberFormat="1" applyFont="1" applyFill="1" applyBorder="1" applyAlignment="1">
      <alignment horizontal="center" vertical="center"/>
    </xf>
    <xf numFmtId="168" fontId="5" fillId="0" borderId="1" xfId="1" applyNumberFormat="1" applyFont="1" applyFill="1" applyBorder="1" applyAlignment="1">
      <alignment horizontal="center" vertical="center" wrapText="1"/>
    </xf>
    <xf numFmtId="168" fontId="5" fillId="0" borderId="1" xfId="1" applyNumberFormat="1" applyFont="1" applyFill="1" applyBorder="1" applyAlignment="1">
      <alignment vertical="center" wrapText="1"/>
    </xf>
    <xf numFmtId="41" fontId="17" fillId="0" borderId="1" xfId="3" applyFont="1" applyFill="1" applyBorder="1" applyAlignment="1">
      <alignment horizontal="center" vertical="center" wrapText="1"/>
    </xf>
    <xf numFmtId="168" fontId="5" fillId="0" borderId="1" xfId="0" applyNumberFormat="1" applyFont="1" applyBorder="1" applyAlignment="1">
      <alignment horizontal="center" vertical="center" wrapText="1"/>
    </xf>
    <xf numFmtId="168" fontId="5" fillId="0" borderId="1" xfId="0" applyNumberFormat="1" applyFont="1" applyBorder="1" applyAlignment="1">
      <alignment vertical="center" wrapText="1"/>
    </xf>
    <xf numFmtId="166" fontId="23" fillId="0" borderId="16" xfId="1" applyNumberFormat="1" applyFont="1" applyFill="1" applyBorder="1" applyAlignment="1">
      <alignment horizontal="center" vertical="center" readingOrder="1"/>
    </xf>
    <xf numFmtId="166" fontId="6" fillId="0" borderId="5" xfId="1" applyNumberFormat="1" applyFont="1" applyFill="1" applyBorder="1" applyAlignment="1">
      <alignment horizontal="center" vertical="center"/>
    </xf>
    <xf numFmtId="0" fontId="5" fillId="0" borderId="1" xfId="0" applyFont="1" applyBorder="1" applyAlignment="1">
      <alignment horizontal="left" vertical="center" wrapText="1"/>
    </xf>
    <xf numFmtId="166" fontId="8" fillId="0" borderId="1" xfId="1" applyNumberFormat="1" applyFont="1" applyFill="1" applyBorder="1" applyAlignment="1">
      <alignment horizontal="center" vertical="center"/>
    </xf>
    <xf numFmtId="165" fontId="20" fillId="18" borderId="18" xfId="0" applyNumberFormat="1" applyFont="1" applyFill="1" applyBorder="1" applyAlignment="1">
      <alignment horizontal="center" vertical="center" wrapText="1"/>
    </xf>
    <xf numFmtId="164" fontId="20" fillId="8" borderId="18" xfId="0" applyNumberFormat="1" applyFont="1" applyFill="1" applyBorder="1" applyAlignment="1">
      <alignment horizontal="center" vertical="center" wrapText="1"/>
    </xf>
    <xf numFmtId="0" fontId="8" fillId="0" borderId="0" xfId="0" applyFont="1" applyAlignment="1">
      <alignment horizontal="center" vertical="center" wrapText="1"/>
    </xf>
    <xf numFmtId="167" fontId="16" fillId="0" borderId="1" xfId="0" applyNumberFormat="1" applyFont="1" applyBorder="1" applyAlignment="1">
      <alignment horizontal="left" vertical="center" wrapText="1"/>
    </xf>
    <xf numFmtId="168" fontId="8" fillId="0" borderId="1" xfId="0" applyNumberFormat="1" applyFont="1" applyBorder="1" applyAlignment="1">
      <alignment horizontal="center" vertical="center" wrapText="1"/>
    </xf>
    <xf numFmtId="168" fontId="8" fillId="0" borderId="1" xfId="0" applyNumberFormat="1" applyFont="1" applyBorder="1" applyAlignment="1">
      <alignment vertical="center" wrapText="1"/>
    </xf>
    <xf numFmtId="168" fontId="9" fillId="0" borderId="1" xfId="0" applyNumberFormat="1" applyFont="1" applyBorder="1" applyAlignment="1">
      <alignment vertical="center" wrapText="1"/>
    </xf>
    <xf numFmtId="0" fontId="4" fillId="19" borderId="1" xfId="0" applyFont="1" applyFill="1" applyBorder="1" applyAlignment="1">
      <alignment vertical="center" wrapText="1"/>
    </xf>
    <xf numFmtId="0" fontId="4" fillId="19" borderId="1" xfId="0" applyFont="1" applyFill="1" applyBorder="1" applyAlignment="1">
      <alignment horizontal="center" vertical="center" wrapText="1"/>
    </xf>
    <xf numFmtId="44" fontId="6" fillId="19" borderId="1" xfId="1" applyFont="1" applyFill="1" applyBorder="1" applyAlignment="1">
      <alignment horizontal="center" vertical="center"/>
    </xf>
    <xf numFmtId="166" fontId="6" fillId="19" borderId="1" xfId="1" applyNumberFormat="1" applyFont="1" applyFill="1" applyBorder="1" applyAlignment="1">
      <alignment horizontal="center" vertical="center"/>
    </xf>
    <xf numFmtId="9" fontId="6" fillId="19" borderId="1" xfId="2" applyFont="1" applyFill="1" applyBorder="1" applyAlignment="1">
      <alignment horizontal="center" vertical="center"/>
    </xf>
    <xf numFmtId="0" fontId="6" fillId="19"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4" borderId="13" xfId="0" applyFont="1" applyFill="1" applyBorder="1" applyAlignment="1">
      <alignment horizontal="left" vertical="center" wrapText="1"/>
    </xf>
    <xf numFmtId="1" fontId="6" fillId="4" borderId="1" xfId="0" applyNumberFormat="1" applyFont="1" applyFill="1" applyBorder="1" applyAlignment="1">
      <alignment horizontal="center" vertical="center" shrinkToFit="1"/>
    </xf>
    <xf numFmtId="44" fontId="6" fillId="4" borderId="1" xfId="1" applyFont="1" applyFill="1" applyBorder="1" applyAlignment="1">
      <alignment horizontal="center" vertical="center"/>
    </xf>
    <xf numFmtId="166" fontId="6" fillId="4" borderId="1" xfId="1" applyNumberFormat="1" applyFont="1" applyFill="1" applyBorder="1" applyAlignment="1">
      <alignment horizontal="center" vertical="center"/>
    </xf>
    <xf numFmtId="9" fontId="6" fillId="4" borderId="1" xfId="2" applyFont="1" applyFill="1" applyBorder="1" applyAlignment="1">
      <alignment horizontal="center" vertical="center"/>
    </xf>
    <xf numFmtId="0" fontId="6" fillId="4" borderId="0" xfId="0" applyFont="1" applyFill="1" applyAlignment="1">
      <alignment horizontal="center" vertical="center"/>
    </xf>
    <xf numFmtId="165" fontId="6" fillId="4" borderId="1" xfId="0" applyNumberFormat="1" applyFont="1" applyFill="1" applyBorder="1" applyAlignment="1">
      <alignment horizontal="center" vertical="center" wrapText="1"/>
    </xf>
    <xf numFmtId="165" fontId="6" fillId="4" borderId="1" xfId="0" applyNumberFormat="1" applyFont="1" applyFill="1" applyBorder="1" applyAlignment="1">
      <alignment horizontal="left" vertical="center" wrapText="1"/>
    </xf>
    <xf numFmtId="164" fontId="5" fillId="4" borderId="1" xfId="0" applyNumberFormat="1" applyFont="1" applyFill="1" applyBorder="1" applyAlignment="1">
      <alignment horizontal="center" vertical="center" wrapText="1"/>
    </xf>
    <xf numFmtId="164" fontId="6" fillId="4" borderId="1" xfId="0" applyNumberFormat="1" applyFont="1" applyFill="1" applyBorder="1" applyAlignment="1">
      <alignment horizontal="left" vertical="center" wrapText="1"/>
    </xf>
    <xf numFmtId="1" fontId="5" fillId="4" borderId="1" xfId="0" applyNumberFormat="1" applyFont="1" applyFill="1" applyBorder="1" applyAlignment="1">
      <alignment horizontal="center" vertical="center" wrapText="1"/>
    </xf>
    <xf numFmtId="0" fontId="6" fillId="4" borderId="1" xfId="0" applyFont="1" applyFill="1" applyBorder="1" applyAlignment="1">
      <alignment horizontal="left" vertical="center" wrapText="1"/>
    </xf>
    <xf numFmtId="0" fontId="8" fillId="4" borderId="13" xfId="0" applyFont="1" applyFill="1" applyBorder="1" applyAlignment="1">
      <alignment horizontal="center" vertical="center"/>
    </xf>
    <xf numFmtId="166" fontId="8" fillId="4" borderId="1" xfId="1" applyNumberFormat="1" applyFont="1" applyFill="1" applyBorder="1" applyAlignment="1">
      <alignment horizontal="center" vertical="center"/>
    </xf>
    <xf numFmtId="0" fontId="6" fillId="4" borderId="1" xfId="0" applyFont="1" applyFill="1" applyBorder="1" applyAlignment="1">
      <alignment horizontal="center" vertical="center"/>
    </xf>
    <xf numFmtId="0" fontId="5" fillId="4" borderId="1" xfId="0" applyFont="1" applyFill="1" applyBorder="1" applyAlignment="1">
      <alignment horizontal="left" vertical="center" wrapText="1"/>
    </xf>
    <xf numFmtId="166" fontId="6" fillId="0" borderId="1" xfId="0" applyNumberFormat="1" applyFont="1" applyBorder="1" applyAlignment="1">
      <alignment horizontal="center" vertical="center"/>
    </xf>
    <xf numFmtId="5" fontId="20" fillId="17" borderId="16" xfId="0" applyNumberFormat="1" applyFont="1" applyFill="1" applyBorder="1" applyAlignment="1">
      <alignment horizontal="center" vertical="center" wrapText="1" readingOrder="1"/>
    </xf>
    <xf numFmtId="166" fontId="4" fillId="19" borderId="1" xfId="1" applyNumberFormat="1" applyFont="1" applyFill="1" applyBorder="1" applyAlignment="1">
      <alignment vertical="center" wrapText="1"/>
    </xf>
    <xf numFmtId="168" fontId="4" fillId="19" borderId="1" xfId="1" applyNumberFormat="1" applyFont="1" applyFill="1" applyBorder="1" applyAlignment="1">
      <alignment horizontal="center" vertical="center" wrapText="1"/>
    </xf>
    <xf numFmtId="0" fontId="6" fillId="19" borderId="1" xfId="0" applyFont="1" applyFill="1" applyBorder="1" applyAlignment="1">
      <alignment horizontal="center" vertical="center"/>
    </xf>
    <xf numFmtId="166" fontId="6" fillId="19" borderId="1" xfId="0" applyNumberFormat="1" applyFont="1" applyFill="1" applyBorder="1" applyAlignment="1">
      <alignment horizontal="center" vertical="center"/>
    </xf>
    <xf numFmtId="164" fontId="4" fillId="19" borderId="1" xfId="1" applyNumberFormat="1" applyFont="1" applyFill="1" applyBorder="1" applyAlignment="1">
      <alignment horizontal="center" vertical="center" wrapText="1"/>
    </xf>
    <xf numFmtId="164" fontId="4" fillId="19" borderId="1" xfId="0" applyNumberFormat="1" applyFont="1" applyFill="1" applyBorder="1" applyAlignment="1">
      <alignment horizontal="center" vertical="center" wrapText="1"/>
    </xf>
    <xf numFmtId="164" fontId="5" fillId="19" borderId="1" xfId="0" applyNumberFormat="1" applyFont="1" applyFill="1" applyBorder="1" applyAlignment="1">
      <alignment horizontal="center" vertical="center" wrapText="1"/>
    </xf>
    <xf numFmtId="164" fontId="6" fillId="19" borderId="1" xfId="0" applyNumberFormat="1" applyFont="1" applyFill="1" applyBorder="1" applyAlignment="1">
      <alignment horizontal="center" vertical="center"/>
    </xf>
    <xf numFmtId="164" fontId="6" fillId="4" borderId="1" xfId="0" applyNumberFormat="1" applyFont="1" applyFill="1" applyBorder="1" applyAlignment="1">
      <alignment horizontal="center" vertical="center"/>
    </xf>
    <xf numFmtId="166" fontId="5" fillId="0" borderId="1" xfId="1" applyNumberFormat="1" applyFont="1" applyBorder="1" applyAlignment="1">
      <alignment horizontal="center" vertical="center" wrapText="1"/>
    </xf>
    <xf numFmtId="166" fontId="5" fillId="4" borderId="1" xfId="1" applyNumberFormat="1" applyFont="1" applyFill="1" applyBorder="1" applyAlignment="1">
      <alignment horizontal="center" vertical="center" wrapText="1"/>
    </xf>
    <xf numFmtId="166" fontId="6" fillId="4" borderId="1" xfId="1" applyNumberFormat="1" applyFont="1" applyFill="1" applyBorder="1" applyAlignment="1">
      <alignment horizontal="center" vertical="center" shrinkToFit="1"/>
    </xf>
    <xf numFmtId="166" fontId="4" fillId="0" borderId="0" xfId="1" applyNumberFormat="1" applyFont="1" applyAlignment="1">
      <alignment vertical="center" wrapText="1"/>
    </xf>
    <xf numFmtId="166" fontId="20" fillId="8" borderId="18" xfId="0" applyNumberFormat="1" applyFont="1" applyFill="1" applyBorder="1" applyAlignment="1">
      <alignment horizontal="center" vertical="center" wrapText="1"/>
    </xf>
    <xf numFmtId="166" fontId="3" fillId="19" borderId="1" xfId="1" applyNumberFormat="1" applyFont="1" applyFill="1" applyBorder="1" applyAlignment="1">
      <alignment horizontal="center" vertical="center"/>
    </xf>
    <xf numFmtId="0" fontId="4" fillId="3" borderId="3" xfId="0" applyFont="1" applyFill="1" applyBorder="1" applyAlignment="1">
      <alignment horizontal="center" vertical="center" wrapText="1"/>
    </xf>
    <xf numFmtId="0" fontId="4" fillId="19" borderId="5" xfId="0" applyFont="1" applyFill="1" applyBorder="1" applyAlignment="1">
      <alignment horizontal="center" vertical="center" wrapText="1"/>
    </xf>
    <xf numFmtId="0" fontId="23" fillId="0" borderId="1" xfId="0" applyFont="1" applyBorder="1" applyAlignment="1">
      <alignment horizontal="center" vertical="center" wrapText="1"/>
    </xf>
    <xf numFmtId="0" fontId="23" fillId="4" borderId="1" xfId="0" applyFont="1" applyFill="1" applyBorder="1" applyAlignment="1">
      <alignment horizontal="center" vertical="center" wrapText="1"/>
    </xf>
    <xf numFmtId="0" fontId="26" fillId="0" borderId="1" xfId="0" applyFont="1" applyBorder="1" applyAlignment="1">
      <alignment horizontal="center" vertical="center" wrapText="1"/>
    </xf>
    <xf numFmtId="0" fontId="23" fillId="9" borderId="1" xfId="0" applyFont="1" applyFill="1" applyBorder="1" applyAlignment="1">
      <alignment horizontal="center" vertical="center" wrapText="1"/>
    </xf>
    <xf numFmtId="166" fontId="6" fillId="9" borderId="1" xfId="1" applyNumberFormat="1" applyFont="1" applyFill="1" applyBorder="1" applyAlignment="1">
      <alignment horizontal="center" vertical="center" shrinkToFit="1"/>
    </xf>
    <xf numFmtId="0" fontId="8" fillId="9" borderId="13" xfId="0" applyFont="1" applyFill="1" applyBorder="1" applyAlignment="1">
      <alignment horizontal="left" vertical="center" wrapText="1"/>
    </xf>
    <xf numFmtId="1" fontId="6" fillId="9" borderId="1" xfId="0" applyNumberFormat="1" applyFont="1" applyFill="1" applyBorder="1" applyAlignment="1">
      <alignment horizontal="center" vertical="center" shrinkToFit="1"/>
    </xf>
    <xf numFmtId="44" fontId="6" fillId="0" borderId="1" xfId="1" applyFont="1" applyBorder="1" applyAlignment="1">
      <alignment horizontal="center" vertical="center"/>
    </xf>
    <xf numFmtId="166" fontId="20" fillId="18" borderId="18" xfId="1" applyNumberFormat="1" applyFont="1" applyFill="1" applyBorder="1" applyAlignment="1">
      <alignment horizontal="center" vertical="center" wrapText="1"/>
    </xf>
    <xf numFmtId="166" fontId="6" fillId="0" borderId="1" xfId="1" applyNumberFormat="1" applyFont="1" applyBorder="1" applyAlignment="1">
      <alignment horizontal="center" vertical="center"/>
    </xf>
    <xf numFmtId="166" fontId="5" fillId="0" borderId="1" xfId="1" applyNumberFormat="1" applyFont="1" applyFill="1" applyBorder="1" applyAlignment="1">
      <alignment horizontal="center" vertical="center" wrapText="1"/>
    </xf>
    <xf numFmtId="166" fontId="8" fillId="0" borderId="1" xfId="1" applyNumberFormat="1" applyFont="1" applyFill="1" applyBorder="1" applyAlignment="1">
      <alignment horizontal="center" vertical="center" wrapText="1"/>
    </xf>
    <xf numFmtId="166" fontId="4" fillId="19" borderId="1" xfId="1" applyNumberFormat="1" applyFont="1" applyFill="1" applyBorder="1" applyAlignment="1">
      <alignment horizontal="center" vertical="center" wrapText="1"/>
    </xf>
    <xf numFmtId="164" fontId="5" fillId="0" borderId="1" xfId="1" applyNumberFormat="1" applyFont="1" applyFill="1" applyBorder="1" applyAlignment="1">
      <alignment vertical="center" wrapText="1"/>
    </xf>
    <xf numFmtId="164" fontId="17" fillId="0" borderId="1" xfId="3" applyNumberFormat="1" applyFont="1" applyFill="1" applyBorder="1" applyAlignment="1">
      <alignment horizontal="center" vertical="center" wrapText="1"/>
    </xf>
    <xf numFmtId="164" fontId="4" fillId="19" borderId="1" xfId="1" applyNumberFormat="1" applyFont="1" applyFill="1" applyBorder="1" applyAlignment="1">
      <alignment vertical="center" wrapText="1"/>
    </xf>
    <xf numFmtId="0" fontId="5" fillId="0" borderId="4" xfId="0" applyFont="1" applyBorder="1" applyAlignment="1">
      <alignment horizontal="center" vertical="center" wrapText="1"/>
    </xf>
    <xf numFmtId="164" fontId="7" fillId="7" borderId="24" xfId="1" applyNumberFormat="1" applyFont="1" applyFill="1" applyBorder="1" applyAlignment="1">
      <alignment horizontal="center" vertical="center" wrapText="1"/>
    </xf>
    <xf numFmtId="166" fontId="10" fillId="20" borderId="0" xfId="1" applyNumberFormat="1" applyFont="1" applyFill="1" applyAlignment="1">
      <alignment horizontal="center" vertical="center" wrapText="1"/>
    </xf>
    <xf numFmtId="0" fontId="21" fillId="7" borderId="1" xfId="0" applyFont="1" applyFill="1" applyBorder="1" applyAlignment="1">
      <alignment horizontal="center" vertical="center" wrapText="1"/>
    </xf>
    <xf numFmtId="168" fontId="10" fillId="20" borderId="24" xfId="1" applyNumberFormat="1" applyFont="1" applyFill="1" applyBorder="1" applyAlignment="1">
      <alignment horizontal="center" vertical="center" wrapText="1"/>
    </xf>
    <xf numFmtId="166" fontId="7" fillId="6" borderId="17" xfId="1" applyNumberFormat="1" applyFont="1" applyFill="1" applyBorder="1" applyAlignment="1">
      <alignment horizontal="center" vertical="center" wrapText="1"/>
    </xf>
    <xf numFmtId="166" fontId="7" fillId="6" borderId="15" xfId="1" applyNumberFormat="1" applyFont="1" applyFill="1" applyBorder="1" applyAlignment="1">
      <alignment horizontal="center" vertical="center" wrapText="1"/>
    </xf>
    <xf numFmtId="168" fontId="10" fillId="20" borderId="5" xfId="1" applyNumberFormat="1" applyFont="1" applyFill="1" applyBorder="1" applyAlignment="1">
      <alignment horizontal="center" vertical="center" wrapText="1"/>
    </xf>
    <xf numFmtId="166" fontId="10" fillId="20" borderId="1" xfId="1" applyNumberFormat="1" applyFont="1" applyFill="1" applyBorder="1" applyAlignment="1">
      <alignment horizontal="center" vertical="center" wrapText="1"/>
    </xf>
    <xf numFmtId="164" fontId="9" fillId="0" borderId="1" xfId="1" applyNumberFormat="1" applyFont="1" applyFill="1" applyBorder="1" applyAlignment="1">
      <alignment horizontal="center" vertical="center" wrapText="1"/>
    </xf>
    <xf numFmtId="168" fontId="7" fillId="7" borderId="5" xfId="1" applyNumberFormat="1"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27" fillId="0" borderId="8" xfId="0" applyFont="1" applyBorder="1" applyAlignment="1">
      <alignment horizontal="center" vertical="center" wrapText="1"/>
    </xf>
    <xf numFmtId="165" fontId="7" fillId="6" borderId="28" xfId="0" applyNumberFormat="1" applyFont="1" applyFill="1" applyBorder="1" applyAlignment="1">
      <alignment horizontal="center" vertical="center" wrapText="1"/>
    </xf>
    <xf numFmtId="164" fontId="7" fillId="6" borderId="18" xfId="0" applyNumberFormat="1" applyFont="1" applyFill="1" applyBorder="1" applyAlignment="1">
      <alignment horizontal="center" vertical="center" wrapText="1"/>
    </xf>
    <xf numFmtId="164" fontId="20" fillId="18" borderId="18" xfId="0" applyNumberFormat="1" applyFont="1" applyFill="1" applyBorder="1" applyAlignment="1">
      <alignment horizontal="center" vertical="center" wrapText="1"/>
    </xf>
    <xf numFmtId="0" fontId="30" fillId="0" borderId="0" xfId="0" applyFont="1" applyAlignment="1">
      <alignment vertical="center" wrapText="1"/>
    </xf>
    <xf numFmtId="0" fontId="26" fillId="0" borderId="0" xfId="0" applyFont="1" applyAlignment="1">
      <alignment vertical="center"/>
    </xf>
    <xf numFmtId="0" fontId="26" fillId="4" borderId="1" xfId="0" applyFont="1" applyFill="1" applyBorder="1" applyAlignment="1">
      <alignment horizontal="center" vertical="center" wrapText="1"/>
    </xf>
    <xf numFmtId="166" fontId="25" fillId="4" borderId="1" xfId="1" applyNumberFormat="1" applyFont="1" applyFill="1" applyBorder="1" applyAlignment="1">
      <alignment horizontal="center" vertical="center" wrapText="1"/>
    </xf>
    <xf numFmtId="0" fontId="6" fillId="9" borderId="3" xfId="0" applyFont="1" applyFill="1" applyBorder="1" applyAlignment="1">
      <alignment horizontal="left" vertical="center" wrapText="1"/>
    </xf>
    <xf numFmtId="0" fontId="5" fillId="9" borderId="10" xfId="0" applyFont="1" applyFill="1" applyBorder="1" applyAlignment="1">
      <alignment horizontal="center" vertical="center" wrapText="1"/>
    </xf>
    <xf numFmtId="0" fontId="6" fillId="9" borderId="11" xfId="0" applyFont="1" applyFill="1" applyBorder="1" applyAlignment="1">
      <alignment horizontal="left" vertical="center" wrapText="1"/>
    </xf>
    <xf numFmtId="0" fontId="8" fillId="9" borderId="13" xfId="0" applyFont="1" applyFill="1" applyBorder="1" applyAlignment="1">
      <alignment horizontal="center" vertical="center" wrapText="1"/>
    </xf>
    <xf numFmtId="0" fontId="6" fillId="0" borderId="13" xfId="0" applyFont="1" applyBorder="1" applyAlignment="1">
      <alignment horizontal="center" vertical="center" wrapText="1" readingOrder="1"/>
    </xf>
    <xf numFmtId="0" fontId="5" fillId="0" borderId="13" xfId="0" applyFont="1" applyBorder="1" applyAlignment="1">
      <alignment horizontal="center" vertical="center" wrapText="1"/>
    </xf>
    <xf numFmtId="0" fontId="0" fillId="0" borderId="25" xfId="0" applyBorder="1"/>
    <xf numFmtId="0" fontId="0" fillId="0" borderId="13" xfId="0" applyBorder="1" applyAlignment="1">
      <alignment vertical="center"/>
    </xf>
    <xf numFmtId="0" fontId="0" fillId="0" borderId="13" xfId="0" applyBorder="1" applyAlignment="1">
      <alignment horizontal="center" vertical="center"/>
    </xf>
    <xf numFmtId="0" fontId="23" fillId="0" borderId="25" xfId="0" applyFont="1" applyBorder="1" applyAlignment="1">
      <alignment wrapText="1"/>
    </xf>
    <xf numFmtId="0" fontId="23" fillId="0" borderId="13" xfId="0" applyFont="1" applyBorder="1" applyAlignment="1">
      <alignment vertical="center" wrapText="1"/>
    </xf>
    <xf numFmtId="164" fontId="5" fillId="0" borderId="1" xfId="0" applyNumberFormat="1" applyFont="1" applyBorder="1" applyAlignment="1">
      <alignment vertical="center" wrapText="1"/>
    </xf>
    <xf numFmtId="166" fontId="23" fillId="0" borderId="22" xfId="1" applyNumberFormat="1" applyFont="1" applyFill="1" applyBorder="1" applyAlignment="1">
      <alignment horizontal="center" vertical="center"/>
    </xf>
    <xf numFmtId="166" fontId="23" fillId="0" borderId="1" xfId="1" applyNumberFormat="1" applyFont="1" applyFill="1" applyBorder="1" applyAlignment="1">
      <alignment horizontal="center" vertical="center"/>
    </xf>
    <xf numFmtId="166" fontId="25" fillId="0" borderId="22" xfId="4" applyNumberFormat="1" applyFont="1" applyBorder="1" applyAlignment="1">
      <alignment horizontal="center" vertical="center" wrapText="1"/>
    </xf>
    <xf numFmtId="166" fontId="30" fillId="0" borderId="0" xfId="0" applyNumberFormat="1" applyFont="1" applyAlignment="1">
      <alignment vertical="center" wrapText="1"/>
    </xf>
    <xf numFmtId="0" fontId="30" fillId="0" borderId="29" xfId="0" applyFont="1" applyBorder="1" applyAlignment="1">
      <alignment horizontal="left" vertical="center" wrapText="1"/>
    </xf>
    <xf numFmtId="0" fontId="30" fillId="0" borderId="30" xfId="0" applyFont="1" applyBorder="1" applyAlignment="1">
      <alignment horizontal="left" vertical="center" wrapText="1"/>
    </xf>
    <xf numFmtId="0" fontId="30" fillId="0" borderId="31" xfId="0" applyFont="1" applyBorder="1" applyAlignment="1">
      <alignment horizontal="left" vertical="center" wrapText="1"/>
    </xf>
    <xf numFmtId="44" fontId="10" fillId="15" borderId="19" xfId="1" applyFont="1" applyFill="1" applyBorder="1" applyAlignment="1">
      <alignment horizontal="center" wrapText="1"/>
    </xf>
    <xf numFmtId="44" fontId="11" fillId="13" borderId="20" xfId="1" applyFont="1" applyFill="1" applyBorder="1" applyAlignment="1"/>
    <xf numFmtId="0" fontId="4" fillId="19" borderId="22" xfId="0" applyFont="1" applyFill="1" applyBorder="1" applyAlignment="1">
      <alignment horizontal="left" vertical="center" wrapText="1"/>
    </xf>
    <xf numFmtId="0" fontId="4" fillId="19" borderId="23" xfId="0" applyFont="1" applyFill="1" applyBorder="1" applyAlignment="1">
      <alignment horizontal="left" vertical="center" wrapText="1"/>
    </xf>
    <xf numFmtId="0" fontId="4" fillId="19" borderId="24" xfId="0" applyFont="1" applyFill="1" applyBorder="1" applyAlignment="1">
      <alignment horizontal="left" vertical="center" wrapText="1"/>
    </xf>
    <xf numFmtId="0" fontId="6" fillId="0" borderId="1" xfId="0" applyFont="1" applyBorder="1" applyAlignment="1">
      <alignment horizontal="center" vertical="center"/>
    </xf>
    <xf numFmtId="0" fontId="3" fillId="0" borderId="14" xfId="0" applyFont="1" applyBorder="1" applyAlignment="1">
      <alignment horizontal="center" vertical="center" wrapText="1"/>
    </xf>
    <xf numFmtId="0" fontId="3" fillId="0" borderId="0" xfId="0" applyFont="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6" xfId="0" applyFont="1" applyFill="1" applyBorder="1" applyAlignment="1">
      <alignment horizontal="center" vertical="center"/>
    </xf>
    <xf numFmtId="0" fontId="7" fillId="6" borderId="21" xfId="0" applyFont="1" applyFill="1" applyBorder="1" applyAlignment="1">
      <alignment horizontal="center" vertical="center"/>
    </xf>
    <xf numFmtId="0" fontId="14" fillId="0" borderId="21" xfId="0" applyFont="1" applyBorder="1" applyAlignment="1"/>
    <xf numFmtId="0" fontId="14" fillId="0" borderId="20" xfId="0" applyFont="1" applyBorder="1" applyAlignment="1"/>
    <xf numFmtId="44" fontId="7" fillId="10" borderId="19" xfId="1" applyFont="1" applyFill="1" applyBorder="1" applyAlignment="1">
      <alignment horizontal="center" wrapText="1"/>
    </xf>
    <xf numFmtId="44" fontId="7" fillId="10" borderId="20" xfId="1" applyFont="1" applyFill="1" applyBorder="1" applyAlignment="1">
      <alignment horizontal="center" wrapText="1"/>
    </xf>
    <xf numFmtId="44" fontId="10" fillId="12" borderId="19" xfId="1" applyFont="1" applyFill="1" applyBorder="1" applyAlignment="1">
      <alignment horizontal="center" vertical="center" wrapText="1" readingOrder="1"/>
    </xf>
    <xf numFmtId="44" fontId="7" fillId="10" borderId="19" xfId="1" applyFont="1" applyFill="1" applyBorder="1" applyAlignment="1">
      <alignment horizontal="center" vertical="center" wrapText="1" readingOrder="1"/>
    </xf>
    <xf numFmtId="44" fontId="12" fillId="7" borderId="20" xfId="1" applyFont="1" applyFill="1" applyBorder="1" applyAlignment="1"/>
    <xf numFmtId="44" fontId="7" fillId="11" borderId="19" xfId="1" applyFont="1" applyFill="1" applyBorder="1" applyAlignment="1">
      <alignment horizontal="center" wrapText="1"/>
    </xf>
    <xf numFmtId="44" fontId="7" fillId="10" borderId="26" xfId="1" applyFont="1" applyFill="1" applyBorder="1" applyAlignment="1">
      <alignment horizontal="center" vertical="center" wrapText="1" readingOrder="1"/>
    </xf>
    <xf numFmtId="44" fontId="7" fillId="10" borderId="27" xfId="1" applyFont="1" applyFill="1" applyBorder="1" applyAlignment="1">
      <alignment horizontal="center" vertical="center" wrapText="1" readingOrder="1"/>
    </xf>
    <xf numFmtId="44" fontId="10" fillId="12" borderId="26" xfId="1" applyFont="1" applyFill="1" applyBorder="1" applyAlignment="1">
      <alignment horizontal="center" vertical="center" wrapText="1" readingOrder="1"/>
    </xf>
    <xf numFmtId="44" fontId="10" fillId="12" borderId="6" xfId="1" applyFont="1" applyFill="1" applyBorder="1" applyAlignment="1">
      <alignment horizontal="center" vertical="center" wrapText="1" readingOrder="1"/>
    </xf>
    <xf numFmtId="5" fontId="7" fillId="6" borderId="5" xfId="0" applyNumberFormat="1" applyFont="1" applyFill="1" applyBorder="1" applyAlignment="1">
      <alignment horizontal="center" vertical="center"/>
    </xf>
    <xf numFmtId="0" fontId="15" fillId="0" borderId="5" xfId="0" applyFont="1" applyBorder="1" applyAlignment="1">
      <alignment horizontal="center" vertical="center"/>
    </xf>
    <xf numFmtId="0" fontId="24" fillId="0" borderId="15"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16" xfId="0" applyFont="1" applyBorder="1" applyAlignment="1">
      <alignment horizontal="center" vertical="center" wrapText="1"/>
    </xf>
    <xf numFmtId="0" fontId="6" fillId="0" borderId="0" xfId="0" applyFont="1" applyAlignment="1">
      <alignment horizontal="center" vertical="center"/>
    </xf>
    <xf numFmtId="166" fontId="18" fillId="16" borderId="19" xfId="1" applyNumberFormat="1" applyFont="1" applyFill="1" applyBorder="1" applyAlignment="1">
      <alignment horizontal="center" vertical="center" wrapText="1" readingOrder="1"/>
    </xf>
    <xf numFmtId="166" fontId="19" fillId="0" borderId="20" xfId="1" applyNumberFormat="1" applyFont="1" applyBorder="1" applyAlignment="1"/>
    <xf numFmtId="166" fontId="22" fillId="16" borderId="19" xfId="1" applyNumberFormat="1" applyFont="1" applyFill="1" applyBorder="1" applyAlignment="1">
      <alignment horizontal="center" vertical="center" wrapText="1" readingOrder="1"/>
    </xf>
    <xf numFmtId="5" fontId="18" fillId="16" borderId="19" xfId="0" applyNumberFormat="1" applyFont="1" applyFill="1" applyBorder="1" applyAlignment="1">
      <alignment horizontal="center" vertical="center" wrapText="1" readingOrder="1"/>
    </xf>
    <xf numFmtId="0" fontId="19" fillId="0" borderId="20" xfId="0" applyFont="1" applyBorder="1" applyAlignment="1"/>
    <xf numFmtId="166" fontId="20" fillId="17" borderId="19" xfId="1" applyNumberFormat="1" applyFont="1" applyFill="1" applyBorder="1" applyAlignment="1">
      <alignment horizontal="center" vertical="center" wrapText="1" readingOrder="1"/>
    </xf>
    <xf numFmtId="5" fontId="20" fillId="17" borderId="19" xfId="0" applyNumberFormat="1" applyFont="1" applyFill="1" applyBorder="1" applyAlignment="1">
      <alignment horizontal="center" vertical="center" wrapText="1" readingOrder="1"/>
    </xf>
    <xf numFmtId="164" fontId="3" fillId="7" borderId="26" xfId="1" applyNumberFormat="1" applyFont="1" applyFill="1" applyBorder="1" applyAlignment="1">
      <alignment horizontal="center" vertical="center" wrapText="1"/>
    </xf>
    <xf numFmtId="164" fontId="3" fillId="7" borderId="6" xfId="1" applyNumberFormat="1" applyFont="1" applyFill="1" applyBorder="1" applyAlignment="1">
      <alignment horizontal="center" vertical="center" wrapText="1"/>
    </xf>
    <xf numFmtId="164" fontId="10" fillId="13" borderId="2" xfId="1" applyNumberFormat="1" applyFont="1" applyFill="1" applyBorder="1" applyAlignment="1">
      <alignment horizontal="center" vertical="center" wrapText="1"/>
    </xf>
    <xf numFmtId="164" fontId="10" fillId="13" borderId="6" xfId="1" applyNumberFormat="1" applyFont="1" applyFill="1" applyBorder="1" applyAlignment="1">
      <alignment horizontal="center" vertical="center" wrapText="1"/>
    </xf>
    <xf numFmtId="164" fontId="3" fillId="7" borderId="2" xfId="1" applyNumberFormat="1" applyFont="1" applyFill="1" applyBorder="1" applyAlignment="1">
      <alignment horizontal="center" vertical="center" wrapText="1"/>
    </xf>
    <xf numFmtId="0" fontId="5" fillId="0" borderId="1" xfId="0" applyFont="1" applyBorder="1" applyAlignment="1">
      <alignment horizontal="center" vertical="center" wrapText="1"/>
    </xf>
    <xf numFmtId="166" fontId="20" fillId="10" borderId="19" xfId="1" applyNumberFormat="1" applyFont="1" applyFill="1" applyBorder="1" applyAlignment="1">
      <alignment horizontal="center" vertical="center" wrapText="1" readingOrder="1"/>
    </xf>
    <xf numFmtId="166" fontId="28" fillId="7" borderId="20" xfId="1" applyNumberFormat="1" applyFont="1" applyFill="1" applyBorder="1" applyAlignment="1"/>
    <xf numFmtId="166" fontId="22" fillId="21" borderId="19" xfId="1" applyNumberFormat="1" applyFont="1" applyFill="1" applyBorder="1" applyAlignment="1">
      <alignment horizontal="center" vertical="center" wrapText="1" readingOrder="1"/>
    </xf>
    <xf numFmtId="166" fontId="29" fillId="20" borderId="20" xfId="1" applyNumberFormat="1" applyFont="1" applyFill="1" applyBorder="1" applyAlignment="1"/>
    <xf numFmtId="5" fontId="22" fillId="21" borderId="19" xfId="0" applyNumberFormat="1" applyFont="1" applyFill="1" applyBorder="1" applyAlignment="1">
      <alignment horizontal="center" vertical="center" wrapText="1" readingOrder="1"/>
    </xf>
    <xf numFmtId="0" fontId="29" fillId="20" borderId="20" xfId="0" applyFont="1" applyFill="1" applyBorder="1" applyAlignment="1"/>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5" fontId="7" fillId="6" borderId="2" xfId="0" applyNumberFormat="1" applyFont="1" applyFill="1" applyBorder="1" applyAlignment="1">
      <alignment horizontal="center" vertical="center"/>
    </xf>
    <xf numFmtId="5" fontId="7" fillId="6" borderId="7" xfId="0" applyNumberFormat="1" applyFont="1" applyFill="1" applyBorder="1" applyAlignment="1">
      <alignment horizontal="center" vertical="center"/>
    </xf>
    <xf numFmtId="5" fontId="7" fillId="6" borderId="6" xfId="0" applyNumberFormat="1" applyFont="1" applyFill="1" applyBorder="1" applyAlignment="1">
      <alignment horizontal="center" vertical="center"/>
    </xf>
    <xf numFmtId="0" fontId="3" fillId="2" borderId="5" xfId="0" applyFont="1" applyFill="1" applyBorder="1" applyAlignment="1">
      <alignment horizontal="center" vertical="center" wrapText="1"/>
    </xf>
    <xf numFmtId="0" fontId="3" fillId="2" borderId="5" xfId="0" applyFont="1" applyFill="1" applyBorder="1" applyAlignment="1">
      <alignment horizontal="center" vertical="center"/>
    </xf>
  </cellXfs>
  <cellStyles count="5">
    <cellStyle name="Millares [0]" xfId="3" builtinId="6"/>
    <cellStyle name="Moneda" xfId="1" builtinId="4"/>
    <cellStyle name="Normal" xfId="0" builtinId="0"/>
    <cellStyle name="Normal 2" xfId="4" xr:uid="{A4CCE6D4-371E-43BE-AE61-045DC0E20497}"/>
    <cellStyle name="Porcentaje" xfId="2" builtinId="5"/>
  </cellStyles>
  <dxfs count="0"/>
  <tableStyles count="0" defaultTableStyle="TableStyleMedium2" defaultPivotStyle="PivotStyleLight16"/>
  <colors>
    <mruColors>
      <color rgb="FFC1EE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15</xdr:col>
      <xdr:colOff>1916609</xdr:colOff>
      <xdr:row>0</xdr:row>
      <xdr:rowOff>0</xdr:rowOff>
    </xdr:from>
    <xdr:ext cx="911678" cy="972594"/>
    <xdr:pic>
      <xdr:nvPicPr>
        <xdr:cNvPr id="4" name="Imagen 3" descr="C:\Users\daniel.rubiano\AppData\Local\Microsoft\Windows\INetCache\Content.Word\logos_alcaldias_Mesa de trabajo 1 copia 10.png">
          <a:extLst>
            <a:ext uri="{FF2B5EF4-FFF2-40B4-BE49-F238E27FC236}">
              <a16:creationId xmlns:a16="http://schemas.microsoft.com/office/drawing/2014/main" id="{F6AAE937-7FFB-4EC7-96C5-BE406E65ECFB}"/>
            </a:ext>
          </a:extLst>
        </xdr:cNvPr>
        <xdr:cNvPicPr/>
      </xdr:nvPicPr>
      <xdr:blipFill>
        <a:blip xmlns:r="http://schemas.openxmlformats.org/officeDocument/2006/relationships" r:embed="rId1">
          <a:grayscl/>
        </a:blip>
        <a:srcRect/>
        <a:stretch>
          <a:fillRect/>
        </a:stretch>
      </xdr:blipFill>
      <xdr:spPr>
        <a:xfrm>
          <a:off x="58013634" y="0"/>
          <a:ext cx="911678" cy="972594"/>
        </a:xfrm>
        <a:prstGeom prst="rect">
          <a:avLst/>
        </a:prstGeom>
        <a:noFill/>
        <a:ln>
          <a:noFill/>
          <a:prstDash/>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21</xdr:col>
      <xdr:colOff>2288627</xdr:colOff>
      <xdr:row>0</xdr:row>
      <xdr:rowOff>0</xdr:rowOff>
    </xdr:from>
    <xdr:ext cx="911678" cy="816428"/>
    <xdr:pic>
      <xdr:nvPicPr>
        <xdr:cNvPr id="2" name="Imagen 2" descr="C:\Users\daniel.rubiano\AppData\Local\Microsoft\Windows\INetCache\Content.Word\logos_alcaldias_Mesa de trabajo 1 copia 10.png">
          <a:extLst>
            <a:ext uri="{FF2B5EF4-FFF2-40B4-BE49-F238E27FC236}">
              <a16:creationId xmlns:a16="http://schemas.microsoft.com/office/drawing/2014/main" id="{A6098D2D-237B-46FF-A759-20D25F8479ED}"/>
            </a:ext>
          </a:extLst>
        </xdr:cNvPr>
        <xdr:cNvPicPr/>
      </xdr:nvPicPr>
      <xdr:blipFill>
        <a:blip xmlns:r="http://schemas.openxmlformats.org/officeDocument/2006/relationships" r:embed="rId1">
          <a:grayscl/>
        </a:blip>
        <a:srcRect/>
        <a:stretch>
          <a:fillRect/>
        </a:stretch>
      </xdr:blipFill>
      <xdr:spPr>
        <a:xfrm>
          <a:off x="19500302" y="0"/>
          <a:ext cx="911678" cy="816428"/>
        </a:xfrm>
        <a:prstGeom prst="rect">
          <a:avLst/>
        </a:prstGeom>
        <a:noFill/>
        <a:ln>
          <a:noFill/>
          <a:prstDash/>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17</xdr:col>
      <xdr:colOff>2288627</xdr:colOff>
      <xdr:row>0</xdr:row>
      <xdr:rowOff>0</xdr:rowOff>
    </xdr:from>
    <xdr:ext cx="911678" cy="816428"/>
    <xdr:pic>
      <xdr:nvPicPr>
        <xdr:cNvPr id="3" name="Imagen 2" descr="C:\Users\daniel.rubiano\AppData\Local\Microsoft\Windows\INetCache\Content.Word\logos_alcaldias_Mesa de trabajo 1 copia 10.png">
          <a:extLst>
            <a:ext uri="{FF2B5EF4-FFF2-40B4-BE49-F238E27FC236}">
              <a16:creationId xmlns:a16="http://schemas.microsoft.com/office/drawing/2014/main" id="{1C2B0B16-EDA6-4AAA-89E6-C9FCA3E641AE}"/>
            </a:ext>
          </a:extLst>
        </xdr:cNvPr>
        <xdr:cNvPicPr/>
      </xdr:nvPicPr>
      <xdr:blipFill>
        <a:blip xmlns:r="http://schemas.openxmlformats.org/officeDocument/2006/relationships" r:embed="rId1">
          <a:grayscl/>
        </a:blip>
        <a:srcRect/>
        <a:stretch>
          <a:fillRect/>
        </a:stretch>
      </xdr:blipFill>
      <xdr:spPr>
        <a:xfrm>
          <a:off x="21438890" y="0"/>
          <a:ext cx="911678" cy="816428"/>
        </a:xfrm>
        <a:prstGeom prst="rect">
          <a:avLst/>
        </a:prstGeom>
        <a:noFill/>
        <a:ln>
          <a:noFill/>
          <a:prstDash/>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4</xdr:col>
      <xdr:colOff>462643</xdr:colOff>
      <xdr:row>0</xdr:row>
      <xdr:rowOff>0</xdr:rowOff>
    </xdr:from>
    <xdr:ext cx="911678" cy="816428"/>
    <xdr:pic>
      <xdr:nvPicPr>
        <xdr:cNvPr id="3" name="Imagen 2" descr="C:\Users\daniel.rubiano\AppData\Local\Microsoft\Windows\INetCache\Content.Word\logos_alcaldias_Mesa de trabajo 1 copia 10.png">
          <a:extLst>
            <a:ext uri="{FF2B5EF4-FFF2-40B4-BE49-F238E27FC236}">
              <a16:creationId xmlns:a16="http://schemas.microsoft.com/office/drawing/2014/main" id="{C23FEBA6-4E98-430F-981F-32D11C7316BF}"/>
            </a:ext>
          </a:extLst>
        </xdr:cNvPr>
        <xdr:cNvPicPr/>
      </xdr:nvPicPr>
      <xdr:blipFill>
        <a:blip xmlns:r="http://schemas.openxmlformats.org/officeDocument/2006/relationships" r:embed="rId1">
          <a:grayscl/>
        </a:blip>
        <a:srcRect/>
        <a:stretch>
          <a:fillRect/>
        </a:stretch>
      </xdr:blipFill>
      <xdr:spPr>
        <a:xfrm>
          <a:off x="11879036" y="0"/>
          <a:ext cx="911678" cy="816428"/>
        </a:xfrm>
        <a:prstGeom prst="rect">
          <a:avLst/>
        </a:prstGeom>
        <a:noFill/>
        <a:ln>
          <a:noFill/>
          <a:prstDash/>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B367"/>
  <sheetViews>
    <sheetView tabSelected="1" zoomScale="43" zoomScaleNormal="55" zoomScaleSheetLayoutView="80" workbookViewId="0">
      <selection activeCell="AL26" sqref="AL26"/>
    </sheetView>
  </sheetViews>
  <sheetFormatPr baseColWidth="10" defaultColWidth="9.33203125" defaultRowHeight="18.75"/>
  <cols>
    <col min="1" max="1" width="22.83203125" style="4" customWidth="1"/>
    <col min="2" max="2" width="30.6640625" style="10" customWidth="1"/>
    <col min="3" max="3" width="48.33203125" style="5" customWidth="1"/>
    <col min="4" max="4" width="115.6640625" style="5" customWidth="1"/>
    <col min="5" max="5" width="21.33203125" style="5" customWidth="1"/>
    <col min="6" max="6" width="19.6640625" style="5" customWidth="1"/>
    <col min="7" max="7" width="32.5" style="5" customWidth="1"/>
    <col min="8" max="9" width="36.1640625" style="15" customWidth="1"/>
    <col min="10" max="26" width="36.1640625" style="12" customWidth="1"/>
    <col min="27" max="34" width="36.1640625" style="15" customWidth="1"/>
    <col min="35" max="35" width="36.1640625" style="13" customWidth="1"/>
    <col min="36" max="39" width="36.1640625" style="15" customWidth="1"/>
    <col min="40" max="40" width="105.33203125" style="10" customWidth="1"/>
    <col min="41" max="41" width="33.5" style="5" customWidth="1"/>
    <col min="42" max="42" width="55.1640625" style="5" customWidth="1"/>
    <col min="43" max="16384" width="9.33203125" style="5"/>
  </cols>
  <sheetData>
    <row r="1" spans="1:40" s="11" customFormat="1" ht="82.5" customHeight="1">
      <c r="A1" s="188" t="s">
        <v>0</v>
      </c>
      <c r="B1" s="188"/>
      <c r="C1" s="188"/>
      <c r="D1" s="188"/>
      <c r="E1" s="188"/>
      <c r="F1" s="188"/>
      <c r="G1" s="188"/>
      <c r="H1" s="188"/>
      <c r="I1" s="188"/>
      <c r="J1" s="188"/>
      <c r="K1" s="188"/>
      <c r="L1" s="188"/>
      <c r="M1" s="188"/>
      <c r="N1" s="188"/>
      <c r="O1" s="188"/>
      <c r="P1" s="188"/>
      <c r="Q1" s="188"/>
      <c r="R1" s="188"/>
      <c r="S1" s="188"/>
      <c r="T1" s="188"/>
      <c r="U1" s="188"/>
      <c r="V1" s="188"/>
      <c r="W1" s="188"/>
      <c r="X1" s="188"/>
      <c r="Y1" s="188"/>
      <c r="Z1" s="188"/>
      <c r="AA1" s="188"/>
      <c r="AB1" s="188"/>
      <c r="AC1" s="188"/>
      <c r="AD1" s="188"/>
      <c r="AE1" s="188"/>
      <c r="AF1" s="188"/>
      <c r="AG1" s="188"/>
      <c r="AH1" s="188"/>
      <c r="AI1" s="188"/>
      <c r="AJ1" s="188"/>
      <c r="AK1" s="188"/>
      <c r="AL1" s="188"/>
      <c r="AM1" s="188"/>
      <c r="AN1" s="188"/>
    </row>
    <row r="2" spans="1:40" ht="43.9" customHeight="1">
      <c r="A2" s="191" t="s">
        <v>1</v>
      </c>
      <c r="B2" s="192"/>
      <c r="C2" s="192"/>
      <c r="D2" s="192"/>
      <c r="E2" s="192"/>
      <c r="F2" s="192"/>
      <c r="G2" s="192"/>
      <c r="H2" s="192"/>
      <c r="I2" s="192"/>
      <c r="J2" s="192"/>
      <c r="K2" s="192"/>
      <c r="L2" s="192"/>
      <c r="M2" s="192"/>
      <c r="N2" s="192"/>
      <c r="O2" s="192"/>
      <c r="P2" s="192"/>
      <c r="Q2" s="192"/>
      <c r="R2" s="192"/>
      <c r="S2" s="192"/>
      <c r="T2" s="192"/>
      <c r="U2" s="192"/>
      <c r="V2" s="192"/>
      <c r="W2" s="192"/>
      <c r="X2" s="192"/>
      <c r="Y2" s="192"/>
      <c r="Z2" s="192"/>
      <c r="AA2" s="192"/>
      <c r="AB2" s="192"/>
      <c r="AC2" s="192"/>
      <c r="AD2" s="192"/>
      <c r="AE2" s="192"/>
      <c r="AF2" s="192"/>
      <c r="AG2" s="192"/>
      <c r="AH2" s="192"/>
      <c r="AI2" s="192"/>
      <c r="AJ2" s="192"/>
      <c r="AK2" s="192"/>
      <c r="AL2" s="192"/>
      <c r="AM2" s="192"/>
      <c r="AN2" s="192"/>
    </row>
    <row r="3" spans="1:40" ht="28.5" customHeight="1">
      <c r="A3" s="193" t="s">
        <v>2</v>
      </c>
      <c r="B3" s="194"/>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5"/>
    </row>
    <row r="4" spans="1:40" ht="79.150000000000006" customHeight="1">
      <c r="A4" s="189" t="s">
        <v>3</v>
      </c>
      <c r="B4" s="190"/>
      <c r="C4" s="190"/>
      <c r="D4" s="190"/>
      <c r="E4" s="190"/>
      <c r="F4" s="190"/>
      <c r="G4" s="190"/>
      <c r="H4" s="145" t="s">
        <v>4</v>
      </c>
      <c r="I4" s="146" t="s">
        <v>5</v>
      </c>
      <c r="J4" s="199" t="s">
        <v>6</v>
      </c>
      <c r="K4" s="200"/>
      <c r="L4" s="27" t="s">
        <v>7</v>
      </c>
      <c r="M4" s="28" t="s">
        <v>8</v>
      </c>
      <c r="N4" s="201" t="s">
        <v>9</v>
      </c>
      <c r="O4" s="184"/>
      <c r="P4" s="202" t="s">
        <v>10</v>
      </c>
      <c r="Q4" s="203"/>
      <c r="R4" s="29" t="s">
        <v>11</v>
      </c>
      <c r="S4" s="204" t="s">
        <v>12</v>
      </c>
      <c r="T4" s="203"/>
      <c r="U4" s="183" t="s">
        <v>13</v>
      </c>
      <c r="V4" s="184"/>
      <c r="W4" s="205" t="s">
        <v>14</v>
      </c>
      <c r="X4" s="206"/>
      <c r="Y4" s="207" t="s">
        <v>15</v>
      </c>
      <c r="Z4" s="208"/>
      <c r="AA4" s="16" t="s">
        <v>16</v>
      </c>
      <c r="AB4" s="26" t="s">
        <v>17</v>
      </c>
      <c r="AC4" s="17" t="s">
        <v>18</v>
      </c>
      <c r="AD4" s="147" t="s">
        <v>19</v>
      </c>
      <c r="AE4" s="144" t="s">
        <v>20</v>
      </c>
      <c r="AF4" s="196" t="s">
        <v>21</v>
      </c>
      <c r="AG4" s="197"/>
      <c r="AH4" s="197"/>
      <c r="AI4" s="197"/>
      <c r="AJ4" s="197"/>
      <c r="AK4" s="197"/>
      <c r="AL4" s="197"/>
      <c r="AM4" s="197"/>
      <c r="AN4" s="198"/>
    </row>
    <row r="5" spans="1:40" ht="81.95" customHeight="1">
      <c r="A5" s="1" t="s">
        <v>22</v>
      </c>
      <c r="B5" s="1" t="s">
        <v>23</v>
      </c>
      <c r="C5" s="1" t="s">
        <v>24</v>
      </c>
      <c r="D5" s="1" t="s">
        <v>25</v>
      </c>
      <c r="E5" s="1" t="s">
        <v>26</v>
      </c>
      <c r="F5" s="1" t="s">
        <v>27</v>
      </c>
      <c r="G5" s="1" t="s">
        <v>28</v>
      </c>
      <c r="H5" s="14" t="s">
        <v>29</v>
      </c>
      <c r="I5" s="14" t="s">
        <v>29</v>
      </c>
      <c r="J5" s="14" t="s">
        <v>29</v>
      </c>
      <c r="K5" s="30" t="s">
        <v>30</v>
      </c>
      <c r="L5" s="14" t="s">
        <v>29</v>
      </c>
      <c r="M5" s="14" t="s">
        <v>29</v>
      </c>
      <c r="N5" s="14" t="s">
        <v>29</v>
      </c>
      <c r="O5" s="31" t="s">
        <v>31</v>
      </c>
      <c r="P5" s="14" t="s">
        <v>29</v>
      </c>
      <c r="Q5" s="31" t="s">
        <v>31</v>
      </c>
      <c r="R5" s="14" t="s">
        <v>29</v>
      </c>
      <c r="S5" s="14" t="s">
        <v>29</v>
      </c>
      <c r="T5" s="30" t="s">
        <v>30</v>
      </c>
      <c r="U5" s="14" t="s">
        <v>29</v>
      </c>
      <c r="V5" s="30" t="s">
        <v>30</v>
      </c>
      <c r="W5" s="14" t="s">
        <v>29</v>
      </c>
      <c r="X5" s="30" t="s">
        <v>30</v>
      </c>
      <c r="Y5" s="14" t="s">
        <v>29</v>
      </c>
      <c r="Z5" s="30" t="s">
        <v>30</v>
      </c>
      <c r="AA5" s="14" t="s">
        <v>29</v>
      </c>
      <c r="AB5" s="14" t="s">
        <v>29</v>
      </c>
      <c r="AC5" s="18" t="s">
        <v>29</v>
      </c>
      <c r="AD5" s="18" t="s">
        <v>29</v>
      </c>
      <c r="AE5" s="18" t="s">
        <v>29</v>
      </c>
      <c r="AF5" s="148" t="s">
        <v>32</v>
      </c>
      <c r="AG5" s="149" t="s">
        <v>33</v>
      </c>
      <c r="AH5" s="149" t="s">
        <v>34</v>
      </c>
      <c r="AI5" s="32" t="s">
        <v>35</v>
      </c>
      <c r="AJ5" s="123" t="s">
        <v>36</v>
      </c>
      <c r="AK5" s="123" t="s">
        <v>37</v>
      </c>
      <c r="AL5" s="123" t="s">
        <v>38</v>
      </c>
      <c r="AM5" s="123" t="s">
        <v>39</v>
      </c>
      <c r="AN5" s="33" t="s">
        <v>40</v>
      </c>
    </row>
    <row r="6" spans="1:40" ht="100.5" customHeight="1">
      <c r="A6" s="2">
        <v>1</v>
      </c>
      <c r="B6" s="2" t="s">
        <v>41</v>
      </c>
      <c r="C6" s="2" t="s">
        <v>42</v>
      </c>
      <c r="D6" s="75" t="s">
        <v>43</v>
      </c>
      <c r="E6" s="2" t="s">
        <v>44</v>
      </c>
      <c r="F6" s="3">
        <v>200</v>
      </c>
      <c r="G6" s="2">
        <v>1</v>
      </c>
      <c r="H6" s="119"/>
      <c r="I6" s="119"/>
      <c r="J6" s="42"/>
      <c r="K6" s="42"/>
      <c r="L6" s="42"/>
      <c r="M6" s="42"/>
      <c r="N6" s="42"/>
      <c r="O6" s="42"/>
      <c r="P6" s="42"/>
      <c r="Q6" s="42"/>
      <c r="R6" s="42"/>
      <c r="S6" s="42"/>
      <c r="T6" s="42"/>
      <c r="U6" s="42"/>
      <c r="V6" s="42"/>
      <c r="W6" s="42"/>
      <c r="X6" s="42"/>
      <c r="Y6" s="42"/>
      <c r="Z6" s="42"/>
      <c r="AA6" s="76">
        <v>2500</v>
      </c>
      <c r="AB6" s="76">
        <v>3570</v>
      </c>
      <c r="AC6" s="43">
        <v>3732</v>
      </c>
      <c r="AD6" s="43"/>
      <c r="AE6" s="43">
        <v>2142</v>
      </c>
      <c r="AF6" s="43">
        <f>MEDIAN(H6,I6,K6,L6,M6,O6,Q6,R6,T6,V6,X6,Z6,AA6,AB6,AC6,AD6,AE6)</f>
        <v>3035</v>
      </c>
      <c r="AG6" s="43">
        <f>AVERAGE(H6,I6,K6,L6,M6,O6,Q6,R6,T6,V6,X6,Z6,AA6,AB6,AC6,AD6,AE6)</f>
        <v>2986</v>
      </c>
      <c r="AH6" s="43">
        <f>+STDEV(H6,I6,K6,L6,M6,O6,Q6,R6,T6,V6,X6,Z6,AA6,AB6,AC6,AD6,AE6)</f>
        <v>784.4539502099534</v>
      </c>
      <c r="AI6" s="44">
        <f>AH6/AG6</f>
        <v>0.26271063302409692</v>
      </c>
      <c r="AJ6" s="43">
        <f>AL6/1.19</f>
        <v>2550.4201680672272</v>
      </c>
      <c r="AK6" s="43">
        <f>AJ6*19%</f>
        <v>484.57983193277317</v>
      </c>
      <c r="AL6" s="43">
        <f>ROUNDUP(IF(AI6&lt;15%,AG6,AF6),0)</f>
        <v>3035</v>
      </c>
      <c r="AM6" s="43">
        <f t="shared" ref="AM6:AM23" si="0">AL6*F6*G6</f>
        <v>607000</v>
      </c>
      <c r="AN6" s="127" t="s">
        <v>45</v>
      </c>
    </row>
    <row r="7" spans="1:40" s="97" customFormat="1" ht="97.5" customHeight="1">
      <c r="A7" s="90">
        <v>2</v>
      </c>
      <c r="B7" s="90" t="s">
        <v>41</v>
      </c>
      <c r="C7" s="98" t="s">
        <v>46</v>
      </c>
      <c r="D7" s="99" t="s">
        <v>47</v>
      </c>
      <c r="E7" s="90" t="s">
        <v>48</v>
      </c>
      <c r="F7" s="93">
        <v>5</v>
      </c>
      <c r="G7" s="90">
        <v>1</v>
      </c>
      <c r="H7" s="120"/>
      <c r="I7" s="120"/>
      <c r="J7" s="94">
        <v>650000</v>
      </c>
      <c r="K7" s="94">
        <f>+(J7*5.1%)+J7</f>
        <v>683150</v>
      </c>
      <c r="L7" s="94">
        <v>665000</v>
      </c>
      <c r="M7" s="94">
        <v>670000</v>
      </c>
      <c r="N7" s="94"/>
      <c r="O7" s="94"/>
      <c r="P7" s="94"/>
      <c r="Q7" s="94"/>
      <c r="R7" s="94"/>
      <c r="S7" s="94"/>
      <c r="T7" s="94"/>
      <c r="U7" s="94"/>
      <c r="V7" s="94"/>
      <c r="W7" s="94"/>
      <c r="X7" s="94"/>
      <c r="Y7" s="94"/>
      <c r="Z7" s="94"/>
      <c r="AA7" s="95"/>
      <c r="AB7" s="95"/>
      <c r="AC7" s="95"/>
      <c r="AD7" s="95"/>
      <c r="AE7" s="95"/>
      <c r="AF7" s="95">
        <f>MEDIAN(H7,I7,K7,L7,M7,O7,Q7,R7,T7,V7,X7,Z7,AA7,AB7,AC7,AD7,AE7)</f>
        <v>670000</v>
      </c>
      <c r="AG7" s="95">
        <f>AVERAGE(H7,I7,K7,L7,M7,O7,Q7,R7,T7,V7,X7,Z7,AA7,AB7,AC7,AD7,AE7)</f>
        <v>672716.66666666663</v>
      </c>
      <c r="AH7" s="95">
        <f>+STDEV(H7,I7,K7,L7,M7,O7,Q7,R7,T7,V7,X7,Z7,AA7,AB7,AC7,AD7,AE7)</f>
        <v>9375.0111111045262</v>
      </c>
      <c r="AI7" s="96">
        <f>AH7/AG7</f>
        <v>1.3936047039770869E-2</v>
      </c>
      <c r="AJ7" s="95">
        <v>672717</v>
      </c>
      <c r="AK7" s="95"/>
      <c r="AL7" s="95">
        <v>672717</v>
      </c>
      <c r="AM7" s="95">
        <f t="shared" si="0"/>
        <v>3363585</v>
      </c>
      <c r="AN7" s="128" t="s">
        <v>49</v>
      </c>
    </row>
    <row r="8" spans="1:40" s="97" customFormat="1" ht="81.75" customHeight="1">
      <c r="A8" s="2">
        <v>3</v>
      </c>
      <c r="B8" s="38" t="s">
        <v>50</v>
      </c>
      <c r="C8" s="100" t="s">
        <v>51</v>
      </c>
      <c r="D8" s="101" t="s">
        <v>52</v>
      </c>
      <c r="E8" s="100" t="s">
        <v>53</v>
      </c>
      <c r="F8" s="102">
        <v>1</v>
      </c>
      <c r="G8" s="93">
        <v>1</v>
      </c>
      <c r="H8" s="121">
        <f>2146001+((12/24)*(3095000-2146001))</f>
        <v>2620500.5</v>
      </c>
      <c r="I8" s="121"/>
      <c r="J8" s="94"/>
      <c r="K8" s="94"/>
      <c r="L8" s="94"/>
      <c r="M8" s="94"/>
      <c r="N8" s="94"/>
      <c r="O8" s="94"/>
      <c r="P8" s="94"/>
      <c r="Q8" s="94"/>
      <c r="R8" s="94"/>
      <c r="S8" s="94"/>
      <c r="T8" s="94"/>
      <c r="U8" s="94"/>
      <c r="V8" s="94"/>
      <c r="W8" s="94"/>
      <c r="X8" s="94"/>
      <c r="Y8" s="94"/>
      <c r="Z8" s="94"/>
      <c r="AA8" s="95"/>
      <c r="AB8" s="95"/>
      <c r="AC8" s="95"/>
      <c r="AD8" s="95"/>
      <c r="AE8" s="95"/>
      <c r="AF8" s="43"/>
      <c r="AG8" s="43"/>
      <c r="AH8" s="43"/>
      <c r="AI8" s="44"/>
      <c r="AJ8" s="95">
        <f t="shared" ref="AJ8:AJ17" si="1">AL8/1.19</f>
        <v>2202101.260504202</v>
      </c>
      <c r="AK8" s="95">
        <f t="shared" ref="AK8:AK17" si="2">AJ8*19%</f>
        <v>418399.23949579836</v>
      </c>
      <c r="AL8" s="95">
        <f t="shared" ref="AL8:AL14" si="3">+H8</f>
        <v>2620500.5</v>
      </c>
      <c r="AM8" s="43">
        <f t="shared" si="0"/>
        <v>2620500.5</v>
      </c>
      <c r="AN8" s="129" t="s">
        <v>54</v>
      </c>
    </row>
    <row r="9" spans="1:40" s="97" customFormat="1" ht="234" customHeight="1">
      <c r="A9" s="90">
        <v>4</v>
      </c>
      <c r="B9" s="90" t="s">
        <v>55</v>
      </c>
      <c r="C9" s="100" t="s">
        <v>56</v>
      </c>
      <c r="D9" s="101" t="s">
        <v>57</v>
      </c>
      <c r="E9" s="100" t="s">
        <v>53</v>
      </c>
      <c r="F9" s="93">
        <v>1</v>
      </c>
      <c r="G9" s="93">
        <v>8</v>
      </c>
      <c r="H9" s="176">
        <v>7996001</v>
      </c>
      <c r="I9" s="121"/>
      <c r="J9" s="94"/>
      <c r="K9" s="94"/>
      <c r="L9" s="94"/>
      <c r="M9" s="94"/>
      <c r="N9" s="94"/>
      <c r="O9" s="94"/>
      <c r="P9" s="94"/>
      <c r="Q9" s="94"/>
      <c r="R9" s="94"/>
      <c r="S9" s="94"/>
      <c r="T9" s="94"/>
      <c r="U9" s="94"/>
      <c r="V9" s="94"/>
      <c r="W9" s="94"/>
      <c r="X9" s="94"/>
      <c r="Y9" s="94"/>
      <c r="Z9" s="94"/>
      <c r="AA9" s="95"/>
      <c r="AB9" s="95"/>
      <c r="AC9" s="95"/>
      <c r="AD9" s="95"/>
      <c r="AE9" s="95"/>
      <c r="AF9" s="95"/>
      <c r="AG9" s="95"/>
      <c r="AH9" s="95"/>
      <c r="AI9" s="96"/>
      <c r="AJ9" s="95">
        <f t="shared" si="1"/>
        <v>6719328.5714285718</v>
      </c>
      <c r="AK9" s="95">
        <f t="shared" si="2"/>
        <v>1276672.4285714286</v>
      </c>
      <c r="AL9" s="95">
        <v>7996001</v>
      </c>
      <c r="AM9" s="95">
        <f t="shared" si="0"/>
        <v>63968008</v>
      </c>
      <c r="AN9" s="162" t="s">
        <v>54</v>
      </c>
    </row>
    <row r="10" spans="1:40" s="97" customFormat="1" ht="166.5" customHeight="1">
      <c r="A10" s="2">
        <v>5</v>
      </c>
      <c r="B10" s="90" t="s">
        <v>55</v>
      </c>
      <c r="C10" s="100" t="s">
        <v>58</v>
      </c>
      <c r="D10" s="101" t="s">
        <v>59</v>
      </c>
      <c r="E10" s="100" t="s">
        <v>53</v>
      </c>
      <c r="F10" s="93">
        <v>1</v>
      </c>
      <c r="G10" s="93">
        <v>7</v>
      </c>
      <c r="H10" s="177">
        <v>5860001</v>
      </c>
      <c r="I10" s="163"/>
      <c r="J10" s="94"/>
      <c r="K10" s="94"/>
      <c r="L10" s="94"/>
      <c r="M10" s="94"/>
      <c r="N10" s="94"/>
      <c r="O10" s="94"/>
      <c r="P10" s="94"/>
      <c r="Q10" s="94"/>
      <c r="R10" s="94"/>
      <c r="S10" s="94"/>
      <c r="T10" s="94"/>
      <c r="U10" s="94"/>
      <c r="V10" s="94"/>
      <c r="W10" s="94"/>
      <c r="X10" s="94"/>
      <c r="Y10" s="94"/>
      <c r="Z10" s="94"/>
      <c r="AA10" s="95"/>
      <c r="AB10" s="95"/>
      <c r="AC10" s="95"/>
      <c r="AD10" s="95"/>
      <c r="AE10" s="95"/>
      <c r="AF10" s="95"/>
      <c r="AG10" s="95"/>
      <c r="AH10" s="95"/>
      <c r="AI10" s="96"/>
      <c r="AJ10" s="95">
        <f t="shared" si="1"/>
        <v>4924370.5882352944</v>
      </c>
      <c r="AK10" s="95">
        <f t="shared" si="2"/>
        <v>935630.4117647059</v>
      </c>
      <c r="AL10" s="95">
        <v>5860001</v>
      </c>
      <c r="AM10" s="95">
        <f t="shared" si="0"/>
        <v>41020007</v>
      </c>
      <c r="AN10" s="162" t="s">
        <v>54</v>
      </c>
    </row>
    <row r="11" spans="1:40" s="97" customFormat="1" ht="166.5" customHeight="1">
      <c r="A11" s="90">
        <v>6</v>
      </c>
      <c r="B11" s="90" t="s">
        <v>55</v>
      </c>
      <c r="C11" s="100" t="s">
        <v>60</v>
      </c>
      <c r="D11" s="101" t="s">
        <v>61</v>
      </c>
      <c r="E11" s="100" t="s">
        <v>53</v>
      </c>
      <c r="F11" s="93">
        <v>1</v>
      </c>
      <c r="G11" s="93">
        <v>2</v>
      </c>
      <c r="H11" s="121">
        <f>7996000*50%</f>
        <v>3998000</v>
      </c>
      <c r="I11" s="121"/>
      <c r="J11" s="94"/>
      <c r="K11" s="94"/>
      <c r="L11" s="94"/>
      <c r="M11" s="94"/>
      <c r="N11" s="94"/>
      <c r="O11" s="94"/>
      <c r="P11" s="94"/>
      <c r="Q11" s="94"/>
      <c r="R11" s="94"/>
      <c r="S11" s="94"/>
      <c r="T11" s="94"/>
      <c r="U11" s="94"/>
      <c r="V11" s="94"/>
      <c r="W11" s="94"/>
      <c r="X11" s="94"/>
      <c r="Y11" s="94"/>
      <c r="Z11" s="94"/>
      <c r="AA11" s="95"/>
      <c r="AB11" s="95"/>
      <c r="AC11" s="95"/>
      <c r="AD11" s="95"/>
      <c r="AE11" s="95"/>
      <c r="AF11" s="95"/>
      <c r="AG11" s="95"/>
      <c r="AH11" s="95"/>
      <c r="AI11" s="96"/>
      <c r="AJ11" s="95">
        <f t="shared" si="1"/>
        <v>3359663.8655462186</v>
      </c>
      <c r="AK11" s="95">
        <f t="shared" si="2"/>
        <v>638336.13445378153</v>
      </c>
      <c r="AL11" s="95">
        <f t="shared" si="3"/>
        <v>3998000</v>
      </c>
      <c r="AM11" s="95">
        <f t="shared" si="0"/>
        <v>7996000</v>
      </c>
      <c r="AN11" s="162" t="s">
        <v>54</v>
      </c>
    </row>
    <row r="12" spans="1:40" s="97" customFormat="1" ht="128.25" customHeight="1">
      <c r="A12" s="2">
        <v>7</v>
      </c>
      <c r="B12" s="90" t="s">
        <v>55</v>
      </c>
      <c r="C12" s="100" t="s">
        <v>62</v>
      </c>
      <c r="D12" s="101" t="s">
        <v>63</v>
      </c>
      <c r="E12" s="100" t="s">
        <v>53</v>
      </c>
      <c r="F12" s="93">
        <v>1</v>
      </c>
      <c r="G12" s="93">
        <v>3</v>
      </c>
      <c r="H12" s="177">
        <v>5860001</v>
      </c>
      <c r="I12" s="163"/>
      <c r="J12" s="94"/>
      <c r="K12" s="94"/>
      <c r="L12" s="94"/>
      <c r="M12" s="94"/>
      <c r="N12" s="94"/>
      <c r="O12" s="94"/>
      <c r="P12" s="94"/>
      <c r="Q12" s="94"/>
      <c r="R12" s="94"/>
      <c r="S12" s="94"/>
      <c r="T12" s="94"/>
      <c r="U12" s="94"/>
      <c r="V12" s="94"/>
      <c r="W12" s="94"/>
      <c r="X12" s="94"/>
      <c r="Y12" s="94"/>
      <c r="Z12" s="94"/>
      <c r="AA12" s="95"/>
      <c r="AB12" s="95"/>
      <c r="AC12" s="95"/>
      <c r="AD12" s="95"/>
      <c r="AE12" s="95"/>
      <c r="AF12" s="95"/>
      <c r="AG12" s="95"/>
      <c r="AH12" s="95"/>
      <c r="AI12" s="96"/>
      <c r="AJ12" s="95">
        <f t="shared" si="1"/>
        <v>4924370.5882352944</v>
      </c>
      <c r="AK12" s="95">
        <f t="shared" si="2"/>
        <v>935630.4117647059</v>
      </c>
      <c r="AL12" s="95">
        <f t="shared" si="3"/>
        <v>5860001</v>
      </c>
      <c r="AM12" s="95">
        <f t="shared" si="0"/>
        <v>17580003</v>
      </c>
      <c r="AN12" s="162" t="s">
        <v>54</v>
      </c>
    </row>
    <row r="13" spans="1:40" s="97" customFormat="1" ht="114.75" customHeight="1">
      <c r="A13" s="90">
        <v>8</v>
      </c>
      <c r="B13" s="90" t="s">
        <v>55</v>
      </c>
      <c r="C13" s="100" t="s">
        <v>64</v>
      </c>
      <c r="D13" s="101" t="s">
        <v>65</v>
      </c>
      <c r="E13" s="100" t="s">
        <v>53</v>
      </c>
      <c r="F13" s="93">
        <v>2</v>
      </c>
      <c r="G13" s="93">
        <v>3</v>
      </c>
      <c r="H13" s="121">
        <f>3224001+((24/35)*(3640000-3224001))</f>
        <v>3509257.4571428569</v>
      </c>
      <c r="I13" s="121"/>
      <c r="J13" s="94"/>
      <c r="K13" s="94"/>
      <c r="L13" s="94"/>
      <c r="M13" s="94"/>
      <c r="N13" s="94"/>
      <c r="O13" s="94"/>
      <c r="P13" s="94"/>
      <c r="Q13" s="94"/>
      <c r="R13" s="94"/>
      <c r="S13" s="94"/>
      <c r="T13" s="94"/>
      <c r="U13" s="94"/>
      <c r="V13" s="94"/>
      <c r="W13" s="94"/>
      <c r="X13" s="94"/>
      <c r="Y13" s="94"/>
      <c r="Z13" s="94"/>
      <c r="AA13" s="95"/>
      <c r="AB13" s="95"/>
      <c r="AC13" s="95"/>
      <c r="AD13" s="95"/>
      <c r="AE13" s="95"/>
      <c r="AF13" s="43"/>
      <c r="AG13" s="43"/>
      <c r="AH13" s="43"/>
      <c r="AI13" s="44"/>
      <c r="AJ13" s="95">
        <f t="shared" si="1"/>
        <v>2948955.8463385352</v>
      </c>
      <c r="AK13" s="95">
        <f t="shared" si="2"/>
        <v>560301.61080432171</v>
      </c>
      <c r="AL13" s="95">
        <f t="shared" si="3"/>
        <v>3509257.4571428569</v>
      </c>
      <c r="AM13" s="43">
        <f t="shared" si="0"/>
        <v>21055544.742857143</v>
      </c>
      <c r="AN13" s="129" t="s">
        <v>54</v>
      </c>
    </row>
    <row r="14" spans="1:40" s="97" customFormat="1" ht="79.5" customHeight="1">
      <c r="A14" s="2">
        <v>9</v>
      </c>
      <c r="B14" s="90" t="s">
        <v>55</v>
      </c>
      <c r="C14" s="100" t="s">
        <v>66</v>
      </c>
      <c r="D14" s="101" t="s">
        <v>67</v>
      </c>
      <c r="E14" s="100" t="s">
        <v>53</v>
      </c>
      <c r="F14" s="93">
        <v>4</v>
      </c>
      <c r="G14" s="93">
        <v>3</v>
      </c>
      <c r="H14" s="178">
        <v>2951000</v>
      </c>
      <c r="I14" s="121"/>
      <c r="J14" s="94"/>
      <c r="K14" s="94"/>
      <c r="L14" s="94"/>
      <c r="M14" s="94"/>
      <c r="N14" s="94"/>
      <c r="O14" s="94"/>
      <c r="P14" s="94"/>
      <c r="Q14" s="94"/>
      <c r="R14" s="94"/>
      <c r="S14" s="94"/>
      <c r="T14" s="94"/>
      <c r="U14" s="94"/>
      <c r="V14" s="94"/>
      <c r="W14" s="94"/>
      <c r="X14" s="94"/>
      <c r="Y14" s="94"/>
      <c r="Z14" s="94"/>
      <c r="AA14" s="95"/>
      <c r="AB14" s="95"/>
      <c r="AC14" s="95"/>
      <c r="AD14" s="95"/>
      <c r="AE14" s="95"/>
      <c r="AF14" s="43"/>
      <c r="AG14" s="43"/>
      <c r="AH14" s="43"/>
      <c r="AI14" s="44"/>
      <c r="AJ14" s="95">
        <f t="shared" si="1"/>
        <v>2479831.9327731095</v>
      </c>
      <c r="AK14" s="95">
        <f t="shared" si="2"/>
        <v>471168.06722689082</v>
      </c>
      <c r="AL14" s="95">
        <f t="shared" si="3"/>
        <v>2951000</v>
      </c>
      <c r="AM14" s="43">
        <f t="shared" si="0"/>
        <v>35412000</v>
      </c>
      <c r="AN14" s="129" t="s">
        <v>54</v>
      </c>
    </row>
    <row r="15" spans="1:40" s="97" customFormat="1" ht="93" customHeight="1">
      <c r="A15" s="90">
        <v>10</v>
      </c>
      <c r="B15" s="90" t="s">
        <v>68</v>
      </c>
      <c r="C15" s="38" t="s">
        <v>69</v>
      </c>
      <c r="D15" s="103" t="s">
        <v>70</v>
      </c>
      <c r="E15" s="90" t="s">
        <v>44</v>
      </c>
      <c r="F15" s="93">
        <v>2000</v>
      </c>
      <c r="G15" s="90">
        <v>1</v>
      </c>
      <c r="H15" s="120"/>
      <c r="I15" s="120"/>
      <c r="J15" s="94"/>
      <c r="K15" s="94"/>
      <c r="L15" s="94"/>
      <c r="M15" s="94"/>
      <c r="N15" s="94"/>
      <c r="O15" s="94"/>
      <c r="P15" s="94"/>
      <c r="Q15" s="94"/>
      <c r="R15" s="94"/>
      <c r="S15" s="94"/>
      <c r="T15" s="94"/>
      <c r="U15" s="94"/>
      <c r="V15" s="94"/>
      <c r="W15" s="94"/>
      <c r="X15" s="94"/>
      <c r="Y15" s="94"/>
      <c r="Z15" s="94"/>
      <c r="AA15" s="95">
        <v>900</v>
      </c>
      <c r="AB15" s="95">
        <v>704</v>
      </c>
      <c r="AC15" s="95">
        <v>666.4</v>
      </c>
      <c r="AD15" s="95"/>
      <c r="AE15" s="95"/>
      <c r="AF15" s="43">
        <f>MEDIAN(H15,I15,K15,L15,M15,O15,Q15,R15,T15,V15,X15,Z15,AA15,AB15,AC15,AD15,AE15)</f>
        <v>704</v>
      </c>
      <c r="AG15" s="43">
        <f>AVERAGE(H15,I15,K15,L15,M15,O15,Q15,R15,T15,V15,X15,Z15,AA15,AB15,AC15,AD15,AE15)</f>
        <v>756.80000000000007</v>
      </c>
      <c r="AH15" s="43">
        <f>+STDEV(H15,I15,K15,L15,M15,O15,Q15,R15,T15,V15,X15,Z15,AA15,AB15,AC15,AD15,AE15)</f>
        <v>125.43173442155695</v>
      </c>
      <c r="AI15" s="44">
        <f t="shared" ref="AI15:AI17" si="4">AH15/AG15</f>
        <v>0.16573960679381203</v>
      </c>
      <c r="AJ15" s="95">
        <f t="shared" si="1"/>
        <v>591.59663865546224</v>
      </c>
      <c r="AK15" s="95">
        <f t="shared" si="2"/>
        <v>112.40336134453783</v>
      </c>
      <c r="AL15" s="95">
        <f>ROUNDUP(IF(AI15&lt;15%,AG15,AF15),0)</f>
        <v>704</v>
      </c>
      <c r="AM15" s="43">
        <f t="shared" si="0"/>
        <v>1408000</v>
      </c>
      <c r="AN15" s="128" t="s">
        <v>45</v>
      </c>
    </row>
    <row r="16" spans="1:40" s="97" customFormat="1" ht="75.400000000000006" customHeight="1">
      <c r="A16" s="2">
        <v>11</v>
      </c>
      <c r="B16" s="90" t="s">
        <v>68</v>
      </c>
      <c r="C16" s="91" t="s">
        <v>71</v>
      </c>
      <c r="D16" s="92" t="s">
        <v>72</v>
      </c>
      <c r="E16" s="104" t="s">
        <v>73</v>
      </c>
      <c r="F16" s="90">
        <v>3</v>
      </c>
      <c r="G16" s="93">
        <v>1</v>
      </c>
      <c r="H16" s="121"/>
      <c r="I16" s="121"/>
      <c r="J16" s="94"/>
      <c r="K16" s="94"/>
      <c r="L16" s="94"/>
      <c r="M16" s="94"/>
      <c r="N16" s="94"/>
      <c r="O16" s="94"/>
      <c r="P16" s="94"/>
      <c r="Q16" s="94"/>
      <c r="R16" s="94"/>
      <c r="S16" s="94"/>
      <c r="T16" s="94"/>
      <c r="U16" s="94"/>
      <c r="V16" s="94"/>
      <c r="W16" s="94"/>
      <c r="X16" s="94"/>
      <c r="Y16" s="94"/>
      <c r="Z16" s="94"/>
      <c r="AA16" s="95">
        <v>32200</v>
      </c>
      <c r="AB16" s="95">
        <v>35700</v>
      </c>
      <c r="AC16" s="95">
        <v>35700</v>
      </c>
      <c r="AD16" s="95"/>
      <c r="AE16" s="95">
        <v>29800</v>
      </c>
      <c r="AF16" s="95">
        <f t="shared" ref="AF16:AF17" si="5">MEDIAN(H16,I16,K16,L16,M16,O16,Q16,R16,T16,V16,X16,Z16,AA16,AB16,AC16,AD16,AE16)</f>
        <v>33950</v>
      </c>
      <c r="AG16" s="95">
        <f t="shared" ref="AG16:AG17" si="6">AVERAGE(H16,I16,K16,L16,M16,O16,Q16,R16,T16,V16,X16,Z16,AA16,AB16,AC16,AD16,AE16)</f>
        <v>33350</v>
      </c>
      <c r="AH16" s="95">
        <f t="shared" ref="AH16:AH17" si="7">+STDEV(H16,I16,K16,L16,M16,O16,Q16,R16,T16,V16,X16,Z16,AA16,AB16,AC16,AD16,AE16)</f>
        <v>2885.0187752133143</v>
      </c>
      <c r="AI16" s="96">
        <f t="shared" si="4"/>
        <v>8.6507309601598623E-2</v>
      </c>
      <c r="AJ16" s="95">
        <f t="shared" si="1"/>
        <v>28025.210084033613</v>
      </c>
      <c r="AK16" s="95">
        <f t="shared" si="2"/>
        <v>5324.7899159663866</v>
      </c>
      <c r="AL16" s="95">
        <f>ROUNDUP(IF(AI16&lt;15%,AG16,AF16),0)</f>
        <v>33350</v>
      </c>
      <c r="AM16" s="95">
        <f t="shared" si="0"/>
        <v>100050</v>
      </c>
      <c r="AN16" s="128" t="s">
        <v>74</v>
      </c>
    </row>
    <row r="17" spans="1:80" s="97" customFormat="1" ht="78" customHeight="1">
      <c r="A17" s="90">
        <v>12</v>
      </c>
      <c r="B17" s="90" t="s">
        <v>68</v>
      </c>
      <c r="C17" s="91" t="s">
        <v>75</v>
      </c>
      <c r="D17" s="92" t="s">
        <v>76</v>
      </c>
      <c r="E17" s="104" t="s">
        <v>77</v>
      </c>
      <c r="F17" s="90">
        <v>100</v>
      </c>
      <c r="G17" s="93">
        <v>1</v>
      </c>
      <c r="H17" s="121"/>
      <c r="I17" s="121">
        <v>900</v>
      </c>
      <c r="J17" s="94"/>
      <c r="K17" s="94"/>
      <c r="L17" s="94"/>
      <c r="M17" s="94"/>
      <c r="N17" s="94"/>
      <c r="O17" s="94"/>
      <c r="P17" s="94"/>
      <c r="Q17" s="94"/>
      <c r="R17" s="94"/>
      <c r="S17" s="94"/>
      <c r="T17" s="94"/>
      <c r="U17" s="94"/>
      <c r="V17" s="94"/>
      <c r="W17" s="94"/>
      <c r="X17" s="94"/>
      <c r="Y17" s="94"/>
      <c r="Z17" s="94"/>
      <c r="AA17" s="95"/>
      <c r="AB17" s="95"/>
      <c r="AC17" s="95"/>
      <c r="AD17" s="95">
        <v>1200</v>
      </c>
      <c r="AE17" s="95"/>
      <c r="AF17" s="95">
        <f t="shared" si="5"/>
        <v>1050</v>
      </c>
      <c r="AG17" s="95">
        <f t="shared" si="6"/>
        <v>1050</v>
      </c>
      <c r="AH17" s="95">
        <f t="shared" si="7"/>
        <v>212.13203435596427</v>
      </c>
      <c r="AI17" s="96">
        <f t="shared" si="4"/>
        <v>0.20203050891044216</v>
      </c>
      <c r="AJ17" s="95">
        <f t="shared" si="1"/>
        <v>882.35294117647061</v>
      </c>
      <c r="AK17" s="95">
        <f t="shared" si="2"/>
        <v>167.64705882352942</v>
      </c>
      <c r="AL17" s="95">
        <f>ROUNDUP(IF(AI17&lt;15%,AG17,AF17),0)</f>
        <v>1050</v>
      </c>
      <c r="AM17" s="95">
        <f t="shared" si="0"/>
        <v>105000</v>
      </c>
      <c r="AN17" s="128" t="s">
        <v>78</v>
      </c>
    </row>
    <row r="18" spans="1:80" s="97" customFormat="1" ht="203.1" customHeight="1">
      <c r="A18" s="23">
        <v>13</v>
      </c>
      <c r="B18" s="23" t="s">
        <v>79</v>
      </c>
      <c r="C18" s="167" t="s">
        <v>79</v>
      </c>
      <c r="D18" s="132" t="s">
        <v>80</v>
      </c>
      <c r="E18" s="23" t="s">
        <v>44</v>
      </c>
      <c r="F18" s="23">
        <v>1</v>
      </c>
      <c r="G18" s="133">
        <v>1</v>
      </c>
      <c r="H18" s="131"/>
      <c r="I18" s="131"/>
      <c r="J18" s="24"/>
      <c r="K18" s="24"/>
      <c r="L18" s="24"/>
      <c r="M18" s="24"/>
      <c r="N18" s="24"/>
      <c r="O18" s="24"/>
      <c r="P18" s="24"/>
      <c r="Q18" s="24"/>
      <c r="R18" s="24"/>
      <c r="S18" s="24"/>
      <c r="T18" s="24"/>
      <c r="U18" s="24"/>
      <c r="V18" s="24"/>
      <c r="W18" s="24"/>
      <c r="X18" s="24"/>
      <c r="Y18" s="24"/>
      <c r="Z18" s="24"/>
      <c r="AA18" s="47"/>
      <c r="AB18" s="47"/>
      <c r="AC18" s="47"/>
      <c r="AD18" s="47"/>
      <c r="AE18" s="47"/>
      <c r="AF18" s="47"/>
      <c r="AG18" s="47"/>
      <c r="AH18" s="47"/>
      <c r="AI18" s="25"/>
      <c r="AJ18" s="47">
        <v>4686227</v>
      </c>
      <c r="AK18" s="47"/>
      <c r="AL18" s="47">
        <v>4686227</v>
      </c>
      <c r="AM18" s="47">
        <f t="shared" si="0"/>
        <v>4686227</v>
      </c>
      <c r="AN18" s="130" t="s">
        <v>81</v>
      </c>
    </row>
    <row r="19" spans="1:80" s="97" customFormat="1" ht="191.25" customHeight="1">
      <c r="A19" s="90">
        <v>14</v>
      </c>
      <c r="B19" s="106" t="s">
        <v>82</v>
      </c>
      <c r="C19" s="90" t="s">
        <v>83</v>
      </c>
      <c r="D19" s="107" t="s">
        <v>84</v>
      </c>
      <c r="E19" s="90" t="s">
        <v>44</v>
      </c>
      <c r="F19" s="90">
        <v>100</v>
      </c>
      <c r="G19" s="93">
        <v>1</v>
      </c>
      <c r="H19" s="121"/>
      <c r="I19" s="121"/>
      <c r="J19" s="94"/>
      <c r="K19" s="94"/>
      <c r="L19" s="94"/>
      <c r="M19" s="94"/>
      <c r="N19" s="94"/>
      <c r="O19" s="94"/>
      <c r="P19" s="94"/>
      <c r="Q19" s="94"/>
      <c r="R19" s="94"/>
      <c r="S19" s="94"/>
      <c r="T19" s="94"/>
      <c r="U19" s="94"/>
      <c r="V19" s="94"/>
      <c r="W19" s="94"/>
      <c r="X19" s="94"/>
      <c r="Y19" s="94"/>
      <c r="Z19" s="94"/>
      <c r="AA19" s="95">
        <v>99900</v>
      </c>
      <c r="AB19" s="105">
        <v>105315</v>
      </c>
      <c r="AC19" s="95">
        <v>113288</v>
      </c>
      <c r="AD19" s="95"/>
      <c r="AE19" s="95"/>
      <c r="AF19" s="95">
        <f>MEDIAN(H19,I19,K19,L19,M19,O19,Q19,R19,T19,V19,X19,Z19,AA19,AB19,AC19,AD19,AE19)</f>
        <v>105315</v>
      </c>
      <c r="AG19" s="95">
        <f>AVERAGE(H19,I19,K19,L19,M19,O19,Q19,R19,T19,V19,X19,Z19,AA19,AB19,AC19,AD19,AE19)</f>
        <v>106167.66666666667</v>
      </c>
      <c r="AH19" s="95">
        <f>+STDEV(H19,I19,K19,L19,M19,O19,Q19,R19,T19,V19,X19,Z19,AA19,AB19,AC19,AD19,AE19)</f>
        <v>6734.6058780995745</v>
      </c>
      <c r="AI19" s="96">
        <f>AH19/AG19</f>
        <v>6.3433680795153338E-2</v>
      </c>
      <c r="AJ19" s="95">
        <f>AL19/1.19</f>
        <v>89216.806722689085</v>
      </c>
      <c r="AK19" s="95">
        <f>AJ19*19%</f>
        <v>16951.193277310926</v>
      </c>
      <c r="AL19" s="95">
        <f>ROUNDUP(IF(AI19&lt;15%,AG19,AF19),0)</f>
        <v>106168</v>
      </c>
      <c r="AM19" s="43">
        <f t="shared" si="0"/>
        <v>10616800</v>
      </c>
      <c r="AN19" s="128" t="s">
        <v>74</v>
      </c>
    </row>
    <row r="20" spans="1:80" s="97" customFormat="1" ht="249" customHeight="1">
      <c r="A20" s="2">
        <v>15</v>
      </c>
      <c r="B20" s="90" t="s">
        <v>82</v>
      </c>
      <c r="C20" s="91" t="s">
        <v>85</v>
      </c>
      <c r="D20" s="92" t="s">
        <v>86</v>
      </c>
      <c r="E20" s="90" t="s">
        <v>44</v>
      </c>
      <c r="F20" s="90">
        <v>720</v>
      </c>
      <c r="G20" s="93">
        <v>1</v>
      </c>
      <c r="H20" s="121"/>
      <c r="I20" s="121"/>
      <c r="J20" s="94"/>
      <c r="K20" s="94"/>
      <c r="L20" s="94">
        <v>15500</v>
      </c>
      <c r="M20" s="94">
        <v>16000</v>
      </c>
      <c r="N20" s="94"/>
      <c r="O20" s="94"/>
      <c r="P20" s="94"/>
      <c r="Q20" s="94"/>
      <c r="R20" s="94"/>
      <c r="S20" s="94">
        <v>17000</v>
      </c>
      <c r="T20" s="94">
        <v>17867</v>
      </c>
      <c r="U20" s="94">
        <v>15500</v>
      </c>
      <c r="V20" s="94">
        <v>16290.5</v>
      </c>
      <c r="W20" s="94"/>
      <c r="X20" s="94"/>
      <c r="Y20" s="94"/>
      <c r="Z20" s="94"/>
      <c r="AA20" s="95"/>
      <c r="AB20" s="95"/>
      <c r="AC20" s="95"/>
      <c r="AD20" s="95"/>
      <c r="AE20" s="95"/>
      <c r="AF20" s="95">
        <f>MEDIAN(H20,I20,K20,L20,M20,O20,Q20,R20,T20,V20,X20,Z20,AA20,AB20,AC20,AD20,AE20)</f>
        <v>16145.25</v>
      </c>
      <c r="AG20" s="95">
        <f>AVERAGE(H20,I20,K20,L20,M20,O20,Q20,R20,T20,V20,X20,Z20,AA20,AB20,AC20,AD20,AE20)</f>
        <v>16414.375</v>
      </c>
      <c r="AH20" s="95">
        <f>+STDEV(H20,I20,K20,L20,M20,O20,Q20,R20,T20,V20,X20,Z20,AA20,AB20,AC20,AD20,AE20)</f>
        <v>1021.9674958138346</v>
      </c>
      <c r="AI20" s="96">
        <f>AH20/AG20</f>
        <v>6.2260518345281776E-2</v>
      </c>
      <c r="AJ20" s="95">
        <f>AL20/1.08</f>
        <v>15199.074074074073</v>
      </c>
      <c r="AK20" s="95">
        <f>AJ20*8%</f>
        <v>1215.9259259259259</v>
      </c>
      <c r="AL20" s="95">
        <f>ROUNDUP(IF(AI20&lt;15%,AG20,AF20),0)</f>
        <v>16415</v>
      </c>
      <c r="AM20" s="95">
        <f t="shared" si="0"/>
        <v>11818800</v>
      </c>
      <c r="AN20" s="128" t="s">
        <v>49</v>
      </c>
    </row>
    <row r="21" spans="1:80" s="97" customFormat="1" ht="73.900000000000006" customHeight="1">
      <c r="A21" s="90">
        <v>16</v>
      </c>
      <c r="B21" s="90" t="s">
        <v>82</v>
      </c>
      <c r="C21" s="91" t="s">
        <v>87</v>
      </c>
      <c r="D21" s="92" t="s">
        <v>88</v>
      </c>
      <c r="E21" s="90" t="s">
        <v>44</v>
      </c>
      <c r="F21" s="90">
        <v>100</v>
      </c>
      <c r="G21" s="93">
        <v>1</v>
      </c>
      <c r="H21" s="121"/>
      <c r="I21" s="121"/>
      <c r="J21" s="94"/>
      <c r="K21" s="94"/>
      <c r="L21" s="94"/>
      <c r="M21" s="94"/>
      <c r="N21" s="94"/>
      <c r="O21" s="94"/>
      <c r="P21" s="94"/>
      <c r="Q21" s="94"/>
      <c r="R21" s="94"/>
      <c r="S21" s="94"/>
      <c r="T21" s="94"/>
      <c r="U21" s="94"/>
      <c r="V21" s="94"/>
      <c r="W21" s="94">
        <v>2200</v>
      </c>
      <c r="X21" s="94">
        <f>+((W21*5.1%)+W21)</f>
        <v>2312.1999999999998</v>
      </c>
      <c r="Y21" s="94">
        <v>1428</v>
      </c>
      <c r="Z21" s="94">
        <f>+((Y21*5.1%)+Y21)</f>
        <v>1500.828</v>
      </c>
      <c r="AA21" s="95"/>
      <c r="AB21" s="95"/>
      <c r="AC21" s="95"/>
      <c r="AD21" s="95"/>
      <c r="AE21" s="95"/>
      <c r="AF21" s="95">
        <f>MEDIAN(H21,I21,K21,L21,M21,O21,Q21,R21,T21,V21,X21,Z21,AA21,AB21,AC21,AD21,AE21)</f>
        <v>1906.5139999999999</v>
      </c>
      <c r="AG21" s="95">
        <f>AVERAGE(H21,I21,K21,L21,M21,O21,Q21,R21,T21,V21,X21,Z21,AA21,AB21,AC21,AD21,AE21)</f>
        <v>1906.5139999999999</v>
      </c>
      <c r="AH21" s="95">
        <f>+STDEV(H21,I21,K21,L21,M21,O21,Q21,R21,T21,V21,X21,Z21,AA21,AB21,AC21,AD21,AE21)</f>
        <v>573.72664326489189</v>
      </c>
      <c r="AI21" s="96">
        <f>AH21/AG21</f>
        <v>0.30092967755017375</v>
      </c>
      <c r="AJ21" s="95">
        <f>AL21/1.19</f>
        <v>1602.5210084033615</v>
      </c>
      <c r="AK21" s="95">
        <f>AJ21*19%</f>
        <v>304.47899159663871</v>
      </c>
      <c r="AL21" s="95">
        <f>ROUNDUP(IF(AI21&lt;15%,AG21,AF21),0)</f>
        <v>1907</v>
      </c>
      <c r="AM21" s="95">
        <f t="shared" si="0"/>
        <v>190700</v>
      </c>
      <c r="AN21" s="128" t="s">
        <v>89</v>
      </c>
    </row>
    <row r="22" spans="1:80" ht="269.64999999999998" customHeight="1">
      <c r="A22" s="23">
        <v>17</v>
      </c>
      <c r="B22" s="23" t="s">
        <v>90</v>
      </c>
      <c r="C22" s="45" t="s">
        <v>91</v>
      </c>
      <c r="D22" s="164" t="s">
        <v>92</v>
      </c>
      <c r="E22" s="23" t="s">
        <v>44</v>
      </c>
      <c r="F22" s="45">
        <v>1</v>
      </c>
      <c r="G22" s="46">
        <v>1</v>
      </c>
      <c r="H22" s="131"/>
      <c r="I22" s="131"/>
      <c r="J22" s="24"/>
      <c r="K22" s="24"/>
      <c r="L22" s="24"/>
      <c r="M22" s="24"/>
      <c r="N22" s="24"/>
      <c r="O22" s="24"/>
      <c r="P22" s="24"/>
      <c r="Q22" s="24"/>
      <c r="R22" s="24"/>
      <c r="S22" s="24"/>
      <c r="T22" s="24"/>
      <c r="U22" s="24"/>
      <c r="V22" s="24"/>
      <c r="W22" s="24"/>
      <c r="X22" s="24"/>
      <c r="Y22" s="24"/>
      <c r="Z22" s="24"/>
      <c r="AA22" s="47"/>
      <c r="AB22" s="47"/>
      <c r="AC22" s="47"/>
      <c r="AD22" s="47"/>
      <c r="AE22" s="47"/>
      <c r="AF22" s="47"/>
      <c r="AG22" s="47"/>
      <c r="AH22" s="47"/>
      <c r="AI22" s="25"/>
      <c r="AJ22" s="47">
        <v>204710000</v>
      </c>
      <c r="AK22" s="47"/>
      <c r="AL22" s="47">
        <v>204710000</v>
      </c>
      <c r="AM22" s="47">
        <f t="shared" si="0"/>
        <v>204710000</v>
      </c>
      <c r="AN22" s="130" t="s">
        <v>93</v>
      </c>
    </row>
    <row r="23" spans="1:80" ht="211.9" customHeight="1">
      <c r="A23" s="23">
        <v>18</v>
      </c>
      <c r="B23" s="23" t="s">
        <v>90</v>
      </c>
      <c r="C23" s="165" t="s">
        <v>94</v>
      </c>
      <c r="D23" s="166" t="s">
        <v>95</v>
      </c>
      <c r="E23" s="48" t="s">
        <v>44</v>
      </c>
      <c r="F23" s="49">
        <v>1</v>
      </c>
      <c r="G23" s="50">
        <v>1</v>
      </c>
      <c r="H23" s="131"/>
      <c r="I23" s="131"/>
      <c r="J23" s="24"/>
      <c r="K23" s="24"/>
      <c r="L23" s="24"/>
      <c r="M23" s="24"/>
      <c r="N23" s="24"/>
      <c r="O23" s="24"/>
      <c r="P23" s="24"/>
      <c r="Q23" s="24"/>
      <c r="R23" s="24"/>
      <c r="S23" s="24"/>
      <c r="T23" s="24"/>
      <c r="U23" s="24"/>
      <c r="V23" s="24"/>
      <c r="W23" s="24"/>
      <c r="X23" s="24"/>
      <c r="Y23" s="24"/>
      <c r="Z23" s="24"/>
      <c r="AA23" s="47"/>
      <c r="AB23" s="47"/>
      <c r="AC23" s="47"/>
      <c r="AD23" s="47"/>
      <c r="AE23" s="47"/>
      <c r="AF23" s="47"/>
      <c r="AG23" s="47"/>
      <c r="AH23" s="47"/>
      <c r="AI23" s="25"/>
      <c r="AJ23" s="47">
        <v>184925988</v>
      </c>
      <c r="AK23" s="47"/>
      <c r="AL23" s="47">
        <f>+AJ23</f>
        <v>184925988</v>
      </c>
      <c r="AM23" s="47">
        <f t="shared" si="0"/>
        <v>184925988</v>
      </c>
      <c r="AN23" s="130" t="s">
        <v>96</v>
      </c>
    </row>
    <row r="24" spans="1:80" ht="27" customHeight="1">
      <c r="A24" s="185" t="s">
        <v>97</v>
      </c>
      <c r="B24" s="186"/>
      <c r="C24" s="186"/>
      <c r="D24" s="186"/>
      <c r="E24" s="186"/>
      <c r="F24" s="186"/>
      <c r="G24" s="187"/>
      <c r="H24" s="110"/>
      <c r="I24" s="110"/>
      <c r="J24" s="86"/>
      <c r="K24" s="86"/>
      <c r="L24" s="86"/>
      <c r="M24" s="86"/>
      <c r="N24" s="86"/>
      <c r="O24" s="86"/>
      <c r="P24" s="86"/>
      <c r="Q24" s="86"/>
      <c r="R24" s="86"/>
      <c r="S24" s="86"/>
      <c r="T24" s="86"/>
      <c r="U24" s="86"/>
      <c r="V24" s="86"/>
      <c r="W24" s="86"/>
      <c r="X24" s="86"/>
      <c r="Y24" s="86"/>
      <c r="Z24" s="86"/>
      <c r="AA24" s="87"/>
      <c r="AB24" s="87"/>
      <c r="AC24" s="87"/>
      <c r="AD24" s="87"/>
      <c r="AE24" s="87"/>
      <c r="AF24" s="87"/>
      <c r="AG24" s="87"/>
      <c r="AH24" s="87"/>
      <c r="AI24" s="88"/>
      <c r="AJ24" s="87"/>
      <c r="AK24" s="87"/>
      <c r="AL24" s="124">
        <f>SUM(AL6:AL23)</f>
        <v>427952321.95714283</v>
      </c>
      <c r="AM24" s="124">
        <f>SUM(AM6:AM23)</f>
        <v>612184213.24285722</v>
      </c>
      <c r="AN24" s="89"/>
    </row>
    <row r="25" spans="1:80" ht="29.1" customHeight="1" thickBot="1">
      <c r="A25" s="6"/>
      <c r="B25" s="7"/>
      <c r="C25" s="6"/>
      <c r="D25" s="7"/>
      <c r="E25" s="7"/>
      <c r="F25" s="7"/>
      <c r="G25" s="7"/>
      <c r="H25" s="122"/>
      <c r="I25" s="122"/>
    </row>
    <row r="26" spans="1:80" s="161" customFormat="1" ht="88.5" customHeight="1" thickBot="1">
      <c r="A26" s="180" t="s">
        <v>98</v>
      </c>
      <c r="B26" s="181"/>
      <c r="C26" s="181"/>
      <c r="D26" s="181"/>
      <c r="E26" s="181"/>
      <c r="F26" s="181"/>
      <c r="G26" s="181"/>
      <c r="H26" s="181"/>
      <c r="I26" s="181"/>
      <c r="J26" s="181"/>
      <c r="K26" s="181"/>
      <c r="L26" s="181"/>
      <c r="M26" s="181"/>
      <c r="N26" s="181"/>
      <c r="O26" s="181"/>
      <c r="P26" s="181"/>
      <c r="Q26" s="182"/>
      <c r="R26" s="160"/>
      <c r="S26" s="160"/>
      <c r="T26" s="160"/>
      <c r="U26" s="160"/>
      <c r="V26" s="160"/>
      <c r="W26" s="160"/>
      <c r="X26" s="160"/>
      <c r="Y26" s="160"/>
      <c r="Z26" s="160"/>
      <c r="AA26" s="160"/>
      <c r="AB26" s="160"/>
      <c r="AC26" s="160"/>
      <c r="AD26" s="160"/>
      <c r="AE26" s="160"/>
      <c r="AF26" s="160"/>
      <c r="AG26" s="160"/>
      <c r="AH26" s="160"/>
      <c r="AI26" s="160"/>
      <c r="AJ26" s="160"/>
      <c r="AK26" s="160"/>
      <c r="AL26" s="160"/>
      <c r="AM26" s="179"/>
      <c r="AN26" s="160"/>
      <c r="AO26" s="160"/>
      <c r="AP26" s="160"/>
      <c r="AQ26" s="160"/>
      <c r="AR26" s="160"/>
      <c r="AS26" s="160"/>
      <c r="AT26" s="160"/>
      <c r="AU26" s="160"/>
      <c r="AV26" s="160"/>
      <c r="AW26" s="160"/>
      <c r="AX26" s="160"/>
      <c r="AY26" s="160"/>
      <c r="AZ26" s="160"/>
      <c r="BA26" s="160"/>
      <c r="BB26" s="160"/>
      <c r="BC26" s="160"/>
      <c r="BD26" s="160"/>
      <c r="BE26" s="160"/>
      <c r="BF26" s="160"/>
      <c r="BG26" s="160"/>
      <c r="BH26" s="160"/>
      <c r="BI26" s="160"/>
      <c r="BJ26" s="160"/>
      <c r="BK26" s="160"/>
      <c r="BL26" s="160"/>
      <c r="BM26" s="160"/>
      <c r="BN26" s="160"/>
      <c r="BO26" s="160"/>
      <c r="BP26" s="160"/>
      <c r="BQ26" s="160"/>
      <c r="BR26" s="160"/>
      <c r="BS26" s="160"/>
      <c r="BT26" s="160"/>
      <c r="BU26" s="160"/>
      <c r="BV26" s="160"/>
      <c r="BW26" s="160"/>
      <c r="BX26" s="160"/>
      <c r="BY26" s="160"/>
      <c r="BZ26" s="160"/>
      <c r="CA26" s="160"/>
      <c r="CB26" s="160"/>
    </row>
    <row r="29" spans="1:80">
      <c r="A29" s="5"/>
      <c r="C29"/>
      <c r="D29"/>
      <c r="E29"/>
    </row>
    <row r="30" spans="1:80">
      <c r="A30" s="5"/>
      <c r="C30"/>
      <c r="D30"/>
      <c r="E30"/>
    </row>
    <row r="31" spans="1:80">
      <c r="A31" s="5"/>
      <c r="C31"/>
      <c r="D31"/>
      <c r="E31"/>
    </row>
    <row r="32" spans="1:80">
      <c r="A32" s="5"/>
      <c r="C32"/>
      <c r="D32"/>
      <c r="E32"/>
    </row>
    <row r="33" spans="1:5">
      <c r="A33" s="5"/>
      <c r="C33"/>
      <c r="D33"/>
      <c r="E33"/>
    </row>
    <row r="34" spans="1:5">
      <c r="A34" s="5"/>
      <c r="C34"/>
      <c r="D34"/>
      <c r="E34"/>
    </row>
    <row r="35" spans="1:5">
      <c r="A35" s="5"/>
      <c r="C35"/>
      <c r="D35"/>
      <c r="E35"/>
    </row>
    <row r="36" spans="1:5">
      <c r="A36" s="5"/>
      <c r="C36"/>
      <c r="D36"/>
      <c r="E36"/>
    </row>
    <row r="37" spans="1:5">
      <c r="A37" s="5"/>
      <c r="C37"/>
      <c r="D37"/>
      <c r="E37"/>
    </row>
    <row r="38" spans="1:5">
      <c r="A38" s="5"/>
    </row>
    <row r="39" spans="1:5">
      <c r="A39" s="5"/>
    </row>
    <row r="40" spans="1:5">
      <c r="A40" s="5"/>
    </row>
    <row r="41" spans="1:5">
      <c r="A41" s="5"/>
    </row>
    <row r="42" spans="1:5">
      <c r="A42" s="5"/>
    </row>
    <row r="43" spans="1:5">
      <c r="A43" s="5"/>
    </row>
    <row r="44" spans="1:5">
      <c r="A44" s="5"/>
    </row>
    <row r="45" spans="1:5">
      <c r="A45" s="5"/>
    </row>
    <row r="46" spans="1:5">
      <c r="A46" s="5"/>
    </row>
    <row r="47" spans="1:5">
      <c r="A47" s="5"/>
    </row>
    <row r="48" spans="1:5">
      <c r="A48" s="5"/>
    </row>
    <row r="49" spans="1:1">
      <c r="A49" s="5"/>
    </row>
    <row r="50" spans="1:1">
      <c r="A50" s="5"/>
    </row>
    <row r="51" spans="1:1">
      <c r="A51" s="5"/>
    </row>
    <row r="52" spans="1:1">
      <c r="A52" s="5"/>
    </row>
    <row r="53" spans="1:1">
      <c r="A53" s="5"/>
    </row>
    <row r="54" spans="1:1">
      <c r="A54" s="5"/>
    </row>
    <row r="55" spans="1:1">
      <c r="A55" s="5"/>
    </row>
    <row r="56" spans="1:1">
      <c r="A56" s="5"/>
    </row>
    <row r="57" spans="1:1">
      <c r="A57" s="5"/>
    </row>
    <row r="58" spans="1:1">
      <c r="A58" s="5"/>
    </row>
    <row r="59" spans="1:1">
      <c r="A59" s="5"/>
    </row>
    <row r="60" spans="1:1">
      <c r="A60" s="5"/>
    </row>
    <row r="61" spans="1:1">
      <c r="A61" s="5"/>
    </row>
    <row r="62" spans="1:1">
      <c r="A62" s="5"/>
    </row>
    <row r="63" spans="1:1">
      <c r="A63" s="5"/>
    </row>
    <row r="64" spans="1:1">
      <c r="A64" s="5"/>
    </row>
    <row r="65" spans="1:1">
      <c r="A65" s="5"/>
    </row>
    <row r="66" spans="1:1">
      <c r="A66" s="5"/>
    </row>
    <row r="67" spans="1:1">
      <c r="A67" s="5"/>
    </row>
    <row r="68" spans="1:1">
      <c r="A68" s="5"/>
    </row>
    <row r="69" spans="1:1">
      <c r="A69" s="5"/>
    </row>
    <row r="70" spans="1:1">
      <c r="A70" s="5"/>
    </row>
    <row r="71" spans="1:1">
      <c r="A71" s="5"/>
    </row>
    <row r="72" spans="1:1">
      <c r="A72" s="5"/>
    </row>
    <row r="73" spans="1:1">
      <c r="A73" s="5"/>
    </row>
    <row r="74" spans="1:1">
      <c r="A74" s="5"/>
    </row>
    <row r="75" spans="1:1">
      <c r="A75" s="5"/>
    </row>
    <row r="76" spans="1:1">
      <c r="A76" s="5"/>
    </row>
    <row r="77" spans="1:1">
      <c r="A77" s="5"/>
    </row>
    <row r="78" spans="1:1">
      <c r="A78" s="5"/>
    </row>
    <row r="79" spans="1:1">
      <c r="A79" s="5"/>
    </row>
    <row r="80" spans="1:1">
      <c r="A80" s="5"/>
    </row>
    <row r="81" spans="1:1">
      <c r="A81" s="5"/>
    </row>
    <row r="82" spans="1:1">
      <c r="A82" s="5"/>
    </row>
    <row r="83" spans="1:1">
      <c r="A83" s="5"/>
    </row>
    <row r="84" spans="1:1">
      <c r="A84" s="5"/>
    </row>
    <row r="85" spans="1:1">
      <c r="A85" s="5"/>
    </row>
    <row r="86" spans="1:1">
      <c r="A86" s="5"/>
    </row>
    <row r="87" spans="1:1">
      <c r="A87" s="5"/>
    </row>
    <row r="88" spans="1:1">
      <c r="A88" s="5"/>
    </row>
    <row r="89" spans="1:1">
      <c r="A89" s="5"/>
    </row>
    <row r="90" spans="1:1">
      <c r="A90" s="5"/>
    </row>
    <row r="91" spans="1:1">
      <c r="A91" s="5"/>
    </row>
    <row r="92" spans="1:1">
      <c r="A92" s="5"/>
    </row>
    <row r="93" spans="1:1">
      <c r="A93" s="5"/>
    </row>
    <row r="94" spans="1:1">
      <c r="A94" s="5"/>
    </row>
    <row r="95" spans="1:1">
      <c r="A95" s="5"/>
    </row>
    <row r="96" spans="1:1">
      <c r="A96" s="5"/>
    </row>
    <row r="97" spans="1:1">
      <c r="A97" s="5"/>
    </row>
    <row r="98" spans="1:1">
      <c r="A98" s="5"/>
    </row>
    <row r="99" spans="1:1">
      <c r="A99" s="5"/>
    </row>
    <row r="100" spans="1:1">
      <c r="A100" s="5"/>
    </row>
    <row r="101" spans="1:1">
      <c r="A101" s="5"/>
    </row>
    <row r="102" spans="1:1">
      <c r="A102" s="5"/>
    </row>
    <row r="103" spans="1:1">
      <c r="A103" s="5"/>
    </row>
    <row r="104" spans="1:1">
      <c r="A104" s="5"/>
    </row>
    <row r="105" spans="1:1">
      <c r="A105" s="5"/>
    </row>
    <row r="106" spans="1:1">
      <c r="A106" s="5"/>
    </row>
    <row r="107" spans="1:1">
      <c r="A107" s="5"/>
    </row>
    <row r="108" spans="1:1">
      <c r="A108" s="5"/>
    </row>
    <row r="109" spans="1:1">
      <c r="A109" s="5"/>
    </row>
    <row r="110" spans="1:1">
      <c r="A110" s="5"/>
    </row>
    <row r="111" spans="1:1">
      <c r="A111" s="5"/>
    </row>
    <row r="112" spans="1:1">
      <c r="A112" s="5"/>
    </row>
    <row r="113" spans="1:1">
      <c r="A113" s="5"/>
    </row>
    <row r="114" spans="1:1">
      <c r="A114" s="5"/>
    </row>
    <row r="115" spans="1:1">
      <c r="A115" s="5"/>
    </row>
    <row r="116" spans="1:1">
      <c r="A116" s="5"/>
    </row>
    <row r="117" spans="1:1">
      <c r="A117" s="5"/>
    </row>
    <row r="118" spans="1:1">
      <c r="A118" s="5"/>
    </row>
    <row r="119" spans="1:1">
      <c r="A119" s="5"/>
    </row>
    <row r="120" spans="1:1">
      <c r="A120" s="5"/>
    </row>
    <row r="121" spans="1:1">
      <c r="A121" s="5"/>
    </row>
    <row r="122" spans="1:1">
      <c r="A122" s="5"/>
    </row>
    <row r="123" spans="1:1">
      <c r="A123" s="5"/>
    </row>
    <row r="124" spans="1:1">
      <c r="A124" s="5"/>
    </row>
    <row r="125" spans="1:1">
      <c r="A125" s="5"/>
    </row>
    <row r="126" spans="1:1">
      <c r="A126" s="5"/>
    </row>
    <row r="127" spans="1:1">
      <c r="A127" s="5"/>
    </row>
    <row r="128" spans="1:1">
      <c r="A128" s="5"/>
    </row>
    <row r="129" spans="1:1">
      <c r="A129" s="5"/>
    </row>
    <row r="130" spans="1:1">
      <c r="A130" s="5"/>
    </row>
    <row r="131" spans="1:1">
      <c r="A131" s="5"/>
    </row>
    <row r="132" spans="1:1">
      <c r="A132" s="5"/>
    </row>
    <row r="133" spans="1:1">
      <c r="A133" s="5"/>
    </row>
    <row r="134" spans="1:1">
      <c r="A134" s="5"/>
    </row>
    <row r="135" spans="1:1">
      <c r="A135" s="5"/>
    </row>
    <row r="136" spans="1:1">
      <c r="A136" s="5"/>
    </row>
    <row r="137" spans="1:1">
      <c r="A137" s="5"/>
    </row>
    <row r="138" spans="1:1">
      <c r="A138" s="5"/>
    </row>
    <row r="139" spans="1:1">
      <c r="A139" s="5"/>
    </row>
    <row r="140" spans="1:1">
      <c r="A140" s="5"/>
    </row>
    <row r="141" spans="1:1">
      <c r="A141" s="5"/>
    </row>
    <row r="142" spans="1:1">
      <c r="A142" s="5"/>
    </row>
    <row r="143" spans="1:1">
      <c r="A143" s="5"/>
    </row>
    <row r="144" spans="1:1">
      <c r="A144" s="5"/>
    </row>
    <row r="145" spans="1:1">
      <c r="A145" s="5"/>
    </row>
    <row r="146" spans="1:1">
      <c r="A146" s="5"/>
    </row>
    <row r="147" spans="1:1">
      <c r="A147" s="5"/>
    </row>
    <row r="148" spans="1:1">
      <c r="A148" s="5"/>
    </row>
    <row r="149" spans="1:1">
      <c r="A149" s="5"/>
    </row>
    <row r="150" spans="1:1">
      <c r="A150" s="5"/>
    </row>
    <row r="151" spans="1:1">
      <c r="A151" s="5"/>
    </row>
    <row r="152" spans="1:1">
      <c r="A152" s="5"/>
    </row>
    <row r="153" spans="1:1">
      <c r="A153" s="5"/>
    </row>
    <row r="154" spans="1:1">
      <c r="A154" s="5"/>
    </row>
    <row r="155" spans="1:1">
      <c r="A155" s="5"/>
    </row>
    <row r="156" spans="1:1">
      <c r="A156" s="5"/>
    </row>
    <row r="157" spans="1:1">
      <c r="A157" s="5"/>
    </row>
    <row r="158" spans="1:1">
      <c r="A158" s="5"/>
    </row>
    <row r="159" spans="1:1">
      <c r="A159" s="5"/>
    </row>
    <row r="160" spans="1:1">
      <c r="A160" s="5"/>
    </row>
    <row r="161" spans="1:1">
      <c r="A161" s="5"/>
    </row>
    <row r="162" spans="1:1">
      <c r="A162" s="5"/>
    </row>
    <row r="163" spans="1:1">
      <c r="A163" s="5"/>
    </row>
    <row r="164" spans="1:1">
      <c r="A164" s="5"/>
    </row>
    <row r="165" spans="1:1">
      <c r="A165" s="5"/>
    </row>
    <row r="166" spans="1:1">
      <c r="A166" s="5"/>
    </row>
    <row r="167" spans="1:1">
      <c r="A167" s="5"/>
    </row>
    <row r="168" spans="1:1">
      <c r="A168" s="5"/>
    </row>
    <row r="169" spans="1:1">
      <c r="A169" s="5"/>
    </row>
    <row r="170" spans="1:1">
      <c r="A170" s="5"/>
    </row>
    <row r="171" spans="1:1">
      <c r="A171" s="5"/>
    </row>
    <row r="172" spans="1:1">
      <c r="A172" s="5"/>
    </row>
    <row r="173" spans="1:1">
      <c r="A173" s="5"/>
    </row>
    <row r="174" spans="1:1">
      <c r="A174" s="5"/>
    </row>
    <row r="175" spans="1:1">
      <c r="A175" s="5"/>
    </row>
    <row r="176" spans="1:1">
      <c r="A176" s="5"/>
    </row>
    <row r="177" spans="1:1">
      <c r="A177" s="5"/>
    </row>
    <row r="178" spans="1:1">
      <c r="A178" s="5"/>
    </row>
    <row r="179" spans="1:1">
      <c r="A179" s="5"/>
    </row>
    <row r="180" spans="1:1">
      <c r="A180" s="5"/>
    </row>
    <row r="181" spans="1:1">
      <c r="A181" s="5"/>
    </row>
    <row r="182" spans="1:1">
      <c r="A182" s="5"/>
    </row>
    <row r="183" spans="1:1">
      <c r="A183" s="5"/>
    </row>
    <row r="184" spans="1:1">
      <c r="A184" s="5"/>
    </row>
    <row r="185" spans="1:1">
      <c r="A185" s="5"/>
    </row>
    <row r="186" spans="1:1">
      <c r="A186" s="5"/>
    </row>
    <row r="187" spans="1:1">
      <c r="A187" s="5"/>
    </row>
    <row r="188" spans="1:1">
      <c r="A188" s="5"/>
    </row>
    <row r="189" spans="1:1">
      <c r="A189" s="5"/>
    </row>
    <row r="190" spans="1:1">
      <c r="A190" s="5"/>
    </row>
    <row r="191" spans="1:1">
      <c r="A191" s="5"/>
    </row>
    <row r="192" spans="1:1">
      <c r="A192" s="5"/>
    </row>
    <row r="193" spans="1:1">
      <c r="A193" s="5"/>
    </row>
    <row r="194" spans="1:1">
      <c r="A194" s="5"/>
    </row>
    <row r="195" spans="1:1">
      <c r="A195" s="5"/>
    </row>
    <row r="196" spans="1:1">
      <c r="A196" s="5"/>
    </row>
    <row r="197" spans="1:1">
      <c r="A197" s="5"/>
    </row>
    <row r="198" spans="1:1">
      <c r="A198" s="5"/>
    </row>
    <row r="199" spans="1:1">
      <c r="A199" s="5"/>
    </row>
    <row r="200" spans="1:1">
      <c r="A200" s="5"/>
    </row>
    <row r="201" spans="1:1">
      <c r="A201" s="5"/>
    </row>
    <row r="202" spans="1:1">
      <c r="A202" s="5"/>
    </row>
    <row r="203" spans="1:1">
      <c r="A203" s="5"/>
    </row>
    <row r="204" spans="1:1">
      <c r="A204" s="5"/>
    </row>
    <row r="205" spans="1:1">
      <c r="A205" s="5"/>
    </row>
    <row r="206" spans="1:1">
      <c r="A206" s="5"/>
    </row>
    <row r="207" spans="1:1">
      <c r="A207" s="5"/>
    </row>
    <row r="208" spans="1:1">
      <c r="A208" s="5"/>
    </row>
    <row r="209" spans="1:1">
      <c r="A209" s="5"/>
    </row>
    <row r="210" spans="1:1">
      <c r="A210" s="5"/>
    </row>
    <row r="211" spans="1:1">
      <c r="A211" s="5"/>
    </row>
    <row r="212" spans="1:1">
      <c r="A212" s="5"/>
    </row>
    <row r="213" spans="1:1">
      <c r="A213" s="5"/>
    </row>
    <row r="214" spans="1:1">
      <c r="A214" s="5"/>
    </row>
    <row r="215" spans="1:1">
      <c r="A215" s="5"/>
    </row>
    <row r="216" spans="1:1">
      <c r="A216" s="5"/>
    </row>
    <row r="217" spans="1:1">
      <c r="A217" s="5"/>
    </row>
    <row r="218" spans="1:1">
      <c r="A218" s="5"/>
    </row>
    <row r="219" spans="1:1">
      <c r="A219" s="5"/>
    </row>
    <row r="220" spans="1:1">
      <c r="A220" s="5"/>
    </row>
    <row r="221" spans="1:1">
      <c r="A221" s="5"/>
    </row>
    <row r="222" spans="1:1">
      <c r="A222" s="5"/>
    </row>
    <row r="223" spans="1:1">
      <c r="A223" s="5"/>
    </row>
    <row r="224" spans="1:1">
      <c r="A224" s="5"/>
    </row>
    <row r="225" spans="1:1">
      <c r="A225" s="5"/>
    </row>
    <row r="226" spans="1:1">
      <c r="A226" s="5"/>
    </row>
    <row r="227" spans="1:1">
      <c r="A227" s="5"/>
    </row>
    <row r="228" spans="1:1">
      <c r="A228" s="5"/>
    </row>
    <row r="229" spans="1:1">
      <c r="A229" s="5"/>
    </row>
    <row r="230" spans="1:1">
      <c r="A230" s="5"/>
    </row>
    <row r="231" spans="1:1">
      <c r="A231" s="5"/>
    </row>
    <row r="232" spans="1:1">
      <c r="A232" s="5"/>
    </row>
    <row r="233" spans="1:1">
      <c r="A233" s="5"/>
    </row>
    <row r="234" spans="1:1">
      <c r="A234" s="5"/>
    </row>
    <row r="235" spans="1:1">
      <c r="A235" s="5"/>
    </row>
    <row r="236" spans="1:1">
      <c r="A236" s="5"/>
    </row>
    <row r="237" spans="1:1">
      <c r="A237" s="5"/>
    </row>
    <row r="238" spans="1:1">
      <c r="A238" s="5"/>
    </row>
    <row r="239" spans="1:1">
      <c r="A239" s="5"/>
    </row>
    <row r="240" spans="1:1">
      <c r="A240" s="5"/>
    </row>
    <row r="241" spans="1:1">
      <c r="A241" s="5"/>
    </row>
    <row r="242" spans="1:1">
      <c r="A242" s="5"/>
    </row>
    <row r="243" spans="1:1">
      <c r="A243" s="5"/>
    </row>
    <row r="244" spans="1:1">
      <c r="A244" s="5"/>
    </row>
    <row r="245" spans="1:1">
      <c r="A245" s="5"/>
    </row>
    <row r="246" spans="1:1">
      <c r="A246" s="5"/>
    </row>
    <row r="247" spans="1:1">
      <c r="A247" s="5"/>
    </row>
    <row r="248" spans="1:1">
      <c r="A248" s="5"/>
    </row>
    <row r="249" spans="1:1">
      <c r="A249" s="5"/>
    </row>
    <row r="250" spans="1:1">
      <c r="A250" s="5"/>
    </row>
    <row r="251" spans="1:1">
      <c r="A251" s="5"/>
    </row>
    <row r="252" spans="1:1">
      <c r="A252" s="5"/>
    </row>
    <row r="253" spans="1:1">
      <c r="A253" s="5"/>
    </row>
    <row r="254" spans="1:1">
      <c r="A254" s="5"/>
    </row>
    <row r="255" spans="1:1">
      <c r="A255" s="5"/>
    </row>
    <row r="256" spans="1:1">
      <c r="A256" s="5"/>
    </row>
    <row r="257" spans="1:1">
      <c r="A257" s="5"/>
    </row>
    <row r="258" spans="1:1">
      <c r="A258" s="5"/>
    </row>
    <row r="259" spans="1:1">
      <c r="A259" s="5"/>
    </row>
    <row r="260" spans="1:1">
      <c r="A260" s="5"/>
    </row>
    <row r="261" spans="1:1">
      <c r="A261" s="5"/>
    </row>
    <row r="262" spans="1:1">
      <c r="A262" s="5"/>
    </row>
    <row r="263" spans="1:1">
      <c r="A263" s="5"/>
    </row>
    <row r="264" spans="1:1">
      <c r="A264" s="5"/>
    </row>
    <row r="265" spans="1:1">
      <c r="A265" s="5"/>
    </row>
    <row r="266" spans="1:1">
      <c r="A266" s="5"/>
    </row>
    <row r="267" spans="1:1">
      <c r="A267" s="5"/>
    </row>
    <row r="268" spans="1:1">
      <c r="A268" s="5"/>
    </row>
    <row r="269" spans="1:1">
      <c r="A269" s="5"/>
    </row>
    <row r="270" spans="1:1">
      <c r="A270" s="5"/>
    </row>
    <row r="271" spans="1:1">
      <c r="A271" s="5"/>
    </row>
    <row r="272" spans="1:1">
      <c r="A272" s="5"/>
    </row>
    <row r="273" spans="1:1">
      <c r="A273" s="5"/>
    </row>
    <row r="274" spans="1:1">
      <c r="A274" s="5"/>
    </row>
    <row r="275" spans="1:1">
      <c r="A275" s="5"/>
    </row>
    <row r="276" spans="1:1">
      <c r="A276" s="5"/>
    </row>
    <row r="277" spans="1:1">
      <c r="A277" s="5"/>
    </row>
    <row r="278" spans="1:1">
      <c r="A278" s="5"/>
    </row>
    <row r="279" spans="1:1">
      <c r="A279" s="5"/>
    </row>
    <row r="280" spans="1:1">
      <c r="A280" s="5"/>
    </row>
    <row r="281" spans="1:1">
      <c r="A281" s="5"/>
    </row>
    <row r="282" spans="1:1">
      <c r="A282" s="5"/>
    </row>
    <row r="283" spans="1:1">
      <c r="A283" s="5"/>
    </row>
    <row r="284" spans="1:1">
      <c r="A284" s="5"/>
    </row>
    <row r="285" spans="1:1">
      <c r="A285" s="5"/>
    </row>
    <row r="286" spans="1:1">
      <c r="A286" s="5"/>
    </row>
    <row r="287" spans="1:1">
      <c r="A287" s="5"/>
    </row>
    <row r="288" spans="1:1">
      <c r="A288" s="5"/>
    </row>
    <row r="289" spans="1:1">
      <c r="A289" s="5"/>
    </row>
    <row r="290" spans="1:1">
      <c r="A290" s="5"/>
    </row>
    <row r="291" spans="1:1">
      <c r="A291" s="5"/>
    </row>
    <row r="292" spans="1:1">
      <c r="A292" s="5"/>
    </row>
    <row r="293" spans="1:1">
      <c r="A293" s="5"/>
    </row>
    <row r="294" spans="1:1">
      <c r="A294" s="5"/>
    </row>
    <row r="295" spans="1:1">
      <c r="A295" s="5"/>
    </row>
    <row r="296" spans="1:1">
      <c r="A296" s="5"/>
    </row>
    <row r="297" spans="1:1">
      <c r="A297" s="5"/>
    </row>
    <row r="298" spans="1:1">
      <c r="A298" s="5"/>
    </row>
    <row r="299" spans="1:1">
      <c r="A299" s="5"/>
    </row>
    <row r="300" spans="1:1">
      <c r="A300" s="5"/>
    </row>
    <row r="301" spans="1:1">
      <c r="A301" s="5"/>
    </row>
    <row r="302" spans="1:1">
      <c r="A302" s="5"/>
    </row>
    <row r="303" spans="1:1">
      <c r="A303" s="5"/>
    </row>
    <row r="304" spans="1:1">
      <c r="A304" s="5"/>
    </row>
    <row r="305" spans="1:1">
      <c r="A305" s="5"/>
    </row>
    <row r="306" spans="1:1">
      <c r="A306" s="5"/>
    </row>
    <row r="307" spans="1:1">
      <c r="A307" s="5"/>
    </row>
    <row r="308" spans="1:1">
      <c r="A308" s="5"/>
    </row>
    <row r="309" spans="1:1">
      <c r="A309" s="5"/>
    </row>
    <row r="310" spans="1:1">
      <c r="A310" s="5"/>
    </row>
    <row r="311" spans="1:1">
      <c r="A311" s="5"/>
    </row>
    <row r="312" spans="1:1">
      <c r="A312" s="5"/>
    </row>
    <row r="313" spans="1:1">
      <c r="A313" s="5"/>
    </row>
    <row r="314" spans="1:1">
      <c r="A314" s="5"/>
    </row>
    <row r="315" spans="1:1">
      <c r="A315" s="5"/>
    </row>
    <row r="316" spans="1:1">
      <c r="A316" s="5"/>
    </row>
    <row r="317" spans="1:1">
      <c r="A317" s="5"/>
    </row>
    <row r="318" spans="1:1">
      <c r="A318" s="5"/>
    </row>
    <row r="319" spans="1:1">
      <c r="A319" s="5"/>
    </row>
    <row r="320" spans="1:1">
      <c r="A320" s="5"/>
    </row>
    <row r="321" spans="1:1">
      <c r="A321" s="5"/>
    </row>
    <row r="322" spans="1:1">
      <c r="A322" s="5"/>
    </row>
    <row r="323" spans="1:1">
      <c r="A323" s="5"/>
    </row>
    <row r="324" spans="1:1">
      <c r="A324" s="5"/>
    </row>
    <row r="325" spans="1:1">
      <c r="A325" s="5"/>
    </row>
    <row r="326" spans="1:1">
      <c r="A326" s="5"/>
    </row>
    <row r="327" spans="1:1">
      <c r="A327" s="5"/>
    </row>
    <row r="328" spans="1:1">
      <c r="A328" s="5"/>
    </row>
    <row r="329" spans="1:1">
      <c r="A329" s="5"/>
    </row>
    <row r="330" spans="1:1">
      <c r="A330" s="5"/>
    </row>
    <row r="331" spans="1:1">
      <c r="A331" s="5"/>
    </row>
    <row r="332" spans="1:1">
      <c r="A332" s="5"/>
    </row>
    <row r="333" spans="1:1">
      <c r="A333" s="5"/>
    </row>
    <row r="334" spans="1:1">
      <c r="A334" s="5"/>
    </row>
    <row r="335" spans="1:1">
      <c r="A335" s="5"/>
    </row>
    <row r="336" spans="1:1">
      <c r="A336" s="5"/>
    </row>
    <row r="337" spans="1:1">
      <c r="A337" s="5"/>
    </row>
    <row r="338" spans="1:1">
      <c r="A338" s="5"/>
    </row>
    <row r="339" spans="1:1">
      <c r="A339" s="5"/>
    </row>
    <row r="340" spans="1:1">
      <c r="A340" s="5"/>
    </row>
    <row r="341" spans="1:1">
      <c r="A341" s="5"/>
    </row>
    <row r="342" spans="1:1">
      <c r="A342" s="5"/>
    </row>
    <row r="343" spans="1:1">
      <c r="A343" s="5"/>
    </row>
    <row r="344" spans="1:1">
      <c r="A344" s="5"/>
    </row>
    <row r="345" spans="1:1">
      <c r="A345" s="5"/>
    </row>
    <row r="346" spans="1:1">
      <c r="A346" s="5"/>
    </row>
    <row r="347" spans="1:1">
      <c r="A347" s="5"/>
    </row>
    <row r="348" spans="1:1">
      <c r="A348" s="5"/>
    </row>
    <row r="349" spans="1:1">
      <c r="A349" s="5"/>
    </row>
    <row r="350" spans="1:1">
      <c r="A350" s="5"/>
    </row>
    <row r="351" spans="1:1">
      <c r="A351" s="5"/>
    </row>
    <row r="352" spans="1:1">
      <c r="A352" s="5"/>
    </row>
    <row r="353" spans="1:1">
      <c r="A353" s="5"/>
    </row>
    <row r="354" spans="1:1">
      <c r="A354" s="5"/>
    </row>
    <row r="355" spans="1:1">
      <c r="A355" s="5"/>
    </row>
    <row r="356" spans="1:1">
      <c r="A356" s="5"/>
    </row>
    <row r="357" spans="1:1">
      <c r="A357" s="5"/>
    </row>
    <row r="358" spans="1:1">
      <c r="A358" s="5"/>
    </row>
    <row r="359" spans="1:1">
      <c r="A359" s="5"/>
    </row>
    <row r="360" spans="1:1">
      <c r="A360" s="5"/>
    </row>
    <row r="361" spans="1:1">
      <c r="A361" s="5"/>
    </row>
    <row r="362" spans="1:1">
      <c r="A362" s="5"/>
    </row>
    <row r="363" spans="1:1">
      <c r="A363" s="5"/>
    </row>
    <row r="364" spans="1:1">
      <c r="A364" s="5"/>
    </row>
    <row r="365" spans="1:1">
      <c r="A365" s="5"/>
    </row>
    <row r="366" spans="1:1">
      <c r="A366" s="5"/>
    </row>
    <row r="367" spans="1:1">
      <c r="A367" s="5"/>
    </row>
  </sheetData>
  <mergeCells count="14">
    <mergeCell ref="A26:Q26"/>
    <mergeCell ref="U4:V4"/>
    <mergeCell ref="A24:G24"/>
    <mergeCell ref="A1:AN1"/>
    <mergeCell ref="A4:G4"/>
    <mergeCell ref="A2:AN2"/>
    <mergeCell ref="A3:AN3"/>
    <mergeCell ref="AF4:AN4"/>
    <mergeCell ref="J4:K4"/>
    <mergeCell ref="N4:O4"/>
    <mergeCell ref="P4:Q4"/>
    <mergeCell ref="S4:T4"/>
    <mergeCell ref="W4:X4"/>
    <mergeCell ref="Y4:Z4"/>
  </mergeCells>
  <printOptions horizontalCentered="1" verticalCentered="1"/>
  <pageMargins left="0.70866141732283472" right="0.70866141732283472" top="0.74803149606299213" bottom="0.74803149606299213" header="0.31496062992125984" footer="0.31496062992125984"/>
  <pageSetup scale="1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920BA4-62D6-435D-983F-FCAD355BFCC4}">
  <dimension ref="A1:AM10"/>
  <sheetViews>
    <sheetView topLeftCell="M4" zoomScale="59" zoomScaleNormal="66" zoomScaleSheetLayoutView="72" workbookViewId="0">
      <selection activeCell="AM12" sqref="AM12"/>
    </sheetView>
  </sheetViews>
  <sheetFormatPr baseColWidth="10" defaultColWidth="9.33203125" defaultRowHeight="18.75"/>
  <cols>
    <col min="1" max="2" width="22.5" style="5" customWidth="1"/>
    <col min="3" max="3" width="38" style="5" customWidth="1"/>
    <col min="4" max="4" width="110.6640625" style="5" customWidth="1"/>
    <col min="5" max="5" width="20.6640625" style="5" customWidth="1"/>
    <col min="6" max="6" width="19.33203125" style="5" customWidth="1"/>
    <col min="7" max="19" width="19.33203125" style="15" customWidth="1"/>
    <col min="20" max="20" width="27" style="20" customWidth="1"/>
    <col min="21" max="31" width="40.5" style="20" customWidth="1"/>
    <col min="32" max="32" width="39.1640625" style="21" customWidth="1"/>
    <col min="33" max="33" width="30.83203125" style="5" customWidth="1"/>
    <col min="34" max="34" width="23.5" style="5" customWidth="1"/>
    <col min="35" max="35" width="23.5" style="13" customWidth="1"/>
    <col min="36" max="37" width="23.5" style="15" customWidth="1"/>
    <col min="38" max="38" width="37" style="15" customWidth="1"/>
    <col min="39" max="39" width="70.5" style="5" customWidth="1"/>
    <col min="40" max="40" width="26" style="5" customWidth="1"/>
    <col min="41" max="16384" width="9.33203125" style="5"/>
  </cols>
  <sheetData>
    <row r="1" spans="1:39" s="11" customFormat="1" ht="63" customHeight="1">
      <c r="A1" s="214"/>
      <c r="B1" s="214"/>
      <c r="C1" s="214"/>
      <c r="D1" s="214"/>
      <c r="E1" s="214"/>
      <c r="F1" s="214"/>
      <c r="G1" s="214"/>
      <c r="H1" s="214"/>
      <c r="I1" s="214"/>
      <c r="J1" s="214"/>
      <c r="K1" s="214"/>
      <c r="L1" s="214"/>
      <c r="M1" s="214"/>
      <c r="N1" s="214"/>
      <c r="O1" s="214"/>
      <c r="P1" s="214"/>
      <c r="Q1" s="214"/>
      <c r="R1" s="214"/>
      <c r="S1" s="214"/>
      <c r="T1" s="214"/>
      <c r="U1" s="214"/>
      <c r="V1" s="214"/>
      <c r="W1" s="214"/>
      <c r="X1" s="214"/>
      <c r="Y1" s="214"/>
      <c r="Z1" s="214"/>
      <c r="AA1" s="214"/>
      <c r="AB1" s="214"/>
      <c r="AC1" s="214"/>
      <c r="AD1" s="214"/>
      <c r="AE1" s="214"/>
      <c r="AF1" s="214"/>
      <c r="AG1" s="214"/>
      <c r="AH1" s="214"/>
      <c r="AI1" s="214"/>
      <c r="AJ1" s="214"/>
      <c r="AK1" s="214"/>
      <c r="AL1" s="214"/>
      <c r="AM1" s="214"/>
    </row>
    <row r="2" spans="1:39" s="9" customFormat="1" ht="60" customHeight="1">
      <c r="A2" s="191" t="s">
        <v>99</v>
      </c>
      <c r="B2" s="192"/>
      <c r="C2" s="192"/>
      <c r="D2" s="192"/>
      <c r="E2" s="192"/>
      <c r="F2" s="192"/>
      <c r="G2" s="192"/>
      <c r="H2" s="192"/>
      <c r="I2" s="192"/>
      <c r="J2" s="192"/>
      <c r="K2" s="192"/>
      <c r="L2" s="192"/>
      <c r="M2" s="192"/>
      <c r="N2" s="192"/>
      <c r="O2" s="192"/>
      <c r="P2" s="192"/>
      <c r="Q2" s="192"/>
      <c r="R2" s="192"/>
      <c r="S2" s="192"/>
      <c r="T2" s="192"/>
      <c r="U2" s="192"/>
      <c r="V2" s="192"/>
      <c r="W2" s="192"/>
      <c r="X2" s="192"/>
      <c r="Y2" s="192"/>
      <c r="Z2" s="192"/>
      <c r="AA2" s="192"/>
      <c r="AB2" s="192"/>
      <c r="AC2" s="192"/>
      <c r="AD2" s="192"/>
      <c r="AE2" s="192"/>
      <c r="AF2" s="192"/>
      <c r="AG2" s="192"/>
      <c r="AH2" s="192"/>
      <c r="AI2" s="192"/>
      <c r="AJ2" s="192"/>
      <c r="AK2" s="192"/>
      <c r="AL2" s="192"/>
      <c r="AM2" s="192"/>
    </row>
    <row r="3" spans="1:39" s="9" customFormat="1" ht="24.75" customHeight="1">
      <c r="A3" s="192" t="s">
        <v>100</v>
      </c>
      <c r="B3" s="192"/>
      <c r="C3" s="192"/>
      <c r="D3" s="192"/>
      <c r="E3" s="192"/>
      <c r="F3" s="192"/>
      <c r="G3" s="192"/>
      <c r="H3" s="192"/>
      <c r="I3" s="192"/>
      <c r="J3" s="192"/>
      <c r="K3" s="192"/>
      <c r="L3" s="192"/>
      <c r="M3" s="192"/>
      <c r="N3" s="192"/>
      <c r="O3" s="192"/>
      <c r="P3" s="192"/>
      <c r="Q3" s="192"/>
      <c r="R3" s="192"/>
      <c r="S3" s="192"/>
      <c r="T3" s="192"/>
      <c r="U3" s="192"/>
      <c r="V3" s="192"/>
      <c r="W3" s="192"/>
      <c r="X3" s="192"/>
      <c r="Y3" s="192"/>
      <c r="Z3" s="192"/>
      <c r="AA3" s="192"/>
      <c r="AB3" s="192"/>
      <c r="AC3" s="192"/>
      <c r="AD3" s="192"/>
      <c r="AE3" s="192"/>
      <c r="AF3" s="192"/>
      <c r="AG3" s="192"/>
      <c r="AH3" s="192"/>
      <c r="AI3" s="192"/>
      <c r="AJ3" s="192"/>
      <c r="AK3" s="192"/>
      <c r="AL3" s="192"/>
      <c r="AM3" s="192"/>
    </row>
    <row r="4" spans="1:39" s="9" customFormat="1" ht="103.9" customHeight="1">
      <c r="A4" s="189" t="s">
        <v>3</v>
      </c>
      <c r="B4" s="190"/>
      <c r="C4" s="190"/>
      <c r="D4" s="190"/>
      <c r="E4" s="190"/>
      <c r="F4" s="190"/>
      <c r="G4" s="215" t="s">
        <v>101</v>
      </c>
      <c r="H4" s="216"/>
      <c r="I4" s="217" t="s">
        <v>102</v>
      </c>
      <c r="J4" s="216"/>
      <c r="K4" s="215" t="s">
        <v>103</v>
      </c>
      <c r="L4" s="216"/>
      <c r="M4" s="218" t="s">
        <v>104</v>
      </c>
      <c r="N4" s="219"/>
      <c r="O4" s="220" t="s">
        <v>105</v>
      </c>
      <c r="P4" s="216"/>
      <c r="Q4" s="109" t="s">
        <v>106</v>
      </c>
      <c r="R4" s="221" t="s">
        <v>107</v>
      </c>
      <c r="S4" s="219"/>
      <c r="T4" s="222" t="s">
        <v>108</v>
      </c>
      <c r="U4" s="223"/>
      <c r="V4" s="224" t="s">
        <v>109</v>
      </c>
      <c r="W4" s="225"/>
      <c r="X4" s="226" t="s">
        <v>110</v>
      </c>
      <c r="Y4" s="223"/>
      <c r="Z4" s="224" t="s">
        <v>111</v>
      </c>
      <c r="AA4" s="225"/>
      <c r="AB4" s="226" t="s">
        <v>8</v>
      </c>
      <c r="AC4" s="223"/>
      <c r="AD4" s="224" t="s">
        <v>112</v>
      </c>
      <c r="AE4" s="225"/>
      <c r="AF4" s="209" t="s">
        <v>21</v>
      </c>
      <c r="AG4" s="210"/>
      <c r="AH4" s="210"/>
      <c r="AI4" s="210"/>
      <c r="AJ4" s="210"/>
      <c r="AK4" s="210"/>
      <c r="AL4" s="210"/>
      <c r="AM4" s="210"/>
    </row>
    <row r="5" spans="1:39" ht="61.9" customHeight="1">
      <c r="A5" s="125" t="s">
        <v>22</v>
      </c>
      <c r="B5" s="125" t="s">
        <v>23</v>
      </c>
      <c r="C5" s="125" t="s">
        <v>24</v>
      </c>
      <c r="D5" s="125" t="s">
        <v>25</v>
      </c>
      <c r="E5" s="1" t="s">
        <v>26</v>
      </c>
      <c r="F5" s="1" t="s">
        <v>27</v>
      </c>
      <c r="G5" s="64" t="s">
        <v>113</v>
      </c>
      <c r="H5" s="65" t="s">
        <v>31</v>
      </c>
      <c r="I5" s="64" t="s">
        <v>113</v>
      </c>
      <c r="J5" s="65" t="s">
        <v>31</v>
      </c>
      <c r="K5" s="64" t="s">
        <v>113</v>
      </c>
      <c r="L5" s="65" t="s">
        <v>31</v>
      </c>
      <c r="M5" s="61" t="s">
        <v>113</v>
      </c>
      <c r="N5" s="62" t="s">
        <v>31</v>
      </c>
      <c r="O5" s="66" t="s">
        <v>113</v>
      </c>
      <c r="P5" s="67" t="s">
        <v>31</v>
      </c>
      <c r="Q5" s="61" t="s">
        <v>113</v>
      </c>
      <c r="R5" s="61" t="s">
        <v>113</v>
      </c>
      <c r="S5" s="63" t="s">
        <v>31</v>
      </c>
      <c r="T5" s="19" t="s">
        <v>113</v>
      </c>
      <c r="U5" s="19" t="s">
        <v>31</v>
      </c>
      <c r="V5" s="19" t="s">
        <v>113</v>
      </c>
      <c r="W5" s="19" t="s">
        <v>31</v>
      </c>
      <c r="X5" s="19" t="s">
        <v>113</v>
      </c>
      <c r="Y5" s="19" t="s">
        <v>31</v>
      </c>
      <c r="Z5" s="19" t="s">
        <v>113</v>
      </c>
      <c r="AA5" s="19" t="s">
        <v>31</v>
      </c>
      <c r="AB5" s="19" t="s">
        <v>113</v>
      </c>
      <c r="AC5" s="19" t="s">
        <v>31</v>
      </c>
      <c r="AD5" s="19" t="s">
        <v>113</v>
      </c>
      <c r="AE5" s="19" t="s">
        <v>31</v>
      </c>
      <c r="AF5" s="157" t="s">
        <v>32</v>
      </c>
      <c r="AG5" s="34" t="s">
        <v>33</v>
      </c>
      <c r="AH5" s="34" t="s">
        <v>34</v>
      </c>
      <c r="AI5" s="36" t="s">
        <v>35</v>
      </c>
      <c r="AJ5" s="135" t="s">
        <v>114</v>
      </c>
      <c r="AK5" s="135" t="s">
        <v>115</v>
      </c>
      <c r="AL5" s="78" t="s">
        <v>116</v>
      </c>
      <c r="AM5" s="37" t="s">
        <v>40</v>
      </c>
    </row>
    <row r="6" spans="1:39" ht="83.1" customHeight="1">
      <c r="A6" s="169">
        <v>1</v>
      </c>
      <c r="B6" s="211" t="s">
        <v>117</v>
      </c>
      <c r="C6" s="170" t="s">
        <v>118</v>
      </c>
      <c r="D6" s="171" t="s">
        <v>119</v>
      </c>
      <c r="E6" s="172" t="s">
        <v>120</v>
      </c>
      <c r="F6" s="4">
        <v>1</v>
      </c>
      <c r="G6" s="43"/>
      <c r="H6" s="43"/>
      <c r="I6" s="43"/>
      <c r="J6" s="43"/>
      <c r="K6" s="43"/>
      <c r="L6" s="43"/>
      <c r="M6" s="43"/>
      <c r="N6" s="43"/>
      <c r="O6" s="43"/>
      <c r="P6" s="43"/>
      <c r="Q6" s="43"/>
      <c r="R6" s="43"/>
      <c r="S6" s="43"/>
      <c r="T6" s="51">
        <v>3500</v>
      </c>
      <c r="U6" s="51">
        <f t="shared" ref="U6" si="0">((T6*5.1%)+T6)</f>
        <v>3678.5</v>
      </c>
      <c r="V6" s="140">
        <v>3200</v>
      </c>
      <c r="W6" s="141">
        <f t="shared" ref="W6" si="1">((V6*5.1%)+V6)</f>
        <v>3363.2</v>
      </c>
      <c r="X6" s="141">
        <v>2500</v>
      </c>
      <c r="Y6" s="141">
        <f t="shared" ref="Y6" si="2">(X6*5.1%)+X6</f>
        <v>2627.5</v>
      </c>
      <c r="Z6" s="141"/>
      <c r="AA6" s="141"/>
      <c r="AB6" s="141"/>
      <c r="AC6" s="141"/>
      <c r="AD6" s="141"/>
      <c r="AE6" s="141"/>
      <c r="AF6" s="41">
        <f>MEDIAN(U6,W6,Y6,AA6,AC6,AE6)</f>
        <v>3363.2</v>
      </c>
      <c r="AG6" s="41">
        <f>AVERAGE(U6,W6,Y6,AA6,AC6,AE6)</f>
        <v>3223.0666666666671</v>
      </c>
      <c r="AH6" s="4">
        <f>STDEV(U6,W6,Y6,AA6,AC6,AE6)</f>
        <v>539.33131128586433</v>
      </c>
      <c r="AI6" s="44">
        <f>AH6/AG6</f>
        <v>0.16733482954717999</v>
      </c>
      <c r="AJ6" s="43">
        <f>+AL6/1.19</f>
        <v>2826.8907563025209</v>
      </c>
      <c r="AK6" s="43">
        <f>+AJ6*19%</f>
        <v>537.10924369747897</v>
      </c>
      <c r="AL6" s="43">
        <f>ROUNDUP(IF(AI6&lt;15%,AG6,AF6),0)</f>
        <v>3364</v>
      </c>
      <c r="AM6" s="22" t="s">
        <v>121</v>
      </c>
    </row>
    <row r="7" spans="1:39" ht="75">
      <c r="A7" s="169">
        <v>2</v>
      </c>
      <c r="B7" s="212"/>
      <c r="C7" s="173" t="s">
        <v>122</v>
      </c>
      <c r="D7" s="174" t="s">
        <v>123</v>
      </c>
      <c r="E7" s="172" t="s">
        <v>120</v>
      </c>
      <c r="F7" s="4">
        <v>1</v>
      </c>
      <c r="G7" s="73"/>
      <c r="H7" s="73"/>
      <c r="I7" s="74"/>
      <c r="J7" s="74"/>
      <c r="K7" s="74"/>
      <c r="L7" s="74"/>
      <c r="M7" s="74"/>
      <c r="N7" s="74"/>
      <c r="O7" s="74"/>
      <c r="P7" s="74"/>
      <c r="Q7" s="74"/>
      <c r="R7" s="74"/>
      <c r="S7" s="74"/>
      <c r="T7" s="51"/>
      <c r="U7" s="51"/>
      <c r="V7" s="140"/>
      <c r="W7" s="140"/>
      <c r="X7" s="140"/>
      <c r="Y7" s="140"/>
      <c r="Z7" s="140">
        <v>6000</v>
      </c>
      <c r="AA7" s="140">
        <f>((Z7*5.1%)+Z7)</f>
        <v>6306</v>
      </c>
      <c r="AB7" s="140">
        <v>5250</v>
      </c>
      <c r="AC7" s="140">
        <f>((AB7*5.1%)+AB7)</f>
        <v>5517.75</v>
      </c>
      <c r="AD7" s="140">
        <v>5000</v>
      </c>
      <c r="AE7" s="140">
        <f>((AD7*5.1%)+AD7)</f>
        <v>5255</v>
      </c>
      <c r="AF7" s="41">
        <f>MEDIAN(U7,W7,Y7,AA7,AC7,AE7)</f>
        <v>5517.75</v>
      </c>
      <c r="AG7" s="41">
        <f>AVERAGE(U7,W7,Y7,AA7,AC7,AE7)</f>
        <v>5692.916666666667</v>
      </c>
      <c r="AH7" s="4">
        <f>STDEV(U7,W7,Y7,AA7,AC7,AE7)</f>
        <v>546.95774135972636</v>
      </c>
      <c r="AI7" s="44">
        <f t="shared" ref="AI7:AI9" si="3">AH7/AG7</f>
        <v>9.6076892283052273E-2</v>
      </c>
      <c r="AJ7" s="43">
        <f t="shared" ref="AJ7:AJ9" si="4">+AL7/1.19</f>
        <v>4784.0336134453783</v>
      </c>
      <c r="AK7" s="43">
        <f t="shared" ref="AK7:AK9" si="5">+AJ7*19%</f>
        <v>908.96638655462186</v>
      </c>
      <c r="AL7" s="43">
        <f t="shared" ref="AL7:AL9" si="6">ROUNDUP(IF(AI7&lt;15%,AG7,AF7),0)</f>
        <v>5693</v>
      </c>
      <c r="AM7" s="22" t="s">
        <v>124</v>
      </c>
    </row>
    <row r="8" spans="1:39" ht="75">
      <c r="A8" s="169">
        <v>3</v>
      </c>
      <c r="B8" s="212"/>
      <c r="C8" s="173" t="s">
        <v>125</v>
      </c>
      <c r="D8" s="174" t="s">
        <v>126</v>
      </c>
      <c r="E8" s="172" t="s">
        <v>120</v>
      </c>
      <c r="F8" s="4">
        <v>1</v>
      </c>
      <c r="G8" s="43"/>
      <c r="H8" s="43"/>
      <c r="I8" s="43"/>
      <c r="J8" s="43"/>
      <c r="K8" s="43"/>
      <c r="L8" s="43"/>
      <c r="M8" s="43"/>
      <c r="N8" s="43"/>
      <c r="O8" s="43"/>
      <c r="P8" s="43"/>
      <c r="Q8" s="43"/>
      <c r="R8" s="43"/>
      <c r="S8" s="43"/>
      <c r="T8" s="51">
        <v>480000</v>
      </c>
      <c r="U8" s="51">
        <f t="shared" ref="U8:U9" si="7">((T8*5.1%)+T8)</f>
        <v>504480</v>
      </c>
      <c r="V8" s="140">
        <v>495000</v>
      </c>
      <c r="W8" s="140">
        <f t="shared" ref="W8:W9" si="8">((V8*5.1%)+V8)</f>
        <v>520245</v>
      </c>
      <c r="X8" s="140"/>
      <c r="Y8" s="140"/>
      <c r="Z8" s="140"/>
      <c r="AA8" s="140"/>
      <c r="AB8" s="140"/>
      <c r="AC8" s="140"/>
      <c r="AD8" s="140"/>
      <c r="AE8" s="140"/>
      <c r="AF8" s="41">
        <f>MEDIAN(U8,W8,Y8,AA8,AC8,AE8)</f>
        <v>512362.5</v>
      </c>
      <c r="AG8" s="41">
        <f>AVERAGE(U8,W8,Y8,AA8,AC8,AE8)</f>
        <v>512362.5</v>
      </c>
      <c r="AH8" s="4">
        <f>STDEV(U8,W8,Y8,AA8,AC8,AE8)</f>
        <v>11147.538405405921</v>
      </c>
      <c r="AI8" s="44">
        <f t="shared" si="3"/>
        <v>2.1757131728816846E-2</v>
      </c>
      <c r="AJ8" s="43">
        <f t="shared" si="4"/>
        <v>430557.1428571429</v>
      </c>
      <c r="AK8" s="43">
        <f t="shared" si="5"/>
        <v>81805.857142857145</v>
      </c>
      <c r="AL8" s="43">
        <f t="shared" si="6"/>
        <v>512363</v>
      </c>
      <c r="AM8" s="22" t="s">
        <v>124</v>
      </c>
    </row>
    <row r="9" spans="1:39" ht="75">
      <c r="A9" s="169">
        <v>4</v>
      </c>
      <c r="B9" s="213"/>
      <c r="C9" s="173" t="s">
        <v>127</v>
      </c>
      <c r="D9" s="174" t="s">
        <v>128</v>
      </c>
      <c r="E9" s="172" t="s">
        <v>120</v>
      </c>
      <c r="F9" s="4">
        <v>1</v>
      </c>
      <c r="G9" s="43"/>
      <c r="H9" s="43"/>
      <c r="I9" s="43"/>
      <c r="J9" s="43"/>
      <c r="K9" s="43"/>
      <c r="L9" s="43"/>
      <c r="M9" s="43"/>
      <c r="N9" s="43"/>
      <c r="O9" s="43"/>
      <c r="P9" s="43"/>
      <c r="Q9" s="43"/>
      <c r="R9" s="43"/>
      <c r="S9" s="43"/>
      <c r="T9" s="51">
        <v>350000</v>
      </c>
      <c r="U9" s="41">
        <f t="shared" si="7"/>
        <v>367850</v>
      </c>
      <c r="V9" s="175">
        <v>350000</v>
      </c>
      <c r="W9" s="175">
        <f t="shared" si="8"/>
        <v>367850</v>
      </c>
      <c r="X9" s="175">
        <v>380000</v>
      </c>
      <c r="Y9" s="175">
        <f t="shared" ref="Y9" si="9">(X9*5.1%)+X9</f>
        <v>399380</v>
      </c>
      <c r="Z9" s="175"/>
      <c r="AA9" s="175"/>
      <c r="AB9" s="175"/>
      <c r="AC9" s="175"/>
      <c r="AD9" s="175"/>
      <c r="AE9" s="175"/>
      <c r="AF9" s="41">
        <f>MEDIAN(U9,W9,Y9,AA9,AC9,AE9)</f>
        <v>367850</v>
      </c>
      <c r="AG9" s="41">
        <f>AVERAGE(U9,W9,Y9,AA9,AC9,AE9)</f>
        <v>378360</v>
      </c>
      <c r="AH9" s="4">
        <f>STDEV(U9,W9,Y9,AA9,AC9,AE9)</f>
        <v>18203.8539875489</v>
      </c>
      <c r="AI9" s="44">
        <f t="shared" si="3"/>
        <v>4.8112522432468816E-2</v>
      </c>
      <c r="AJ9" s="43">
        <f t="shared" si="4"/>
        <v>317949.57983193279</v>
      </c>
      <c r="AK9" s="43">
        <f t="shared" si="5"/>
        <v>60410.420168067227</v>
      </c>
      <c r="AL9" s="43">
        <f t="shared" si="6"/>
        <v>378360</v>
      </c>
      <c r="AM9" s="22" t="s">
        <v>124</v>
      </c>
    </row>
    <row r="10" spans="1:39" ht="27" customHeight="1">
      <c r="A10" s="126" t="s">
        <v>129</v>
      </c>
      <c r="B10" s="126"/>
      <c r="C10" s="84"/>
      <c r="D10" s="85"/>
      <c r="E10" s="84"/>
      <c r="F10" s="84"/>
      <c r="G10" s="110"/>
      <c r="H10" s="110"/>
      <c r="I10" s="110"/>
      <c r="J10" s="110"/>
      <c r="K10" s="110"/>
      <c r="L10" s="110"/>
      <c r="M10" s="110"/>
      <c r="N10" s="110"/>
      <c r="O10" s="110"/>
      <c r="P10" s="110"/>
      <c r="Q10" s="110"/>
      <c r="R10" s="110"/>
      <c r="S10" s="110"/>
      <c r="T10" s="142"/>
      <c r="U10" s="114"/>
      <c r="V10" s="114"/>
      <c r="W10" s="114"/>
      <c r="X10" s="114"/>
      <c r="Y10" s="114"/>
      <c r="Z10" s="114"/>
      <c r="AA10" s="114"/>
      <c r="AB10" s="114"/>
      <c r="AC10" s="114"/>
      <c r="AD10" s="114"/>
      <c r="AE10" s="114"/>
      <c r="AF10" s="85"/>
      <c r="AG10" s="85"/>
      <c r="AH10" s="112"/>
      <c r="AI10" s="88"/>
      <c r="AJ10" s="87">
        <f t="shared" ref="AJ10" si="10">AL10/1.19</f>
        <v>756117.64705882361</v>
      </c>
      <c r="AK10" s="87">
        <f t="shared" ref="AK10" si="11">AJ10*19%</f>
        <v>143662.35294117648</v>
      </c>
      <c r="AL10" s="87">
        <f>SUM(AL6:AL9)</f>
        <v>899780</v>
      </c>
      <c r="AM10" s="112"/>
    </row>
  </sheetData>
  <autoFilter ref="A5:AG10" xr:uid="{00000000-0009-0000-0000-000002000000}"/>
  <mergeCells count="18">
    <mergeCell ref="AB4:AC4"/>
    <mergeCell ref="AD4:AE4"/>
    <mergeCell ref="AF4:AM4"/>
    <mergeCell ref="B6:B9"/>
    <mergeCell ref="A1:AM1"/>
    <mergeCell ref="A2:AM2"/>
    <mergeCell ref="A3:AM3"/>
    <mergeCell ref="A4:F4"/>
    <mergeCell ref="G4:H4"/>
    <mergeCell ref="I4:J4"/>
    <mergeCell ref="K4:L4"/>
    <mergeCell ref="M4:N4"/>
    <mergeCell ref="O4:P4"/>
    <mergeCell ref="R4:S4"/>
    <mergeCell ref="T4:U4"/>
    <mergeCell ref="V4:W4"/>
    <mergeCell ref="X4:Y4"/>
    <mergeCell ref="Z4:AA4"/>
  </mergeCells>
  <printOptions horizontalCentered="1" verticalCentered="1"/>
  <pageMargins left="0.70866141732283472" right="0.70866141732283472" top="0.74803149606299213" bottom="0.74803149606299213" header="0.31496062992125984" footer="0.31496062992125984"/>
  <pageSetup scale="12"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20"/>
  <sheetViews>
    <sheetView topLeftCell="T1" zoomScale="59" zoomScaleNormal="66" zoomScaleSheetLayoutView="72" workbookViewId="0">
      <pane ySplit="4" topLeftCell="A5" activePane="bottomLeft" state="frozen"/>
      <selection pane="bottomLeft" activeCell="A3" sqref="A3:AB3"/>
    </sheetView>
  </sheetViews>
  <sheetFormatPr baseColWidth="10" defaultColWidth="9.33203125" defaultRowHeight="18.75"/>
  <cols>
    <col min="1" max="2" width="22.5" style="5" customWidth="1"/>
    <col min="3" max="3" width="38" style="5" customWidth="1"/>
    <col min="4" max="4" width="110.6640625" style="5" customWidth="1"/>
    <col min="5" max="5" width="20.6640625" style="5" customWidth="1"/>
    <col min="6" max="6" width="19.33203125" style="5" customWidth="1"/>
    <col min="7" max="16" width="19.33203125" style="15" customWidth="1"/>
    <col min="17" max="20" width="40.5" style="39" customWidth="1"/>
    <col min="21" max="21" width="39.1640625" style="21" customWidth="1"/>
    <col min="22" max="22" width="30.83203125" style="5" customWidth="1"/>
    <col min="23" max="23" width="23.5" style="21" customWidth="1"/>
    <col min="24" max="24" width="23.5" style="13" customWidth="1"/>
    <col min="25" max="25" width="23.5" style="21" customWidth="1"/>
    <col min="26" max="26" width="23.5" style="5" customWidth="1"/>
    <col min="27" max="27" width="29.5" style="15" customWidth="1"/>
    <col min="28" max="28" width="70.5" style="5" customWidth="1"/>
    <col min="29" max="29" width="26" style="5" customWidth="1"/>
    <col min="30" max="16384" width="9.33203125" style="5"/>
  </cols>
  <sheetData>
    <row r="1" spans="1:28" s="11" customFormat="1" ht="63" customHeight="1">
      <c r="A1" s="214"/>
      <c r="B1" s="214"/>
      <c r="C1" s="214"/>
      <c r="D1" s="214"/>
      <c r="E1" s="214"/>
      <c r="F1" s="214"/>
      <c r="G1" s="214"/>
      <c r="H1" s="214"/>
      <c r="I1" s="214"/>
      <c r="J1" s="214"/>
      <c r="K1" s="214"/>
      <c r="L1" s="214"/>
      <c r="M1" s="214"/>
      <c r="N1" s="214"/>
      <c r="O1" s="214"/>
      <c r="P1" s="214"/>
      <c r="Q1" s="214"/>
      <c r="R1" s="214"/>
      <c r="S1" s="214"/>
      <c r="T1" s="214"/>
      <c r="U1" s="214"/>
      <c r="V1" s="214"/>
      <c r="W1" s="214"/>
      <c r="X1" s="214"/>
      <c r="Y1" s="214"/>
      <c r="Z1" s="214"/>
      <c r="AA1" s="214"/>
      <c r="AB1" s="214"/>
    </row>
    <row r="2" spans="1:28" s="9" customFormat="1" ht="60" customHeight="1">
      <c r="A2" s="191" t="s">
        <v>99</v>
      </c>
      <c r="B2" s="192"/>
      <c r="C2" s="192"/>
      <c r="D2" s="192"/>
      <c r="E2" s="192"/>
      <c r="F2" s="192"/>
      <c r="G2" s="192"/>
      <c r="H2" s="192"/>
      <c r="I2" s="192"/>
      <c r="J2" s="192"/>
      <c r="K2" s="192"/>
      <c r="L2" s="192"/>
      <c r="M2" s="192"/>
      <c r="N2" s="192"/>
      <c r="O2" s="192"/>
      <c r="P2" s="192"/>
      <c r="Q2" s="192"/>
      <c r="R2" s="192"/>
      <c r="S2" s="192"/>
      <c r="T2" s="192"/>
      <c r="U2" s="192"/>
      <c r="V2" s="192"/>
      <c r="W2" s="192"/>
      <c r="X2" s="192"/>
      <c r="Y2" s="192"/>
      <c r="Z2" s="192"/>
      <c r="AA2" s="192"/>
      <c r="AB2" s="192"/>
    </row>
    <row r="3" spans="1:28" s="9" customFormat="1" ht="24.75" customHeight="1">
      <c r="A3" s="192" t="s">
        <v>100</v>
      </c>
      <c r="B3" s="192"/>
      <c r="C3" s="192"/>
      <c r="D3" s="192"/>
      <c r="E3" s="192"/>
      <c r="F3" s="192"/>
      <c r="G3" s="192"/>
      <c r="H3" s="192"/>
      <c r="I3" s="192"/>
      <c r="J3" s="192"/>
      <c r="K3" s="192"/>
      <c r="L3" s="192"/>
      <c r="M3" s="192"/>
      <c r="N3" s="192"/>
      <c r="O3" s="192"/>
      <c r="P3" s="192"/>
      <c r="Q3" s="192"/>
      <c r="R3" s="192"/>
      <c r="S3" s="192"/>
      <c r="T3" s="192"/>
      <c r="U3" s="192"/>
      <c r="V3" s="192"/>
      <c r="W3" s="192"/>
      <c r="X3" s="192"/>
      <c r="Y3" s="192"/>
      <c r="Z3" s="192"/>
      <c r="AA3" s="192"/>
      <c r="AB3" s="192"/>
    </row>
    <row r="4" spans="1:28" s="9" customFormat="1" ht="103.9" customHeight="1">
      <c r="A4" s="189" t="s">
        <v>3</v>
      </c>
      <c r="B4" s="190"/>
      <c r="C4" s="190"/>
      <c r="D4" s="190"/>
      <c r="E4" s="190"/>
      <c r="F4" s="190"/>
      <c r="G4" s="215" t="s">
        <v>101</v>
      </c>
      <c r="H4" s="216"/>
      <c r="I4" s="228" t="s">
        <v>102</v>
      </c>
      <c r="J4" s="229"/>
      <c r="K4" s="215" t="s">
        <v>103</v>
      </c>
      <c r="L4" s="216"/>
      <c r="M4" s="230" t="s">
        <v>105</v>
      </c>
      <c r="N4" s="231"/>
      <c r="O4" s="232" t="s">
        <v>107</v>
      </c>
      <c r="P4" s="233"/>
      <c r="Q4" s="153" t="s">
        <v>16</v>
      </c>
      <c r="R4" s="150" t="s">
        <v>17</v>
      </c>
      <c r="S4" s="153" t="s">
        <v>18</v>
      </c>
      <c r="T4" s="150" t="s">
        <v>130</v>
      </c>
      <c r="U4" s="209" t="s">
        <v>21</v>
      </c>
      <c r="V4" s="210"/>
      <c r="W4" s="210"/>
      <c r="X4" s="210"/>
      <c r="Y4" s="210"/>
      <c r="Z4" s="210"/>
      <c r="AA4" s="210"/>
      <c r="AB4" s="210"/>
    </row>
    <row r="5" spans="1:28" ht="61.9" customHeight="1">
      <c r="A5" s="1" t="s">
        <v>22</v>
      </c>
      <c r="B5" s="1" t="s">
        <v>23</v>
      </c>
      <c r="C5" s="1" t="s">
        <v>24</v>
      </c>
      <c r="D5" s="1" t="s">
        <v>25</v>
      </c>
      <c r="E5" s="1" t="s">
        <v>26</v>
      </c>
      <c r="F5" s="1" t="s">
        <v>27</v>
      </c>
      <c r="G5" s="64" t="s">
        <v>113</v>
      </c>
      <c r="H5" s="65" t="s">
        <v>31</v>
      </c>
      <c r="I5" s="64" t="s">
        <v>113</v>
      </c>
      <c r="J5" s="65" t="s">
        <v>31</v>
      </c>
      <c r="K5" s="64" t="s">
        <v>113</v>
      </c>
      <c r="L5" s="65" t="s">
        <v>31</v>
      </c>
      <c r="M5" s="66" t="s">
        <v>113</v>
      </c>
      <c r="N5" s="67" t="s">
        <v>31</v>
      </c>
      <c r="O5" s="61" t="s">
        <v>113</v>
      </c>
      <c r="P5" s="63" t="s">
        <v>31</v>
      </c>
      <c r="Q5" s="18" t="s">
        <v>29</v>
      </c>
      <c r="R5" s="18" t="s">
        <v>29</v>
      </c>
      <c r="S5" s="18" t="s">
        <v>29</v>
      </c>
      <c r="T5" s="18" t="s">
        <v>29</v>
      </c>
      <c r="U5" s="34" t="s">
        <v>32</v>
      </c>
      <c r="V5" s="34" t="s">
        <v>33</v>
      </c>
      <c r="W5" s="158" t="s">
        <v>34</v>
      </c>
      <c r="X5" s="36" t="s">
        <v>35</v>
      </c>
      <c r="Y5" s="159" t="s">
        <v>114</v>
      </c>
      <c r="Z5" s="77" t="s">
        <v>131</v>
      </c>
      <c r="AA5" s="78" t="s">
        <v>116</v>
      </c>
      <c r="AB5" s="37" t="s">
        <v>40</v>
      </c>
    </row>
    <row r="6" spans="1:28" ht="66" customHeight="1">
      <c r="A6" s="2">
        <v>1</v>
      </c>
      <c r="B6" s="227" t="s">
        <v>132</v>
      </c>
      <c r="C6" s="40" t="s">
        <v>133</v>
      </c>
      <c r="D6" s="54" t="s">
        <v>134</v>
      </c>
      <c r="E6" s="2" t="s">
        <v>135</v>
      </c>
      <c r="F6" s="4">
        <v>1</v>
      </c>
      <c r="G6" s="43"/>
      <c r="H6" s="43"/>
      <c r="I6" s="43"/>
      <c r="J6" s="43"/>
      <c r="K6" s="43"/>
      <c r="L6" s="43"/>
      <c r="M6" s="43"/>
      <c r="N6" s="43"/>
      <c r="O6" s="43"/>
      <c r="P6" s="43"/>
      <c r="Q6" s="68">
        <v>109000</v>
      </c>
      <c r="R6" s="69">
        <v>78500</v>
      </c>
      <c r="S6" s="70">
        <v>79834.720000000001</v>
      </c>
      <c r="T6" s="70"/>
      <c r="U6" s="41">
        <f>MEDIAN(H6,J6,L6,N6,Q6,R6,S6,P6,T6)</f>
        <v>79834.720000000001</v>
      </c>
      <c r="V6" s="41">
        <f>AVERAGE(H6,J6,L6,N6,Q6,R6,S6,P6,T6)</f>
        <v>89111.573333333319</v>
      </c>
      <c r="W6" s="52">
        <f>STDEV(H6,J6,L6,N6,Q6,R6,S6,P6,T6)</f>
        <v>17236.806717780924</v>
      </c>
      <c r="X6" s="44">
        <f>W6/V6</f>
        <v>0.1934294960016521</v>
      </c>
      <c r="Y6" s="52">
        <f>AA6/1.19</f>
        <v>67088.23529411765</v>
      </c>
      <c r="Z6" s="134">
        <f>+Y6*19%</f>
        <v>12746.764705882353</v>
      </c>
      <c r="AA6" s="43">
        <f>ROUNDUP(IF(X6&lt;15%,V6,U6),0)</f>
        <v>79835</v>
      </c>
      <c r="AB6" s="22" t="s">
        <v>78</v>
      </c>
    </row>
    <row r="7" spans="1:28" ht="75">
      <c r="A7" s="2">
        <v>2</v>
      </c>
      <c r="B7" s="227"/>
      <c r="C7" s="40" t="s">
        <v>136</v>
      </c>
      <c r="D7" s="54" t="s">
        <v>137</v>
      </c>
      <c r="E7" s="168" t="s">
        <v>44</v>
      </c>
      <c r="F7" s="4">
        <v>1</v>
      </c>
      <c r="G7" s="73">
        <v>178400</v>
      </c>
      <c r="H7" s="73">
        <f t="shared" ref="H7" si="0">((G7*5.1%)+G7)</f>
        <v>187498.4</v>
      </c>
      <c r="I7" s="74">
        <v>160000</v>
      </c>
      <c r="J7" s="74">
        <f>((I7*5.1%)+I7)</f>
        <v>168160</v>
      </c>
      <c r="K7" s="74">
        <v>165000</v>
      </c>
      <c r="L7" s="74">
        <f>((K7*5.1%)+K7)</f>
        <v>173415</v>
      </c>
      <c r="M7" s="74"/>
      <c r="N7" s="74"/>
      <c r="O7" s="74"/>
      <c r="P7" s="74"/>
      <c r="Q7" s="68"/>
      <c r="R7" s="69"/>
      <c r="S7" s="69"/>
      <c r="T7" s="69"/>
      <c r="U7" s="41">
        <f t="shared" ref="U7:U19" si="1">MEDIAN(H7,J7,L7,N7,Q7,R7,S7,P7,T7)</f>
        <v>173415</v>
      </c>
      <c r="V7" s="41">
        <f t="shared" ref="V7:V19" si="2">AVERAGE(H7,J7,L7,N7,Q7,R7,S7,P7,T7)</f>
        <v>176357.80000000002</v>
      </c>
      <c r="W7" s="52">
        <f t="shared" ref="W7:W19" si="3">STDEV(H7,J7,L7,N7,Q7,R7,S7,P7,T7)</f>
        <v>9999.4241094174977</v>
      </c>
      <c r="X7" s="44">
        <f t="shared" ref="X7:X19" si="4">W7/V7</f>
        <v>5.6699641917836899E-2</v>
      </c>
      <c r="Y7" s="52">
        <f>AA7/1.19</f>
        <v>148200</v>
      </c>
      <c r="Z7" s="108">
        <f>Y7*19%</f>
        <v>28158</v>
      </c>
      <c r="AA7" s="43">
        <f t="shared" ref="AA7:AA8" si="5">ROUNDUP(IF(X7&lt;15%,V7,U7),0)</f>
        <v>176358</v>
      </c>
      <c r="AB7" s="22" t="s">
        <v>49</v>
      </c>
    </row>
    <row r="8" spans="1:28" ht="56.25">
      <c r="A8" s="2">
        <v>3</v>
      </c>
      <c r="B8" s="227"/>
      <c r="C8" s="40" t="s">
        <v>138</v>
      </c>
      <c r="D8" s="54" t="s">
        <v>139</v>
      </c>
      <c r="E8" s="168" t="s">
        <v>44</v>
      </c>
      <c r="F8" s="4">
        <v>1</v>
      </c>
      <c r="G8" s="43"/>
      <c r="H8" s="43"/>
      <c r="I8" s="43"/>
      <c r="J8" s="43"/>
      <c r="K8" s="43"/>
      <c r="L8" s="43"/>
      <c r="M8" s="43"/>
      <c r="N8" s="43"/>
      <c r="O8" s="43"/>
      <c r="P8" s="43"/>
      <c r="Q8" s="68">
        <v>11200</v>
      </c>
      <c r="R8" s="69">
        <v>14050</v>
      </c>
      <c r="S8" s="69">
        <v>13447</v>
      </c>
      <c r="T8" s="69"/>
      <c r="U8" s="41">
        <f t="shared" si="1"/>
        <v>13447</v>
      </c>
      <c r="V8" s="41">
        <f t="shared" si="2"/>
        <v>12899</v>
      </c>
      <c r="W8" s="52">
        <f t="shared" si="3"/>
        <v>1501.9497328472748</v>
      </c>
      <c r="X8" s="44">
        <f t="shared" si="4"/>
        <v>0.11643923814615667</v>
      </c>
      <c r="Y8" s="52">
        <f t="shared" ref="Y8:Y20" si="6">AA8/1.19</f>
        <v>10839.495798319329</v>
      </c>
      <c r="Z8" s="108">
        <f t="shared" ref="Z8:Z20" si="7">Y8*19%</f>
        <v>2059.5042016806724</v>
      </c>
      <c r="AA8" s="43">
        <f t="shared" si="5"/>
        <v>12899</v>
      </c>
      <c r="AB8" s="22" t="s">
        <v>140</v>
      </c>
    </row>
    <row r="9" spans="1:28" ht="56.25">
      <c r="A9" s="2">
        <v>4</v>
      </c>
      <c r="B9" s="227"/>
      <c r="C9" s="40" t="s">
        <v>141</v>
      </c>
      <c r="D9" s="54" t="s">
        <v>142</v>
      </c>
      <c r="E9" s="2" t="s">
        <v>143</v>
      </c>
      <c r="F9" s="4">
        <v>1</v>
      </c>
      <c r="G9" s="43"/>
      <c r="H9" s="43"/>
      <c r="I9" s="43"/>
      <c r="J9" s="43"/>
      <c r="K9" s="43"/>
      <c r="L9" s="43"/>
      <c r="M9" s="43"/>
      <c r="N9" s="43"/>
      <c r="O9" s="43"/>
      <c r="P9" s="43"/>
      <c r="Q9" s="71">
        <v>84490</v>
      </c>
      <c r="R9" s="72">
        <v>85000</v>
      </c>
      <c r="S9" s="72">
        <v>49047.040000000001</v>
      </c>
      <c r="T9" s="72"/>
      <c r="U9" s="41">
        <f t="shared" si="1"/>
        <v>84490</v>
      </c>
      <c r="V9" s="41">
        <f t="shared" si="2"/>
        <v>72845.680000000008</v>
      </c>
      <c r="W9" s="52">
        <f t="shared" si="3"/>
        <v>20611.804248711473</v>
      </c>
      <c r="X9" s="44">
        <f t="shared" si="4"/>
        <v>0.28295163486306218</v>
      </c>
      <c r="Y9" s="52">
        <f t="shared" si="6"/>
        <v>71000</v>
      </c>
      <c r="Z9" s="108">
        <f t="shared" si="7"/>
        <v>13490</v>
      </c>
      <c r="AA9" s="43">
        <f>ROUNDUP(IF(X9&lt;15%,V9,U9),0)</f>
        <v>84490</v>
      </c>
      <c r="AB9" s="22" t="s">
        <v>78</v>
      </c>
    </row>
    <row r="10" spans="1:28" ht="75">
      <c r="A10" s="2">
        <v>5</v>
      </c>
      <c r="B10" s="227"/>
      <c r="C10" s="40" t="s">
        <v>144</v>
      </c>
      <c r="D10" s="54" t="s">
        <v>145</v>
      </c>
      <c r="E10" s="2" t="s">
        <v>135</v>
      </c>
      <c r="F10" s="4">
        <v>1</v>
      </c>
      <c r="G10" s="43"/>
      <c r="H10" s="43"/>
      <c r="I10" s="43"/>
      <c r="J10" s="43"/>
      <c r="K10" s="43"/>
      <c r="L10" s="43"/>
      <c r="M10" s="43"/>
      <c r="N10" s="43"/>
      <c r="O10" s="43"/>
      <c r="P10" s="43"/>
      <c r="Q10" s="71">
        <v>95200</v>
      </c>
      <c r="R10" s="39">
        <v>102340</v>
      </c>
      <c r="S10" s="72">
        <v>91829.92</v>
      </c>
      <c r="T10" s="72">
        <v>101150</v>
      </c>
      <c r="U10" s="41">
        <f t="shared" si="1"/>
        <v>98175</v>
      </c>
      <c r="V10" s="41">
        <f t="shared" si="2"/>
        <v>97629.98</v>
      </c>
      <c r="W10" s="52">
        <f t="shared" si="3"/>
        <v>4970.591111890014</v>
      </c>
      <c r="X10" s="44">
        <f t="shared" si="4"/>
        <v>5.0912548705735819E-2</v>
      </c>
      <c r="Y10" s="52">
        <f t="shared" si="6"/>
        <v>82042.016806722691</v>
      </c>
      <c r="Z10" s="108">
        <f t="shared" si="7"/>
        <v>15587.983193277312</v>
      </c>
      <c r="AA10" s="43">
        <f t="shared" ref="AA10:AA19" si="8">ROUNDUP(IF(X10&lt;15%,V10,U10),0)</f>
        <v>97630</v>
      </c>
      <c r="AB10" s="22" t="s">
        <v>74</v>
      </c>
    </row>
    <row r="11" spans="1:28" ht="109.9" customHeight="1">
      <c r="A11" s="2">
        <v>6</v>
      </c>
      <c r="B11" s="227"/>
      <c r="C11" s="40" t="s">
        <v>146</v>
      </c>
      <c r="D11" s="54" t="s">
        <v>147</v>
      </c>
      <c r="E11" s="2" t="s">
        <v>135</v>
      </c>
      <c r="F11" s="4">
        <v>1</v>
      </c>
      <c r="G11" s="43"/>
      <c r="H11" s="43"/>
      <c r="I11" s="43"/>
      <c r="J11" s="43"/>
      <c r="K11" s="43"/>
      <c r="L11" s="43"/>
      <c r="M11" s="43"/>
      <c r="N11" s="43"/>
      <c r="O11" s="43"/>
      <c r="P11" s="43"/>
      <c r="Q11" s="71">
        <v>476000</v>
      </c>
      <c r="R11" s="72">
        <v>500000</v>
      </c>
      <c r="S11" s="72">
        <v>483140</v>
      </c>
      <c r="T11" s="72"/>
      <c r="U11" s="41">
        <f t="shared" si="1"/>
        <v>483140</v>
      </c>
      <c r="V11" s="41">
        <f t="shared" si="2"/>
        <v>486380</v>
      </c>
      <c r="W11" s="52">
        <f t="shared" si="3"/>
        <v>12323.684513975519</v>
      </c>
      <c r="X11" s="44">
        <f t="shared" si="4"/>
        <v>2.5337564278908504E-2</v>
      </c>
      <c r="Y11" s="52">
        <f t="shared" si="6"/>
        <v>408722.68907563027</v>
      </c>
      <c r="Z11" s="108">
        <f t="shared" si="7"/>
        <v>77657.310924369755</v>
      </c>
      <c r="AA11" s="43">
        <f t="shared" si="8"/>
        <v>486380</v>
      </c>
      <c r="AB11" s="22" t="s">
        <v>74</v>
      </c>
    </row>
    <row r="12" spans="1:28" ht="75">
      <c r="A12" s="2">
        <v>7</v>
      </c>
      <c r="B12" s="227"/>
      <c r="C12" s="40" t="s">
        <v>148</v>
      </c>
      <c r="D12" s="54" t="s">
        <v>149</v>
      </c>
      <c r="E12" s="2" t="s">
        <v>135</v>
      </c>
      <c r="F12" s="4">
        <v>1</v>
      </c>
      <c r="G12" s="43"/>
      <c r="H12" s="43"/>
      <c r="I12" s="43"/>
      <c r="J12" s="43"/>
      <c r="K12" s="43"/>
      <c r="L12" s="43"/>
      <c r="M12" s="43"/>
      <c r="N12" s="43"/>
      <c r="O12" s="43"/>
      <c r="P12" s="43"/>
      <c r="Q12" s="71">
        <v>152000</v>
      </c>
      <c r="R12" s="72">
        <v>165000</v>
      </c>
      <c r="S12" s="72">
        <v>180880</v>
      </c>
      <c r="T12" s="72"/>
      <c r="U12" s="41">
        <f t="shared" si="1"/>
        <v>165000</v>
      </c>
      <c r="V12" s="41">
        <f t="shared" si="2"/>
        <v>165960</v>
      </c>
      <c r="W12" s="52">
        <f t="shared" si="3"/>
        <v>14463.913716556803</v>
      </c>
      <c r="X12" s="44">
        <f t="shared" si="4"/>
        <v>8.7153011066261762E-2</v>
      </c>
      <c r="Y12" s="52">
        <f t="shared" si="6"/>
        <v>139462.18487394959</v>
      </c>
      <c r="Z12" s="108">
        <f t="shared" si="7"/>
        <v>26497.815126050424</v>
      </c>
      <c r="AA12" s="43">
        <f t="shared" si="8"/>
        <v>165960</v>
      </c>
      <c r="AB12" s="22" t="s">
        <v>74</v>
      </c>
    </row>
    <row r="13" spans="1:28" ht="37.5">
      <c r="A13" s="2">
        <v>8</v>
      </c>
      <c r="B13" s="227"/>
      <c r="C13" s="40" t="s">
        <v>150</v>
      </c>
      <c r="D13" s="54" t="s">
        <v>151</v>
      </c>
      <c r="E13" s="2" t="s">
        <v>135</v>
      </c>
      <c r="F13" s="4">
        <v>1</v>
      </c>
      <c r="G13" s="43"/>
      <c r="H13" s="43"/>
      <c r="I13" s="43"/>
      <c r="J13" s="43"/>
      <c r="K13" s="43"/>
      <c r="L13" s="43"/>
      <c r="M13" s="43"/>
      <c r="N13" s="43"/>
      <c r="O13" s="43"/>
      <c r="P13" s="43"/>
      <c r="Q13" s="71">
        <v>78000</v>
      </c>
      <c r="R13" s="72">
        <v>65000</v>
      </c>
      <c r="S13" s="72">
        <v>87465</v>
      </c>
      <c r="T13" s="72">
        <v>83300</v>
      </c>
      <c r="U13" s="41">
        <f t="shared" si="1"/>
        <v>80650</v>
      </c>
      <c r="V13" s="41">
        <f t="shared" si="2"/>
        <v>78441.25</v>
      </c>
      <c r="W13" s="52">
        <f t="shared" si="3"/>
        <v>9762.1278204771188</v>
      </c>
      <c r="X13" s="44">
        <f t="shared" si="4"/>
        <v>0.12445145660576698</v>
      </c>
      <c r="Y13" s="52">
        <f t="shared" si="6"/>
        <v>65917.647058823539</v>
      </c>
      <c r="Z13" s="108">
        <f t="shared" si="7"/>
        <v>12524.352941176472</v>
      </c>
      <c r="AA13" s="43">
        <f t="shared" si="8"/>
        <v>78442</v>
      </c>
      <c r="AB13" s="22" t="s">
        <v>74</v>
      </c>
    </row>
    <row r="14" spans="1:28" ht="75">
      <c r="A14" s="2">
        <v>9</v>
      </c>
      <c r="B14" s="227"/>
      <c r="C14" s="40" t="s">
        <v>152</v>
      </c>
      <c r="D14" s="54" t="s">
        <v>153</v>
      </c>
      <c r="E14" s="2" t="s">
        <v>135</v>
      </c>
      <c r="F14" s="4">
        <v>1</v>
      </c>
      <c r="G14" s="43">
        <v>99900</v>
      </c>
      <c r="H14" s="43">
        <v>104994.9</v>
      </c>
      <c r="I14" s="43"/>
      <c r="J14" s="43"/>
      <c r="K14" s="43">
        <v>100000</v>
      </c>
      <c r="L14" s="43">
        <v>105100</v>
      </c>
      <c r="M14" s="43"/>
      <c r="N14" s="43"/>
      <c r="O14" s="43">
        <v>110000</v>
      </c>
      <c r="P14" s="43">
        <v>115610</v>
      </c>
      <c r="Q14" s="71"/>
      <c r="R14" s="72"/>
      <c r="S14" s="72"/>
      <c r="T14" s="72"/>
      <c r="U14" s="41">
        <f t="shared" si="1"/>
        <v>105100</v>
      </c>
      <c r="V14" s="41">
        <f t="shared" si="2"/>
        <v>108568.3</v>
      </c>
      <c r="W14" s="52">
        <f t="shared" si="3"/>
        <v>6098.5174977202469</v>
      </c>
      <c r="X14" s="44">
        <f t="shared" si="4"/>
        <v>5.6172174545610888E-2</v>
      </c>
      <c r="Y14" s="52">
        <f t="shared" si="6"/>
        <v>91234.45378151261</v>
      </c>
      <c r="Z14" s="108">
        <f t="shared" si="7"/>
        <v>17334.546218487398</v>
      </c>
      <c r="AA14" s="43">
        <f t="shared" si="8"/>
        <v>108569</v>
      </c>
      <c r="AB14" s="22" t="s">
        <v>49</v>
      </c>
    </row>
    <row r="15" spans="1:28" ht="75.400000000000006" customHeight="1">
      <c r="A15" s="2">
        <v>10</v>
      </c>
      <c r="B15" s="227"/>
      <c r="C15" s="40" t="s">
        <v>154</v>
      </c>
      <c r="D15" s="54" t="s">
        <v>155</v>
      </c>
      <c r="E15" s="2" t="s">
        <v>135</v>
      </c>
      <c r="F15" s="4">
        <v>1</v>
      </c>
      <c r="G15" s="43"/>
      <c r="H15" s="43"/>
      <c r="I15" s="43"/>
      <c r="J15" s="43"/>
      <c r="K15" s="43"/>
      <c r="L15" s="43"/>
      <c r="M15" s="43"/>
      <c r="N15" s="43"/>
      <c r="O15" s="43"/>
      <c r="P15" s="43"/>
      <c r="Q15" s="71">
        <v>3570</v>
      </c>
      <c r="R15" s="72">
        <v>4760</v>
      </c>
      <c r="S15" s="72">
        <v>2380</v>
      </c>
      <c r="T15" s="72">
        <v>2975</v>
      </c>
      <c r="U15" s="41">
        <f t="shared" si="1"/>
        <v>3272.5</v>
      </c>
      <c r="V15" s="41">
        <f t="shared" si="2"/>
        <v>3421.25</v>
      </c>
      <c r="W15" s="52">
        <f t="shared" si="3"/>
        <v>1016.1559509576601</v>
      </c>
      <c r="X15" s="44">
        <f t="shared" si="4"/>
        <v>0.29701306567998836</v>
      </c>
      <c r="Y15" s="52">
        <f t="shared" si="6"/>
        <v>2750.4201680672272</v>
      </c>
      <c r="Z15" s="108">
        <f t="shared" si="7"/>
        <v>522.57983193277323</v>
      </c>
      <c r="AA15" s="43">
        <f t="shared" si="8"/>
        <v>3273</v>
      </c>
      <c r="AB15" s="22" t="s">
        <v>78</v>
      </c>
    </row>
    <row r="16" spans="1:28" ht="99" customHeight="1">
      <c r="A16" s="2">
        <v>11</v>
      </c>
      <c r="B16" s="227"/>
      <c r="C16" s="40" t="s">
        <v>156</v>
      </c>
      <c r="D16" s="54" t="s">
        <v>157</v>
      </c>
      <c r="E16" s="2" t="s">
        <v>135</v>
      </c>
      <c r="F16" s="4">
        <v>1</v>
      </c>
      <c r="G16" s="43">
        <v>41900</v>
      </c>
      <c r="H16" s="43">
        <f>+(G16*5.1%)+G16</f>
        <v>44036.9</v>
      </c>
      <c r="I16" s="43"/>
      <c r="J16" s="43"/>
      <c r="K16" s="43">
        <v>32900</v>
      </c>
      <c r="L16" s="43">
        <f>+(K16*5.1%)+K16</f>
        <v>34577.9</v>
      </c>
      <c r="M16" s="43">
        <v>34990</v>
      </c>
      <c r="N16" s="43">
        <f>+(M16*5.1%)+M16</f>
        <v>36774.49</v>
      </c>
      <c r="O16" s="43"/>
      <c r="P16" s="43"/>
      <c r="Q16" s="71"/>
      <c r="R16" s="72"/>
      <c r="S16" s="72"/>
      <c r="T16" s="72"/>
      <c r="U16" s="41">
        <f t="shared" si="1"/>
        <v>36774.49</v>
      </c>
      <c r="V16" s="41">
        <f t="shared" si="2"/>
        <v>38463.096666666672</v>
      </c>
      <c r="W16" s="52">
        <f t="shared" si="3"/>
        <v>4950.4256994760408</v>
      </c>
      <c r="X16" s="44">
        <f t="shared" si="4"/>
        <v>0.12870585388321673</v>
      </c>
      <c r="Y16" s="52">
        <f t="shared" si="6"/>
        <v>32322.689075630253</v>
      </c>
      <c r="Z16" s="108">
        <f t="shared" si="7"/>
        <v>6141.3109243697481</v>
      </c>
      <c r="AA16" s="43">
        <f>ROUNDUP(IF(X16&lt;15%,V16,U16),0)</f>
        <v>38464</v>
      </c>
      <c r="AB16" s="22" t="s">
        <v>49</v>
      </c>
    </row>
    <row r="17" spans="1:29" ht="93.4" customHeight="1">
      <c r="A17" s="2">
        <v>12</v>
      </c>
      <c r="B17" s="227"/>
      <c r="C17" s="40" t="s">
        <v>158</v>
      </c>
      <c r="D17" s="54" t="s">
        <v>159</v>
      </c>
      <c r="E17" s="2" t="s">
        <v>135</v>
      </c>
      <c r="F17" s="4">
        <v>1</v>
      </c>
      <c r="G17" s="43"/>
      <c r="H17" s="43"/>
      <c r="I17" s="43">
        <v>8000</v>
      </c>
      <c r="J17" s="43">
        <v>8408</v>
      </c>
      <c r="K17" s="43"/>
      <c r="L17" s="43"/>
      <c r="M17" s="43">
        <v>9490</v>
      </c>
      <c r="N17" s="43">
        <v>9973.99</v>
      </c>
      <c r="O17" s="43">
        <v>8000</v>
      </c>
      <c r="P17" s="43">
        <v>8408</v>
      </c>
      <c r="Q17" s="71"/>
      <c r="R17" s="72"/>
      <c r="S17" s="72"/>
      <c r="T17" s="72"/>
      <c r="U17" s="41">
        <f t="shared" si="1"/>
        <v>8408</v>
      </c>
      <c r="V17" s="41">
        <f t="shared" si="2"/>
        <v>8929.996666666666</v>
      </c>
      <c r="W17" s="52">
        <f t="shared" si="3"/>
        <v>904.12474804826195</v>
      </c>
      <c r="X17" s="44">
        <f t="shared" si="4"/>
        <v>0.10124581025020114</v>
      </c>
      <c r="Y17" s="52">
        <f t="shared" si="6"/>
        <v>7504.2016806722695</v>
      </c>
      <c r="Z17" s="108">
        <f t="shared" si="7"/>
        <v>1425.7983193277312</v>
      </c>
      <c r="AA17" s="43">
        <f t="shared" si="8"/>
        <v>8930</v>
      </c>
      <c r="AB17" s="22" t="s">
        <v>49</v>
      </c>
    </row>
    <row r="18" spans="1:29" ht="129.75" customHeight="1">
      <c r="A18" s="2">
        <v>13</v>
      </c>
      <c r="B18" s="227"/>
      <c r="C18" s="40" t="s">
        <v>160</v>
      </c>
      <c r="D18" s="80" t="s">
        <v>161</v>
      </c>
      <c r="E18" s="2" t="s">
        <v>135</v>
      </c>
      <c r="F18" s="4">
        <v>1</v>
      </c>
      <c r="G18" s="43"/>
      <c r="H18" s="43"/>
      <c r="I18" s="43"/>
      <c r="J18" s="43"/>
      <c r="K18" s="43"/>
      <c r="L18" s="43"/>
      <c r="M18" s="43"/>
      <c r="N18" s="43"/>
      <c r="O18" s="43"/>
      <c r="P18" s="43"/>
      <c r="Q18" s="81">
        <v>200000</v>
      </c>
      <c r="R18" s="82">
        <v>202300</v>
      </c>
      <c r="S18" s="82">
        <v>254898</v>
      </c>
      <c r="T18" s="82"/>
      <c r="U18" s="41">
        <f t="shared" si="1"/>
        <v>202300</v>
      </c>
      <c r="V18" s="41">
        <f t="shared" si="2"/>
        <v>219066</v>
      </c>
      <c r="W18" s="52">
        <f t="shared" si="3"/>
        <v>31052.724002895462</v>
      </c>
      <c r="X18" s="44">
        <f t="shared" si="4"/>
        <v>0.14175054094608686</v>
      </c>
      <c r="Y18" s="52">
        <v>219066</v>
      </c>
      <c r="Z18" s="108"/>
      <c r="AA18" s="43">
        <f t="shared" si="8"/>
        <v>219066</v>
      </c>
      <c r="AB18" s="22" t="s">
        <v>74</v>
      </c>
    </row>
    <row r="19" spans="1:29" ht="126" customHeight="1">
      <c r="A19" s="2">
        <v>14</v>
      </c>
      <c r="B19" s="227"/>
      <c r="C19" s="40" t="s">
        <v>162</v>
      </c>
      <c r="D19" s="80" t="s">
        <v>163</v>
      </c>
      <c r="E19" s="2" t="s">
        <v>135</v>
      </c>
      <c r="F19" s="4">
        <v>1</v>
      </c>
      <c r="G19" s="43"/>
      <c r="H19" s="43"/>
      <c r="I19" s="43"/>
      <c r="J19" s="43"/>
      <c r="K19" s="43"/>
      <c r="L19" s="43"/>
      <c r="M19" s="43"/>
      <c r="N19" s="43"/>
      <c r="O19" s="43"/>
      <c r="P19" s="43"/>
      <c r="Q19" s="81">
        <v>476000</v>
      </c>
      <c r="R19" s="82">
        <v>410000</v>
      </c>
      <c r="S19" s="82">
        <v>590240</v>
      </c>
      <c r="T19" s="83"/>
      <c r="U19" s="41">
        <f t="shared" si="1"/>
        <v>476000</v>
      </c>
      <c r="V19" s="41">
        <f t="shared" si="2"/>
        <v>492080</v>
      </c>
      <c r="W19" s="52">
        <f t="shared" si="3"/>
        <v>91189.578351914752</v>
      </c>
      <c r="X19" s="44">
        <f t="shared" si="4"/>
        <v>0.1853145390016151</v>
      </c>
      <c r="Y19" s="52">
        <v>476000</v>
      </c>
      <c r="Z19" s="108"/>
      <c r="AA19" s="43">
        <f t="shared" si="8"/>
        <v>476000</v>
      </c>
      <c r="AB19" s="22" t="s">
        <v>78</v>
      </c>
      <c r="AC19" s="10"/>
    </row>
    <row r="20" spans="1:29" ht="27" customHeight="1">
      <c r="A20" s="85" t="s">
        <v>129</v>
      </c>
      <c r="B20" s="85"/>
      <c r="C20" s="84"/>
      <c r="D20" s="85"/>
      <c r="E20" s="84"/>
      <c r="F20" s="84"/>
      <c r="G20" s="110"/>
      <c r="H20" s="110"/>
      <c r="I20" s="110"/>
      <c r="J20" s="110"/>
      <c r="K20" s="110"/>
      <c r="L20" s="110"/>
      <c r="M20" s="110"/>
      <c r="N20" s="110"/>
      <c r="O20" s="110"/>
      <c r="P20" s="110"/>
      <c r="Q20" s="111"/>
      <c r="R20" s="111"/>
      <c r="S20" s="111"/>
      <c r="T20" s="111"/>
      <c r="U20" s="85"/>
      <c r="V20" s="85"/>
      <c r="W20" s="117"/>
      <c r="X20" s="88"/>
      <c r="Y20" s="117">
        <f t="shared" si="6"/>
        <v>1711173.1092436975</v>
      </c>
      <c r="Z20" s="113">
        <f t="shared" si="7"/>
        <v>325122.89075630251</v>
      </c>
      <c r="AA20" s="87">
        <f>SUM(AA6:AA19)</f>
        <v>2036296</v>
      </c>
      <c r="AB20" s="112"/>
    </row>
  </sheetData>
  <autoFilter ref="A5:AC5" xr:uid="{00000000-0001-0000-0200-000000000000}"/>
  <mergeCells count="11">
    <mergeCell ref="A1:AB1"/>
    <mergeCell ref="B6:B19"/>
    <mergeCell ref="A4:F4"/>
    <mergeCell ref="U4:AB4"/>
    <mergeCell ref="G4:H4"/>
    <mergeCell ref="I4:J4"/>
    <mergeCell ref="K4:L4"/>
    <mergeCell ref="M4:N4"/>
    <mergeCell ref="O4:P4"/>
    <mergeCell ref="A3:AB3"/>
    <mergeCell ref="A2:AB2"/>
  </mergeCells>
  <printOptions horizontalCentered="1" verticalCentered="1"/>
  <pageMargins left="0.70866141732283472" right="0.70866141732283472" top="0.74803149606299213" bottom="0.74803149606299213" header="0.31496062992125984" footer="0.31496062992125984"/>
  <pageSetup scale="1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5"/>
  <sheetViews>
    <sheetView topLeftCell="H1" zoomScale="48" zoomScaleNormal="51" zoomScaleSheetLayoutView="50" workbookViewId="0">
      <pane ySplit="5" topLeftCell="A10" activePane="bottomLeft" state="frozen"/>
      <selection activeCell="E1" sqref="E1"/>
      <selection pane="bottomLeft" activeCell="Q10" sqref="Q10"/>
    </sheetView>
  </sheetViews>
  <sheetFormatPr baseColWidth="10" defaultColWidth="9.33203125" defaultRowHeight="18.75"/>
  <cols>
    <col min="1" max="2" width="22.5" style="5" customWidth="1"/>
    <col min="3" max="3" width="38" style="5" customWidth="1"/>
    <col min="4" max="4" width="116.33203125" style="5" customWidth="1"/>
    <col min="5" max="5" width="20.6640625" style="5" customWidth="1"/>
    <col min="6" max="6" width="16.83203125" style="5" customWidth="1"/>
    <col min="7" max="8" width="43.33203125" style="15" customWidth="1"/>
    <col min="9" max="10" width="43.33203125" style="21" customWidth="1"/>
    <col min="11" max="11" width="39.1640625" style="21" customWidth="1"/>
    <col min="12" max="12" width="30.83203125" style="5" customWidth="1"/>
    <col min="13" max="13" width="25.1640625" style="12" customWidth="1"/>
    <col min="14" max="14" width="23.5" style="13" customWidth="1"/>
    <col min="15" max="15" width="23.5" style="21" customWidth="1"/>
    <col min="16" max="16" width="21.5" style="21" customWidth="1"/>
    <col min="17" max="17" width="32.33203125" style="21" customWidth="1"/>
    <col min="18" max="18" width="62.5" style="5" customWidth="1"/>
    <col min="19" max="19" width="31.33203125" style="5" customWidth="1"/>
    <col min="20" max="16384" width="9.33203125" style="5"/>
  </cols>
  <sheetData>
    <row r="1" spans="1:19" s="11" customFormat="1" ht="63" customHeight="1">
      <c r="A1" s="188"/>
      <c r="B1" s="188"/>
      <c r="C1" s="188"/>
      <c r="D1" s="188"/>
      <c r="E1" s="188"/>
      <c r="F1" s="188"/>
      <c r="G1" s="188"/>
      <c r="H1" s="188"/>
      <c r="I1" s="188"/>
      <c r="J1" s="188"/>
      <c r="K1" s="188"/>
      <c r="L1" s="188"/>
      <c r="M1" s="188"/>
      <c r="N1" s="188"/>
      <c r="O1" s="188"/>
      <c r="P1" s="188"/>
      <c r="Q1" s="188"/>
      <c r="R1" s="188"/>
    </row>
    <row r="2" spans="1:19" s="9" customFormat="1" ht="39" customHeight="1">
      <c r="A2" s="242" t="s">
        <v>164</v>
      </c>
      <c r="B2" s="243"/>
      <c r="C2" s="243"/>
      <c r="D2" s="243"/>
      <c r="E2" s="243"/>
      <c r="F2" s="243"/>
      <c r="G2" s="243"/>
      <c r="H2" s="243"/>
      <c r="I2" s="243"/>
      <c r="J2" s="243"/>
      <c r="K2" s="243"/>
      <c r="L2" s="243"/>
      <c r="M2" s="243"/>
      <c r="N2" s="243"/>
      <c r="O2" s="243"/>
      <c r="P2" s="243"/>
      <c r="Q2" s="243"/>
      <c r="R2" s="243"/>
    </row>
    <row r="3" spans="1:19" s="9" customFormat="1" ht="24.75" customHeight="1">
      <c r="A3" s="191" t="s">
        <v>2</v>
      </c>
      <c r="B3" s="191"/>
      <c r="C3" s="191"/>
      <c r="D3" s="191"/>
      <c r="E3" s="191"/>
      <c r="F3" s="191"/>
      <c r="G3" s="191"/>
      <c r="H3" s="191"/>
      <c r="I3" s="191"/>
      <c r="J3" s="191"/>
      <c r="K3" s="191"/>
      <c r="L3" s="191"/>
      <c r="M3" s="191"/>
      <c r="N3" s="191"/>
      <c r="O3" s="191"/>
      <c r="P3" s="191"/>
      <c r="Q3" s="191"/>
      <c r="R3" s="191"/>
    </row>
    <row r="4" spans="1:19" s="9" customFormat="1" ht="63" customHeight="1">
      <c r="A4" s="237" t="s">
        <v>3</v>
      </c>
      <c r="B4" s="238"/>
      <c r="C4" s="238"/>
      <c r="D4" s="238"/>
      <c r="E4" s="238"/>
      <c r="F4" s="238"/>
      <c r="G4" s="151" t="s">
        <v>16</v>
      </c>
      <c r="H4" s="16" t="s">
        <v>17</v>
      </c>
      <c r="I4" s="150" t="s">
        <v>18</v>
      </c>
      <c r="J4" s="17" t="s">
        <v>130</v>
      </c>
      <c r="K4" s="239" t="s">
        <v>21</v>
      </c>
      <c r="L4" s="240"/>
      <c r="M4" s="240"/>
      <c r="N4" s="240"/>
      <c r="O4" s="240"/>
      <c r="P4" s="240"/>
      <c r="Q4" s="240"/>
      <c r="R4" s="241"/>
    </row>
    <row r="5" spans="1:19" ht="61.9" customHeight="1">
      <c r="A5" s="1" t="s">
        <v>22</v>
      </c>
      <c r="B5" s="1" t="s">
        <v>23</v>
      </c>
      <c r="C5" s="1" t="s">
        <v>24</v>
      </c>
      <c r="D5" s="1" t="s">
        <v>25</v>
      </c>
      <c r="E5" s="1" t="s">
        <v>26</v>
      </c>
      <c r="F5" s="1" t="s">
        <v>27</v>
      </c>
      <c r="G5" s="14" t="s">
        <v>29</v>
      </c>
      <c r="H5" s="14" t="s">
        <v>29</v>
      </c>
      <c r="I5" s="18" t="s">
        <v>29</v>
      </c>
      <c r="J5" s="18" t="s">
        <v>29</v>
      </c>
      <c r="K5" s="35" t="s">
        <v>32</v>
      </c>
      <c r="L5" s="35" t="s">
        <v>33</v>
      </c>
      <c r="M5" s="35" t="s">
        <v>34</v>
      </c>
      <c r="N5" s="36" t="s">
        <v>35</v>
      </c>
      <c r="O5" s="77" t="s">
        <v>114</v>
      </c>
      <c r="P5" s="77" t="s">
        <v>115</v>
      </c>
      <c r="Q5" s="78" t="s">
        <v>116</v>
      </c>
      <c r="R5" s="37" t="s">
        <v>40</v>
      </c>
    </row>
    <row r="6" spans="1:19" ht="396" customHeight="1">
      <c r="A6" s="2">
        <v>1</v>
      </c>
      <c r="B6" s="234" t="s">
        <v>165</v>
      </c>
      <c r="C6" s="154" t="s">
        <v>166</v>
      </c>
      <c r="D6" s="53" t="s">
        <v>167</v>
      </c>
      <c r="E6" s="2" t="s">
        <v>135</v>
      </c>
      <c r="F6" s="4">
        <v>1</v>
      </c>
      <c r="G6" s="136">
        <v>476000</v>
      </c>
      <c r="H6" s="136">
        <v>505500</v>
      </c>
      <c r="I6" s="4"/>
      <c r="J6" s="4">
        <v>273700</v>
      </c>
      <c r="K6" s="41">
        <f>MEDIAN(G6,H6,I6,J6)</f>
        <v>476000</v>
      </c>
      <c r="L6" s="41">
        <f>AVERAGE(G6,H6,I6,J6)</f>
        <v>418400</v>
      </c>
      <c r="M6" s="42">
        <f>STDEV(G6,H6,I6,J6)</f>
        <v>126178.96021128086</v>
      </c>
      <c r="N6" s="44">
        <f t="shared" ref="N6:N34" si="0">M6/L6</f>
        <v>0.30157495270382617</v>
      </c>
      <c r="O6" s="52">
        <f>+Q6/1.19</f>
        <v>400000</v>
      </c>
      <c r="P6" s="52">
        <f>+O6*19%</f>
        <v>76000</v>
      </c>
      <c r="Q6" s="52">
        <f>ROUNDUP(IF(N6&lt;15%,L6,K6),0)</f>
        <v>476000</v>
      </c>
      <c r="R6" s="22" t="s">
        <v>78</v>
      </c>
    </row>
    <row r="7" spans="1:19" ht="76.5" customHeight="1">
      <c r="A7" s="2">
        <v>2</v>
      </c>
      <c r="B7" s="235"/>
      <c r="C7" s="155" t="s">
        <v>168</v>
      </c>
      <c r="D7" s="53" t="s">
        <v>169</v>
      </c>
      <c r="E7" s="2" t="s">
        <v>135</v>
      </c>
      <c r="F7" s="4">
        <v>1</v>
      </c>
      <c r="G7" s="137">
        <v>357000</v>
      </c>
      <c r="H7" s="137">
        <v>380800</v>
      </c>
      <c r="I7" s="51">
        <v>567639.52</v>
      </c>
      <c r="J7" s="51">
        <v>380800</v>
      </c>
      <c r="K7" s="41">
        <f t="shared" ref="K7:K34" si="1">MEDIAN(G7,H7,I7,J7)</f>
        <v>380800</v>
      </c>
      <c r="L7" s="41">
        <f t="shared" ref="L7:L34" si="2">AVERAGE(G7,H7,I7,J7)</f>
        <v>421559.88</v>
      </c>
      <c r="M7" s="42">
        <f t="shared" ref="M7:M34" si="3">STDEV(G7,H7,I7,J7)</f>
        <v>98030.564899206831</v>
      </c>
      <c r="N7" s="44">
        <f t="shared" si="0"/>
        <v>0.23254244426487367</v>
      </c>
      <c r="O7" s="52">
        <f t="shared" ref="O7:O34" si="4">Q7/1.19</f>
        <v>320000</v>
      </c>
      <c r="P7" s="52">
        <f t="shared" ref="P7:P34" si="5">O7*19%</f>
        <v>60800</v>
      </c>
      <c r="Q7" s="52">
        <f t="shared" ref="Q7:Q34" si="6">ROUNDUP(IF(N7&lt;15%,L7,K7),0)</f>
        <v>380800</v>
      </c>
      <c r="R7" s="22" t="s">
        <v>170</v>
      </c>
    </row>
    <row r="8" spans="1:19" ht="75">
      <c r="A8" s="2">
        <v>3</v>
      </c>
      <c r="B8" s="235"/>
      <c r="C8" s="155" t="s">
        <v>171</v>
      </c>
      <c r="D8" s="53" t="s">
        <v>172</v>
      </c>
      <c r="E8" s="2" t="s">
        <v>135</v>
      </c>
      <c r="F8" s="4">
        <v>1</v>
      </c>
      <c r="G8" s="137">
        <v>238000</v>
      </c>
      <c r="H8" s="137">
        <v>297500</v>
      </c>
      <c r="I8" s="51">
        <v>262561.59999999998</v>
      </c>
      <c r="J8" s="51">
        <v>214200</v>
      </c>
      <c r="K8" s="41">
        <f t="shared" si="1"/>
        <v>250280.8</v>
      </c>
      <c r="L8" s="41">
        <f t="shared" si="2"/>
        <v>253065.4</v>
      </c>
      <c r="M8" s="42">
        <f t="shared" si="3"/>
        <v>35600.079990172373</v>
      </c>
      <c r="N8" s="44">
        <f t="shared" si="0"/>
        <v>0.14067541430070002</v>
      </c>
      <c r="O8" s="52">
        <f t="shared" si="4"/>
        <v>212660.50420168068</v>
      </c>
      <c r="P8" s="52">
        <f t="shared" si="5"/>
        <v>40405.495798319331</v>
      </c>
      <c r="Q8" s="52">
        <f t="shared" si="6"/>
        <v>253066</v>
      </c>
      <c r="R8" s="22" t="s">
        <v>173</v>
      </c>
    </row>
    <row r="9" spans="1:19" ht="56.25">
      <c r="A9" s="2">
        <v>4</v>
      </c>
      <c r="B9" s="235"/>
      <c r="C9" s="155" t="s">
        <v>174</v>
      </c>
      <c r="D9" s="53" t="s">
        <v>175</v>
      </c>
      <c r="E9" s="2" t="s">
        <v>135</v>
      </c>
      <c r="F9" s="4">
        <v>1</v>
      </c>
      <c r="G9" s="137">
        <v>405000</v>
      </c>
      <c r="H9" s="137">
        <v>415500</v>
      </c>
      <c r="I9" s="51">
        <v>229241.60000000001</v>
      </c>
      <c r="J9" s="51"/>
      <c r="K9" s="41">
        <f>MEDIAN(G9,H9,I9,J9)</f>
        <v>405000</v>
      </c>
      <c r="L9" s="41">
        <f>AVERAGE(G9,H9,I9,J9)</f>
        <v>349913.8666666667</v>
      </c>
      <c r="M9" s="42">
        <f>STDEV(G9,H9,I9,J9)</f>
        <v>104637.03673581965</v>
      </c>
      <c r="N9" s="44">
        <f t="shared" si="0"/>
        <v>0.29903655357419284</v>
      </c>
      <c r="O9" s="52">
        <f t="shared" si="4"/>
        <v>340336.13445378153</v>
      </c>
      <c r="P9" s="52">
        <f t="shared" si="5"/>
        <v>64663.865546218491</v>
      </c>
      <c r="Q9" s="52">
        <f t="shared" si="6"/>
        <v>405000</v>
      </c>
      <c r="R9" s="22" t="s">
        <v>170</v>
      </c>
    </row>
    <row r="10" spans="1:19" ht="206.25">
      <c r="A10" s="2">
        <v>5</v>
      </c>
      <c r="B10" s="235"/>
      <c r="C10" s="155" t="s">
        <v>176</v>
      </c>
      <c r="D10" s="53" t="s">
        <v>177</v>
      </c>
      <c r="E10" s="2" t="s">
        <v>135</v>
      </c>
      <c r="F10" s="4">
        <v>1</v>
      </c>
      <c r="G10" s="137">
        <v>61400</v>
      </c>
      <c r="H10" s="137">
        <v>73300</v>
      </c>
      <c r="I10" s="51"/>
      <c r="J10" s="51">
        <v>45220</v>
      </c>
      <c r="K10" s="41">
        <f>MEDIAN(G10,H10,I10,J10)</f>
        <v>61400</v>
      </c>
      <c r="L10" s="41">
        <f>AVERAGE(G10,H10,I10,J10)</f>
        <v>59973.333333333336</v>
      </c>
      <c r="M10" s="42">
        <f>STDEV(G10,H10,I10,J10)</f>
        <v>14094.258878470093</v>
      </c>
      <c r="N10" s="44">
        <f t="shared" si="0"/>
        <v>0.23500876298027054</v>
      </c>
      <c r="O10" s="52">
        <f t="shared" si="4"/>
        <v>51596.638655462186</v>
      </c>
      <c r="P10" s="52">
        <f t="shared" si="5"/>
        <v>9803.361344537816</v>
      </c>
      <c r="Q10" s="52">
        <f t="shared" si="6"/>
        <v>61400</v>
      </c>
      <c r="R10" s="22" t="s">
        <v>78</v>
      </c>
    </row>
    <row r="11" spans="1:19" ht="75">
      <c r="A11" s="2">
        <v>6</v>
      </c>
      <c r="B11" s="235"/>
      <c r="C11" s="155" t="s">
        <v>178</v>
      </c>
      <c r="D11" s="53" t="s">
        <v>179</v>
      </c>
      <c r="E11" s="2" t="s">
        <v>135</v>
      </c>
      <c r="F11" s="4">
        <v>1</v>
      </c>
      <c r="G11" s="137">
        <v>178500</v>
      </c>
      <c r="H11" s="137">
        <v>112250</v>
      </c>
      <c r="I11" s="51">
        <v>106624</v>
      </c>
      <c r="J11" s="51"/>
      <c r="K11" s="41">
        <f t="shared" si="1"/>
        <v>112250</v>
      </c>
      <c r="L11" s="41">
        <f t="shared" si="2"/>
        <v>132458</v>
      </c>
      <c r="M11" s="42">
        <f t="shared" si="3"/>
        <v>39972.644295818107</v>
      </c>
      <c r="N11" s="44">
        <f t="shared" si="0"/>
        <v>0.30177599160351287</v>
      </c>
      <c r="O11" s="52">
        <f>+Q11/1.19</f>
        <v>94327.731092436981</v>
      </c>
      <c r="P11" s="52">
        <f t="shared" si="5"/>
        <v>17922.268907563026</v>
      </c>
      <c r="Q11" s="52">
        <f t="shared" si="6"/>
        <v>112250</v>
      </c>
      <c r="R11" s="22" t="s">
        <v>170</v>
      </c>
    </row>
    <row r="12" spans="1:19" ht="118.5" customHeight="1">
      <c r="A12" s="2">
        <v>7</v>
      </c>
      <c r="B12" s="235"/>
      <c r="C12" s="155" t="s">
        <v>180</v>
      </c>
      <c r="D12" s="53" t="s">
        <v>181</v>
      </c>
      <c r="E12" s="2" t="s">
        <v>135</v>
      </c>
      <c r="F12" s="4">
        <v>1</v>
      </c>
      <c r="G12" s="137">
        <v>55400</v>
      </c>
      <c r="H12" s="137">
        <v>60000</v>
      </c>
      <c r="I12" s="51">
        <v>32520.32</v>
      </c>
      <c r="J12" s="51"/>
      <c r="K12" s="41">
        <f t="shared" si="1"/>
        <v>55400</v>
      </c>
      <c r="L12" s="41">
        <f t="shared" si="2"/>
        <v>49306.773333333338</v>
      </c>
      <c r="M12" s="42">
        <f t="shared" si="3"/>
        <v>14718.313817626438</v>
      </c>
      <c r="N12" s="44">
        <f t="shared" si="0"/>
        <v>0.29850490759402976</v>
      </c>
      <c r="O12" s="52">
        <f t="shared" si="4"/>
        <v>46554.621848739494</v>
      </c>
      <c r="P12" s="52">
        <f t="shared" si="5"/>
        <v>8845.3781512605037</v>
      </c>
      <c r="Q12" s="52">
        <f t="shared" si="6"/>
        <v>55400</v>
      </c>
      <c r="R12" s="22" t="s">
        <v>170</v>
      </c>
    </row>
    <row r="13" spans="1:19" ht="118.5" customHeight="1">
      <c r="A13" s="2">
        <v>8</v>
      </c>
      <c r="B13" s="235"/>
      <c r="C13" s="155" t="s">
        <v>182</v>
      </c>
      <c r="D13" s="53" t="s">
        <v>183</v>
      </c>
      <c r="E13" s="55" t="s">
        <v>184</v>
      </c>
      <c r="F13" s="4">
        <v>1</v>
      </c>
      <c r="G13" s="137">
        <v>71546</v>
      </c>
      <c r="H13" s="137">
        <v>81046</v>
      </c>
      <c r="I13" s="51">
        <v>54930.019200000002</v>
      </c>
      <c r="J13" s="51"/>
      <c r="K13" s="41">
        <f t="shared" si="1"/>
        <v>71546</v>
      </c>
      <c r="L13" s="41">
        <f t="shared" si="2"/>
        <v>69174.006399999998</v>
      </c>
      <c r="M13" s="42">
        <f t="shared" si="3"/>
        <v>13218.580805643345</v>
      </c>
      <c r="N13" s="44">
        <f t="shared" si="0"/>
        <v>0.19109173363772877</v>
      </c>
      <c r="O13" s="52">
        <f t="shared" si="4"/>
        <v>60122.689075630253</v>
      </c>
      <c r="P13" s="52">
        <f t="shared" si="5"/>
        <v>11423.310924369749</v>
      </c>
      <c r="Q13" s="52">
        <f t="shared" si="6"/>
        <v>71546</v>
      </c>
      <c r="R13" s="22" t="s">
        <v>170</v>
      </c>
    </row>
    <row r="14" spans="1:19" ht="118.5" customHeight="1">
      <c r="A14" s="2">
        <v>9</v>
      </c>
      <c r="B14" s="235"/>
      <c r="C14" s="155" t="s">
        <v>185</v>
      </c>
      <c r="D14" s="53" t="s">
        <v>186</v>
      </c>
      <c r="E14" s="55" t="s">
        <v>184</v>
      </c>
      <c r="F14" s="4">
        <v>1</v>
      </c>
      <c r="G14" s="137">
        <v>53300</v>
      </c>
      <c r="H14" s="138">
        <v>43400</v>
      </c>
      <c r="I14" s="58">
        <v>44115.68</v>
      </c>
      <c r="J14" s="58">
        <v>33320</v>
      </c>
      <c r="K14" s="41">
        <f t="shared" si="1"/>
        <v>43757.84</v>
      </c>
      <c r="L14" s="41">
        <f t="shared" si="2"/>
        <v>43533.919999999998</v>
      </c>
      <c r="M14" s="42">
        <f t="shared" si="3"/>
        <v>8166.1263684564829</v>
      </c>
      <c r="N14" s="44">
        <f t="shared" si="0"/>
        <v>0.18758077307204321</v>
      </c>
      <c r="O14" s="52">
        <f t="shared" si="4"/>
        <v>36771.428571428572</v>
      </c>
      <c r="P14" s="52">
        <f t="shared" si="5"/>
        <v>6986.5714285714284</v>
      </c>
      <c r="Q14" s="52">
        <f t="shared" si="6"/>
        <v>43758</v>
      </c>
      <c r="R14" s="22" t="s">
        <v>170</v>
      </c>
      <c r="S14" s="10"/>
    </row>
    <row r="15" spans="1:19" ht="118.5" customHeight="1">
      <c r="A15" s="2">
        <v>10</v>
      </c>
      <c r="B15" s="235"/>
      <c r="C15" s="155" t="s">
        <v>187</v>
      </c>
      <c r="D15" s="53" t="s">
        <v>188</v>
      </c>
      <c r="E15" s="55" t="s">
        <v>184</v>
      </c>
      <c r="F15" s="4">
        <v>1</v>
      </c>
      <c r="G15" s="137">
        <v>59500</v>
      </c>
      <c r="H15" s="138">
        <v>60000</v>
      </c>
      <c r="I15" s="58">
        <v>44408.896000000001</v>
      </c>
      <c r="J15" s="58">
        <v>57120</v>
      </c>
      <c r="K15" s="41">
        <f t="shared" si="1"/>
        <v>58310</v>
      </c>
      <c r="L15" s="41">
        <f t="shared" si="2"/>
        <v>55257.224000000002</v>
      </c>
      <c r="M15" s="42">
        <f t="shared" si="3"/>
        <v>7340.5546383115325</v>
      </c>
      <c r="N15" s="44">
        <f t="shared" si="0"/>
        <v>0.13284334801747427</v>
      </c>
      <c r="O15" s="52">
        <f t="shared" si="4"/>
        <v>46435.294117647063</v>
      </c>
      <c r="P15" s="52">
        <f t="shared" si="5"/>
        <v>8822.7058823529424</v>
      </c>
      <c r="Q15" s="52">
        <f t="shared" si="6"/>
        <v>55258</v>
      </c>
      <c r="R15" s="22" t="s">
        <v>173</v>
      </c>
      <c r="S15" s="10"/>
    </row>
    <row r="16" spans="1:19" ht="118.5" customHeight="1">
      <c r="A16" s="2">
        <v>11</v>
      </c>
      <c r="B16" s="235"/>
      <c r="C16" s="156" t="s">
        <v>189</v>
      </c>
      <c r="D16" s="53" t="s">
        <v>190</v>
      </c>
      <c r="E16" s="55" t="s">
        <v>191</v>
      </c>
      <c r="F16" s="4">
        <v>1</v>
      </c>
      <c r="G16" s="137">
        <v>95200</v>
      </c>
      <c r="H16" s="138">
        <v>105000</v>
      </c>
      <c r="I16" s="152"/>
      <c r="J16" s="58">
        <v>101150</v>
      </c>
      <c r="K16" s="41">
        <f t="shared" si="1"/>
        <v>101150</v>
      </c>
      <c r="L16" s="41">
        <f t="shared" si="2"/>
        <v>100450</v>
      </c>
      <c r="M16" s="42">
        <f t="shared" si="3"/>
        <v>4937.3575928830596</v>
      </c>
      <c r="N16" s="44">
        <f t="shared" si="0"/>
        <v>4.9152390173051862E-2</v>
      </c>
      <c r="O16" s="52">
        <f t="shared" si="4"/>
        <v>84411.76470588235</v>
      </c>
      <c r="P16" s="52">
        <f t="shared" si="5"/>
        <v>16038.235294117647</v>
      </c>
      <c r="Q16" s="52">
        <f t="shared" si="6"/>
        <v>100450</v>
      </c>
      <c r="R16" s="22" t="s">
        <v>173</v>
      </c>
      <c r="S16" s="10"/>
    </row>
    <row r="17" spans="1:19" ht="56.25">
      <c r="A17" s="2">
        <v>12</v>
      </c>
      <c r="B17" s="235"/>
      <c r="C17" s="156" t="s">
        <v>192</v>
      </c>
      <c r="D17" s="53" t="s">
        <v>193</v>
      </c>
      <c r="E17" s="2" t="s">
        <v>191</v>
      </c>
      <c r="F17" s="4">
        <v>1</v>
      </c>
      <c r="G17" s="137">
        <v>107100</v>
      </c>
      <c r="H17" s="137">
        <v>80500</v>
      </c>
      <c r="I17" s="51">
        <v>75969.600000000006</v>
      </c>
      <c r="J17" s="152"/>
      <c r="K17" s="41">
        <f t="shared" si="1"/>
        <v>80500</v>
      </c>
      <c r="L17" s="41">
        <f t="shared" si="2"/>
        <v>87856.533333333326</v>
      </c>
      <c r="M17" s="42">
        <f t="shared" si="3"/>
        <v>16818.572711539324</v>
      </c>
      <c r="N17" s="44">
        <f t="shared" si="0"/>
        <v>0.1914322370053981</v>
      </c>
      <c r="O17" s="52">
        <f t="shared" si="4"/>
        <v>67647.058823529413</v>
      </c>
      <c r="P17" s="52">
        <f t="shared" si="5"/>
        <v>12852.941176470589</v>
      </c>
      <c r="Q17" s="52">
        <f t="shared" si="6"/>
        <v>80500</v>
      </c>
      <c r="R17" s="22" t="s">
        <v>78</v>
      </c>
    </row>
    <row r="18" spans="1:19" ht="131.25">
      <c r="A18" s="2">
        <v>13</v>
      </c>
      <c r="B18" s="236"/>
      <c r="C18" s="155" t="s">
        <v>133</v>
      </c>
      <c r="D18" s="54" t="s">
        <v>194</v>
      </c>
      <c r="E18" s="2" t="s">
        <v>135</v>
      </c>
      <c r="F18" s="4">
        <v>1</v>
      </c>
      <c r="G18" s="137">
        <v>109000</v>
      </c>
      <c r="H18" s="137">
        <v>78500</v>
      </c>
      <c r="I18" s="51">
        <v>79834.720000000001</v>
      </c>
      <c r="J18" s="51"/>
      <c r="K18" s="41">
        <f t="shared" si="1"/>
        <v>79834.720000000001</v>
      </c>
      <c r="L18" s="41">
        <f t="shared" si="2"/>
        <v>89111.573333333319</v>
      </c>
      <c r="M18" s="42">
        <f t="shared" si="3"/>
        <v>17236.806717780924</v>
      </c>
      <c r="N18" s="44">
        <f t="shared" si="0"/>
        <v>0.1934294960016521</v>
      </c>
      <c r="O18" s="52">
        <f>+Q18/1.19</f>
        <v>67088.23529411765</v>
      </c>
      <c r="P18" s="52">
        <f>+O18*19%</f>
        <v>12746.764705882353</v>
      </c>
      <c r="Q18" s="52">
        <f>ROUNDUP(IF(N18&lt;15%,L18,K18),0)</f>
        <v>79835</v>
      </c>
      <c r="R18" s="22" t="s">
        <v>78</v>
      </c>
    </row>
    <row r="19" spans="1:19" ht="112.5">
      <c r="A19" s="2">
        <v>14</v>
      </c>
      <c r="B19" s="235" t="s">
        <v>90</v>
      </c>
      <c r="C19" s="155" t="s">
        <v>171</v>
      </c>
      <c r="D19" s="53" t="s">
        <v>195</v>
      </c>
      <c r="E19" s="2" t="s">
        <v>135</v>
      </c>
      <c r="F19" s="4">
        <v>1</v>
      </c>
      <c r="G19" s="137">
        <v>1200000</v>
      </c>
      <c r="H19" s="120">
        <v>833000</v>
      </c>
      <c r="I19" s="51">
        <v>1207650.08</v>
      </c>
      <c r="J19" s="51">
        <v>928200</v>
      </c>
      <c r="K19" s="41">
        <f t="shared" si="1"/>
        <v>1064100</v>
      </c>
      <c r="L19" s="41">
        <f t="shared" si="2"/>
        <v>1042212.52</v>
      </c>
      <c r="M19" s="42">
        <f t="shared" si="3"/>
        <v>190643.82877065535</v>
      </c>
      <c r="N19" s="44">
        <f t="shared" si="0"/>
        <v>0.18292222086398977</v>
      </c>
      <c r="O19" s="52">
        <f t="shared" si="4"/>
        <v>894201.68067226897</v>
      </c>
      <c r="P19" s="52">
        <f t="shared" si="5"/>
        <v>169898.31932773109</v>
      </c>
      <c r="Q19" s="52">
        <f t="shared" si="6"/>
        <v>1064100</v>
      </c>
      <c r="R19" s="22" t="s">
        <v>170</v>
      </c>
    </row>
    <row r="20" spans="1:19" ht="155.1" customHeight="1">
      <c r="A20" s="2">
        <v>15</v>
      </c>
      <c r="B20" s="235"/>
      <c r="C20" s="154" t="s">
        <v>178</v>
      </c>
      <c r="D20" s="53" t="s">
        <v>196</v>
      </c>
      <c r="E20" s="2" t="s">
        <v>135</v>
      </c>
      <c r="F20" s="4">
        <v>1</v>
      </c>
      <c r="G20" s="137">
        <v>952000</v>
      </c>
      <c r="H20" s="137">
        <v>851000</v>
      </c>
      <c r="I20" s="51">
        <v>754364.8</v>
      </c>
      <c r="J20" s="51"/>
      <c r="K20" s="41">
        <f t="shared" si="1"/>
        <v>851000</v>
      </c>
      <c r="L20" s="41">
        <f t="shared" si="2"/>
        <v>852454.93333333323</v>
      </c>
      <c r="M20" s="42">
        <f t="shared" si="3"/>
        <v>98825.632773149133</v>
      </c>
      <c r="N20" s="44">
        <f t="shared" si="0"/>
        <v>0.11593062449262125</v>
      </c>
      <c r="O20" s="52">
        <f t="shared" si="4"/>
        <v>716348.73949579836</v>
      </c>
      <c r="P20" s="52">
        <f t="shared" si="5"/>
        <v>136106.26050420169</v>
      </c>
      <c r="Q20" s="52">
        <f t="shared" si="6"/>
        <v>852455</v>
      </c>
      <c r="R20" s="22" t="s">
        <v>74</v>
      </c>
    </row>
    <row r="21" spans="1:19" ht="96" customHeight="1">
      <c r="A21" s="2">
        <v>16</v>
      </c>
      <c r="B21" s="235"/>
      <c r="C21" s="5" t="s">
        <v>197</v>
      </c>
      <c r="D21" s="53" t="s">
        <v>198</v>
      </c>
      <c r="E21" s="2" t="s">
        <v>135</v>
      </c>
      <c r="F21" s="4">
        <v>1</v>
      </c>
      <c r="G21" s="137">
        <v>749700</v>
      </c>
      <c r="H21" s="138">
        <v>689700</v>
      </c>
      <c r="I21" s="58">
        <v>618800</v>
      </c>
      <c r="J21" s="58"/>
      <c r="K21" s="41">
        <f t="shared" si="1"/>
        <v>689700</v>
      </c>
      <c r="L21" s="41">
        <f t="shared" si="2"/>
        <v>686066.66666666663</v>
      </c>
      <c r="M21" s="42">
        <f t="shared" si="3"/>
        <v>65525.592964377916</v>
      </c>
      <c r="N21" s="44">
        <f t="shared" si="0"/>
        <v>9.5509075353772108E-2</v>
      </c>
      <c r="O21" s="52">
        <f t="shared" si="4"/>
        <v>576526.89075630251</v>
      </c>
      <c r="P21" s="52">
        <f t="shared" si="5"/>
        <v>109540.10924369747</v>
      </c>
      <c r="Q21" s="52">
        <f t="shared" si="6"/>
        <v>686067</v>
      </c>
      <c r="R21" s="22" t="s">
        <v>74</v>
      </c>
    </row>
    <row r="22" spans="1:19" ht="131.25">
      <c r="A22" s="2">
        <v>17</v>
      </c>
      <c r="B22" s="235"/>
      <c r="C22" s="40" t="s">
        <v>199</v>
      </c>
      <c r="D22" s="54" t="s">
        <v>200</v>
      </c>
      <c r="E22" s="2" t="s">
        <v>135</v>
      </c>
      <c r="F22" s="4">
        <v>1</v>
      </c>
      <c r="G22" s="137">
        <v>178500</v>
      </c>
      <c r="H22" s="137">
        <v>165529</v>
      </c>
      <c r="I22" s="51"/>
      <c r="J22" s="51"/>
      <c r="K22" s="41">
        <f t="shared" si="1"/>
        <v>172014.5</v>
      </c>
      <c r="L22" s="41">
        <f t="shared" si="2"/>
        <v>172014.5</v>
      </c>
      <c r="M22" s="42">
        <f t="shared" si="3"/>
        <v>9171.8820587707087</v>
      </c>
      <c r="N22" s="44">
        <f t="shared" si="0"/>
        <v>5.3320400656751081E-2</v>
      </c>
      <c r="O22" s="52">
        <f t="shared" si="4"/>
        <v>144550.42016806724</v>
      </c>
      <c r="P22" s="52">
        <f t="shared" si="5"/>
        <v>27464.579831932777</v>
      </c>
      <c r="Q22" s="52">
        <f t="shared" si="6"/>
        <v>172015</v>
      </c>
      <c r="R22" s="22" t="s">
        <v>74</v>
      </c>
    </row>
    <row r="23" spans="1:19" ht="93.75">
      <c r="A23" s="2">
        <v>18</v>
      </c>
      <c r="B23" s="236"/>
      <c r="C23" s="40" t="s">
        <v>201</v>
      </c>
      <c r="D23" s="54" t="s">
        <v>202</v>
      </c>
      <c r="E23" s="2" t="s">
        <v>203</v>
      </c>
      <c r="F23" s="4">
        <v>1</v>
      </c>
      <c r="G23" s="137">
        <v>180001</v>
      </c>
      <c r="H23" s="137">
        <v>180001</v>
      </c>
      <c r="I23" s="51">
        <v>188020</v>
      </c>
      <c r="J23" s="51"/>
      <c r="K23" s="41">
        <f t="shared" si="1"/>
        <v>180001</v>
      </c>
      <c r="L23" s="41">
        <f t="shared" si="2"/>
        <v>182674</v>
      </c>
      <c r="M23" s="42">
        <f t="shared" si="3"/>
        <v>4629.771808631609</v>
      </c>
      <c r="N23" s="44">
        <f t="shared" si="0"/>
        <v>2.5344448627782876E-2</v>
      </c>
      <c r="O23" s="52">
        <f t="shared" si="4"/>
        <v>153507.56302521008</v>
      </c>
      <c r="P23" s="52">
        <f t="shared" si="5"/>
        <v>29166.436974789915</v>
      </c>
      <c r="Q23" s="52">
        <f t="shared" si="6"/>
        <v>182674</v>
      </c>
      <c r="R23" s="22" t="s">
        <v>74</v>
      </c>
    </row>
    <row r="24" spans="1:19" ht="112.5">
      <c r="A24" s="2">
        <v>19</v>
      </c>
      <c r="B24" s="234" t="s">
        <v>204</v>
      </c>
      <c r="C24" s="2" t="s">
        <v>205</v>
      </c>
      <c r="D24" s="54" t="s">
        <v>206</v>
      </c>
      <c r="E24" s="2" t="s">
        <v>207</v>
      </c>
      <c r="F24" s="4">
        <v>1</v>
      </c>
      <c r="G24" s="138">
        <v>1942000</v>
      </c>
      <c r="H24" s="137">
        <v>2142000</v>
      </c>
      <c r="I24" s="51">
        <v>1559376</v>
      </c>
      <c r="J24" s="51"/>
      <c r="K24" s="41">
        <f t="shared" si="1"/>
        <v>1942000</v>
      </c>
      <c r="L24" s="41">
        <f t="shared" si="2"/>
        <v>1881125.3333333333</v>
      </c>
      <c r="M24" s="42">
        <f t="shared" si="3"/>
        <v>296043.87364938494</v>
      </c>
      <c r="N24" s="44">
        <f t="shared" si="0"/>
        <v>0.15737594322053941</v>
      </c>
      <c r="O24" s="52">
        <f t="shared" si="4"/>
        <v>1631932.7731092437</v>
      </c>
      <c r="P24" s="52">
        <f t="shared" si="5"/>
        <v>310067.22689075628</v>
      </c>
      <c r="Q24" s="52">
        <f t="shared" si="6"/>
        <v>1942000</v>
      </c>
      <c r="R24" s="22" t="s">
        <v>78</v>
      </c>
    </row>
    <row r="25" spans="1:19" s="8" customFormat="1" ht="135" customHeight="1">
      <c r="A25" s="2">
        <v>20</v>
      </c>
      <c r="B25" s="236"/>
      <c r="C25" s="55" t="s">
        <v>208</v>
      </c>
      <c r="D25" s="56" t="s">
        <v>209</v>
      </c>
      <c r="E25" s="55" t="s">
        <v>135</v>
      </c>
      <c r="F25" s="57">
        <v>1</v>
      </c>
      <c r="G25" s="138"/>
      <c r="H25" s="138">
        <v>3900000</v>
      </c>
      <c r="I25" s="58">
        <v>4398240</v>
      </c>
      <c r="J25" s="58"/>
      <c r="K25" s="41">
        <f t="shared" si="1"/>
        <v>4149120</v>
      </c>
      <c r="L25" s="41">
        <f t="shared" si="2"/>
        <v>4149120</v>
      </c>
      <c r="M25" s="42">
        <f t="shared" si="3"/>
        <v>352308.88265838544</v>
      </c>
      <c r="N25" s="59">
        <f t="shared" si="0"/>
        <v>8.4911712039754325E-2</v>
      </c>
      <c r="O25" s="60">
        <f>+Q25/1.19</f>
        <v>3486655.4621848739</v>
      </c>
      <c r="P25" s="60">
        <f>+O25*19%</f>
        <v>662464.53781512601</v>
      </c>
      <c r="Q25" s="60">
        <f>ROUNDUP(IF(N25&lt;15%,L25,K25),0)</f>
        <v>4149120</v>
      </c>
      <c r="R25" s="55" t="s">
        <v>74</v>
      </c>
    </row>
    <row r="26" spans="1:19" ht="115.5" customHeight="1">
      <c r="A26" s="2">
        <v>21</v>
      </c>
      <c r="B26" s="234" t="s">
        <v>210</v>
      </c>
      <c r="C26" s="2" t="s">
        <v>211</v>
      </c>
      <c r="D26" s="54" t="s">
        <v>212</v>
      </c>
      <c r="E26" s="2" t="s">
        <v>135</v>
      </c>
      <c r="F26" s="4">
        <v>1</v>
      </c>
      <c r="G26" s="137">
        <v>2462520.7899159663</v>
      </c>
      <c r="H26" s="138">
        <v>3570000</v>
      </c>
      <c r="I26" s="51"/>
      <c r="J26" s="51"/>
      <c r="K26" s="41">
        <f t="shared" si="1"/>
        <v>3016260.3949579829</v>
      </c>
      <c r="L26" s="41">
        <f t="shared" si="2"/>
        <v>3016260.3949579829</v>
      </c>
      <c r="M26" s="42">
        <f t="shared" si="3"/>
        <v>783106.05947354261</v>
      </c>
      <c r="N26" s="44">
        <f t="shared" si="0"/>
        <v>0.25962813448818678</v>
      </c>
      <c r="O26" s="60">
        <f t="shared" ref="O26:O27" si="7">+Q26/1.19</f>
        <v>2534673.1092436975</v>
      </c>
      <c r="P26" s="60">
        <f t="shared" ref="P26:P27" si="8">+O26*19%</f>
        <v>481587.89075630251</v>
      </c>
      <c r="Q26" s="52">
        <f>ROUNDUP(IF(N26&lt;15%,L26,K26),0)</f>
        <v>3016261</v>
      </c>
      <c r="R26" s="22" t="s">
        <v>170</v>
      </c>
    </row>
    <row r="27" spans="1:19" s="8" customFormat="1" ht="77.650000000000006" customHeight="1">
      <c r="A27" s="2">
        <v>22</v>
      </c>
      <c r="B27" s="236"/>
      <c r="C27" s="55" t="s">
        <v>213</v>
      </c>
      <c r="D27" s="56" t="s">
        <v>214</v>
      </c>
      <c r="E27" s="55" t="s">
        <v>135</v>
      </c>
      <c r="F27" s="57">
        <v>1</v>
      </c>
      <c r="G27" s="138">
        <v>19750000</v>
      </c>
      <c r="H27" s="138">
        <v>12750000</v>
      </c>
      <c r="I27" s="58">
        <v>22129240</v>
      </c>
      <c r="J27" s="58"/>
      <c r="K27" s="41">
        <f t="shared" si="1"/>
        <v>19750000</v>
      </c>
      <c r="L27" s="41">
        <f t="shared" si="2"/>
        <v>18209746.666666668</v>
      </c>
      <c r="M27" s="42">
        <f t="shared" si="3"/>
        <v>4875635.4449992785</v>
      </c>
      <c r="N27" s="59">
        <f t="shared" si="0"/>
        <v>0.26774866966843824</v>
      </c>
      <c r="O27" s="60">
        <f t="shared" si="7"/>
        <v>16596638.655462185</v>
      </c>
      <c r="P27" s="60">
        <f t="shared" si="8"/>
        <v>3153361.3445378151</v>
      </c>
      <c r="Q27" s="60">
        <f>ROUNDUP(IF(N27&lt;15%,L27,K27),0)</f>
        <v>19750000</v>
      </c>
      <c r="R27" s="55" t="s">
        <v>170</v>
      </c>
      <c r="S27" s="79"/>
    </row>
    <row r="28" spans="1:19" ht="75">
      <c r="A28" s="2">
        <v>23</v>
      </c>
      <c r="B28" s="234" t="s">
        <v>215</v>
      </c>
      <c r="C28" s="2" t="s">
        <v>216</v>
      </c>
      <c r="D28" s="54" t="s">
        <v>217</v>
      </c>
      <c r="E28" s="2" t="s">
        <v>135</v>
      </c>
      <c r="F28" s="4">
        <v>1</v>
      </c>
      <c r="G28" s="137">
        <v>300000</v>
      </c>
      <c r="H28" s="137">
        <v>416500</v>
      </c>
      <c r="I28" s="51">
        <v>274556.79999999999</v>
      </c>
      <c r="J28" s="51"/>
      <c r="K28" s="41">
        <f t="shared" si="1"/>
        <v>300000</v>
      </c>
      <c r="L28" s="41">
        <f t="shared" si="2"/>
        <v>330352.26666666666</v>
      </c>
      <c r="M28" s="42">
        <f t="shared" si="3"/>
        <v>75682.977448124351</v>
      </c>
      <c r="N28" s="44">
        <f t="shared" si="0"/>
        <v>0.22909779978743203</v>
      </c>
      <c r="O28" s="52">
        <f t="shared" si="4"/>
        <v>252100.84033613445</v>
      </c>
      <c r="P28" s="52">
        <f t="shared" si="5"/>
        <v>47899.159663865546</v>
      </c>
      <c r="Q28" s="52">
        <f t="shared" si="6"/>
        <v>300000</v>
      </c>
      <c r="R28" s="22" t="s">
        <v>170</v>
      </c>
    </row>
    <row r="29" spans="1:19" ht="75">
      <c r="A29" s="2">
        <v>24</v>
      </c>
      <c r="B29" s="235"/>
      <c r="C29" s="2" t="s">
        <v>218</v>
      </c>
      <c r="D29" s="54" t="s">
        <v>219</v>
      </c>
      <c r="E29" s="2" t="s">
        <v>135</v>
      </c>
      <c r="F29" s="4">
        <v>1</v>
      </c>
      <c r="G29" s="137">
        <v>35700</v>
      </c>
      <c r="H29" s="137">
        <v>35700</v>
      </c>
      <c r="I29" s="51">
        <v>39984</v>
      </c>
      <c r="J29" s="51"/>
      <c r="K29" s="41">
        <f t="shared" si="1"/>
        <v>35700</v>
      </c>
      <c r="L29" s="41">
        <f t="shared" si="2"/>
        <v>37128</v>
      </c>
      <c r="M29" s="42">
        <f t="shared" si="3"/>
        <v>2473.3685532083568</v>
      </c>
      <c r="N29" s="44">
        <f t="shared" si="0"/>
        <v>6.6617338752649122E-2</v>
      </c>
      <c r="O29" s="52">
        <f t="shared" si="4"/>
        <v>31200</v>
      </c>
      <c r="P29" s="52">
        <f t="shared" si="5"/>
        <v>5928</v>
      </c>
      <c r="Q29" s="52">
        <f>ROUNDUP(IF(N29&lt;15%,L29,K29),0)</f>
        <v>37128</v>
      </c>
      <c r="R29" s="55" t="s">
        <v>74</v>
      </c>
    </row>
    <row r="30" spans="1:19" s="97" customFormat="1" ht="150">
      <c r="A30" s="2">
        <v>25</v>
      </c>
      <c r="B30" s="235"/>
      <c r="C30" s="143" t="s">
        <v>220</v>
      </c>
      <c r="D30" s="99" t="s">
        <v>221</v>
      </c>
      <c r="E30" s="90" t="s">
        <v>135</v>
      </c>
      <c r="F30" s="93">
        <v>1</v>
      </c>
      <c r="G30" s="120">
        <v>814000</v>
      </c>
      <c r="H30" s="120">
        <v>914000</v>
      </c>
      <c r="I30" s="51">
        <v>934150</v>
      </c>
      <c r="J30" s="51"/>
      <c r="K30" s="41">
        <f t="shared" si="1"/>
        <v>914000</v>
      </c>
      <c r="L30" s="41">
        <f t="shared" si="2"/>
        <v>887383.33333333337</v>
      </c>
      <c r="M30" s="42">
        <f t="shared" si="3"/>
        <v>64345.480286756218</v>
      </c>
      <c r="N30" s="96">
        <f t="shared" si="0"/>
        <v>7.2511481644636347E-2</v>
      </c>
      <c r="O30" s="118">
        <f t="shared" si="4"/>
        <v>745700.84033613454</v>
      </c>
      <c r="P30" s="118">
        <f t="shared" si="5"/>
        <v>141683.15966386558</v>
      </c>
      <c r="Q30" s="118">
        <f t="shared" si="6"/>
        <v>887384</v>
      </c>
      <c r="R30" s="55" t="s">
        <v>74</v>
      </c>
    </row>
    <row r="31" spans="1:19" ht="126.75" customHeight="1">
      <c r="A31" s="2">
        <v>26</v>
      </c>
      <c r="B31" s="235"/>
      <c r="C31" s="155" t="s">
        <v>166</v>
      </c>
      <c r="D31" s="53" t="s">
        <v>222</v>
      </c>
      <c r="E31" s="2" t="s">
        <v>135</v>
      </c>
      <c r="F31" s="3">
        <v>1</v>
      </c>
      <c r="G31" s="138">
        <v>990000</v>
      </c>
      <c r="H31" s="138">
        <v>1190000</v>
      </c>
      <c r="I31" s="58">
        <v>760410</v>
      </c>
      <c r="J31" s="58"/>
      <c r="K31" s="41">
        <f t="shared" si="1"/>
        <v>990000</v>
      </c>
      <c r="L31" s="41">
        <f t="shared" si="2"/>
        <v>980136.66666666663</v>
      </c>
      <c r="M31" s="42">
        <f t="shared" si="3"/>
        <v>214964.77858787298</v>
      </c>
      <c r="N31" s="44">
        <f t="shared" si="0"/>
        <v>0.21932122927197872</v>
      </c>
      <c r="O31" s="118">
        <f t="shared" si="4"/>
        <v>831932.77310924372</v>
      </c>
      <c r="P31" s="118">
        <f t="shared" si="5"/>
        <v>158067.22689075631</v>
      </c>
      <c r="Q31" s="52">
        <f>ROUNDUP(IF(N31&lt;15%,L31,K31),0)</f>
        <v>990000</v>
      </c>
      <c r="R31" s="22" t="s">
        <v>170</v>
      </c>
      <c r="S31" s="10"/>
    </row>
    <row r="32" spans="1:19" ht="75">
      <c r="A32" s="2">
        <v>27</v>
      </c>
      <c r="B32" s="235"/>
      <c r="C32" s="155" t="s">
        <v>171</v>
      </c>
      <c r="D32" s="53" t="s">
        <v>223</v>
      </c>
      <c r="E32" s="2" t="s">
        <v>135</v>
      </c>
      <c r="F32" s="3">
        <v>1</v>
      </c>
      <c r="G32" s="137">
        <v>952000</v>
      </c>
      <c r="H32" s="137">
        <v>1350000</v>
      </c>
      <c r="I32" s="51">
        <v>1206660</v>
      </c>
      <c r="J32" s="51"/>
      <c r="K32" s="41">
        <f t="shared" si="1"/>
        <v>1206660</v>
      </c>
      <c r="L32" s="41">
        <f t="shared" si="2"/>
        <v>1169553.3333333333</v>
      </c>
      <c r="M32" s="42">
        <f t="shared" si="3"/>
        <v>201577.97134938443</v>
      </c>
      <c r="N32" s="44">
        <f t="shared" si="0"/>
        <v>0.1723546636174931</v>
      </c>
      <c r="O32" s="52">
        <f t="shared" si="4"/>
        <v>1014000</v>
      </c>
      <c r="P32" s="52">
        <f t="shared" si="5"/>
        <v>192660</v>
      </c>
      <c r="Q32" s="52">
        <f t="shared" si="6"/>
        <v>1206660</v>
      </c>
      <c r="R32" s="22" t="s">
        <v>170</v>
      </c>
    </row>
    <row r="33" spans="1:18" ht="69.75" customHeight="1">
      <c r="A33" s="2">
        <v>28</v>
      </c>
      <c r="B33" s="236"/>
      <c r="C33" s="40" t="s">
        <v>224</v>
      </c>
      <c r="D33" s="54" t="s">
        <v>225</v>
      </c>
      <c r="E33" s="2" t="s">
        <v>44</v>
      </c>
      <c r="F33" s="3">
        <v>1</v>
      </c>
      <c r="G33" s="137">
        <v>426000</v>
      </c>
      <c r="H33" s="137">
        <v>476000</v>
      </c>
      <c r="I33" s="51">
        <v>306544</v>
      </c>
      <c r="J33" s="51"/>
      <c r="K33" s="41">
        <f t="shared" si="1"/>
        <v>426000</v>
      </c>
      <c r="L33" s="41">
        <f t="shared" si="2"/>
        <v>402848</v>
      </c>
      <c r="M33" s="42">
        <f t="shared" si="3"/>
        <v>87068.049892024108</v>
      </c>
      <c r="N33" s="44">
        <f t="shared" si="0"/>
        <v>0.21613127008704053</v>
      </c>
      <c r="O33" s="52">
        <f t="shared" si="4"/>
        <v>357983.19327731093</v>
      </c>
      <c r="P33" s="52">
        <f t="shared" si="5"/>
        <v>68016.806722689071</v>
      </c>
      <c r="Q33" s="52">
        <f t="shared" si="6"/>
        <v>426000</v>
      </c>
      <c r="R33" s="22" t="s">
        <v>170</v>
      </c>
    </row>
    <row r="34" spans="1:18" ht="116.25" customHeight="1">
      <c r="A34" s="2">
        <v>29</v>
      </c>
      <c r="B34" s="40" t="s">
        <v>226</v>
      </c>
      <c r="C34" s="2" t="s">
        <v>227</v>
      </c>
      <c r="D34" s="54" t="s">
        <v>228</v>
      </c>
      <c r="E34" s="2" t="s">
        <v>44</v>
      </c>
      <c r="F34" s="3">
        <v>1</v>
      </c>
      <c r="G34" s="137">
        <v>933000</v>
      </c>
      <c r="H34" s="138">
        <v>1160000</v>
      </c>
      <c r="I34" s="152"/>
      <c r="J34" s="152"/>
      <c r="K34" s="41">
        <f t="shared" si="1"/>
        <v>1046500</v>
      </c>
      <c r="L34" s="41">
        <f t="shared" si="2"/>
        <v>1046500</v>
      </c>
      <c r="M34" s="42">
        <f t="shared" si="3"/>
        <v>160513.23932934628</v>
      </c>
      <c r="N34" s="44">
        <f t="shared" si="0"/>
        <v>0.15338102181495106</v>
      </c>
      <c r="O34" s="52">
        <f t="shared" si="4"/>
        <v>879411.76470588241</v>
      </c>
      <c r="P34" s="52">
        <f t="shared" si="5"/>
        <v>167088.23529411765</v>
      </c>
      <c r="Q34" s="52">
        <f t="shared" si="6"/>
        <v>1046500</v>
      </c>
      <c r="R34" s="22" t="s">
        <v>170</v>
      </c>
    </row>
    <row r="35" spans="1:18" ht="27" customHeight="1">
      <c r="A35" s="85" t="s">
        <v>129</v>
      </c>
      <c r="B35" s="84"/>
      <c r="C35" s="85"/>
      <c r="D35" s="84"/>
      <c r="E35" s="84"/>
      <c r="F35" s="84"/>
      <c r="G35" s="139"/>
      <c r="H35" s="139"/>
      <c r="I35" s="115"/>
      <c r="J35" s="115"/>
      <c r="K35" s="116"/>
      <c r="L35" s="116"/>
      <c r="M35" s="86"/>
      <c r="N35" s="88"/>
      <c r="O35" s="117"/>
      <c r="P35" s="117"/>
      <c r="Q35" s="117">
        <f>SUM(Q6:Q34)</f>
        <v>38883627</v>
      </c>
      <c r="R35" s="112"/>
    </row>
  </sheetData>
  <autoFilter ref="A5:S35" xr:uid="{00000000-0001-0000-0100-000000000000}"/>
  <mergeCells count="10">
    <mergeCell ref="A1:R1"/>
    <mergeCell ref="A4:F4"/>
    <mergeCell ref="K4:R4"/>
    <mergeCell ref="A3:R3"/>
    <mergeCell ref="A2:R2"/>
    <mergeCell ref="B6:B18"/>
    <mergeCell ref="B19:B23"/>
    <mergeCell ref="B24:B25"/>
    <mergeCell ref="B26:B27"/>
    <mergeCell ref="B28:B33"/>
  </mergeCells>
  <printOptions horizontalCentered="1" verticalCentered="1"/>
  <pageMargins left="0.70866141732283472" right="0.70866141732283472" top="0.74803149606299213" bottom="0.74803149606299213" header="0.31496062992125984" footer="0.31496062992125984"/>
  <pageSetup scale="12" orientation="landscape" r:id="rId1"/>
  <ignoredErrors>
    <ignoredError sqref="O11 O18:P18" 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19507AFE02F42F45A3B760FBAEAB6372" ma:contentTypeVersion="15" ma:contentTypeDescription="Crear nuevo documento." ma:contentTypeScope="" ma:versionID="2ffa164068871826e058c6ba7aa65f8e">
  <xsd:schema xmlns:xsd="http://www.w3.org/2001/XMLSchema" xmlns:xs="http://www.w3.org/2001/XMLSchema" xmlns:p="http://schemas.microsoft.com/office/2006/metadata/properties" xmlns:ns2="60eaac97-d65c-4aef-94f1-edc1f11955b8" xmlns:ns3="f3c61e99-895f-413c-92d7-8bb142adcc76" targetNamespace="http://schemas.microsoft.com/office/2006/metadata/properties" ma:root="true" ma:fieldsID="6df9248c16cc4b9043c2e32d58c547ad" ns2:_="" ns3:_="">
    <xsd:import namespace="60eaac97-d65c-4aef-94f1-edc1f11955b8"/>
    <xsd:import namespace="f3c61e99-895f-413c-92d7-8bb142adcc7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2:TaxCatchAll"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eaac97-d65c-4aef-94f1-edc1f11955b8"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3731cca7-e0fc-4ab5-a13e-8f740764f419}" ma:internalName="TaxCatchAll" ma:showField="CatchAllData" ma:web="60eaac97-d65c-4aef-94f1-edc1f11955b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3c61e99-895f-413c-92d7-8bb142adcc7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3c61e99-895f-413c-92d7-8bb142adcc76">
      <Terms xmlns="http://schemas.microsoft.com/office/infopath/2007/PartnerControls"/>
    </lcf76f155ced4ddcb4097134ff3c332f>
    <TaxCatchAll xmlns="60eaac97-d65c-4aef-94f1-edc1f11955b8" xsi:nil="true"/>
  </documentManagement>
</p:properties>
</file>

<file path=customXml/itemProps1.xml><?xml version="1.0" encoding="utf-8"?>
<ds:datastoreItem xmlns:ds="http://schemas.openxmlformats.org/officeDocument/2006/customXml" ds:itemID="{312379A0-4B1A-4948-8CBB-A485A863C5AA}">
  <ds:schemaRefs>
    <ds:schemaRef ds:uri="http://schemas.microsoft.com/sharepoint/v3/contenttype/forms"/>
  </ds:schemaRefs>
</ds:datastoreItem>
</file>

<file path=customXml/itemProps2.xml><?xml version="1.0" encoding="utf-8"?>
<ds:datastoreItem xmlns:ds="http://schemas.openxmlformats.org/officeDocument/2006/customXml" ds:itemID="{086219EC-322D-4E2D-A346-B07C2E2FB8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eaac97-d65c-4aef-94f1-edc1f11955b8"/>
    <ds:schemaRef ds:uri="f3c61e99-895f-413c-92d7-8bb142adcc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22E86C0-0F38-4582-AD58-E6E333FB14C7}">
  <ds:schemaRefs>
    <ds:schemaRef ds:uri="http://purl.org/dc/terms/"/>
    <ds:schemaRef ds:uri="http://purl.org/dc/dcmitype/"/>
    <ds:schemaRef ds:uri="http://schemas.microsoft.com/office/infopath/2007/PartnerControls"/>
    <ds:schemaRef ds:uri="http://schemas.microsoft.com/office/2006/documentManagement/types"/>
    <ds:schemaRef ds:uri="http://schemas.openxmlformats.org/package/2006/metadata/core-properties"/>
    <ds:schemaRef ds:uri="http://purl.org/dc/elements/1.1/"/>
    <ds:schemaRef ds:uri="http://www.w3.org/XML/1998/namespace"/>
    <ds:schemaRef ds:uri="f3c61e99-895f-413c-92d7-8bb142adcc76"/>
    <ds:schemaRef ds:uri="60eaac97-d65c-4aef-94f1-edc1f11955b8"/>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ESTUDIO DE MERCADO</vt:lpstr>
      <vt:lpstr>BOLSA ADECUACIÓN DE ESPACIO FIS</vt:lpstr>
      <vt:lpstr>BOLSAProtección cuerpos de agua</vt:lpstr>
      <vt:lpstr>BOLSA Energias alternativas</vt:lpstr>
      <vt:lpstr>'BOLSA ADECUACIÓN DE ESPACIO FIS'!Área_de_impresión</vt:lpstr>
      <vt:lpstr>'BOLSA Energias alternativas'!Área_de_impresión</vt:lpstr>
      <vt:lpstr>'BOLSAProtección cuerpos de agua'!Área_de_impresión</vt:lpstr>
      <vt:lpstr>'ESTUDIO DE MERCADO'!Área_de_impresión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Mildreth Ruiz</dc:creator>
  <cp:keywords/>
  <dc:description/>
  <cp:lastModifiedBy>juan carlos caicedo</cp:lastModifiedBy>
  <cp:revision/>
  <dcterms:created xsi:type="dcterms:W3CDTF">2021-08-05T13:01:02Z</dcterms:created>
  <dcterms:modified xsi:type="dcterms:W3CDTF">2026-07-15T02:05:24Z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0x01010019507AFE02F42F45A3B760FBAEAB6372</vt:lpwstr>
  </property>
  <property fmtid="{D5CDD505-2E9C-101B-9397-08002B2CF9AE}" pid="3" name="MediaServiceImageTags">
    <vt:lpwstr/>
  </property>
</Properties>
</file>