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4D1C537B-E38A-612A-F078-A93A15B4B7F4}"/>
  <workbookPr codeName="ThisWorkbook"/>
  <mc:AlternateContent xmlns:mc="http://schemas.openxmlformats.org/markup-compatibility/2006">
    <mc:Choice Requires="x15">
      <x15ac:absPath xmlns:x15ac="http://schemas.microsoft.com/office/spreadsheetml/2010/11/ac" url="Z:\España\2026\0.4 Estudios Previos\06. Bruselas, Idolos, Tesalia\Idolos\"/>
    </mc:Choice>
  </mc:AlternateContent>
  <xr:revisionPtr revIDLastSave="0" documentId="13_ncr:1_{7A555B6D-2DB8-4633-BD46-4B77D6149047}" xr6:coauthVersionLast="47" xr6:coauthVersionMax="47" xr10:uidLastSave="{00000000-0000-0000-0000-000000000000}"/>
  <bookViews>
    <workbookView xWindow="0" yWindow="0" windowWidth="12000" windowHeight="12900" tabRatio="886" firstSheet="1" activeTab="4" xr2:uid="{00000000-000D-0000-FFFF-FFFF00000000}"/>
  </bookViews>
  <sheets>
    <sheet name="Indice" sheetId="23" state="hidden" r:id="rId1"/>
    <sheet name="01" sheetId="24" r:id="rId2"/>
    <sheet name="11" sheetId="8" r:id="rId3"/>
    <sheet name="13" sheetId="10" state="hidden" r:id="rId4"/>
    <sheet name="AIU" sheetId="31" r:id="rId5"/>
    <sheet name="03" sheetId="29" state="hidden" r:id="rId6"/>
    <sheet name="04" sheetId="27" state="hidden" r:id="rId7"/>
    <sheet name="05" sheetId="26" state="hidden" r:id="rId8"/>
    <sheet name="06" sheetId="39" state="hidden" r:id="rId9"/>
    <sheet name="07" sheetId="40" state="hidden" r:id="rId10"/>
    <sheet name="08" sheetId="41" state="hidden" r:id="rId11"/>
    <sheet name="09" sheetId="42" state="hidden" r:id="rId12"/>
    <sheet name="10" sheetId="7" state="hidden" r:id="rId13"/>
    <sheet name="12" sheetId="25" state="hidden" r:id="rId14"/>
    <sheet name="14" sheetId="35" state="hidden" r:id="rId15"/>
    <sheet name="15" sheetId="12" state="hidden" r:id="rId16"/>
    <sheet name="16" sheetId="13" state="hidden" r:id="rId17"/>
    <sheet name="17" sheetId="14" state="hidden" r:id="rId18"/>
    <sheet name="18" sheetId="16" state="hidden" r:id="rId19"/>
    <sheet name="19" sheetId="38" state="hidden" r:id="rId20"/>
  </sheets>
  <definedNames>
    <definedName name="AA_APUS">'11'!$A:$N</definedName>
    <definedName name="AA_Cantidadesredes">'17'!$Q$4:$T$10</definedName>
    <definedName name="AA_Cimentacion">Indice!$K$29:$M$40</definedName>
    <definedName name="AA_Codos">'19'!$C$4:$L$22</definedName>
    <definedName name="AA_Cuadrillas">'12'!$A$22:$O$68</definedName>
    <definedName name="AA_Equipos">'14'!$C$5:$K$22</definedName>
    <definedName name="AA_Materiales">'13'!$C:$N</definedName>
    <definedName name="AA_Presupuesto">'01'!$H$12:$N$171</definedName>
    <definedName name="AA_Unitarios">'10'!$B:$M</definedName>
    <definedName name="_xlnm.Print_Area" localSheetId="1">'01'!$A$1:$N$199</definedName>
    <definedName name="_xlnm.Print_Area" localSheetId="5">'03'!$A$1:$O$41</definedName>
    <definedName name="_xlnm.Print_Area" localSheetId="6">'04'!$A$1:$I$79</definedName>
    <definedName name="_xlnm.Print_Area" localSheetId="7">'05'!$A$1:$Q$26</definedName>
    <definedName name="_xlnm.Print_Area" localSheetId="12">'10'!$A$1:$M$90</definedName>
    <definedName name="_xlnm.Print_Area" localSheetId="2">'11'!$A$1:$N$2546</definedName>
    <definedName name="_xlnm.Print_Area" localSheetId="13">'12'!$A$1:$O$76</definedName>
    <definedName name="_xlnm.Print_Area" localSheetId="3">'13'!$A$1:$N$116</definedName>
    <definedName name="_xlnm.Print_Area" localSheetId="14">'14'!$A$1:$K$31</definedName>
    <definedName name="_xlnm.Print_Area" localSheetId="15">'15'!$A$1:$Q$216</definedName>
    <definedName name="_xlnm.Print_Area" localSheetId="16">'16'!$A$1:$L$616</definedName>
    <definedName name="_xlnm.Print_Area" localSheetId="17">'17'!$A$1:$AC$226</definedName>
    <definedName name="_xlnm.Print_Area" localSheetId="18">'18'!$A$1:$L$602</definedName>
    <definedName name="_xlnm.Print_Area" localSheetId="19">'19'!$A$1:$L$174</definedName>
    <definedName name="_xlnm.Print_Area" localSheetId="4">AIU!$A$1:$O$64</definedName>
    <definedName name="_xlnm.Print_Area" localSheetId="0">Indice!$A$1:$M$61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3" i="31" l="1"/>
  <c r="N35" i="31" l="1"/>
  <c r="J31" i="31"/>
  <c r="N21" i="31"/>
  <c r="P56" i="31" a="1"/>
  <c r="P56" i="31" s="1"/>
  <c r="D8" i="31"/>
  <c r="J41" i="31" s="1"/>
  <c r="N41" i="31" s="1"/>
  <c r="M175" i="24"/>
  <c r="M177" i="24" s="1"/>
  <c r="K176" i="24"/>
  <c r="I180" i="24"/>
  <c r="M178" i="24"/>
  <c r="M176" i="24"/>
  <c r="J50" i="31" l="1"/>
  <c r="N50" i="31" s="1"/>
  <c r="M180" i="24"/>
  <c r="M174" i="24" l="1"/>
  <c r="Q13" i="24"/>
  <c r="P171" i="24"/>
  <c r="Q173" i="24"/>
  <c r="Q180" i="24"/>
  <c r="P207" i="24"/>
  <c r="M194" i="24" l="1"/>
  <c r="K178" i="24"/>
  <c r="K177" i="24"/>
  <c r="M172" i="24"/>
  <c r="M183" i="24" s="1"/>
  <c r="M184" i="24" s="1"/>
  <c r="N213" i="24"/>
  <c r="M185" i="24" l="1"/>
  <c r="M186" i="24" s="1"/>
  <c r="K2230" i="8"/>
  <c r="L2204" i="8"/>
  <c r="K1726" i="8"/>
  <c r="K1521" i="8"/>
  <c r="L1539" i="8"/>
  <c r="L369" i="8"/>
  <c r="K353" i="8"/>
  <c r="K352" i="8"/>
  <c r="L325" i="8"/>
  <c r="K308" i="8"/>
  <c r="I317" i="8"/>
  <c r="J67" i="10"/>
  <c r="J108" i="10"/>
  <c r="J99" i="10"/>
  <c r="J105" i="10"/>
  <c r="J98" i="10"/>
  <c r="J44" i="10"/>
  <c r="J54" i="10"/>
  <c r="J102" i="10"/>
  <c r="R173" i="24" l="1"/>
  <c r="R174" i="24" s="1"/>
  <c r="E208" i="24"/>
  <c r="E207" i="24"/>
  <c r="E206" i="24"/>
  <c r="E205" i="24"/>
  <c r="E204" i="24"/>
  <c r="E202" i="24"/>
  <c r="J169" i="24"/>
  <c r="P193" i="14"/>
  <c r="J193" i="14"/>
  <c r="U193" i="14"/>
  <c r="W193" i="14"/>
  <c r="Z193" i="14"/>
  <c r="AC193" i="14" s="1"/>
  <c r="S8" i="14"/>
  <c r="P168" i="14"/>
  <c r="J168" i="14"/>
  <c r="U168" i="14"/>
  <c r="W168" i="14"/>
  <c r="Z168" i="14"/>
  <c r="AC168" i="14" s="1"/>
  <c r="P169" i="14"/>
  <c r="J169" i="14"/>
  <c r="O169" i="14"/>
  <c r="U169" i="14"/>
  <c r="W169" i="14"/>
  <c r="Z169" i="14"/>
  <c r="AC169" i="14" s="1"/>
  <c r="O170" i="14"/>
  <c r="J170" i="14"/>
  <c r="T170" i="14"/>
  <c r="X170" i="14" s="1"/>
  <c r="U170" i="14"/>
  <c r="W170" i="14"/>
  <c r="Z170" i="14"/>
  <c r="AC170" i="14" s="1"/>
  <c r="O171" i="14"/>
  <c r="J171" i="14"/>
  <c r="K171" i="14" s="1"/>
  <c r="T171" i="14"/>
  <c r="X171" i="14" s="1"/>
  <c r="U171" i="14"/>
  <c r="W171" i="14"/>
  <c r="Z171" i="14"/>
  <c r="AC171" i="14" s="1"/>
  <c r="P172" i="14"/>
  <c r="J172" i="14"/>
  <c r="U172" i="14"/>
  <c r="W172" i="14"/>
  <c r="Z172" i="14"/>
  <c r="AC172" i="14" s="1"/>
  <c r="O173" i="14"/>
  <c r="J173" i="14"/>
  <c r="U173" i="14"/>
  <c r="W173" i="14"/>
  <c r="Z173" i="14"/>
  <c r="AC173" i="14" s="1"/>
  <c r="Q174" i="14"/>
  <c r="J174" i="14"/>
  <c r="U174" i="14"/>
  <c r="W174" i="14"/>
  <c r="Z174" i="14"/>
  <c r="AC174" i="14" s="1"/>
  <c r="P175" i="14"/>
  <c r="J175" i="14"/>
  <c r="U175" i="14"/>
  <c r="W175" i="14"/>
  <c r="Z175" i="14"/>
  <c r="AC175" i="14" s="1"/>
  <c r="R176" i="14"/>
  <c r="J176" i="14"/>
  <c r="U176" i="14"/>
  <c r="W176" i="14"/>
  <c r="Z176" i="14"/>
  <c r="AC176" i="14" s="1"/>
  <c r="O177" i="14"/>
  <c r="J177" i="14"/>
  <c r="U177" i="14"/>
  <c r="W177" i="14"/>
  <c r="Z177" i="14"/>
  <c r="AC177" i="14" s="1"/>
  <c r="O178" i="14"/>
  <c r="J178" i="14"/>
  <c r="U178" i="14"/>
  <c r="W178" i="14"/>
  <c r="Z178" i="14"/>
  <c r="AC178" i="14" s="1"/>
  <c r="O179" i="14"/>
  <c r="J179" i="14"/>
  <c r="U179" i="14"/>
  <c r="W179" i="14"/>
  <c r="Z179" i="14"/>
  <c r="AC179" i="14" s="1"/>
  <c r="P180" i="14"/>
  <c r="J180" i="14"/>
  <c r="U180" i="14"/>
  <c r="W180" i="14"/>
  <c r="Z180" i="14"/>
  <c r="AC180" i="14" s="1"/>
  <c r="O181" i="14"/>
  <c r="J181" i="14"/>
  <c r="U181" i="14"/>
  <c r="W181" i="14"/>
  <c r="Z181" i="14"/>
  <c r="AC181" i="14" s="1"/>
  <c r="Q182" i="14"/>
  <c r="J182" i="14"/>
  <c r="U182" i="14"/>
  <c r="W182" i="14"/>
  <c r="Z182" i="14"/>
  <c r="AC182" i="14" s="1"/>
  <c r="Q183" i="14"/>
  <c r="J183" i="14"/>
  <c r="U183" i="14"/>
  <c r="W183" i="14"/>
  <c r="Z183" i="14"/>
  <c r="AC183" i="14" s="1"/>
  <c r="J184" i="14"/>
  <c r="U184" i="14"/>
  <c r="W184" i="14"/>
  <c r="Z184" i="14"/>
  <c r="AC184" i="14" s="1"/>
  <c r="J185" i="14"/>
  <c r="U185" i="14"/>
  <c r="W185" i="14"/>
  <c r="Z185" i="14"/>
  <c r="AC185" i="14" s="1"/>
  <c r="P186" i="14"/>
  <c r="J186" i="14"/>
  <c r="U186" i="14"/>
  <c r="W186" i="14"/>
  <c r="Z186" i="14"/>
  <c r="AC186" i="14" s="1"/>
  <c r="T187" i="14"/>
  <c r="X187" i="14" s="1"/>
  <c r="J187" i="14"/>
  <c r="U187" i="14"/>
  <c r="W187" i="14"/>
  <c r="Z187" i="14"/>
  <c r="AC187" i="14" s="1"/>
  <c r="P188" i="14"/>
  <c r="J188" i="14"/>
  <c r="U188" i="14"/>
  <c r="W188" i="14"/>
  <c r="Z188" i="14"/>
  <c r="AC188" i="14" s="1"/>
  <c r="O189" i="14"/>
  <c r="J189" i="14"/>
  <c r="U189" i="14"/>
  <c r="W189" i="14"/>
  <c r="Z189" i="14"/>
  <c r="AC189" i="14" s="1"/>
  <c r="O190" i="14"/>
  <c r="J190" i="14"/>
  <c r="U190" i="14"/>
  <c r="W190" i="14"/>
  <c r="Z190" i="14"/>
  <c r="AC190" i="14" s="1"/>
  <c r="O191" i="14"/>
  <c r="J191" i="14"/>
  <c r="U191" i="14"/>
  <c r="W191" i="14"/>
  <c r="Z191" i="14"/>
  <c r="AC191" i="14" s="1"/>
  <c r="P192" i="14"/>
  <c r="J192" i="14"/>
  <c r="U192" i="14"/>
  <c r="W192" i="14"/>
  <c r="Z192" i="14"/>
  <c r="AC192" i="14" s="1"/>
  <c r="J30" i="29"/>
  <c r="J107" i="10"/>
  <c r="J106" i="10"/>
  <c r="J103" i="10"/>
  <c r="J62" i="10"/>
  <c r="J57" i="10"/>
  <c r="J40" i="10"/>
  <c r="J39" i="10"/>
  <c r="J37" i="10"/>
  <c r="J32" i="10"/>
  <c r="J64" i="10"/>
  <c r="J36" i="10"/>
  <c r="J10" i="10"/>
  <c r="J28" i="10"/>
  <c r="J6" i="10"/>
  <c r="J9" i="10"/>
  <c r="J63" i="10"/>
  <c r="J23" i="10"/>
  <c r="J7" i="10"/>
  <c r="J18" i="35"/>
  <c r="R171" i="14" l="1"/>
  <c r="R170" i="14"/>
  <c r="P171" i="14"/>
  <c r="R193" i="14"/>
  <c r="Q193" i="14"/>
  <c r="K193" i="14"/>
  <c r="L193" i="14" s="1"/>
  <c r="O193" i="14"/>
  <c r="T193" i="14"/>
  <c r="X193" i="14" s="1"/>
  <c r="Q171" i="14"/>
  <c r="R173" i="14"/>
  <c r="P173" i="14"/>
  <c r="Q173" i="14"/>
  <c r="R172" i="14"/>
  <c r="K179" i="14"/>
  <c r="N179" i="14" s="1"/>
  <c r="Q172" i="14"/>
  <c r="R189" i="14"/>
  <c r="K184" i="14"/>
  <c r="N184" i="14" s="1"/>
  <c r="T186" i="14"/>
  <c r="X186" i="14" s="1"/>
  <c r="Q187" i="14"/>
  <c r="R181" i="14"/>
  <c r="R190" i="14"/>
  <c r="Q189" i="14"/>
  <c r="R188" i="14"/>
  <c r="R187" i="14"/>
  <c r="O186" i="14"/>
  <c r="P189" i="14"/>
  <c r="Q188" i="14"/>
  <c r="T183" i="14"/>
  <c r="X183" i="14" s="1"/>
  <c r="T178" i="14"/>
  <c r="X178" i="14" s="1"/>
  <c r="T175" i="14"/>
  <c r="X175" i="14" s="1"/>
  <c r="K185" i="14"/>
  <c r="M185" i="14" s="1"/>
  <c r="R183" i="14"/>
  <c r="R182" i="14"/>
  <c r="R178" i="14"/>
  <c r="O175" i="14"/>
  <c r="P183" i="14"/>
  <c r="Q178" i="14"/>
  <c r="R177" i="14"/>
  <c r="K175" i="14"/>
  <c r="L175" i="14" s="1"/>
  <c r="T192" i="14"/>
  <c r="X192" i="14" s="1"/>
  <c r="O183" i="14"/>
  <c r="P178" i="14"/>
  <c r="Q177" i="14"/>
  <c r="R192" i="14"/>
  <c r="K183" i="14"/>
  <c r="N183" i="14" s="1"/>
  <c r="K182" i="14"/>
  <c r="N182" i="14" s="1"/>
  <c r="P177" i="14"/>
  <c r="K176" i="14"/>
  <c r="M176" i="14" s="1"/>
  <c r="T191" i="14"/>
  <c r="X191" i="14" s="1"/>
  <c r="K190" i="14"/>
  <c r="L190" i="14" s="1"/>
  <c r="P187" i="14"/>
  <c r="R186" i="14"/>
  <c r="P182" i="14"/>
  <c r="Q181" i="14"/>
  <c r="R180" i="14"/>
  <c r="Q176" i="14"/>
  <c r="R175" i="14"/>
  <c r="K173" i="14"/>
  <c r="L173" i="14" s="1"/>
  <c r="K172" i="14"/>
  <c r="L172" i="14" s="1"/>
  <c r="Q170" i="14"/>
  <c r="R169" i="14"/>
  <c r="Q192" i="14"/>
  <c r="R191" i="14"/>
  <c r="K189" i="14"/>
  <c r="L189" i="14" s="1"/>
  <c r="K188" i="14"/>
  <c r="L188" i="14" s="1"/>
  <c r="O187" i="14"/>
  <c r="Q186" i="14"/>
  <c r="R185" i="14"/>
  <c r="O182" i="14"/>
  <c r="P181" i="14"/>
  <c r="Q180" i="14"/>
  <c r="T179" i="14"/>
  <c r="X179" i="14" s="1"/>
  <c r="K178" i="14"/>
  <c r="M178" i="14" s="1"/>
  <c r="P176" i="14"/>
  <c r="Q175" i="14"/>
  <c r="T174" i="14"/>
  <c r="X174" i="14" s="1"/>
  <c r="P170" i="14"/>
  <c r="Q169" i="14"/>
  <c r="R168" i="14"/>
  <c r="Q191" i="14"/>
  <c r="T190" i="14"/>
  <c r="X190" i="14" s="1"/>
  <c r="K187" i="14"/>
  <c r="L187" i="14" s="1"/>
  <c r="Q185" i="14"/>
  <c r="R184" i="14"/>
  <c r="R179" i="14"/>
  <c r="K177" i="14"/>
  <c r="M177" i="14" s="1"/>
  <c r="R174" i="14"/>
  <c r="Q168" i="14"/>
  <c r="P191" i="14"/>
  <c r="P185" i="14"/>
  <c r="Q184" i="14"/>
  <c r="Q179" i="14"/>
  <c r="K174" i="14"/>
  <c r="M174" i="14" s="1"/>
  <c r="K192" i="14"/>
  <c r="M192" i="14" s="1"/>
  <c r="Q190" i="14"/>
  <c r="O185" i="14"/>
  <c r="P184" i="14"/>
  <c r="K181" i="14"/>
  <c r="N181" i="14" s="1"/>
  <c r="K180" i="14"/>
  <c r="L180" i="14" s="1"/>
  <c r="P179" i="14"/>
  <c r="P174" i="14"/>
  <c r="K170" i="14"/>
  <c r="M170" i="14" s="1"/>
  <c r="K191" i="14"/>
  <c r="L191" i="14" s="1"/>
  <c r="P190" i="14"/>
  <c r="K186" i="14"/>
  <c r="N186" i="14" s="1"/>
  <c r="T182" i="14"/>
  <c r="X182" i="14" s="1"/>
  <c r="O174" i="14"/>
  <c r="K169" i="14"/>
  <c r="L169" i="14" s="1"/>
  <c r="K168" i="14"/>
  <c r="M168" i="14" s="1"/>
  <c r="N177" i="14"/>
  <c r="L171" i="14"/>
  <c r="M171" i="14"/>
  <c r="N171" i="14"/>
  <c r="O192" i="14"/>
  <c r="O188" i="14"/>
  <c r="O184" i="14"/>
  <c r="O180" i="14"/>
  <c r="O176" i="14"/>
  <c r="O172" i="14"/>
  <c r="O168" i="14"/>
  <c r="T189" i="14"/>
  <c r="X189" i="14" s="1"/>
  <c r="T185" i="14"/>
  <c r="X185" i="14" s="1"/>
  <c r="T181" i="14"/>
  <c r="X181" i="14" s="1"/>
  <c r="T177" i="14"/>
  <c r="X177" i="14" s="1"/>
  <c r="T173" i="14"/>
  <c r="X173" i="14" s="1"/>
  <c r="T169" i="14"/>
  <c r="X169" i="14" s="1"/>
  <c r="T188" i="14"/>
  <c r="X188" i="14" s="1"/>
  <c r="T184" i="14"/>
  <c r="X184" i="14" s="1"/>
  <c r="T180" i="14"/>
  <c r="X180" i="14" s="1"/>
  <c r="T176" i="14"/>
  <c r="X176" i="14" s="1"/>
  <c r="T172" i="14"/>
  <c r="X172" i="14" s="1"/>
  <c r="T168" i="14"/>
  <c r="X168" i="14" s="1"/>
  <c r="E41" i="12"/>
  <c r="F41" i="12" s="1"/>
  <c r="F54" i="23" s="1"/>
  <c r="F40" i="12"/>
  <c r="F11" i="12"/>
  <c r="F10" i="12"/>
  <c r="J205" i="12"/>
  <c r="J204" i="12"/>
  <c r="A188" i="12"/>
  <c r="A24" i="12" s="1"/>
  <c r="S171" i="14" l="1"/>
  <c r="V171" i="14" s="1"/>
  <c r="M184" i="14"/>
  <c r="N193" i="14"/>
  <c r="M193" i="14"/>
  <c r="L182" i="14"/>
  <c r="M182" i="14"/>
  <c r="L179" i="14"/>
  <c r="M179" i="14"/>
  <c r="S193" i="14"/>
  <c r="V193" i="14" s="1"/>
  <c r="L178" i="14"/>
  <c r="N172" i="14"/>
  <c r="L185" i="14"/>
  <c r="L184" i="14"/>
  <c r="L176" i="14"/>
  <c r="N169" i="14"/>
  <c r="M180" i="14"/>
  <c r="M187" i="14"/>
  <c r="N170" i="14"/>
  <c r="S179" i="14"/>
  <c r="V179" i="14" s="1"/>
  <c r="M173" i="14"/>
  <c r="M188" i="14"/>
  <c r="N173" i="14"/>
  <c r="L177" i="14"/>
  <c r="M183" i="14"/>
  <c r="M169" i="14"/>
  <c r="N189" i="14"/>
  <c r="L192" i="14"/>
  <c r="N190" i="14"/>
  <c r="S174" i="14"/>
  <c r="V174" i="14" s="1"/>
  <c r="N191" i="14"/>
  <c r="N175" i="14"/>
  <c r="N176" i="14"/>
  <c r="S191" i="14"/>
  <c r="V191" i="14" s="1"/>
  <c r="S175" i="14"/>
  <c r="V175" i="14" s="1"/>
  <c r="L174" i="14"/>
  <c r="S176" i="14"/>
  <c r="V176" i="14" s="1"/>
  <c r="S170" i="14"/>
  <c r="V170" i="14" s="1"/>
  <c r="S192" i="14"/>
  <c r="V192" i="14" s="1"/>
  <c r="S183" i="14"/>
  <c r="V183" i="14" s="1"/>
  <c r="S186" i="14"/>
  <c r="V186" i="14" s="1"/>
  <c r="S178" i="14"/>
  <c r="V178" i="14" s="1"/>
  <c r="S180" i="14"/>
  <c r="V180" i="14" s="1"/>
  <c r="M181" i="14"/>
  <c r="N185" i="14"/>
  <c r="M190" i="14"/>
  <c r="L183" i="14"/>
  <c r="N180" i="14"/>
  <c r="M191" i="14"/>
  <c r="N174" i="14"/>
  <c r="M175" i="14"/>
  <c r="M172" i="14"/>
  <c r="L168" i="14"/>
  <c r="N187" i="14"/>
  <c r="S172" i="14"/>
  <c r="V172" i="14" s="1"/>
  <c r="S187" i="14"/>
  <c r="V187" i="14" s="1"/>
  <c r="S182" i="14"/>
  <c r="V182" i="14" s="1"/>
  <c r="S184" i="14"/>
  <c r="V184" i="14" s="1"/>
  <c r="N188" i="14"/>
  <c r="L170" i="14"/>
  <c r="M189" i="14"/>
  <c r="L186" i="14"/>
  <c r="M186" i="14"/>
  <c r="S188" i="14"/>
  <c r="V188" i="14" s="1"/>
  <c r="N168" i="14"/>
  <c r="L181" i="14"/>
  <c r="N178" i="14"/>
  <c r="N192" i="14"/>
  <c r="S190" i="14"/>
  <c r="V190" i="14" s="1"/>
  <c r="S173" i="14"/>
  <c r="V173" i="14" s="1"/>
  <c r="S168" i="14"/>
  <c r="V168" i="14" s="1"/>
  <c r="S185" i="14"/>
  <c r="V185" i="14" s="1"/>
  <c r="S169" i="14"/>
  <c r="V169" i="14" s="1"/>
  <c r="S189" i="14"/>
  <c r="V189" i="14" s="1"/>
  <c r="S181" i="14"/>
  <c r="V181" i="14" s="1"/>
  <c r="S177" i="14"/>
  <c r="V177" i="14" s="1"/>
  <c r="J180" i="12"/>
  <c r="A150" i="12"/>
  <c r="A20" i="12" s="1"/>
  <c r="J148" i="12"/>
  <c r="J146" i="12"/>
  <c r="A132" i="12"/>
  <c r="J130" i="12"/>
  <c r="J129" i="12"/>
  <c r="J127" i="12"/>
  <c r="J126" i="12"/>
  <c r="J125" i="12"/>
  <c r="J124" i="12"/>
  <c r="J123" i="12"/>
  <c r="J122" i="12"/>
  <c r="J121" i="12"/>
  <c r="J120" i="12"/>
  <c r="J119" i="12"/>
  <c r="J118" i="12"/>
  <c r="J117" i="12"/>
  <c r="J156" i="12"/>
  <c r="J155" i="12"/>
  <c r="J154" i="12"/>
  <c r="J111" i="12"/>
  <c r="J110" i="12"/>
  <c r="J107" i="12"/>
  <c r="J98" i="12"/>
  <c r="A91" i="12" l="1"/>
  <c r="J71" i="12"/>
  <c r="J95" i="12" s="1"/>
  <c r="A67" i="12"/>
  <c r="J63" i="12"/>
  <c r="J62" i="12"/>
  <c r="J60" i="12"/>
  <c r="J202" i="12" s="1"/>
  <c r="J57" i="12"/>
  <c r="J199" i="12" s="1"/>
  <c r="J50" i="12"/>
  <c r="A46" i="12"/>
  <c r="J13" i="35"/>
  <c r="J10" i="35"/>
  <c r="J8" i="35"/>
  <c r="J9" i="35"/>
  <c r="J22" i="10"/>
  <c r="J60" i="10"/>
  <c r="J81" i="10"/>
  <c r="J53" i="10"/>
  <c r="J38" i="10"/>
  <c r="J162" i="12" l="1"/>
  <c r="J192" i="12"/>
  <c r="J141" i="12"/>
  <c r="J171" i="12"/>
  <c r="J144" i="12"/>
  <c r="J178" i="12"/>
  <c r="J72" i="12"/>
  <c r="J136" i="12"/>
  <c r="J78" i="12"/>
  <c r="J103" i="12"/>
  <c r="J85" i="12"/>
  <c r="J115" i="12"/>
  <c r="J44" i="42"/>
  <c r="J165" i="12"/>
  <c r="K2146" i="8"/>
  <c r="J164" i="12" s="1"/>
  <c r="K2246" i="8" l="1"/>
  <c r="K2247" i="8"/>
  <c r="K2248" i="8"/>
  <c r="K2249" i="8"/>
  <c r="K2205" i="8"/>
  <c r="K2206" i="8"/>
  <c r="K2207" i="8"/>
  <c r="K2208" i="8"/>
  <c r="K2164" i="8"/>
  <c r="K2165" i="8"/>
  <c r="K2166" i="8"/>
  <c r="K2167" i="8"/>
  <c r="J31" i="24" l="1"/>
  <c r="I63" i="12" s="1"/>
  <c r="M63" i="12" s="1"/>
  <c r="N82" i="7"/>
  <c r="M2538" i="8"/>
  <c r="K2538" i="8"/>
  <c r="I2538" i="8"/>
  <c r="H2538" i="8"/>
  <c r="M2537" i="8"/>
  <c r="K2537" i="8"/>
  <c r="I2537" i="8"/>
  <c r="H2537" i="8"/>
  <c r="M2536" i="8"/>
  <c r="K2536" i="8"/>
  <c r="I2536" i="8"/>
  <c r="H2536" i="8"/>
  <c r="M2535" i="8"/>
  <c r="K2535" i="8"/>
  <c r="I2535" i="8"/>
  <c r="H2535" i="8"/>
  <c r="H2534" i="8"/>
  <c r="M2529" i="8"/>
  <c r="M2528" i="8"/>
  <c r="M2527" i="8"/>
  <c r="M2526" i="8"/>
  <c r="M2520" i="8"/>
  <c r="I2520" i="8"/>
  <c r="H2520" i="8"/>
  <c r="M2519" i="8"/>
  <c r="I2519" i="8"/>
  <c r="H2519" i="8"/>
  <c r="M2518" i="8"/>
  <c r="I2518" i="8"/>
  <c r="H2518" i="8"/>
  <c r="M2517" i="8"/>
  <c r="I2517" i="8"/>
  <c r="H2517" i="8"/>
  <c r="H2516" i="8"/>
  <c r="M2511" i="8"/>
  <c r="I2511" i="8"/>
  <c r="H2511" i="8"/>
  <c r="I2510" i="8"/>
  <c r="H2510" i="8"/>
  <c r="M2509" i="8"/>
  <c r="I2509" i="8"/>
  <c r="H2509" i="8"/>
  <c r="I2508" i="8"/>
  <c r="H2508" i="8"/>
  <c r="I2507" i="8"/>
  <c r="H2507" i="8"/>
  <c r="H2506" i="8"/>
  <c r="H2505" i="8"/>
  <c r="H2504" i="8"/>
  <c r="H2503" i="8"/>
  <c r="H2502" i="8"/>
  <c r="H2501" i="8"/>
  <c r="H2500" i="8"/>
  <c r="I2499" i="8"/>
  <c r="H2499" i="8"/>
  <c r="H2498" i="8"/>
  <c r="H2497" i="8"/>
  <c r="H2496" i="8"/>
  <c r="H2495" i="8"/>
  <c r="B2491" i="8"/>
  <c r="A2491" i="8"/>
  <c r="J167" i="24"/>
  <c r="I205" i="12" s="1"/>
  <c r="M205" i="12" s="1"/>
  <c r="I2446" i="8"/>
  <c r="H2445" i="8"/>
  <c r="H2446" i="8"/>
  <c r="N81" i="7"/>
  <c r="M2485" i="8" l="1"/>
  <c r="K2485" i="8"/>
  <c r="I2485" i="8"/>
  <c r="H2485" i="8"/>
  <c r="M2484" i="8"/>
  <c r="K2484" i="8"/>
  <c r="I2484" i="8"/>
  <c r="H2484" i="8"/>
  <c r="M2483" i="8"/>
  <c r="K2483" i="8"/>
  <c r="I2483" i="8"/>
  <c r="H2483" i="8"/>
  <c r="M2482" i="8"/>
  <c r="K2482" i="8"/>
  <c r="I2482" i="8"/>
  <c r="H2482" i="8"/>
  <c r="H2481" i="8"/>
  <c r="M2476" i="8"/>
  <c r="M2475" i="8"/>
  <c r="M2474" i="8"/>
  <c r="M2473" i="8"/>
  <c r="M2467" i="8"/>
  <c r="I2467" i="8"/>
  <c r="H2467" i="8"/>
  <c r="M2466" i="8"/>
  <c r="I2466" i="8"/>
  <c r="H2466" i="8"/>
  <c r="M2465" i="8"/>
  <c r="I2465" i="8"/>
  <c r="H2465" i="8"/>
  <c r="M2464" i="8"/>
  <c r="I2464" i="8"/>
  <c r="H2464" i="8"/>
  <c r="H2463" i="8"/>
  <c r="M2458" i="8"/>
  <c r="I2458" i="8"/>
  <c r="H2458" i="8"/>
  <c r="I2457" i="8"/>
  <c r="H2457" i="8"/>
  <c r="M2456" i="8"/>
  <c r="I2456" i="8"/>
  <c r="H2456" i="8"/>
  <c r="I2455" i="8"/>
  <c r="H2455" i="8"/>
  <c r="H2454" i="8"/>
  <c r="H2453" i="8"/>
  <c r="H2452" i="8"/>
  <c r="H2451" i="8"/>
  <c r="H2450" i="8"/>
  <c r="H2449" i="8"/>
  <c r="H2448" i="8"/>
  <c r="H2447" i="8"/>
  <c r="H2444" i="8"/>
  <c r="H2443" i="8"/>
  <c r="H2442" i="8"/>
  <c r="B2438" i="8"/>
  <c r="A2438" i="8"/>
  <c r="I586" i="16"/>
  <c r="F586" i="16" s="1"/>
  <c r="I575" i="16"/>
  <c r="F575" i="16"/>
  <c r="I564" i="16"/>
  <c r="F564" i="16" s="1"/>
  <c r="I553" i="16"/>
  <c r="F553" i="16" s="1"/>
  <c r="I550" i="16"/>
  <c r="I542" i="16"/>
  <c r="F542" i="16" s="1"/>
  <c r="I537" i="16"/>
  <c r="I538" i="16" s="1"/>
  <c r="I539" i="16" s="1"/>
  <c r="I531" i="16" s="1"/>
  <c r="F531" i="16" s="1"/>
  <c r="I520" i="16"/>
  <c r="F520" i="16" s="1"/>
  <c r="I509" i="16"/>
  <c r="F509" i="16"/>
  <c r="I476" i="16"/>
  <c r="F476" i="16" s="1"/>
  <c r="I465" i="16"/>
  <c r="F465" i="16"/>
  <c r="I454" i="16"/>
  <c r="F454" i="16" s="1"/>
  <c r="K2444" i="8" l="1"/>
  <c r="K2497" i="8"/>
  <c r="K2453" i="8"/>
  <c r="K2506" i="8"/>
  <c r="K2454" i="8"/>
  <c r="K2507" i="8"/>
  <c r="M2507" i="8" s="1"/>
  <c r="K2447" i="8"/>
  <c r="K2500" i="8"/>
  <c r="K2505" i="8"/>
  <c r="K2452" i="8"/>
  <c r="K2448" i="8"/>
  <c r="K2501" i="8"/>
  <c r="K2442" i="8"/>
  <c r="K2495" i="8"/>
  <c r="K2449" i="8"/>
  <c r="K2502" i="8"/>
  <c r="K2443" i="8"/>
  <c r="K2496" i="8"/>
  <c r="K2450" i="8"/>
  <c r="K2503" i="8"/>
  <c r="K2504" i="8"/>
  <c r="K2451" i="8"/>
  <c r="I495" i="16"/>
  <c r="I487" i="16" s="1"/>
  <c r="F487" i="16" s="1"/>
  <c r="I506" i="16" l="1"/>
  <c r="I498" i="16" s="1"/>
  <c r="F498" i="16" s="1"/>
  <c r="K2498" i="8"/>
  <c r="K2445" i="8"/>
  <c r="J104" i="10"/>
  <c r="I2454" i="8"/>
  <c r="M2454" i="8" s="1"/>
  <c r="I2452" i="8"/>
  <c r="M2452" i="8" s="1"/>
  <c r="J101" i="10"/>
  <c r="I2394" i="8" s="1"/>
  <c r="J100" i="10"/>
  <c r="N80" i="7"/>
  <c r="M2432" i="8"/>
  <c r="K2432" i="8"/>
  <c r="I2432" i="8"/>
  <c r="H2432" i="8"/>
  <c r="M2431" i="8"/>
  <c r="K2431" i="8"/>
  <c r="I2431" i="8"/>
  <c r="H2431" i="8"/>
  <c r="M2430" i="8"/>
  <c r="K2430" i="8"/>
  <c r="I2430" i="8"/>
  <c r="H2430" i="8"/>
  <c r="M2429" i="8"/>
  <c r="K2429" i="8"/>
  <c r="I2429" i="8"/>
  <c r="H2429" i="8"/>
  <c r="H2428" i="8"/>
  <c r="M2423" i="8"/>
  <c r="M2422" i="8"/>
  <c r="M2421" i="8"/>
  <c r="M2420" i="8"/>
  <c r="M2414" i="8"/>
  <c r="I2414" i="8"/>
  <c r="H2414" i="8"/>
  <c r="M2413" i="8"/>
  <c r="I2413" i="8"/>
  <c r="H2413" i="8"/>
  <c r="M2412" i="8"/>
  <c r="I2412" i="8"/>
  <c r="H2412" i="8"/>
  <c r="M2411" i="8"/>
  <c r="I2411" i="8"/>
  <c r="H2411" i="8"/>
  <c r="H2410" i="8"/>
  <c r="M2405" i="8"/>
  <c r="I2405" i="8"/>
  <c r="H2405" i="8"/>
  <c r="I2404" i="8"/>
  <c r="H2404" i="8"/>
  <c r="M2403" i="8"/>
  <c r="I2403" i="8"/>
  <c r="H2403" i="8"/>
  <c r="I2402" i="8"/>
  <c r="H2402" i="8"/>
  <c r="K2401" i="8"/>
  <c r="I2401" i="8"/>
  <c r="H2401" i="8"/>
  <c r="K2400" i="8"/>
  <c r="I2400" i="8"/>
  <c r="H2400" i="8"/>
  <c r="K2399" i="8"/>
  <c r="I2399" i="8"/>
  <c r="H2399" i="8"/>
  <c r="K2398" i="8"/>
  <c r="I2398" i="8"/>
  <c r="H2398" i="8"/>
  <c r="K2397" i="8"/>
  <c r="H2397" i="8"/>
  <c r="K2396" i="8"/>
  <c r="H2396" i="8"/>
  <c r="K2395" i="8"/>
  <c r="H2395" i="8"/>
  <c r="K2394" i="8"/>
  <c r="H2394" i="8"/>
  <c r="K2393" i="8"/>
  <c r="I2393" i="8"/>
  <c r="H2393" i="8"/>
  <c r="K2392" i="8"/>
  <c r="H2392" i="8"/>
  <c r="H2391" i="8"/>
  <c r="K2390" i="8"/>
  <c r="H2390" i="8"/>
  <c r="H2389" i="8"/>
  <c r="H2388" i="8"/>
  <c r="H2387" i="8"/>
  <c r="H2386" i="8"/>
  <c r="I2385" i="8"/>
  <c r="H2385" i="8"/>
  <c r="H2384" i="8"/>
  <c r="H2383" i="8"/>
  <c r="H2382" i="8"/>
  <c r="B2378" i="8"/>
  <c r="A2378" i="8"/>
  <c r="K2341" i="8"/>
  <c r="K2340" i="8"/>
  <c r="K2339" i="8"/>
  <c r="K2338" i="8"/>
  <c r="K2337" i="8"/>
  <c r="K2336" i="8"/>
  <c r="K2335" i="8"/>
  <c r="K2334" i="8"/>
  <c r="K2333" i="8"/>
  <c r="K2332" i="8"/>
  <c r="K2330" i="8"/>
  <c r="I2505" i="8"/>
  <c r="M2505" i="8" s="1"/>
  <c r="J97" i="10"/>
  <c r="K2446" i="8" l="1"/>
  <c r="M2446" i="8" s="1"/>
  <c r="K2499" i="8"/>
  <c r="M2499" i="8" s="1"/>
  <c r="I2397" i="8"/>
  <c r="M2397" i="8" s="1"/>
  <c r="M2401" i="8"/>
  <c r="M2393" i="8"/>
  <c r="M2399" i="8"/>
  <c r="M2400" i="8"/>
  <c r="I2395" i="8"/>
  <c r="M2395" i="8" s="1"/>
  <c r="M2398" i="8"/>
  <c r="M2394" i="8"/>
  <c r="M2372" i="8"/>
  <c r="K2372" i="8"/>
  <c r="I2372" i="8"/>
  <c r="H2372" i="8"/>
  <c r="M2371" i="8"/>
  <c r="K2371" i="8"/>
  <c r="I2371" i="8"/>
  <c r="H2371" i="8"/>
  <c r="M2370" i="8"/>
  <c r="K2370" i="8"/>
  <c r="I2370" i="8"/>
  <c r="H2370" i="8"/>
  <c r="M2369" i="8"/>
  <c r="K2369" i="8"/>
  <c r="I2369" i="8"/>
  <c r="H2369" i="8"/>
  <c r="H2368" i="8"/>
  <c r="M2363" i="8"/>
  <c r="M2362" i="8"/>
  <c r="M2361" i="8"/>
  <c r="M2360" i="8"/>
  <c r="M2354" i="8"/>
  <c r="I2354" i="8"/>
  <c r="H2354" i="8"/>
  <c r="M2353" i="8"/>
  <c r="I2353" i="8"/>
  <c r="H2353" i="8"/>
  <c r="M2352" i="8"/>
  <c r="I2352" i="8"/>
  <c r="H2352" i="8"/>
  <c r="M2351" i="8"/>
  <c r="I2351" i="8"/>
  <c r="H2351" i="8"/>
  <c r="H2350" i="8"/>
  <c r="M2345" i="8"/>
  <c r="I2345" i="8"/>
  <c r="H2345" i="8"/>
  <c r="I2344" i="8"/>
  <c r="H2344" i="8"/>
  <c r="M2343" i="8"/>
  <c r="I2343" i="8"/>
  <c r="H2343" i="8"/>
  <c r="I2342" i="8"/>
  <c r="H2342" i="8"/>
  <c r="H2341" i="8"/>
  <c r="I2340" i="8"/>
  <c r="M2340" i="8" s="1"/>
  <c r="H2340" i="8"/>
  <c r="I2339" i="8"/>
  <c r="M2339" i="8" s="1"/>
  <c r="H2339" i="8"/>
  <c r="H2338" i="8"/>
  <c r="I2337" i="8"/>
  <c r="M2337" i="8" s="1"/>
  <c r="H2337" i="8"/>
  <c r="H2336" i="8"/>
  <c r="I2335" i="8"/>
  <c r="M2335" i="8" s="1"/>
  <c r="H2335" i="8"/>
  <c r="H2334" i="8"/>
  <c r="I2333" i="8"/>
  <c r="M2333" i="8" s="1"/>
  <c r="H2333" i="8"/>
  <c r="H2332" i="8"/>
  <c r="H2331" i="8"/>
  <c r="H2330" i="8"/>
  <c r="H2329" i="8"/>
  <c r="H2328" i="8"/>
  <c r="H2327" i="8"/>
  <c r="H2326" i="8"/>
  <c r="I2325" i="8"/>
  <c r="H2325" i="8"/>
  <c r="H2324" i="8"/>
  <c r="H2323" i="8"/>
  <c r="H2322" i="8"/>
  <c r="B2318" i="8"/>
  <c r="A2318" i="8"/>
  <c r="N79" i="7"/>
  <c r="J412" i="16"/>
  <c r="J166" i="24" s="1"/>
  <c r="I204" i="12" s="1"/>
  <c r="M204" i="12" s="1"/>
  <c r="J413" i="16"/>
  <c r="J30" i="24" s="1"/>
  <c r="I62" i="12" s="1"/>
  <c r="M62" i="12" s="1"/>
  <c r="J414" i="16"/>
  <c r="J415" i="16"/>
  <c r="C432" i="16"/>
  <c r="C433" i="16"/>
  <c r="C434" i="16"/>
  <c r="C436" i="16"/>
  <c r="C438" i="16"/>
  <c r="C439" i="16"/>
  <c r="C440" i="16"/>
  <c r="C441" i="16"/>
  <c r="K2329" i="8" l="1"/>
  <c r="K2389" i="8"/>
  <c r="K2388" i="8"/>
  <c r="K2328" i="8"/>
  <c r="K2327" i="8"/>
  <c r="K2387" i="8"/>
  <c r="K2326" i="8"/>
  <c r="K2386" i="8"/>
  <c r="K2384" i="8"/>
  <c r="K2324" i="8"/>
  <c r="C435" i="16"/>
  <c r="K2323" i="8"/>
  <c r="K2325" i="8" s="1"/>
  <c r="M2325" i="8" s="1"/>
  <c r="K2383" i="8"/>
  <c r="K2385" i="8" s="1"/>
  <c r="M2385" i="8" s="1"/>
  <c r="K2382" i="8"/>
  <c r="K2322" i="8"/>
  <c r="K2391" i="8"/>
  <c r="K2331" i="8"/>
  <c r="I207" i="12"/>
  <c r="H1555" i="8"/>
  <c r="J154" i="24"/>
  <c r="I192" i="12" s="1"/>
  <c r="M192" i="12" s="1"/>
  <c r="Z217" i="14"/>
  <c r="AC217" i="14" s="1"/>
  <c r="AC216" i="14" s="1"/>
  <c r="W217" i="14"/>
  <c r="W215" i="14" s="1"/>
  <c r="U217" i="14"/>
  <c r="U215" i="14" s="1"/>
  <c r="J217" i="14"/>
  <c r="I217" i="14"/>
  <c r="O217" i="14" s="1"/>
  <c r="O215" i="14" s="1"/>
  <c r="J159" i="24" s="1"/>
  <c r="I197" i="12" s="1"/>
  <c r="AA216" i="14"/>
  <c r="AA210" i="14" s="1"/>
  <c r="Z211" i="14"/>
  <c r="AC211" i="14" s="1"/>
  <c r="W211" i="14"/>
  <c r="W209" i="14" s="1"/>
  <c r="U211" i="14"/>
  <c r="U209" i="14" s="1"/>
  <c r="J211" i="14"/>
  <c r="I211" i="14"/>
  <c r="J56" i="24"/>
  <c r="I89" i="12" s="1"/>
  <c r="R217" i="14" l="1"/>
  <c r="R215" i="14" s="1"/>
  <c r="K217" i="14"/>
  <c r="T217" i="14"/>
  <c r="P217" i="14"/>
  <c r="P215" i="14" s="1"/>
  <c r="J160" i="24" s="1"/>
  <c r="I198" i="12" s="1"/>
  <c r="AC210" i="14"/>
  <c r="Z216" i="14"/>
  <c r="Z210" i="14" s="1"/>
  <c r="Q217" i="14"/>
  <c r="Q215" i="14" s="1"/>
  <c r="J39" i="24"/>
  <c r="I72" i="12" s="1"/>
  <c r="M72" i="12" s="1"/>
  <c r="T215" i="14" l="1"/>
  <c r="X217" i="14"/>
  <c r="X215" i="14" s="1"/>
  <c r="M217" i="14"/>
  <c r="M215" i="14" s="1"/>
  <c r="N217" i="14"/>
  <c r="N215" i="14" s="1"/>
  <c r="J157" i="24" s="1"/>
  <c r="I195" i="12" s="1"/>
  <c r="K215" i="14"/>
  <c r="L217" i="14"/>
  <c r="L215" i="14" s="1"/>
  <c r="J156" i="24" s="1"/>
  <c r="I194" i="12" s="1"/>
  <c r="S217" i="14"/>
  <c r="S215" i="14" s="1"/>
  <c r="J161" i="24" s="1"/>
  <c r="I199" i="12" s="1"/>
  <c r="M199" i="12" s="1"/>
  <c r="Z205" i="14"/>
  <c r="AC205" i="14" s="1"/>
  <c r="AC204" i="14" s="1"/>
  <c r="W205" i="14"/>
  <c r="W203" i="14" s="1"/>
  <c r="U205" i="14"/>
  <c r="U203" i="14" s="1"/>
  <c r="J205" i="14"/>
  <c r="I205" i="14"/>
  <c r="R205" i="14" s="1"/>
  <c r="R203" i="14" s="1"/>
  <c r="AA204" i="14"/>
  <c r="AA198" i="14" s="1"/>
  <c r="J33" i="24"/>
  <c r="I65" i="12" s="1"/>
  <c r="J18" i="24"/>
  <c r="I50" i="12" s="1"/>
  <c r="M50" i="12" s="1"/>
  <c r="Z199" i="14"/>
  <c r="W199" i="14"/>
  <c r="W197" i="14" s="1"/>
  <c r="U199" i="14"/>
  <c r="U197" i="14" s="1"/>
  <c r="J199" i="14"/>
  <c r="I199" i="14"/>
  <c r="O199" i="14" s="1"/>
  <c r="O197" i="14" s="1"/>
  <c r="V217" i="14" l="1"/>
  <c r="V215" i="14" s="1"/>
  <c r="J164" i="24" s="1"/>
  <c r="T205" i="14"/>
  <c r="T203" i="14" s="1"/>
  <c r="Q205" i="14"/>
  <c r="Q203" i="14" s="1"/>
  <c r="K205" i="14"/>
  <c r="K203" i="14" s="1"/>
  <c r="Z204" i="14"/>
  <c r="Z198" i="14" s="1"/>
  <c r="O205" i="14"/>
  <c r="O203" i="14" s="1"/>
  <c r="P205" i="14"/>
  <c r="P203" i="14" s="1"/>
  <c r="R199" i="14"/>
  <c r="R197" i="14" s="1"/>
  <c r="AC199" i="14"/>
  <c r="AC198" i="14" s="1"/>
  <c r="K199" i="14"/>
  <c r="K197" i="14" s="1"/>
  <c r="T199" i="14"/>
  <c r="T197" i="14" s="1"/>
  <c r="P199" i="14"/>
  <c r="P197" i="14" s="1"/>
  <c r="Q199" i="14"/>
  <c r="Q197" i="14" s="1"/>
  <c r="J163" i="24" l="1"/>
  <c r="I201" i="12" s="1"/>
  <c r="I202" i="12"/>
  <c r="M202" i="12" s="1"/>
  <c r="N205" i="14"/>
  <c r="N203" i="14" s="1"/>
  <c r="M205" i="14"/>
  <c r="M203" i="14" s="1"/>
  <c r="L205" i="14"/>
  <c r="L203" i="14" s="1"/>
  <c r="S205" i="14"/>
  <c r="S203" i="14" s="1"/>
  <c r="X205" i="14"/>
  <c r="X203" i="14" s="1"/>
  <c r="X199" i="14"/>
  <c r="X197" i="14" s="1"/>
  <c r="M199" i="14"/>
  <c r="M197" i="14" s="1"/>
  <c r="N199" i="14"/>
  <c r="N197" i="14" s="1"/>
  <c r="L199" i="14"/>
  <c r="L197" i="14" s="1"/>
  <c r="S199" i="14"/>
  <c r="S197" i="14" s="1"/>
  <c r="N24" i="7"/>
  <c r="N25" i="7"/>
  <c r="N59" i="7"/>
  <c r="A127" i="8" s="1"/>
  <c r="N30" i="7"/>
  <c r="A169" i="8" s="1"/>
  <c r="N31" i="7"/>
  <c r="A211" i="8" s="1"/>
  <c r="N13" i="7"/>
  <c r="N26" i="7"/>
  <c r="A294" i="8" s="1"/>
  <c r="N14" i="7"/>
  <c r="A335" i="8" s="1"/>
  <c r="N15" i="7"/>
  <c r="A379" i="8" s="1"/>
  <c r="N52" i="7"/>
  <c r="A420" i="8" s="1"/>
  <c r="N12" i="7"/>
  <c r="A470" i="8" s="1"/>
  <c r="N16" i="7"/>
  <c r="A512" i="8" s="1"/>
  <c r="N17" i="7"/>
  <c r="A554" i="8" s="1"/>
  <c r="N47" i="7"/>
  <c r="A596" i="8" s="1"/>
  <c r="N40" i="7"/>
  <c r="A638" i="8" s="1"/>
  <c r="N11" i="7"/>
  <c r="N43" i="7"/>
  <c r="A722" i="8" s="1"/>
  <c r="N45" i="7"/>
  <c r="A766" i="8" s="1"/>
  <c r="N37" i="7"/>
  <c r="A810" i="8" s="1"/>
  <c r="N29" i="7"/>
  <c r="A854" i="8" s="1"/>
  <c r="N60" i="7"/>
  <c r="A894" i="8" s="1"/>
  <c r="N36" i="7"/>
  <c r="A938" i="8" s="1"/>
  <c r="N42" i="7"/>
  <c r="A982" i="8" s="1"/>
  <c r="N38" i="7"/>
  <c r="A1026" i="8" s="1"/>
  <c r="N41" i="7"/>
  <c r="A1068" i="8" s="1"/>
  <c r="N39" i="7"/>
  <c r="A1110" i="8" s="1"/>
  <c r="N46" i="7"/>
  <c r="A1152" i="8" s="1"/>
  <c r="N54" i="7"/>
  <c r="A1196" i="8" s="1"/>
  <c r="N35" i="7"/>
  <c r="A1241" i="8" s="1"/>
  <c r="N34" i="7"/>
  <c r="A1286" i="8" s="1"/>
  <c r="N27" i="7"/>
  <c r="A1331" i="8" s="1"/>
  <c r="N32" i="7"/>
  <c r="A1376" i="8" s="1"/>
  <c r="N48" i="7"/>
  <c r="A1421" i="8" s="1"/>
  <c r="N33" i="7"/>
  <c r="A1466" i="8" s="1"/>
  <c r="N61" i="7"/>
  <c r="N10" i="7"/>
  <c r="N62" i="7"/>
  <c r="N63" i="7"/>
  <c r="N64" i="7"/>
  <c r="N65" i="7"/>
  <c r="N66" i="7"/>
  <c r="N67" i="7"/>
  <c r="N68" i="7"/>
  <c r="A1549" i="8" s="1"/>
  <c r="N69" i="7"/>
  <c r="N70" i="7"/>
  <c r="N71" i="7"/>
  <c r="N72" i="7"/>
  <c r="N73" i="7"/>
  <c r="N53" i="7"/>
  <c r="A1589" i="8" s="1"/>
  <c r="N49" i="7"/>
  <c r="A1633" i="8" s="1"/>
  <c r="N51" i="7"/>
  <c r="A1678" i="8" s="1"/>
  <c r="N50" i="7"/>
  <c r="A1720" i="8" s="1"/>
  <c r="N19" i="7"/>
  <c r="A1768" i="8" s="1"/>
  <c r="N20" i="7"/>
  <c r="A1812" i="8" s="1"/>
  <c r="N21" i="7"/>
  <c r="A1856" i="8" s="1"/>
  <c r="N22" i="7"/>
  <c r="A1900" i="8" s="1"/>
  <c r="N23" i="7"/>
  <c r="A1944" i="8" s="1"/>
  <c r="N74" i="7"/>
  <c r="N44" i="7"/>
  <c r="A1984" i="8" s="1"/>
  <c r="N75" i="7"/>
  <c r="N76" i="7"/>
  <c r="N58" i="7"/>
  <c r="A2028" i="8" s="1"/>
  <c r="N28" i="7"/>
  <c r="A2089" i="8" s="1"/>
  <c r="N57" i="7"/>
  <c r="A2214" i="8" s="1"/>
  <c r="N56" i="7"/>
  <c r="A2173" i="8" s="1"/>
  <c r="N55" i="7"/>
  <c r="A2131" i="8" s="1"/>
  <c r="N77" i="7"/>
  <c r="N78" i="7"/>
  <c r="A2255" i="8" s="1"/>
  <c r="N9" i="7"/>
  <c r="H47" i="23"/>
  <c r="A253" i="8" l="1"/>
  <c r="B45" i="24"/>
  <c r="B106" i="24"/>
  <c r="B39" i="24"/>
  <c r="B101" i="24"/>
  <c r="A4" i="8"/>
  <c r="A1507" i="8"/>
  <c r="B21" i="24"/>
  <c r="A86" i="8"/>
  <c r="B156" i="24"/>
  <c r="A680" i="8"/>
  <c r="B105" i="24"/>
  <c r="B43" i="24"/>
  <c r="V205" i="14"/>
  <c r="V203" i="14" s="1"/>
  <c r="V199" i="14"/>
  <c r="V197" i="14" s="1"/>
  <c r="A45" i="8"/>
  <c r="H82" i="7" l="1"/>
  <c r="H81" i="7"/>
  <c r="H205" i="12" s="1"/>
  <c r="H80" i="7"/>
  <c r="H204" i="12" s="1"/>
  <c r="H79" i="7"/>
  <c r="H18" i="7"/>
  <c r="I18" i="7"/>
  <c r="J18" i="7"/>
  <c r="K18" i="7"/>
  <c r="L18" i="7"/>
  <c r="M18" i="7"/>
  <c r="I30" i="24" l="1"/>
  <c r="H62" i="12"/>
  <c r="I31" i="24"/>
  <c r="H63" i="12"/>
  <c r="H48" i="23"/>
  <c r="H50" i="23"/>
  <c r="H49" i="23"/>
  <c r="H45" i="23"/>
  <c r="I42" i="27"/>
  <c r="H44" i="27" s="1"/>
  <c r="I71" i="27" s="1"/>
  <c r="I72" i="27" s="1"/>
  <c r="H46" i="23" l="1"/>
  <c r="L13" i="40"/>
  <c r="L14" i="40"/>
  <c r="L15" i="40"/>
  <c r="L16" i="40"/>
  <c r="L17" i="40"/>
  <c r="L18" i="40"/>
  <c r="L19" i="40"/>
  <c r="L20" i="40"/>
  <c r="L21" i="40"/>
  <c r="L22" i="40"/>
  <c r="L23" i="40"/>
  <c r="L12" i="40"/>
  <c r="K2" i="42"/>
  <c r="A1" i="42"/>
  <c r="L13" i="42"/>
  <c r="L14" i="42"/>
  <c r="L15" i="42"/>
  <c r="L16" i="42"/>
  <c r="L17" i="42"/>
  <c r="L18" i="42"/>
  <c r="L19" i="42"/>
  <c r="L20" i="42"/>
  <c r="L21" i="42"/>
  <c r="L22" i="42"/>
  <c r="L23" i="42"/>
  <c r="L24" i="42"/>
  <c r="L12" i="42"/>
  <c r="K526" i="8" l="1"/>
  <c r="J59" i="12" s="1"/>
  <c r="J21" i="10"/>
  <c r="J20" i="10"/>
  <c r="J24" i="10"/>
  <c r="J11" i="10"/>
  <c r="J16" i="10"/>
  <c r="J15" i="10"/>
  <c r="J90" i="10"/>
  <c r="J41" i="10"/>
  <c r="J89" i="10"/>
  <c r="J88" i="10"/>
  <c r="J87" i="10"/>
  <c r="J86" i="10"/>
  <c r="I2341" i="8"/>
  <c r="M2341" i="8" s="1"/>
  <c r="J58" i="10"/>
  <c r="J56" i="10"/>
  <c r="I2338" i="8" s="1"/>
  <c r="M2338" i="8" s="1"/>
  <c r="J55" i="10"/>
  <c r="I2334" i="8" s="1"/>
  <c r="M2334" i="8" s="1"/>
  <c r="J43" i="10"/>
  <c r="J42" i="10"/>
  <c r="I1950" i="8"/>
  <c r="M1950" i="8" s="1"/>
  <c r="H1950" i="8"/>
  <c r="K703" i="8"/>
  <c r="K1268" i="8"/>
  <c r="K1313" i="8"/>
  <c r="K361" i="8"/>
  <c r="K1489" i="8"/>
  <c r="K1402" i="8"/>
  <c r="K1358" i="8"/>
  <c r="K317" i="8"/>
  <c r="K2236" i="8"/>
  <c r="H78" i="7"/>
  <c r="I2291" i="8"/>
  <c r="K2278" i="8"/>
  <c r="K2289" i="8" s="1"/>
  <c r="J23" i="35"/>
  <c r="I2282" i="8" s="1"/>
  <c r="M2312" i="8"/>
  <c r="I2312" i="8"/>
  <c r="H2312" i="8"/>
  <c r="M2311" i="8"/>
  <c r="I2311" i="8"/>
  <c r="H2311" i="8"/>
  <c r="M2310" i="8"/>
  <c r="I2310" i="8"/>
  <c r="H2310" i="8"/>
  <c r="M2309" i="8"/>
  <c r="I2309" i="8"/>
  <c r="H2309" i="8"/>
  <c r="M2303" i="8"/>
  <c r="M2302" i="8"/>
  <c r="M2301" i="8"/>
  <c r="K2287" i="8"/>
  <c r="I2284" i="8"/>
  <c r="K2274" i="8"/>
  <c r="K2285" i="8" s="1"/>
  <c r="K2286" i="8" s="1"/>
  <c r="M2266" i="8"/>
  <c r="I2266" i="8"/>
  <c r="H2266" i="8"/>
  <c r="M2265" i="8"/>
  <c r="I2265" i="8"/>
  <c r="H2265" i="8"/>
  <c r="M2264" i="8"/>
  <c r="I2264" i="8"/>
  <c r="H2264" i="8"/>
  <c r="M2263" i="8"/>
  <c r="I2263" i="8"/>
  <c r="H2263" i="8"/>
  <c r="M2262" i="8"/>
  <c r="I2262" i="8"/>
  <c r="H2262" i="8"/>
  <c r="B2255" i="8"/>
  <c r="J201" i="12" l="1"/>
  <c r="M201" i="12" s="1"/>
  <c r="J84" i="12"/>
  <c r="J114" i="12"/>
  <c r="J143" i="12"/>
  <c r="J177" i="12"/>
  <c r="I2506" i="8"/>
  <c r="M2506" i="8" s="1"/>
  <c r="I2336" i="8"/>
  <c r="M2336" i="8" s="1"/>
  <c r="I2359" i="8" s="1"/>
  <c r="I2453" i="8"/>
  <c r="M2453" i="8" s="1"/>
  <c r="I2472" i="8" s="1"/>
  <c r="M2472" i="8" s="1"/>
  <c r="M2477" i="8" s="1"/>
  <c r="L2438" i="8" s="1"/>
  <c r="K81" i="7" s="1"/>
  <c r="I2396" i="8"/>
  <c r="M2396" i="8" s="1"/>
  <c r="I2419" i="8" s="1"/>
  <c r="M2419" i="8" s="1"/>
  <c r="M2424" i="8" s="1"/>
  <c r="L2378" i="8" s="1"/>
  <c r="K80" i="7" s="1"/>
  <c r="I1555" i="8"/>
  <c r="M1555" i="8" s="1"/>
  <c r="M2304" i="8"/>
  <c r="L2255" i="8" s="1"/>
  <c r="K78" i="7" s="1"/>
  <c r="M2267" i="8"/>
  <c r="H2255" i="8" s="1"/>
  <c r="I78" i="7" s="1"/>
  <c r="K2295" i="8"/>
  <c r="M2293" i="8"/>
  <c r="K2288" i="8"/>
  <c r="K2290" i="8" s="1"/>
  <c r="I2525" i="8" l="1"/>
  <c r="M2525" i="8" s="1"/>
  <c r="M2530" i="8" s="1"/>
  <c r="L2491" i="8" s="1"/>
  <c r="K82" i="7" s="1"/>
  <c r="L2308" i="8"/>
  <c r="M2294" i="8"/>
  <c r="M2296" i="8" s="1"/>
  <c r="J2255" i="8" s="1"/>
  <c r="J78" i="7" s="1"/>
  <c r="J175" i="12" l="1"/>
  <c r="K2229" i="8"/>
  <c r="J95" i="10"/>
  <c r="J94" i="10"/>
  <c r="K2" i="41" l="1"/>
  <c r="K2" i="40"/>
  <c r="L2" i="39"/>
  <c r="J28" i="39"/>
  <c r="J29" i="39"/>
  <c r="J31" i="39"/>
  <c r="J32" i="39"/>
  <c r="J33" i="39"/>
  <c r="J27" i="39"/>
  <c r="L43" i="42"/>
  <c r="N43" i="42" s="1"/>
  <c r="L44" i="42"/>
  <c r="L45" i="42"/>
  <c r="L46" i="42"/>
  <c r="L47" i="42"/>
  <c r="L48" i="42"/>
  <c r="L42" i="42"/>
  <c r="N42" i="42" s="1"/>
  <c r="L37" i="42"/>
  <c r="N37" i="42" s="1"/>
  <c r="L38" i="42"/>
  <c r="N38" i="42" s="1"/>
  <c r="L39" i="42"/>
  <c r="N39" i="42" s="1"/>
  <c r="L40" i="42"/>
  <c r="N40" i="42" s="1"/>
  <c r="L36" i="42"/>
  <c r="N36" i="42" s="1"/>
  <c r="J12" i="42"/>
  <c r="N12" i="42" s="1"/>
  <c r="J13" i="42"/>
  <c r="J14" i="42"/>
  <c r="J15" i="42"/>
  <c r="J16" i="42"/>
  <c r="N16" i="42" s="1"/>
  <c r="J17" i="42"/>
  <c r="N17" i="42" s="1"/>
  <c r="J18" i="42"/>
  <c r="N18" i="42" s="1"/>
  <c r="J19" i="42"/>
  <c r="J20" i="42"/>
  <c r="N20" i="42" s="1"/>
  <c r="J21" i="42"/>
  <c r="J22" i="42"/>
  <c r="N22" i="42" s="1"/>
  <c r="J23" i="42"/>
  <c r="N23" i="42" s="1"/>
  <c r="J24" i="42"/>
  <c r="N24" i="42" s="1"/>
  <c r="J11" i="42"/>
  <c r="J48" i="42"/>
  <c r="N48" i="42" s="1"/>
  <c r="N47" i="42"/>
  <c r="N46" i="42"/>
  <c r="N45" i="42"/>
  <c r="N44" i="42"/>
  <c r="N41" i="42"/>
  <c r="N15" i="42"/>
  <c r="L42" i="41"/>
  <c r="N42" i="41" s="1"/>
  <c r="L43" i="41"/>
  <c r="L44" i="41"/>
  <c r="L45" i="41"/>
  <c r="L46" i="41"/>
  <c r="L47" i="41"/>
  <c r="L41" i="41"/>
  <c r="N41" i="41" s="1"/>
  <c r="L36" i="41"/>
  <c r="N36" i="41" s="1"/>
  <c r="L37" i="41"/>
  <c r="N37" i="41" s="1"/>
  <c r="L38" i="41"/>
  <c r="N38" i="41" s="1"/>
  <c r="L39" i="41"/>
  <c r="N39" i="41" s="1"/>
  <c r="L35" i="41"/>
  <c r="N35" i="41" s="1"/>
  <c r="L12" i="41"/>
  <c r="L13" i="41"/>
  <c r="L14" i="41"/>
  <c r="L15" i="41"/>
  <c r="L16" i="41"/>
  <c r="L17" i="41"/>
  <c r="L18" i="41"/>
  <c r="L19" i="41"/>
  <c r="L20" i="41"/>
  <c r="L21" i="41"/>
  <c r="L22" i="41"/>
  <c r="L23" i="41"/>
  <c r="L11" i="41"/>
  <c r="J12" i="41"/>
  <c r="J13" i="41"/>
  <c r="J14" i="41"/>
  <c r="J15" i="41"/>
  <c r="J16" i="41"/>
  <c r="J17" i="41"/>
  <c r="J18" i="41"/>
  <c r="J19" i="41"/>
  <c r="J20" i="41"/>
  <c r="J21" i="41"/>
  <c r="J22" i="41"/>
  <c r="J23" i="41"/>
  <c r="J11" i="41"/>
  <c r="A1" i="41"/>
  <c r="N47" i="41"/>
  <c r="N46" i="41"/>
  <c r="J45" i="41"/>
  <c r="J44" i="41"/>
  <c r="I44" i="41"/>
  <c r="I45" i="41" s="1"/>
  <c r="J43" i="41"/>
  <c r="N43" i="41" s="1"/>
  <c r="N40" i="41"/>
  <c r="L43" i="40"/>
  <c r="N43" i="40" s="1"/>
  <c r="L44" i="40"/>
  <c r="L45" i="40"/>
  <c r="L46" i="40"/>
  <c r="L47" i="40"/>
  <c r="L48" i="40"/>
  <c r="L49" i="40"/>
  <c r="L50" i="40"/>
  <c r="L42" i="40"/>
  <c r="N42" i="40" s="1"/>
  <c r="L37" i="40"/>
  <c r="N37" i="40" s="1"/>
  <c r="L38" i="40"/>
  <c r="N38" i="40" s="1"/>
  <c r="L39" i="40"/>
  <c r="N39" i="40" s="1"/>
  <c r="L40" i="40"/>
  <c r="N40" i="40" s="1"/>
  <c r="L36" i="40"/>
  <c r="N36" i="40" s="1"/>
  <c r="J12" i="40"/>
  <c r="J13" i="40"/>
  <c r="N13" i="40" s="1"/>
  <c r="J14" i="40"/>
  <c r="N14" i="40" s="1"/>
  <c r="J15" i="40"/>
  <c r="J16" i="40"/>
  <c r="N16" i="40" s="1"/>
  <c r="J17" i="40"/>
  <c r="N17" i="40" s="1"/>
  <c r="J18" i="40"/>
  <c r="N18" i="40" s="1"/>
  <c r="J19" i="40"/>
  <c r="J20" i="40"/>
  <c r="N20" i="40" s="1"/>
  <c r="J21" i="40"/>
  <c r="N21" i="40" s="1"/>
  <c r="J22" i="40"/>
  <c r="N22" i="40" s="1"/>
  <c r="J23" i="40"/>
  <c r="N23" i="40" s="1"/>
  <c r="J11" i="40"/>
  <c r="A1" i="40"/>
  <c r="J50" i="40"/>
  <c r="N50" i="40" s="1"/>
  <c r="N49" i="40"/>
  <c r="J48" i="40"/>
  <c r="N48" i="40" s="1"/>
  <c r="J47" i="40"/>
  <c r="N47" i="40" s="1"/>
  <c r="J46" i="40"/>
  <c r="N46" i="40" s="1"/>
  <c r="J45" i="40"/>
  <c r="N45" i="40" s="1"/>
  <c r="J44" i="40"/>
  <c r="N44" i="40" s="1"/>
  <c r="N41" i="40"/>
  <c r="N15" i="40"/>
  <c r="N44" i="41" l="1"/>
  <c r="N49" i="41" s="1"/>
  <c r="N20" i="41"/>
  <c r="N12" i="41"/>
  <c r="N19" i="41"/>
  <c r="N17" i="41"/>
  <c r="N23" i="41"/>
  <c r="N18" i="41"/>
  <c r="N21" i="41"/>
  <c r="N13" i="41"/>
  <c r="N14" i="41"/>
  <c r="N22" i="41"/>
  <c r="N16" i="41"/>
  <c r="N12" i="40"/>
  <c r="N14" i="42"/>
  <c r="N13" i="42"/>
  <c r="N21" i="42"/>
  <c r="N19" i="42"/>
  <c r="N49" i="42"/>
  <c r="N15" i="41"/>
  <c r="N11" i="41"/>
  <c r="N45" i="41"/>
  <c r="N19" i="40"/>
  <c r="N52" i="40"/>
  <c r="N24" i="41" l="1"/>
  <c r="J12" i="39" l="1"/>
  <c r="N12" i="39" s="1"/>
  <c r="J13" i="39"/>
  <c r="J14" i="39"/>
  <c r="N14" i="39" s="1"/>
  <c r="J15" i="39"/>
  <c r="J16" i="39"/>
  <c r="J17" i="39"/>
  <c r="J18" i="39"/>
  <c r="N18" i="39" s="1"/>
  <c r="J19" i="39"/>
  <c r="J11" i="39"/>
  <c r="N11" i="39" s="1"/>
  <c r="A1" i="39"/>
  <c r="N34" i="39"/>
  <c r="N32" i="39"/>
  <c r="N31" i="39"/>
  <c r="L28" i="39"/>
  <c r="N28" i="39" s="1"/>
  <c r="N27" i="39"/>
  <c r="L19" i="39"/>
  <c r="L17" i="39"/>
  <c r="L16" i="39"/>
  <c r="L33" i="39" s="1"/>
  <c r="N33" i="39" s="1"/>
  <c r="L15" i="39"/>
  <c r="L13" i="39"/>
  <c r="L29" i="39" s="1"/>
  <c r="N29" i="39" s="1"/>
  <c r="R164" i="14"/>
  <c r="J164" i="14"/>
  <c r="U164" i="14"/>
  <c r="W164" i="14"/>
  <c r="Z164" i="14"/>
  <c r="AC164" i="14" s="1"/>
  <c r="O165" i="14"/>
  <c r="J165" i="14"/>
  <c r="U165" i="14"/>
  <c r="W165" i="14"/>
  <c r="Z165" i="14"/>
  <c r="AC165" i="14" s="1"/>
  <c r="Q166" i="14"/>
  <c r="J166" i="14"/>
  <c r="U166" i="14"/>
  <c r="W166" i="14"/>
  <c r="Z166" i="14"/>
  <c r="AC166" i="14" s="1"/>
  <c r="R167" i="14"/>
  <c r="J167" i="14"/>
  <c r="U167" i="14"/>
  <c r="W167" i="14"/>
  <c r="Z167" i="14"/>
  <c r="AC167" i="14" s="1"/>
  <c r="AA27" i="14"/>
  <c r="H57" i="7"/>
  <c r="H175" i="12" s="1"/>
  <c r="M2249" i="8"/>
  <c r="I2249" i="8"/>
  <c r="H2249" i="8"/>
  <c r="M2248" i="8"/>
  <c r="I2248" i="8"/>
  <c r="H2248" i="8"/>
  <c r="M2247" i="8"/>
  <c r="I2247" i="8"/>
  <c r="H2247" i="8"/>
  <c r="M2246" i="8"/>
  <c r="I2246" i="8"/>
  <c r="H2246" i="8"/>
  <c r="H2245" i="8"/>
  <c r="M2240" i="8"/>
  <c r="M2239" i="8"/>
  <c r="M2238" i="8"/>
  <c r="M2231" i="8"/>
  <c r="I2231" i="8"/>
  <c r="H2231" i="8"/>
  <c r="H2230" i="8"/>
  <c r="H2229" i="8"/>
  <c r="H2228" i="8"/>
  <c r="I2223" i="8"/>
  <c r="M2223" i="8" s="1"/>
  <c r="H2223" i="8"/>
  <c r="I2222" i="8"/>
  <c r="M2222" i="8" s="1"/>
  <c r="H2222" i="8"/>
  <c r="H2221" i="8"/>
  <c r="I2220" i="8"/>
  <c r="M2220" i="8" s="1"/>
  <c r="H2220" i="8"/>
  <c r="I2219" i="8"/>
  <c r="M2219" i="8" s="1"/>
  <c r="H2219" i="8"/>
  <c r="H2218" i="8"/>
  <c r="B2214" i="8"/>
  <c r="H56" i="7"/>
  <c r="H165" i="12" s="1"/>
  <c r="M2208" i="8"/>
  <c r="I2208" i="8"/>
  <c r="H2208" i="8"/>
  <c r="M2207" i="8"/>
  <c r="I2207" i="8"/>
  <c r="H2207" i="8"/>
  <c r="M2206" i="8"/>
  <c r="I2206" i="8"/>
  <c r="H2206" i="8"/>
  <c r="M2205" i="8"/>
  <c r="I2205" i="8"/>
  <c r="H2205" i="8"/>
  <c r="H2204" i="8"/>
  <c r="M2199" i="8"/>
  <c r="M2198" i="8"/>
  <c r="M2197" i="8"/>
  <c r="M2190" i="8"/>
  <c r="I2190" i="8"/>
  <c r="H2190" i="8"/>
  <c r="I2189" i="8"/>
  <c r="H2189" i="8"/>
  <c r="I2188" i="8"/>
  <c r="H2188" i="8"/>
  <c r="H2187" i="8"/>
  <c r="M2182" i="8"/>
  <c r="I2182" i="8"/>
  <c r="H2182" i="8"/>
  <c r="M2181" i="8"/>
  <c r="I2181" i="8"/>
  <c r="H2181" i="8"/>
  <c r="M2180" i="8"/>
  <c r="I2180" i="8"/>
  <c r="H2180" i="8"/>
  <c r="M2179" i="8"/>
  <c r="I2179" i="8"/>
  <c r="H2179" i="8"/>
  <c r="M2178" i="8"/>
  <c r="I2178" i="8"/>
  <c r="H2178" i="8"/>
  <c r="I2177" i="8"/>
  <c r="M2177" i="8" s="1"/>
  <c r="H2177" i="8"/>
  <c r="B2173" i="8"/>
  <c r="H55" i="7"/>
  <c r="H164" i="12" s="1"/>
  <c r="M2167" i="8"/>
  <c r="I2167" i="8"/>
  <c r="H2167" i="8"/>
  <c r="M2166" i="8"/>
  <c r="I2166" i="8"/>
  <c r="H2166" i="8"/>
  <c r="M2165" i="8"/>
  <c r="I2165" i="8"/>
  <c r="H2165" i="8"/>
  <c r="M2164" i="8"/>
  <c r="I2164" i="8"/>
  <c r="H2164" i="8"/>
  <c r="H2163" i="8"/>
  <c r="M2158" i="8"/>
  <c r="M2157" i="8"/>
  <c r="M2156" i="8"/>
  <c r="M2149" i="8"/>
  <c r="I2149" i="8"/>
  <c r="H2149" i="8"/>
  <c r="M2148" i="8"/>
  <c r="I2148" i="8"/>
  <c r="H2148" i="8"/>
  <c r="M2147" i="8"/>
  <c r="I2147" i="8"/>
  <c r="H2147" i="8"/>
  <c r="I2146" i="8"/>
  <c r="H2146" i="8"/>
  <c r="H2145" i="8"/>
  <c r="M2140" i="8"/>
  <c r="I2140" i="8"/>
  <c r="H2140" i="8"/>
  <c r="M2139" i="8"/>
  <c r="I2139" i="8"/>
  <c r="H2139" i="8"/>
  <c r="M2138" i="8"/>
  <c r="I2138" i="8"/>
  <c r="H2138" i="8"/>
  <c r="M2137" i="8"/>
  <c r="I2137" i="8"/>
  <c r="H2137" i="8"/>
  <c r="M2136" i="8"/>
  <c r="I2136" i="8"/>
  <c r="H2136" i="8"/>
  <c r="I2135" i="8"/>
  <c r="M2135" i="8" s="1"/>
  <c r="H2135" i="8"/>
  <c r="B2131" i="8"/>
  <c r="N15" i="39" l="1"/>
  <c r="N19" i="39"/>
  <c r="N16" i="39"/>
  <c r="N13" i="39"/>
  <c r="O166" i="14"/>
  <c r="T166" i="14"/>
  <c r="X166" i="14" s="1"/>
  <c r="N17" i="39"/>
  <c r="R165" i="14"/>
  <c r="P166" i="14"/>
  <c r="K166" i="14"/>
  <c r="L166" i="14" s="1"/>
  <c r="K167" i="14"/>
  <c r="L167" i="14" s="1"/>
  <c r="Q165" i="14"/>
  <c r="Q164" i="14"/>
  <c r="P165" i="14"/>
  <c r="P164" i="14"/>
  <c r="O164" i="14"/>
  <c r="K165" i="14"/>
  <c r="L165" i="14" s="1"/>
  <c r="Q167" i="14"/>
  <c r="R166" i="14"/>
  <c r="P167" i="14"/>
  <c r="T165" i="14"/>
  <c r="X165" i="14" s="1"/>
  <c r="O167" i="14"/>
  <c r="T164" i="14"/>
  <c r="X164" i="14" s="1"/>
  <c r="K164" i="14"/>
  <c r="T167" i="14"/>
  <c r="X167" i="14" s="1"/>
  <c r="M2183" i="8"/>
  <c r="J2173" i="8" s="1"/>
  <c r="J56" i="7" s="1"/>
  <c r="M2146" i="8"/>
  <c r="M2189" i="8"/>
  <c r="M2188" i="8"/>
  <c r="M2141" i="8"/>
  <c r="J2131" i="8" s="1"/>
  <c r="J55" i="7" s="1"/>
  <c r="N20" i="39" l="1"/>
  <c r="N166" i="14"/>
  <c r="M166" i="14"/>
  <c r="N165" i="14"/>
  <c r="M165" i="14"/>
  <c r="N167" i="14"/>
  <c r="M167" i="14"/>
  <c r="S166" i="14"/>
  <c r="V166" i="14" s="1"/>
  <c r="S165" i="14"/>
  <c r="V165" i="14" s="1"/>
  <c r="S167" i="14"/>
  <c r="V167" i="14" s="1"/>
  <c r="S164" i="14"/>
  <c r="V164" i="14" s="1"/>
  <c r="L164" i="14"/>
  <c r="N164" i="14"/>
  <c r="M164" i="14"/>
  <c r="I2195" i="8"/>
  <c r="M2195" i="8" s="1"/>
  <c r="I2154" i="8"/>
  <c r="M2154" i="8" s="1"/>
  <c r="J15" i="35" l="1"/>
  <c r="I2229" i="8"/>
  <c r="M2229" i="8" s="1"/>
  <c r="I2230" i="8"/>
  <c r="M2230" i="8" s="1"/>
  <c r="J65" i="10"/>
  <c r="J59" i="10"/>
  <c r="J48" i="10"/>
  <c r="J35" i="10"/>
  <c r="J31" i="10"/>
  <c r="J30" i="10"/>
  <c r="J27" i="10"/>
  <c r="J26" i="10"/>
  <c r="J18" i="10"/>
  <c r="I2221" i="8"/>
  <c r="M2221" i="8" s="1"/>
  <c r="J8" i="10"/>
  <c r="B894" i="8"/>
  <c r="H898" i="8"/>
  <c r="I898" i="8"/>
  <c r="M898" i="8" s="1"/>
  <c r="H899" i="8"/>
  <c r="I899" i="8"/>
  <c r="M899" i="8" s="1"/>
  <c r="H900" i="8"/>
  <c r="I900" i="8"/>
  <c r="M900" i="8" s="1"/>
  <c r="H901" i="8"/>
  <c r="H902" i="8"/>
  <c r="I902" i="8"/>
  <c r="M902" i="8" s="1"/>
  <c r="H903" i="8"/>
  <c r="I903" i="8"/>
  <c r="M903" i="8" s="1"/>
  <c r="I904" i="8"/>
  <c r="M904" i="8"/>
  <c r="H905" i="8"/>
  <c r="I905" i="8"/>
  <c r="M905" i="8"/>
  <c r="H910" i="8"/>
  <c r="H911" i="8"/>
  <c r="I911" i="8"/>
  <c r="M911" i="8"/>
  <c r="H912" i="8"/>
  <c r="I912" i="8"/>
  <c r="M912" i="8"/>
  <c r="H913" i="8"/>
  <c r="I913" i="8"/>
  <c r="M913" i="8"/>
  <c r="H914" i="8"/>
  <c r="I914" i="8"/>
  <c r="M914" i="8"/>
  <c r="M920" i="8"/>
  <c r="M921" i="8"/>
  <c r="M922" i="8"/>
  <c r="M923" i="8"/>
  <c r="H928" i="8"/>
  <c r="H929" i="8"/>
  <c r="I929" i="8"/>
  <c r="K929" i="8"/>
  <c r="M929" i="8"/>
  <c r="H930" i="8"/>
  <c r="I930" i="8"/>
  <c r="K930" i="8"/>
  <c r="M930" i="8"/>
  <c r="H931" i="8"/>
  <c r="I931" i="8"/>
  <c r="K931" i="8"/>
  <c r="M931" i="8"/>
  <c r="H932" i="8"/>
  <c r="I932" i="8"/>
  <c r="K932" i="8"/>
  <c r="M932" i="8"/>
  <c r="B638" i="8"/>
  <c r="H642" i="8"/>
  <c r="I642" i="8"/>
  <c r="M642" i="8" s="1"/>
  <c r="H643" i="8"/>
  <c r="I643" i="8"/>
  <c r="M643" i="8"/>
  <c r="H644" i="8"/>
  <c r="I644" i="8"/>
  <c r="M644" i="8"/>
  <c r="H645" i="8"/>
  <c r="I645" i="8"/>
  <c r="M645" i="8"/>
  <c r="H646" i="8"/>
  <c r="I646" i="8"/>
  <c r="M646" i="8"/>
  <c r="H647" i="8"/>
  <c r="I647" i="8"/>
  <c r="M647" i="8"/>
  <c r="H652" i="8"/>
  <c r="H653" i="8"/>
  <c r="I653" i="8"/>
  <c r="M653" i="8"/>
  <c r="H654" i="8"/>
  <c r="I654" i="8"/>
  <c r="M654" i="8"/>
  <c r="H655" i="8"/>
  <c r="I655" i="8"/>
  <c r="M655" i="8"/>
  <c r="H656" i="8"/>
  <c r="I656" i="8"/>
  <c r="M656" i="8"/>
  <c r="M661" i="8"/>
  <c r="M662" i="8"/>
  <c r="M663" i="8"/>
  <c r="M664" i="8"/>
  <c r="M665" i="8"/>
  <c r="H670" i="8"/>
  <c r="H671" i="8"/>
  <c r="I671" i="8"/>
  <c r="K671" i="8"/>
  <c r="M671" i="8"/>
  <c r="H672" i="8"/>
  <c r="I672" i="8"/>
  <c r="K672" i="8"/>
  <c r="M672" i="8"/>
  <c r="H673" i="8"/>
  <c r="I673" i="8"/>
  <c r="K673" i="8"/>
  <c r="M673" i="8"/>
  <c r="H674" i="8"/>
  <c r="I674" i="8"/>
  <c r="K674" i="8"/>
  <c r="M674" i="8"/>
  <c r="H60" i="7"/>
  <c r="I35" i="16"/>
  <c r="I36" i="16"/>
  <c r="I37" i="16"/>
  <c r="I46" i="16"/>
  <c r="I47" i="16"/>
  <c r="I48" i="16"/>
  <c r="I56" i="16"/>
  <c r="F56" i="16" s="1"/>
  <c r="I67" i="16"/>
  <c r="F67" i="16" s="1"/>
  <c r="I78" i="16"/>
  <c r="F78" i="16" s="1"/>
  <c r="I89" i="16"/>
  <c r="F89" i="16" s="1"/>
  <c r="I100" i="16"/>
  <c r="F100" i="16" s="1"/>
  <c r="I121" i="16"/>
  <c r="I114" i="16" s="1"/>
  <c r="F114" i="16" s="1"/>
  <c r="I125" i="16"/>
  <c r="F125" i="16" s="1"/>
  <c r="I136" i="16"/>
  <c r="F136" i="16" s="1"/>
  <c r="I147" i="16"/>
  <c r="F147" i="16" s="1"/>
  <c r="I158" i="16"/>
  <c r="F158" i="16" s="1"/>
  <c r="I169" i="16"/>
  <c r="F169" i="16" s="1"/>
  <c r="I180" i="16"/>
  <c r="F180" i="16" s="1"/>
  <c r="I191" i="16"/>
  <c r="F191" i="16" s="1"/>
  <c r="I202" i="16"/>
  <c r="F202" i="16" s="1"/>
  <c r="I223" i="16"/>
  <c r="I216" i="16" s="1"/>
  <c r="F216" i="16" s="1"/>
  <c r="I234" i="16"/>
  <c r="I235" i="16" s="1"/>
  <c r="I227" i="16" s="1"/>
  <c r="F227" i="16" s="1"/>
  <c r="I245" i="16"/>
  <c r="I246" i="16" s="1"/>
  <c r="I238" i="16" s="1"/>
  <c r="F238" i="16" s="1"/>
  <c r="I257" i="16"/>
  <c r="I279" i="16"/>
  <c r="I271" i="16" s="1"/>
  <c r="F271" i="16" s="1"/>
  <c r="I290" i="16"/>
  <c r="I282" i="16" s="1"/>
  <c r="F282" i="16" s="1"/>
  <c r="I301" i="16"/>
  <c r="I293" i="16" s="1"/>
  <c r="F293" i="16" s="1"/>
  <c r="I312" i="16"/>
  <c r="I304" i="16" s="1"/>
  <c r="F304" i="16" s="1"/>
  <c r="I315" i="16"/>
  <c r="F315" i="16" s="1"/>
  <c r="I337" i="16"/>
  <c r="I330" i="16" s="1"/>
  <c r="F330" i="16" s="1"/>
  <c r="I347" i="16"/>
  <c r="I348" i="16" s="1"/>
  <c r="I341" i="16" s="1"/>
  <c r="F341" i="16" s="1"/>
  <c r="I352" i="16"/>
  <c r="F352" i="16" s="1"/>
  <c r="I363" i="16"/>
  <c r="F363" i="16" s="1"/>
  <c r="I374" i="16"/>
  <c r="F374" i="16" s="1"/>
  <c r="I385" i="16"/>
  <c r="F385" i="16" s="1"/>
  <c r="I396" i="16"/>
  <c r="F396" i="16" s="1"/>
  <c r="E27" i="38"/>
  <c r="E5" i="38" s="1"/>
  <c r="K27" i="38"/>
  <c r="F5" i="38" s="1"/>
  <c r="E28" i="38"/>
  <c r="G5" i="38" s="1"/>
  <c r="K28" i="38"/>
  <c r="H5" i="38" s="1"/>
  <c r="E29" i="38"/>
  <c r="I5" i="38" s="1"/>
  <c r="K29" i="38"/>
  <c r="J5" i="38" s="1"/>
  <c r="E30" i="38"/>
  <c r="K5" i="38" s="1"/>
  <c r="K30" i="38"/>
  <c r="L7" i="38" s="1"/>
  <c r="E32" i="38"/>
  <c r="E15" i="38" s="1"/>
  <c r="K32" i="38"/>
  <c r="F15" i="38" s="1"/>
  <c r="E33" i="38"/>
  <c r="G15" i="38" s="1"/>
  <c r="K33" i="38"/>
  <c r="H15" i="38" s="1"/>
  <c r="E34" i="38"/>
  <c r="I15" i="38" s="1"/>
  <c r="K34" i="38"/>
  <c r="J15" i="38" s="1"/>
  <c r="E35" i="38"/>
  <c r="K15" i="38" s="1"/>
  <c r="K35" i="38"/>
  <c r="L18" i="38" s="1"/>
  <c r="E37" i="38"/>
  <c r="E20" i="38" s="1"/>
  <c r="K37" i="38"/>
  <c r="F20" i="38" s="1"/>
  <c r="E38" i="38"/>
  <c r="G20" i="38" s="1"/>
  <c r="K38" i="38"/>
  <c r="H20" i="38" s="1"/>
  <c r="E39" i="38"/>
  <c r="I20" i="38" s="1"/>
  <c r="K39" i="38"/>
  <c r="J20" i="38" s="1"/>
  <c r="E40" i="38"/>
  <c r="K20" i="38" s="1"/>
  <c r="K40" i="38"/>
  <c r="L20" i="38" s="1"/>
  <c r="H88" i="38"/>
  <c r="J88" i="38"/>
  <c r="H89" i="38"/>
  <c r="J89" i="38"/>
  <c r="H90" i="38"/>
  <c r="J90" i="38"/>
  <c r="H91" i="38"/>
  <c r="J91" i="38"/>
  <c r="H92" i="38"/>
  <c r="J92" i="38"/>
  <c r="H93" i="38"/>
  <c r="J93" i="38"/>
  <c r="H94" i="38"/>
  <c r="J94" i="38"/>
  <c r="H95" i="38"/>
  <c r="J95" i="38"/>
  <c r="H96" i="38"/>
  <c r="J96" i="38"/>
  <c r="H97" i="38"/>
  <c r="J97" i="38"/>
  <c r="H98" i="38"/>
  <c r="J98" i="38"/>
  <c r="H99" i="38"/>
  <c r="J99" i="38"/>
  <c r="H100" i="38"/>
  <c r="J100" i="38"/>
  <c r="H101" i="38"/>
  <c r="J101" i="38"/>
  <c r="H102" i="38"/>
  <c r="J102" i="38"/>
  <c r="H103" i="38"/>
  <c r="J103" i="38"/>
  <c r="H104" i="38"/>
  <c r="J104" i="38"/>
  <c r="H105" i="38"/>
  <c r="J105" i="38"/>
  <c r="H106" i="38"/>
  <c r="J106" i="38"/>
  <c r="H107" i="38"/>
  <c r="J107" i="38"/>
  <c r="H108" i="38"/>
  <c r="J108" i="38"/>
  <c r="H109" i="38"/>
  <c r="J109" i="38"/>
  <c r="H110" i="38"/>
  <c r="J110" i="38"/>
  <c r="H111" i="38"/>
  <c r="J111" i="38"/>
  <c r="H112" i="38"/>
  <c r="J112" i="38"/>
  <c r="H113" i="38"/>
  <c r="J113" i="38"/>
  <c r="H114" i="38"/>
  <c r="J114" i="38"/>
  <c r="H115" i="38"/>
  <c r="J115" i="38"/>
  <c r="H116" i="38"/>
  <c r="J116" i="38"/>
  <c r="H117" i="38"/>
  <c r="J117" i="38"/>
  <c r="H118" i="38"/>
  <c r="J118" i="38"/>
  <c r="H119" i="38"/>
  <c r="J119" i="38"/>
  <c r="H120" i="38"/>
  <c r="J120" i="38"/>
  <c r="H121" i="38"/>
  <c r="J121" i="38"/>
  <c r="H122" i="38"/>
  <c r="J122" i="38"/>
  <c r="H123" i="38"/>
  <c r="J123" i="38"/>
  <c r="H124" i="38"/>
  <c r="J124" i="38"/>
  <c r="H125" i="38"/>
  <c r="J125" i="38"/>
  <c r="H126" i="38"/>
  <c r="J126" i="38"/>
  <c r="H127" i="38"/>
  <c r="J127" i="38"/>
  <c r="H128" i="38"/>
  <c r="J128" i="38"/>
  <c r="H129" i="38"/>
  <c r="J129" i="38"/>
  <c r="H130" i="38"/>
  <c r="J130" i="38"/>
  <c r="H131" i="38"/>
  <c r="J131" i="38"/>
  <c r="H132" i="38"/>
  <c r="J132" i="38"/>
  <c r="H133" i="38"/>
  <c r="J133" i="38"/>
  <c r="H134" i="38"/>
  <c r="J134" i="38"/>
  <c r="H135" i="38"/>
  <c r="J135" i="38"/>
  <c r="H136" i="38"/>
  <c r="J136" i="38"/>
  <c r="H137" i="38"/>
  <c r="J137" i="38"/>
  <c r="H138" i="38"/>
  <c r="J138" i="38"/>
  <c r="H139" i="38"/>
  <c r="J139" i="38"/>
  <c r="H140" i="38"/>
  <c r="J140" i="38"/>
  <c r="H141" i="38"/>
  <c r="J141" i="38"/>
  <c r="H142" i="38"/>
  <c r="J142" i="38"/>
  <c r="H143" i="38"/>
  <c r="J143" i="38"/>
  <c r="H144" i="38"/>
  <c r="J144" i="38"/>
  <c r="H145" i="38"/>
  <c r="J145" i="38"/>
  <c r="H146" i="38"/>
  <c r="J146" i="38"/>
  <c r="H147" i="38"/>
  <c r="J147" i="38"/>
  <c r="H148" i="38"/>
  <c r="J148" i="38"/>
  <c r="H149" i="38"/>
  <c r="J149" i="38"/>
  <c r="H150" i="38"/>
  <c r="J150" i="38"/>
  <c r="H151" i="38"/>
  <c r="J151" i="38"/>
  <c r="H152" i="38"/>
  <c r="J152" i="38"/>
  <c r="H153" i="38"/>
  <c r="J153" i="38"/>
  <c r="H154" i="38"/>
  <c r="J154" i="38"/>
  <c r="H155" i="38"/>
  <c r="J155" i="38"/>
  <c r="H156" i="38"/>
  <c r="J156" i="38"/>
  <c r="H157" i="38"/>
  <c r="J157" i="38"/>
  <c r="H158" i="38"/>
  <c r="J158" i="38"/>
  <c r="H159" i="38"/>
  <c r="J159" i="38"/>
  <c r="H160" i="38"/>
  <c r="J160" i="38"/>
  <c r="H161" i="38"/>
  <c r="J161" i="38"/>
  <c r="H162" i="38"/>
  <c r="J162" i="38"/>
  <c r="H163" i="38"/>
  <c r="J163" i="38"/>
  <c r="H164" i="38"/>
  <c r="J164" i="38"/>
  <c r="H165" i="38"/>
  <c r="J165" i="38"/>
  <c r="H166" i="38"/>
  <c r="J166" i="38"/>
  <c r="H167" i="38"/>
  <c r="J167" i="38"/>
  <c r="I40" i="16" l="1"/>
  <c r="I33" i="16" s="1"/>
  <c r="F33" i="16" s="1"/>
  <c r="I43" i="38"/>
  <c r="J144" i="24" s="1"/>
  <c r="I181" i="12" s="1"/>
  <c r="L21" i="38"/>
  <c r="M666" i="8"/>
  <c r="L638" i="8" s="1"/>
  <c r="M648" i="8"/>
  <c r="J638" i="8" s="1"/>
  <c r="I52" i="16"/>
  <c r="I44" i="16" s="1"/>
  <c r="F44" i="16" s="1"/>
  <c r="F326" i="16"/>
  <c r="I249" i="16"/>
  <c r="F249" i="16" s="1"/>
  <c r="I268" i="16" s="1"/>
  <c r="I260" i="16" s="1"/>
  <c r="F260" i="16" s="1"/>
  <c r="L15" i="38"/>
  <c r="L16" i="38"/>
  <c r="L17" i="38"/>
  <c r="L5" i="38"/>
  <c r="L8" i="38"/>
  <c r="L9" i="38"/>
  <c r="L10" i="38"/>
  <c r="L11" i="38"/>
  <c r="L12" i="38"/>
  <c r="L13" i="38"/>
  <c r="L14" i="38"/>
  <c r="L22" i="38"/>
  <c r="L19" i="38"/>
  <c r="L6" i="38"/>
  <c r="K22" i="38"/>
  <c r="K21" i="38"/>
  <c r="K19" i="38"/>
  <c r="K18" i="38"/>
  <c r="K17" i="38"/>
  <c r="K16" i="38"/>
  <c r="K14" i="38"/>
  <c r="K13" i="38"/>
  <c r="K12" i="38"/>
  <c r="K11" i="38"/>
  <c r="K10" i="38"/>
  <c r="K9" i="38"/>
  <c r="K8" i="38"/>
  <c r="K7" i="38"/>
  <c r="K6" i="38"/>
  <c r="J22" i="38"/>
  <c r="J21" i="38"/>
  <c r="J19" i="38"/>
  <c r="J18" i="38"/>
  <c r="J17" i="38"/>
  <c r="J16" i="38"/>
  <c r="J14" i="38"/>
  <c r="J13" i="38"/>
  <c r="J12" i="38"/>
  <c r="J11" i="38"/>
  <c r="J10" i="38"/>
  <c r="J9" i="38"/>
  <c r="J8" i="38"/>
  <c r="J7" i="38"/>
  <c r="J6" i="38"/>
  <c r="I22" i="38"/>
  <c r="I21" i="38"/>
  <c r="I19" i="38"/>
  <c r="I18" i="38"/>
  <c r="I17" i="38"/>
  <c r="I16" i="38"/>
  <c r="I14" i="38"/>
  <c r="I13" i="38"/>
  <c r="I12" i="38"/>
  <c r="I11" i="38"/>
  <c r="I10" i="38"/>
  <c r="I9" i="38"/>
  <c r="I8" i="38"/>
  <c r="I7" i="38"/>
  <c r="I6" i="38"/>
  <c r="I46" i="38"/>
  <c r="J147" i="24" s="1"/>
  <c r="I184" i="12" s="1"/>
  <c r="H22" i="38"/>
  <c r="H21" i="38"/>
  <c r="H19" i="38"/>
  <c r="H18" i="38"/>
  <c r="H17" i="38"/>
  <c r="H16" i="38"/>
  <c r="H14" i="38"/>
  <c r="H13" i="38"/>
  <c r="H12" i="38"/>
  <c r="H11" i="38"/>
  <c r="H10" i="38"/>
  <c r="H9" i="38"/>
  <c r="H8" i="38"/>
  <c r="H7" i="38"/>
  <c r="H6" i="38"/>
  <c r="I45" i="38"/>
  <c r="J146" i="24" s="1"/>
  <c r="I183" i="12" s="1"/>
  <c r="G22" i="38"/>
  <c r="G21" i="38"/>
  <c r="G19" i="38"/>
  <c r="G18" i="38"/>
  <c r="G17" i="38"/>
  <c r="G16" i="38"/>
  <c r="G14" i="38"/>
  <c r="G13" i="38"/>
  <c r="G12" i="38"/>
  <c r="G11" i="38"/>
  <c r="G10" i="38"/>
  <c r="G9" i="38"/>
  <c r="G8" i="38"/>
  <c r="G7" i="38"/>
  <c r="G6" i="38"/>
  <c r="L100" i="38"/>
  <c r="I44" i="38"/>
  <c r="J145" i="24" s="1"/>
  <c r="I182" i="12" s="1"/>
  <c r="F22" i="38"/>
  <c r="L167" i="38" s="1"/>
  <c r="F21" i="38"/>
  <c r="F19" i="38"/>
  <c r="F18" i="38"/>
  <c r="L160" i="38" s="1"/>
  <c r="F17" i="38"/>
  <c r="F16" i="38"/>
  <c r="F14" i="38"/>
  <c r="F13" i="38"/>
  <c r="L137" i="38" s="1"/>
  <c r="F12" i="38"/>
  <c r="F11" i="38"/>
  <c r="F10" i="38"/>
  <c r="F9" i="38"/>
  <c r="F8" i="38"/>
  <c r="L115" i="38" s="1"/>
  <c r="F7" i="38"/>
  <c r="F6" i="38"/>
  <c r="K88" i="38"/>
  <c r="E22" i="38"/>
  <c r="K166" i="38" s="1"/>
  <c r="E21" i="38"/>
  <c r="E19" i="38"/>
  <c r="E18" i="38"/>
  <c r="K164" i="38" s="1"/>
  <c r="E17" i="38"/>
  <c r="E16" i="38"/>
  <c r="E14" i="38"/>
  <c r="E13" i="38"/>
  <c r="K140" i="38" s="1"/>
  <c r="E12" i="38"/>
  <c r="E11" i="38"/>
  <c r="E10" i="38"/>
  <c r="E9" i="38"/>
  <c r="E8" i="38"/>
  <c r="K119" i="38" s="1"/>
  <c r="E7" i="38"/>
  <c r="E6" i="38"/>
  <c r="S7" i="14"/>
  <c r="L157" i="38" l="1"/>
  <c r="L159" i="38"/>
  <c r="L117" i="38"/>
  <c r="L102" i="38"/>
  <c r="L114" i="38"/>
  <c r="L89" i="38"/>
  <c r="K94" i="38"/>
  <c r="L112" i="38"/>
  <c r="L116" i="38"/>
  <c r="L91" i="38"/>
  <c r="L118" i="38"/>
  <c r="L101" i="38"/>
  <c r="L143" i="38"/>
  <c r="L103" i="38"/>
  <c r="L96" i="38"/>
  <c r="L107" i="38"/>
  <c r="K141" i="38"/>
  <c r="L98" i="38"/>
  <c r="L145" i="38"/>
  <c r="L105" i="38"/>
  <c r="L139" i="38"/>
  <c r="K110" i="38"/>
  <c r="L147" i="38"/>
  <c r="L146" i="38"/>
  <c r="K146" i="38"/>
  <c r="K118" i="38"/>
  <c r="K91" i="38"/>
  <c r="L148" i="38"/>
  <c r="K92" i="38"/>
  <c r="K162" i="38"/>
  <c r="K155" i="38"/>
  <c r="K99" i="38"/>
  <c r="L119" i="38"/>
  <c r="L150" i="38"/>
  <c r="K96" i="38"/>
  <c r="K163" i="38"/>
  <c r="K103" i="38"/>
  <c r="L134" i="38"/>
  <c r="L161" i="38"/>
  <c r="L152" i="38"/>
  <c r="K116" i="38"/>
  <c r="K89" i="38"/>
  <c r="L136" i="38"/>
  <c r="L163" i="38"/>
  <c r="L162" i="38"/>
  <c r="K97" i="38"/>
  <c r="K144" i="38"/>
  <c r="L141" i="38"/>
  <c r="L123" i="38"/>
  <c r="K101" i="38"/>
  <c r="K148" i="38"/>
  <c r="L125" i="38"/>
  <c r="L164" i="38"/>
  <c r="L165" i="38"/>
  <c r="K120" i="38"/>
  <c r="K153" i="38"/>
  <c r="K93" i="38"/>
  <c r="K154" i="38"/>
  <c r="K128" i="38"/>
  <c r="K102" i="38"/>
  <c r="K147" i="38"/>
  <c r="K149" i="38"/>
  <c r="K95" i="38"/>
  <c r="K165" i="38"/>
  <c r="L140" i="38"/>
  <c r="K123" i="38"/>
  <c r="K125" i="38"/>
  <c r="L88" i="38"/>
  <c r="L104" i="38"/>
  <c r="L120" i="38"/>
  <c r="L126" i="38"/>
  <c r="L149" i="38"/>
  <c r="L166" i="38"/>
  <c r="L93" i="38"/>
  <c r="L109" i="38"/>
  <c r="L131" i="38"/>
  <c r="L154" i="38"/>
  <c r="K100" i="38"/>
  <c r="K122" i="38"/>
  <c r="K167" i="38"/>
  <c r="K105" i="38"/>
  <c r="K127" i="38"/>
  <c r="K98" i="38"/>
  <c r="K143" i="38"/>
  <c r="K107" i="38"/>
  <c r="K129" i="38"/>
  <c r="K152" i="38"/>
  <c r="K145" i="38"/>
  <c r="L122" i="38"/>
  <c r="L127" i="38"/>
  <c r="L90" i="38"/>
  <c r="L128" i="38"/>
  <c r="L151" i="38"/>
  <c r="L95" i="38"/>
  <c r="L111" i="38"/>
  <c r="L133" i="38"/>
  <c r="L156" i="38"/>
  <c r="K104" i="38"/>
  <c r="K126" i="38"/>
  <c r="K142" i="38"/>
  <c r="K109" i="38"/>
  <c r="K131" i="38"/>
  <c r="K106" i="38"/>
  <c r="K151" i="38"/>
  <c r="K124" i="38"/>
  <c r="K111" i="38"/>
  <c r="K133" i="38"/>
  <c r="K156" i="38"/>
  <c r="K157" i="38"/>
  <c r="K136" i="38"/>
  <c r="K121" i="38"/>
  <c r="K134" i="38"/>
  <c r="L124" i="38"/>
  <c r="L129" i="38"/>
  <c r="L106" i="38"/>
  <c r="L92" i="38"/>
  <c r="L108" i="38"/>
  <c r="L130" i="38"/>
  <c r="L153" i="38"/>
  <c r="L97" i="38"/>
  <c r="L113" i="38"/>
  <c r="L135" i="38"/>
  <c r="L142" i="38"/>
  <c r="L158" i="38"/>
  <c r="K108" i="38"/>
  <c r="K130" i="38"/>
  <c r="K150" i="38"/>
  <c r="K161" i="38"/>
  <c r="K113" i="38"/>
  <c r="K139" i="38"/>
  <c r="K114" i="38"/>
  <c r="K159" i="38"/>
  <c r="K132" i="38"/>
  <c r="K115" i="38"/>
  <c r="K137" i="38"/>
  <c r="K160" i="38"/>
  <c r="L138" i="38"/>
  <c r="K135" i="38"/>
  <c r="L94" i="38"/>
  <c r="L110" i="38"/>
  <c r="L132" i="38"/>
  <c r="L155" i="38"/>
  <c r="L99" i="38"/>
  <c r="L121" i="38"/>
  <c r="L144" i="38"/>
  <c r="K112" i="38"/>
  <c r="K138" i="38"/>
  <c r="K158" i="38"/>
  <c r="K117" i="38"/>
  <c r="K90" i="38"/>
  <c r="S6" i="14"/>
  <c r="A158" i="12"/>
  <c r="P29" i="14"/>
  <c r="P30" i="14"/>
  <c r="P31" i="14"/>
  <c r="P32" i="14"/>
  <c r="P33" i="14"/>
  <c r="P34" i="14"/>
  <c r="P35" i="14"/>
  <c r="P36" i="14"/>
  <c r="P37" i="14"/>
  <c r="P38" i="14"/>
  <c r="P39" i="14"/>
  <c r="P40" i="14"/>
  <c r="P41" i="14"/>
  <c r="P42" i="14"/>
  <c r="P43" i="14"/>
  <c r="P44" i="14"/>
  <c r="P45" i="14"/>
  <c r="P46" i="14"/>
  <c r="P47" i="14"/>
  <c r="P48" i="14"/>
  <c r="P49" i="14"/>
  <c r="P50" i="14"/>
  <c r="P51" i="14"/>
  <c r="P52" i="14"/>
  <c r="P53" i="14"/>
  <c r="P54" i="14"/>
  <c r="P55" i="14"/>
  <c r="P56" i="14"/>
  <c r="P57" i="14"/>
  <c r="P58" i="14"/>
  <c r="P59" i="14"/>
  <c r="P60" i="14"/>
  <c r="P61" i="14"/>
  <c r="P62" i="14"/>
  <c r="P63" i="14"/>
  <c r="P64" i="14"/>
  <c r="P65" i="14"/>
  <c r="P66" i="14"/>
  <c r="P67" i="14"/>
  <c r="P68" i="14"/>
  <c r="P69" i="14"/>
  <c r="P70" i="14"/>
  <c r="P71" i="14"/>
  <c r="P72" i="14"/>
  <c r="P73" i="14"/>
  <c r="P74" i="14"/>
  <c r="P75" i="14"/>
  <c r="P76" i="14"/>
  <c r="P77" i="14"/>
  <c r="P78" i="14"/>
  <c r="P79" i="14"/>
  <c r="P80" i="14"/>
  <c r="P81" i="14"/>
  <c r="P82" i="14"/>
  <c r="P83" i="14"/>
  <c r="P84" i="14"/>
  <c r="P85" i="14"/>
  <c r="P86" i="14"/>
  <c r="P87" i="14"/>
  <c r="P88" i="14"/>
  <c r="P89" i="14"/>
  <c r="P90" i="14"/>
  <c r="P92" i="14"/>
  <c r="P93" i="14"/>
  <c r="P94" i="14"/>
  <c r="P95" i="14"/>
  <c r="P96" i="14"/>
  <c r="P97" i="14"/>
  <c r="P98" i="14"/>
  <c r="P99" i="14"/>
  <c r="P100" i="14"/>
  <c r="P101" i="14"/>
  <c r="P102" i="14"/>
  <c r="P103" i="14"/>
  <c r="P104" i="14"/>
  <c r="P105" i="14"/>
  <c r="P106" i="14"/>
  <c r="P107" i="14"/>
  <c r="P108" i="14"/>
  <c r="P109" i="14"/>
  <c r="P110" i="14"/>
  <c r="P111" i="14"/>
  <c r="P112" i="14"/>
  <c r="P113" i="14"/>
  <c r="P114" i="14"/>
  <c r="P115" i="14"/>
  <c r="P116" i="14"/>
  <c r="P117" i="14"/>
  <c r="P118" i="14"/>
  <c r="P119" i="14"/>
  <c r="P120" i="14"/>
  <c r="P121" i="14"/>
  <c r="P122" i="14"/>
  <c r="P123" i="14"/>
  <c r="P124" i="14"/>
  <c r="P125" i="14"/>
  <c r="P126" i="14"/>
  <c r="P127" i="14"/>
  <c r="P128" i="14"/>
  <c r="P129" i="14"/>
  <c r="P130" i="14"/>
  <c r="P131" i="14"/>
  <c r="P132" i="14"/>
  <c r="P133" i="14"/>
  <c r="P134" i="14"/>
  <c r="P135" i="14"/>
  <c r="P136" i="14"/>
  <c r="P137" i="14"/>
  <c r="P138" i="14"/>
  <c r="P139" i="14"/>
  <c r="P140" i="14"/>
  <c r="P141" i="14"/>
  <c r="P142" i="14"/>
  <c r="P143" i="14"/>
  <c r="P144" i="14"/>
  <c r="P145" i="14"/>
  <c r="P146" i="14"/>
  <c r="P147" i="14"/>
  <c r="P148" i="14"/>
  <c r="P149" i="14"/>
  <c r="P150" i="14"/>
  <c r="P151" i="14"/>
  <c r="P152" i="14"/>
  <c r="P153" i="14"/>
  <c r="P154" i="14"/>
  <c r="P155" i="14"/>
  <c r="P156" i="14"/>
  <c r="P157" i="14"/>
  <c r="P158" i="14"/>
  <c r="P159" i="14"/>
  <c r="P160" i="14"/>
  <c r="P161" i="14"/>
  <c r="P162" i="14"/>
  <c r="P163" i="14"/>
  <c r="K86" i="38" l="1"/>
  <c r="J136" i="24" s="1"/>
  <c r="I173" i="12" s="1"/>
  <c r="L86" i="38"/>
  <c r="J137" i="24" s="1"/>
  <c r="I174" i="12" s="1"/>
  <c r="P91" i="14"/>
  <c r="T91" i="14"/>
  <c r="P28" i="14"/>
  <c r="T28" i="14"/>
  <c r="P26" i="14" l="1"/>
  <c r="J133" i="24" s="1"/>
  <c r="I170" i="12" s="1"/>
  <c r="I111" i="13"/>
  <c r="F111" i="13" s="1"/>
  <c r="J120" i="24" s="1"/>
  <c r="I156" i="12" s="1"/>
  <c r="I100" i="13"/>
  <c r="F100" i="13" s="1"/>
  <c r="J119" i="24" s="1"/>
  <c r="I155" i="12" s="1"/>
  <c r="I89" i="13"/>
  <c r="I74" i="13"/>
  <c r="I63" i="13"/>
  <c r="I59" i="13"/>
  <c r="I60" i="13" s="1"/>
  <c r="I52" i="13" s="1"/>
  <c r="I48" i="13"/>
  <c r="I49" i="13" s="1"/>
  <c r="I41" i="13" s="1"/>
  <c r="I37" i="13"/>
  <c r="I38" i="13" s="1"/>
  <c r="I30" i="13" s="1"/>
  <c r="I26" i="13"/>
  <c r="I27" i="13" s="1"/>
  <c r="I19" i="13" s="1"/>
  <c r="H44" i="23" l="1"/>
  <c r="I15" i="29" l="1"/>
  <c r="J28" i="29" l="1"/>
  <c r="J30" i="39"/>
  <c r="N30" i="39" s="1"/>
  <c r="N35" i="39" s="1"/>
  <c r="I901" i="8"/>
  <c r="M901" i="8" s="1"/>
  <c r="M906" i="8" s="1"/>
  <c r="J894" i="8" l="1"/>
  <c r="I383" i="8"/>
  <c r="L410" i="8"/>
  <c r="J82" i="12" s="1"/>
  <c r="I474" i="8"/>
  <c r="J53" i="12"/>
  <c r="K493" i="8"/>
  <c r="I1521" i="8"/>
  <c r="J2" i="35"/>
  <c r="J167" i="12" l="1"/>
  <c r="J195" i="12"/>
  <c r="M195" i="12" s="1"/>
  <c r="J112" i="12"/>
  <c r="J174" i="12"/>
  <c r="M174" i="12" s="1"/>
  <c r="M1521" i="8"/>
  <c r="I384" i="8"/>
  <c r="M384" i="8" s="1"/>
  <c r="A1" i="35"/>
  <c r="A1" i="31"/>
  <c r="N33" i="31"/>
  <c r="A1" i="29"/>
  <c r="K2" i="29"/>
  <c r="H11" i="29"/>
  <c r="J11" i="29"/>
  <c r="J12" i="29"/>
  <c r="J13" i="29"/>
  <c r="J14" i="29"/>
  <c r="J15" i="29"/>
  <c r="J16" i="29"/>
  <c r="J17" i="29"/>
  <c r="A1" i="27"/>
  <c r="F2" i="27"/>
  <c r="C9" i="27"/>
  <c r="M13" i="25" s="1"/>
  <c r="H9" i="27"/>
  <c r="I13" i="27"/>
  <c r="I20" i="27"/>
  <c r="I21" i="27" s="1"/>
  <c r="I27" i="27"/>
  <c r="I36" i="27"/>
  <c r="I54" i="27"/>
  <c r="I63" i="27"/>
  <c r="I69" i="27"/>
  <c r="A1" i="26"/>
  <c r="M2" i="26"/>
  <c r="C17" i="26"/>
  <c r="F17" i="26"/>
  <c r="I17" i="26"/>
  <c r="L17" i="26"/>
  <c r="O17" i="26"/>
  <c r="A1" i="25"/>
  <c r="N2" i="25"/>
  <c r="I2" i="27" l="1"/>
  <c r="G11" i="25"/>
  <c r="N37" i="25" s="1"/>
  <c r="G19" i="25"/>
  <c r="H37" i="25" s="1"/>
  <c r="G17" i="25"/>
  <c r="G12" i="25"/>
  <c r="E59" i="25" s="1"/>
  <c r="G14" i="25"/>
  <c r="K44" i="25" s="1"/>
  <c r="G15" i="25"/>
  <c r="N46" i="25" s="1"/>
  <c r="G10" i="25"/>
  <c r="E64" i="25"/>
  <c r="I2308" i="8" s="1"/>
  <c r="M2308" i="8" s="1"/>
  <c r="M2313" i="8" s="1"/>
  <c r="N2255" i="8" s="1"/>
  <c r="G9" i="25"/>
  <c r="K23" i="25" s="1"/>
  <c r="G18" i="25"/>
  <c r="G13" i="25"/>
  <c r="G16" i="25"/>
  <c r="K2245" i="8" l="1"/>
  <c r="K2163" i="8"/>
  <c r="K2204" i="8"/>
  <c r="K2534" i="8"/>
  <c r="K2481" i="8"/>
  <c r="K2428" i="8"/>
  <c r="K2368" i="8"/>
  <c r="N34" i="25"/>
  <c r="K928" i="8"/>
  <c r="K670" i="8"/>
  <c r="L78" i="7"/>
  <c r="F2255" i="8"/>
  <c r="M2256" i="8" s="1"/>
  <c r="N26" i="25"/>
  <c r="E26" i="25" s="1"/>
  <c r="K30" i="25"/>
  <c r="N45" i="25"/>
  <c r="N47" i="25"/>
  <c r="M10" i="25"/>
  <c r="H2" i="27"/>
  <c r="N26" i="42" s="1"/>
  <c r="N33" i="25"/>
  <c r="N30" i="25"/>
  <c r="H39" i="25"/>
  <c r="N38" i="25"/>
  <c r="N35" i="25"/>
  <c r="H36" i="25"/>
  <c r="N28" i="25"/>
  <c r="N32" i="25"/>
  <c r="N25" i="25"/>
  <c r="E25" i="25" s="1"/>
  <c r="E58" i="25"/>
  <c r="E68" i="25" s="1"/>
  <c r="N39" i="25"/>
  <c r="N24" i="25"/>
  <c r="E24" i="25" s="1"/>
  <c r="I928" i="8" s="1"/>
  <c r="N36" i="25"/>
  <c r="N31" i="25"/>
  <c r="N29" i="25"/>
  <c r="K28" i="25"/>
  <c r="K39" i="25"/>
  <c r="K37" i="25"/>
  <c r="E37" i="25" s="1"/>
  <c r="K33" i="25"/>
  <c r="K35" i="25"/>
  <c r="K29" i="25"/>
  <c r="K36" i="25"/>
  <c r="K53" i="25"/>
  <c r="E53" i="25" s="1"/>
  <c r="K31" i="25"/>
  <c r="K34" i="25"/>
  <c r="K38" i="25"/>
  <c r="K32" i="25"/>
  <c r="N51" i="25"/>
  <c r="N49" i="25"/>
  <c r="N50" i="25"/>
  <c r="N52" i="25"/>
  <c r="N48" i="25"/>
  <c r="K40" i="25"/>
  <c r="K41" i="25"/>
  <c r="E57" i="25"/>
  <c r="K43" i="25"/>
  <c r="K54" i="25"/>
  <c r="E54" i="25" s="1"/>
  <c r="N23" i="25"/>
  <c r="E23" i="25" s="1"/>
  <c r="N67" i="25"/>
  <c r="E67" i="25" s="1"/>
  <c r="H34" i="25"/>
  <c r="H35" i="25"/>
  <c r="H38" i="25"/>
  <c r="K42" i="25"/>
  <c r="N40" i="25"/>
  <c r="N44" i="25"/>
  <c r="E44" i="25" s="1"/>
  <c r="N42" i="25"/>
  <c r="N43" i="25"/>
  <c r="N27" i="25"/>
  <c r="E27" i="25" s="1"/>
  <c r="N41" i="25"/>
  <c r="K46" i="25"/>
  <c r="E46" i="25" s="1"/>
  <c r="K48" i="25"/>
  <c r="K55" i="25"/>
  <c r="E55" i="25" s="1"/>
  <c r="K45" i="25"/>
  <c r="K47" i="25"/>
  <c r="K50" i="25"/>
  <c r="K52" i="25"/>
  <c r="K49" i="25"/>
  <c r="K51" i="25"/>
  <c r="K56" i="25"/>
  <c r="E56" i="25" s="1"/>
  <c r="M928" i="8" l="1"/>
  <c r="M933" i="8" s="1"/>
  <c r="N894" i="8" s="1"/>
  <c r="N21" i="39"/>
  <c r="N22" i="39" s="1"/>
  <c r="N37" i="39" s="1"/>
  <c r="N25" i="40"/>
  <c r="N25" i="41"/>
  <c r="N26" i="41" s="1"/>
  <c r="N51" i="41" s="1"/>
  <c r="J68" i="10"/>
  <c r="M78" i="7"/>
  <c r="E45" i="25"/>
  <c r="E30" i="25"/>
  <c r="E47" i="25"/>
  <c r="E51" i="25"/>
  <c r="E49" i="25"/>
  <c r="E39" i="25"/>
  <c r="E29" i="25"/>
  <c r="I2245" i="8" s="1"/>
  <c r="M2245" i="8" s="1"/>
  <c r="M2250" i="8" s="1"/>
  <c r="E48" i="25"/>
  <c r="E33" i="25"/>
  <c r="E36" i="25"/>
  <c r="E52" i="25"/>
  <c r="E38" i="25"/>
  <c r="E28" i="25"/>
  <c r="N19" i="29"/>
  <c r="E32" i="25"/>
  <c r="E43" i="25"/>
  <c r="E42" i="25"/>
  <c r="E50" i="25"/>
  <c r="E31" i="25"/>
  <c r="E40" i="25"/>
  <c r="E41" i="25"/>
  <c r="E35" i="25"/>
  <c r="E34" i="25"/>
  <c r="I2534" i="8" l="1"/>
  <c r="M2534" i="8" s="1"/>
  <c r="M2539" i="8" s="1"/>
  <c r="I2481" i="8"/>
  <c r="M2481" i="8" s="1"/>
  <c r="M2486" i="8" s="1"/>
  <c r="I2428" i="8"/>
  <c r="M2428" i="8" s="1"/>
  <c r="M2433" i="8" s="1"/>
  <c r="I2368" i="8"/>
  <c r="M2368" i="8" s="1"/>
  <c r="M2373" i="8" s="1"/>
  <c r="I910" i="8"/>
  <c r="M910" i="8" s="1"/>
  <c r="M915" i="8" s="1"/>
  <c r="H894" i="8" s="1"/>
  <c r="M17" i="39"/>
  <c r="M16" i="39"/>
  <c r="M29" i="39"/>
  <c r="M13" i="39"/>
  <c r="M11" i="39"/>
  <c r="M34" i="39"/>
  <c r="M32" i="39"/>
  <c r="M15" i="39"/>
  <c r="M28" i="39"/>
  <c r="M18" i="39"/>
  <c r="M19" i="39"/>
  <c r="M12" i="39"/>
  <c r="N38" i="39"/>
  <c r="N39" i="39" s="1"/>
  <c r="N41" i="39" s="1"/>
  <c r="N42" i="39" s="1"/>
  <c r="N43" i="39" s="1"/>
  <c r="N1" i="39" s="1"/>
  <c r="D30" i="12" s="1"/>
  <c r="M27" i="39"/>
  <c r="M14" i="39"/>
  <c r="M33" i="39"/>
  <c r="M31" i="39"/>
  <c r="M30" i="39"/>
  <c r="M45" i="41"/>
  <c r="M47" i="41"/>
  <c r="M12" i="41"/>
  <c r="M42" i="41"/>
  <c r="M11" i="41"/>
  <c r="M38" i="41"/>
  <c r="M13" i="41"/>
  <c r="M39" i="41"/>
  <c r="N52" i="41"/>
  <c r="N53" i="41" s="1"/>
  <c r="M1" i="41" s="1"/>
  <c r="D34" i="12" s="1"/>
  <c r="M40" i="41"/>
  <c r="M23" i="41"/>
  <c r="M17" i="41"/>
  <c r="M37" i="41"/>
  <c r="M21" i="41"/>
  <c r="M36" i="41"/>
  <c r="M19" i="41"/>
  <c r="M14" i="41"/>
  <c r="M35" i="41"/>
  <c r="M22" i="41"/>
  <c r="M46" i="41"/>
  <c r="M44" i="41"/>
  <c r="M20" i="41"/>
  <c r="M41" i="41"/>
  <c r="M15" i="41"/>
  <c r="M18" i="41"/>
  <c r="M16" i="41"/>
  <c r="M43" i="41"/>
  <c r="N2214" i="8"/>
  <c r="L57" i="7" s="1"/>
  <c r="I2228" i="8"/>
  <c r="M2228" i="8" s="1"/>
  <c r="M2232" i="8" s="1"/>
  <c r="I670" i="8"/>
  <c r="M670" i="8" s="1"/>
  <c r="M675" i="8" s="1"/>
  <c r="N638" i="8" s="1"/>
  <c r="I2163" i="8"/>
  <c r="M2163" i="8" s="1"/>
  <c r="M2168" i="8" s="1"/>
  <c r="I2204" i="8"/>
  <c r="M2204" i="8" s="1"/>
  <c r="M2209" i="8" s="1"/>
  <c r="I1313" i="8"/>
  <c r="M1313" i="8" s="1"/>
  <c r="I2236" i="8"/>
  <c r="I1402" i="8"/>
  <c r="I1358" i="8"/>
  <c r="I493" i="8"/>
  <c r="I703" i="8"/>
  <c r="I1489" i="8"/>
  <c r="M1489" i="8" s="1"/>
  <c r="I1268" i="8"/>
  <c r="M1268" i="8" s="1"/>
  <c r="J54" i="23"/>
  <c r="N14" i="31"/>
  <c r="L26" i="29"/>
  <c r="N26" i="29" s="1"/>
  <c r="N31" i="31"/>
  <c r="L12" i="29"/>
  <c r="N12" i="29" s="1"/>
  <c r="L16" i="29"/>
  <c r="N16" i="29" s="1"/>
  <c r="L30" i="29"/>
  <c r="N30" i="29" s="1"/>
  <c r="N16" i="31"/>
  <c r="N29" i="31"/>
  <c r="N32" i="31"/>
  <c r="L28" i="29"/>
  <c r="N28" i="29" s="1"/>
  <c r="L13" i="29"/>
  <c r="N13" i="29" s="1"/>
  <c r="L15" i="29"/>
  <c r="N15" i="29" s="1"/>
  <c r="L17" i="29"/>
  <c r="N17" i="29" s="1"/>
  <c r="L25" i="29"/>
  <c r="N25" i="29" s="1"/>
  <c r="L29" i="29"/>
  <c r="N29" i="29" s="1"/>
  <c r="M8" i="26"/>
  <c r="Q8" i="26" s="1"/>
  <c r="N15" i="31"/>
  <c r="N17" i="31"/>
  <c r="N18" i="31"/>
  <c r="N30" i="31"/>
  <c r="N34" i="31"/>
  <c r="L14" i="29"/>
  <c r="N14" i="29" s="1"/>
  <c r="L27" i="29"/>
  <c r="N27" i="29" s="1"/>
  <c r="H77" i="7"/>
  <c r="K2038" i="8"/>
  <c r="K2037" i="8"/>
  <c r="K1643" i="8"/>
  <c r="K1640" i="8"/>
  <c r="K1639" i="8"/>
  <c r="B25" i="16"/>
  <c r="J143" i="24" s="1"/>
  <c r="I180" i="12" s="1"/>
  <c r="M180" i="12" s="1"/>
  <c r="Z163" i="14"/>
  <c r="AC163" i="14" s="1"/>
  <c r="W163" i="14"/>
  <c r="U163" i="14"/>
  <c r="J163" i="14"/>
  <c r="R163" i="14"/>
  <c r="Z162" i="14"/>
  <c r="AC162" i="14" s="1"/>
  <c r="W162" i="14"/>
  <c r="U162" i="14"/>
  <c r="J162" i="14"/>
  <c r="Q162" i="14"/>
  <c r="Z161" i="14"/>
  <c r="AC161" i="14" s="1"/>
  <c r="W161" i="14"/>
  <c r="U161" i="14"/>
  <c r="J161" i="14"/>
  <c r="Z160" i="14"/>
  <c r="AC160" i="14" s="1"/>
  <c r="W160" i="14"/>
  <c r="U160" i="14"/>
  <c r="J160" i="14"/>
  <c r="Q160" i="14"/>
  <c r="Z159" i="14"/>
  <c r="AC159" i="14" s="1"/>
  <c r="W159" i="14"/>
  <c r="U159" i="14"/>
  <c r="J159" i="14"/>
  <c r="Z158" i="14"/>
  <c r="AC158" i="14" s="1"/>
  <c r="W158" i="14"/>
  <c r="U158" i="14"/>
  <c r="J158" i="14"/>
  <c r="Q158" i="14"/>
  <c r="Z157" i="14"/>
  <c r="AC157" i="14" s="1"/>
  <c r="W157" i="14"/>
  <c r="U157" i="14"/>
  <c r="J157" i="14"/>
  <c r="R157" i="14"/>
  <c r="Z156" i="14"/>
  <c r="AC156" i="14" s="1"/>
  <c r="W156" i="14"/>
  <c r="U156" i="14"/>
  <c r="J156" i="14"/>
  <c r="T156" i="14"/>
  <c r="X156" i="14" s="1"/>
  <c r="Z155" i="14"/>
  <c r="AC155" i="14" s="1"/>
  <c r="W155" i="14"/>
  <c r="U155" i="14"/>
  <c r="J155" i="14"/>
  <c r="R155" i="14"/>
  <c r="Z154" i="14"/>
  <c r="AC154" i="14" s="1"/>
  <c r="W154" i="14"/>
  <c r="U154" i="14"/>
  <c r="J154" i="14"/>
  <c r="Z153" i="14"/>
  <c r="AC153" i="14" s="1"/>
  <c r="W153" i="14"/>
  <c r="U153" i="14"/>
  <c r="J153" i="14"/>
  <c r="T153" i="14"/>
  <c r="X153" i="14" s="1"/>
  <c r="Z152" i="14"/>
  <c r="AC152" i="14" s="1"/>
  <c r="W152" i="14"/>
  <c r="U152" i="14"/>
  <c r="J152" i="14"/>
  <c r="T152" i="14"/>
  <c r="X152" i="14" s="1"/>
  <c r="Z151" i="14"/>
  <c r="AC151" i="14" s="1"/>
  <c r="W151" i="14"/>
  <c r="U151" i="14"/>
  <c r="J151" i="14"/>
  <c r="R151" i="14"/>
  <c r="Z150" i="14"/>
  <c r="AC150" i="14" s="1"/>
  <c r="W150" i="14"/>
  <c r="U150" i="14"/>
  <c r="J150" i="14"/>
  <c r="Q150" i="14"/>
  <c r="Z149" i="14"/>
  <c r="AC149" i="14" s="1"/>
  <c r="W149" i="14"/>
  <c r="U149" i="14"/>
  <c r="J149" i="14"/>
  <c r="Z148" i="14"/>
  <c r="AC148" i="14" s="1"/>
  <c r="W148" i="14"/>
  <c r="U148" i="14"/>
  <c r="J148" i="14"/>
  <c r="Z147" i="14"/>
  <c r="AC147" i="14" s="1"/>
  <c r="W147" i="14"/>
  <c r="U147" i="14"/>
  <c r="J147" i="14"/>
  <c r="R147" i="14"/>
  <c r="Z146" i="14"/>
  <c r="AC146" i="14" s="1"/>
  <c r="W146" i="14"/>
  <c r="U146" i="14"/>
  <c r="J146" i="14"/>
  <c r="Q146" i="14"/>
  <c r="Z145" i="14"/>
  <c r="AC145" i="14" s="1"/>
  <c r="W145" i="14"/>
  <c r="U145" i="14"/>
  <c r="J145" i="14"/>
  <c r="T145" i="14"/>
  <c r="X145" i="14" s="1"/>
  <c r="Z144" i="14"/>
  <c r="AC144" i="14" s="1"/>
  <c r="W144" i="14"/>
  <c r="U144" i="14"/>
  <c r="J144" i="14"/>
  <c r="Z143" i="14"/>
  <c r="AC143" i="14" s="1"/>
  <c r="W143" i="14"/>
  <c r="U143" i="14"/>
  <c r="J143" i="14"/>
  <c r="R143" i="14"/>
  <c r="Z142" i="14"/>
  <c r="AC142" i="14" s="1"/>
  <c r="W142" i="14"/>
  <c r="U142" i="14"/>
  <c r="J142" i="14"/>
  <c r="Q142" i="14"/>
  <c r="Z141" i="14"/>
  <c r="AC141" i="14" s="1"/>
  <c r="W141" i="14"/>
  <c r="U141" i="14"/>
  <c r="J141" i="14"/>
  <c r="T141" i="14"/>
  <c r="X141" i="14" s="1"/>
  <c r="Z140" i="14"/>
  <c r="AC140" i="14" s="1"/>
  <c r="W140" i="14"/>
  <c r="U140" i="14"/>
  <c r="J140" i="14"/>
  <c r="T140" i="14"/>
  <c r="X140" i="14" s="1"/>
  <c r="Z139" i="14"/>
  <c r="AC139" i="14" s="1"/>
  <c r="W139" i="14"/>
  <c r="U139" i="14"/>
  <c r="J139" i="14"/>
  <c r="R139" i="14"/>
  <c r="Z138" i="14"/>
  <c r="AC138" i="14" s="1"/>
  <c r="W138" i="14"/>
  <c r="U138" i="14"/>
  <c r="J138" i="14"/>
  <c r="Q138" i="14"/>
  <c r="Z137" i="14"/>
  <c r="AC137" i="14" s="1"/>
  <c r="W137" i="14"/>
  <c r="U137" i="14"/>
  <c r="J137" i="14"/>
  <c r="R137" i="14"/>
  <c r="Z136" i="14"/>
  <c r="AC136" i="14" s="1"/>
  <c r="W136" i="14"/>
  <c r="U136" i="14"/>
  <c r="J136" i="14"/>
  <c r="T136" i="14"/>
  <c r="X136" i="14" s="1"/>
  <c r="Z135" i="14"/>
  <c r="AC135" i="14" s="1"/>
  <c r="W135" i="14"/>
  <c r="U135" i="14"/>
  <c r="J135" i="14"/>
  <c r="R135" i="14"/>
  <c r="Z134" i="14"/>
  <c r="AC134" i="14" s="1"/>
  <c r="W134" i="14"/>
  <c r="U134" i="14"/>
  <c r="J134" i="14"/>
  <c r="Q134" i="14"/>
  <c r="Z133" i="14"/>
  <c r="AC133" i="14" s="1"/>
  <c r="W133" i="14"/>
  <c r="U133" i="14"/>
  <c r="J133" i="14"/>
  <c r="T133" i="14"/>
  <c r="X133" i="14" s="1"/>
  <c r="Z132" i="14"/>
  <c r="AC132" i="14" s="1"/>
  <c r="W132" i="14"/>
  <c r="U132" i="14"/>
  <c r="J132" i="14"/>
  <c r="T132" i="14"/>
  <c r="X132" i="14" s="1"/>
  <c r="Z131" i="14"/>
  <c r="AC131" i="14" s="1"/>
  <c r="W131" i="14"/>
  <c r="U131" i="14"/>
  <c r="J131" i="14"/>
  <c r="R131" i="14"/>
  <c r="Z130" i="14"/>
  <c r="AC130" i="14" s="1"/>
  <c r="W130" i="14"/>
  <c r="U130" i="14"/>
  <c r="J130" i="14"/>
  <c r="Q130" i="14"/>
  <c r="Z129" i="14"/>
  <c r="AC129" i="14" s="1"/>
  <c r="W129" i="14"/>
  <c r="U129" i="14"/>
  <c r="J129" i="14"/>
  <c r="R129" i="14"/>
  <c r="Z128" i="14"/>
  <c r="AC128" i="14" s="1"/>
  <c r="W128" i="14"/>
  <c r="U128" i="14"/>
  <c r="J128" i="14"/>
  <c r="R128" i="14"/>
  <c r="Z127" i="14"/>
  <c r="AC127" i="14" s="1"/>
  <c r="W127" i="14"/>
  <c r="U127" i="14"/>
  <c r="J127" i="14"/>
  <c r="Z126" i="14"/>
  <c r="AC126" i="14" s="1"/>
  <c r="W126" i="14"/>
  <c r="U126" i="14"/>
  <c r="J126" i="14"/>
  <c r="Q126" i="14"/>
  <c r="Z125" i="14"/>
  <c r="AC125" i="14" s="1"/>
  <c r="W125" i="14"/>
  <c r="U125" i="14"/>
  <c r="J125" i="14"/>
  <c r="Z124" i="14"/>
  <c r="AC124" i="14" s="1"/>
  <c r="W124" i="14"/>
  <c r="U124" i="14"/>
  <c r="J124" i="14"/>
  <c r="Z123" i="14"/>
  <c r="AC123" i="14" s="1"/>
  <c r="W123" i="14"/>
  <c r="U123" i="14"/>
  <c r="J123" i="14"/>
  <c r="R123" i="14"/>
  <c r="Z122" i="14"/>
  <c r="AC122" i="14" s="1"/>
  <c r="W122" i="14"/>
  <c r="U122" i="14"/>
  <c r="J122" i="14"/>
  <c r="T122" i="14"/>
  <c r="X122" i="14" s="1"/>
  <c r="Z121" i="14"/>
  <c r="AC121" i="14" s="1"/>
  <c r="W121" i="14"/>
  <c r="U121" i="14"/>
  <c r="J121" i="14"/>
  <c r="Q121" i="14"/>
  <c r="Z120" i="14"/>
  <c r="AC120" i="14" s="1"/>
  <c r="W120" i="14"/>
  <c r="U120" i="14"/>
  <c r="J120" i="14"/>
  <c r="R120" i="14"/>
  <c r="Z119" i="14"/>
  <c r="AC119" i="14" s="1"/>
  <c r="W119" i="14"/>
  <c r="U119" i="14"/>
  <c r="J119" i="14"/>
  <c r="Z118" i="14"/>
  <c r="AC118" i="14" s="1"/>
  <c r="W118" i="14"/>
  <c r="U118" i="14"/>
  <c r="J118" i="14"/>
  <c r="Z117" i="14"/>
  <c r="AC117" i="14" s="1"/>
  <c r="W117" i="14"/>
  <c r="U117" i="14"/>
  <c r="J117" i="14"/>
  <c r="Z116" i="14"/>
  <c r="AC116" i="14" s="1"/>
  <c r="W116" i="14"/>
  <c r="U116" i="14"/>
  <c r="J116" i="14"/>
  <c r="R116" i="14"/>
  <c r="Z115" i="14"/>
  <c r="AC115" i="14" s="1"/>
  <c r="W115" i="14"/>
  <c r="U115" i="14"/>
  <c r="J115" i="14"/>
  <c r="T115" i="14"/>
  <c r="X115" i="14" s="1"/>
  <c r="Z114" i="14"/>
  <c r="AC114" i="14" s="1"/>
  <c r="W114" i="14"/>
  <c r="U114" i="14"/>
  <c r="J114" i="14"/>
  <c r="T114" i="14"/>
  <c r="X114" i="14" s="1"/>
  <c r="Z113" i="14"/>
  <c r="AC113" i="14" s="1"/>
  <c r="W113" i="14"/>
  <c r="U113" i="14"/>
  <c r="J113" i="14"/>
  <c r="Q113" i="14"/>
  <c r="Z112" i="14"/>
  <c r="AC112" i="14" s="1"/>
  <c r="W112" i="14"/>
  <c r="U112" i="14"/>
  <c r="J112" i="14"/>
  <c r="R112" i="14"/>
  <c r="Z111" i="14"/>
  <c r="AC111" i="14" s="1"/>
  <c r="W111" i="14"/>
  <c r="U111" i="14"/>
  <c r="J111" i="14"/>
  <c r="T111" i="14"/>
  <c r="X111" i="14" s="1"/>
  <c r="Z110" i="14"/>
  <c r="AC110" i="14" s="1"/>
  <c r="W110" i="14"/>
  <c r="U110" i="14"/>
  <c r="J110" i="14"/>
  <c r="Z109" i="14"/>
  <c r="AC109" i="14" s="1"/>
  <c r="W109" i="14"/>
  <c r="U109" i="14"/>
  <c r="J109" i="14"/>
  <c r="Z108" i="14"/>
  <c r="AC108" i="14" s="1"/>
  <c r="W108" i="14"/>
  <c r="U108" i="14"/>
  <c r="J108" i="14"/>
  <c r="O108" i="14"/>
  <c r="Z107" i="14"/>
  <c r="AC107" i="14" s="1"/>
  <c r="W107" i="14"/>
  <c r="U107" i="14"/>
  <c r="J107" i="14"/>
  <c r="T107" i="14"/>
  <c r="X107" i="14" s="1"/>
  <c r="Z106" i="14"/>
  <c r="AC106" i="14" s="1"/>
  <c r="W106" i="14"/>
  <c r="U106" i="14"/>
  <c r="J106" i="14"/>
  <c r="T106" i="14"/>
  <c r="X106" i="14" s="1"/>
  <c r="Z105" i="14"/>
  <c r="AC105" i="14" s="1"/>
  <c r="W105" i="14"/>
  <c r="U105" i="14"/>
  <c r="J105" i="14"/>
  <c r="Q105" i="14"/>
  <c r="Z104" i="14"/>
  <c r="AC104" i="14" s="1"/>
  <c r="W104" i="14"/>
  <c r="U104" i="14"/>
  <c r="J104" i="14"/>
  <c r="T104" i="14"/>
  <c r="X104" i="14" s="1"/>
  <c r="Z103" i="14"/>
  <c r="AC103" i="14" s="1"/>
  <c r="W103" i="14"/>
  <c r="U103" i="14"/>
  <c r="J103" i="14"/>
  <c r="T103" i="14"/>
  <c r="X103" i="14" s="1"/>
  <c r="Z102" i="14"/>
  <c r="AC102" i="14" s="1"/>
  <c r="W102" i="14"/>
  <c r="U102" i="14"/>
  <c r="J102" i="14"/>
  <c r="Z101" i="14"/>
  <c r="AC101" i="14" s="1"/>
  <c r="W101" i="14"/>
  <c r="U101" i="14"/>
  <c r="J101" i="14"/>
  <c r="T101" i="14"/>
  <c r="X101" i="14" s="1"/>
  <c r="Z100" i="14"/>
  <c r="AC100" i="14" s="1"/>
  <c r="W100" i="14"/>
  <c r="U100" i="14"/>
  <c r="J100" i="14"/>
  <c r="R100" i="14"/>
  <c r="Z99" i="14"/>
  <c r="AC99" i="14" s="1"/>
  <c r="W99" i="14"/>
  <c r="U99" i="14"/>
  <c r="J99" i="14"/>
  <c r="T99" i="14"/>
  <c r="X99" i="14" s="1"/>
  <c r="Z98" i="14"/>
  <c r="AC98" i="14" s="1"/>
  <c r="W98" i="14"/>
  <c r="U98" i="14"/>
  <c r="J98" i="14"/>
  <c r="T98" i="14"/>
  <c r="X98" i="14" s="1"/>
  <c r="Z97" i="14"/>
  <c r="AC97" i="14" s="1"/>
  <c r="W97" i="14"/>
  <c r="U97" i="14"/>
  <c r="J97" i="14"/>
  <c r="Z96" i="14"/>
  <c r="AC96" i="14" s="1"/>
  <c r="W96" i="14"/>
  <c r="U96" i="14"/>
  <c r="J96" i="14"/>
  <c r="R96" i="14"/>
  <c r="Z95" i="14"/>
  <c r="AC95" i="14" s="1"/>
  <c r="W95" i="14"/>
  <c r="U95" i="14"/>
  <c r="J95" i="14"/>
  <c r="T95" i="14"/>
  <c r="X95" i="14" s="1"/>
  <c r="Z94" i="14"/>
  <c r="AC94" i="14" s="1"/>
  <c r="W94" i="14"/>
  <c r="U94" i="14"/>
  <c r="J94" i="14"/>
  <c r="T94" i="14"/>
  <c r="X94" i="14" s="1"/>
  <c r="Z93" i="14"/>
  <c r="AC93" i="14" s="1"/>
  <c r="W93" i="14"/>
  <c r="U93" i="14"/>
  <c r="J93" i="14"/>
  <c r="T93" i="14"/>
  <c r="X93" i="14" s="1"/>
  <c r="Z92" i="14"/>
  <c r="AC92" i="14" s="1"/>
  <c r="W92" i="14"/>
  <c r="U92" i="14"/>
  <c r="J92" i="14"/>
  <c r="R92" i="14"/>
  <c r="Z91" i="14"/>
  <c r="AC91" i="14" s="1"/>
  <c r="W91" i="14"/>
  <c r="U91" i="14"/>
  <c r="J91" i="14"/>
  <c r="X91" i="14"/>
  <c r="Z90" i="14"/>
  <c r="AC90" i="14" s="1"/>
  <c r="W90" i="14"/>
  <c r="U90" i="14"/>
  <c r="J90" i="14"/>
  <c r="T90" i="14"/>
  <c r="X90" i="14" s="1"/>
  <c r="Z89" i="14"/>
  <c r="AC89" i="14" s="1"/>
  <c r="W89" i="14"/>
  <c r="U89" i="14"/>
  <c r="J89" i="14"/>
  <c r="Q89" i="14"/>
  <c r="Z88" i="14"/>
  <c r="AC88" i="14" s="1"/>
  <c r="W88" i="14"/>
  <c r="U88" i="14"/>
  <c r="J88" i="14"/>
  <c r="Z87" i="14"/>
  <c r="AC87" i="14" s="1"/>
  <c r="W87" i="14"/>
  <c r="U87" i="14"/>
  <c r="J87" i="14"/>
  <c r="T87" i="14"/>
  <c r="X87" i="14" s="1"/>
  <c r="Z86" i="14"/>
  <c r="AC86" i="14" s="1"/>
  <c r="W86" i="14"/>
  <c r="U86" i="14"/>
  <c r="J86" i="14"/>
  <c r="T86" i="14"/>
  <c r="X86" i="14" s="1"/>
  <c r="Z85" i="14"/>
  <c r="AC85" i="14" s="1"/>
  <c r="W85" i="14"/>
  <c r="U85" i="14"/>
  <c r="J85" i="14"/>
  <c r="T85" i="14"/>
  <c r="X85" i="14" s="1"/>
  <c r="Z84" i="14"/>
  <c r="AC84" i="14" s="1"/>
  <c r="W84" i="14"/>
  <c r="U84" i="14"/>
  <c r="J84" i="14"/>
  <c r="R84" i="14"/>
  <c r="Z83" i="14"/>
  <c r="AC83" i="14" s="1"/>
  <c r="W83" i="14"/>
  <c r="U83" i="14"/>
  <c r="J83" i="14"/>
  <c r="T83" i="14"/>
  <c r="X83" i="14" s="1"/>
  <c r="Z82" i="14"/>
  <c r="AC82" i="14" s="1"/>
  <c r="W82" i="14"/>
  <c r="U82" i="14"/>
  <c r="J82" i="14"/>
  <c r="Z81" i="14"/>
  <c r="AC81" i="14" s="1"/>
  <c r="W81" i="14"/>
  <c r="U81" i="14"/>
  <c r="J81" i="14"/>
  <c r="Z80" i="14"/>
  <c r="AC80" i="14" s="1"/>
  <c r="W80" i="14"/>
  <c r="U80" i="14"/>
  <c r="J80" i="14"/>
  <c r="R80" i="14"/>
  <c r="Z79" i="14"/>
  <c r="AC79" i="14" s="1"/>
  <c r="W79" i="14"/>
  <c r="U79" i="14"/>
  <c r="J79" i="14"/>
  <c r="Z78" i="14"/>
  <c r="AC78" i="14" s="1"/>
  <c r="W78" i="14"/>
  <c r="U78" i="14"/>
  <c r="J78" i="14"/>
  <c r="T78" i="14"/>
  <c r="X78" i="14" s="1"/>
  <c r="Z77" i="14"/>
  <c r="AC77" i="14" s="1"/>
  <c r="W77" i="14"/>
  <c r="U77" i="14"/>
  <c r="J77" i="14"/>
  <c r="T77" i="14"/>
  <c r="X77" i="14" s="1"/>
  <c r="Z76" i="14"/>
  <c r="AC76" i="14" s="1"/>
  <c r="W76" i="14"/>
  <c r="U76" i="14"/>
  <c r="J76" i="14"/>
  <c r="R76" i="14"/>
  <c r="Z75" i="14"/>
  <c r="AC75" i="14" s="1"/>
  <c r="W75" i="14"/>
  <c r="U75" i="14"/>
  <c r="J75" i="14"/>
  <c r="T75" i="14"/>
  <c r="X75" i="14" s="1"/>
  <c r="Z74" i="14"/>
  <c r="AC74" i="14" s="1"/>
  <c r="W74" i="14"/>
  <c r="U74" i="14"/>
  <c r="J74" i="14"/>
  <c r="T74" i="14"/>
  <c r="X74" i="14" s="1"/>
  <c r="Z73" i="14"/>
  <c r="AC73" i="14" s="1"/>
  <c r="W73" i="14"/>
  <c r="U73" i="14"/>
  <c r="J73" i="14"/>
  <c r="T73" i="14"/>
  <c r="X73" i="14" s="1"/>
  <c r="Z72" i="14"/>
  <c r="AC72" i="14" s="1"/>
  <c r="W72" i="14"/>
  <c r="U72" i="14"/>
  <c r="J72" i="14"/>
  <c r="R72" i="14"/>
  <c r="Z71" i="14"/>
  <c r="AC71" i="14" s="1"/>
  <c r="W71" i="14"/>
  <c r="U71" i="14"/>
  <c r="J71" i="14"/>
  <c r="Q71" i="14"/>
  <c r="Z70" i="14"/>
  <c r="AC70" i="14" s="1"/>
  <c r="W70" i="14"/>
  <c r="U70" i="14"/>
  <c r="J70" i="14"/>
  <c r="Z69" i="14"/>
  <c r="AC69" i="14" s="1"/>
  <c r="W69" i="14"/>
  <c r="U69" i="14"/>
  <c r="J69" i="14"/>
  <c r="Z68" i="14"/>
  <c r="AC68" i="14" s="1"/>
  <c r="W68" i="14"/>
  <c r="U68" i="14"/>
  <c r="J68" i="14"/>
  <c r="R68" i="14"/>
  <c r="Z67" i="14"/>
  <c r="AC67" i="14" s="1"/>
  <c r="W67" i="14"/>
  <c r="U67" i="14"/>
  <c r="J67" i="14"/>
  <c r="O67" i="14"/>
  <c r="Z66" i="14"/>
  <c r="AC66" i="14" s="1"/>
  <c r="W66" i="14"/>
  <c r="U66" i="14"/>
  <c r="J66" i="14"/>
  <c r="T66" i="14"/>
  <c r="X66" i="14" s="1"/>
  <c r="Z65" i="14"/>
  <c r="AC65" i="14" s="1"/>
  <c r="W65" i="14"/>
  <c r="U65" i="14"/>
  <c r="J65" i="14"/>
  <c r="T65" i="14"/>
  <c r="X65" i="14" s="1"/>
  <c r="Z64" i="14"/>
  <c r="AC64" i="14" s="1"/>
  <c r="W64" i="14"/>
  <c r="U64" i="14"/>
  <c r="J64" i="14"/>
  <c r="R64" i="14"/>
  <c r="Z63" i="14"/>
  <c r="AC63" i="14" s="1"/>
  <c r="W63" i="14"/>
  <c r="U63" i="14"/>
  <c r="J63" i="14"/>
  <c r="T63" i="14"/>
  <c r="X63" i="14" s="1"/>
  <c r="Z62" i="14"/>
  <c r="AC62" i="14" s="1"/>
  <c r="W62" i="14"/>
  <c r="U62" i="14"/>
  <c r="J62" i="14"/>
  <c r="T62" i="14"/>
  <c r="X62" i="14" s="1"/>
  <c r="Z61" i="14"/>
  <c r="AC61" i="14" s="1"/>
  <c r="W61" i="14"/>
  <c r="U61" i="14"/>
  <c r="J61" i="14"/>
  <c r="T61" i="14"/>
  <c r="X61" i="14" s="1"/>
  <c r="Z60" i="14"/>
  <c r="AC60" i="14" s="1"/>
  <c r="W60" i="14"/>
  <c r="U60" i="14"/>
  <c r="J60" i="14"/>
  <c r="R60" i="14"/>
  <c r="Z59" i="14"/>
  <c r="AC59" i="14" s="1"/>
  <c r="W59" i="14"/>
  <c r="U59" i="14"/>
  <c r="J59" i="14"/>
  <c r="Z58" i="14"/>
  <c r="AC58" i="14" s="1"/>
  <c r="W58" i="14"/>
  <c r="U58" i="14"/>
  <c r="J58" i="14"/>
  <c r="T58" i="14"/>
  <c r="X58" i="14" s="1"/>
  <c r="Z57" i="14"/>
  <c r="AC57" i="14" s="1"/>
  <c r="W57" i="14"/>
  <c r="U57" i="14"/>
  <c r="J57" i="14"/>
  <c r="Z56" i="14"/>
  <c r="AC56" i="14" s="1"/>
  <c r="W56" i="14"/>
  <c r="U56" i="14"/>
  <c r="J56" i="14"/>
  <c r="R56" i="14"/>
  <c r="Z55" i="14"/>
  <c r="AC55" i="14" s="1"/>
  <c r="W55" i="14"/>
  <c r="U55" i="14"/>
  <c r="J55" i="14"/>
  <c r="R55" i="14"/>
  <c r="Z54" i="14"/>
  <c r="AC54" i="14" s="1"/>
  <c r="W54" i="14"/>
  <c r="U54" i="14"/>
  <c r="J54" i="14"/>
  <c r="O54" i="14"/>
  <c r="Z53" i="14"/>
  <c r="AC53" i="14" s="1"/>
  <c r="W53" i="14"/>
  <c r="U53" i="14"/>
  <c r="J53" i="14"/>
  <c r="T53" i="14"/>
  <c r="X53" i="14" s="1"/>
  <c r="Z52" i="14"/>
  <c r="AC52" i="14" s="1"/>
  <c r="W52" i="14"/>
  <c r="U52" i="14"/>
  <c r="J52" i="14"/>
  <c r="R52" i="14"/>
  <c r="Z51" i="14"/>
  <c r="AC51" i="14" s="1"/>
  <c r="W51" i="14"/>
  <c r="U51" i="14"/>
  <c r="J51" i="14"/>
  <c r="Z50" i="14"/>
  <c r="AC50" i="14" s="1"/>
  <c r="W50" i="14"/>
  <c r="U50" i="14"/>
  <c r="J50" i="14"/>
  <c r="T50" i="14"/>
  <c r="X50" i="14" s="1"/>
  <c r="Z49" i="14"/>
  <c r="AC49" i="14" s="1"/>
  <c r="W49" i="14"/>
  <c r="U49" i="14"/>
  <c r="J49" i="14"/>
  <c r="T49" i="14"/>
  <c r="X49" i="14" s="1"/>
  <c r="Z48" i="14"/>
  <c r="AC48" i="14" s="1"/>
  <c r="W48" i="14"/>
  <c r="U48" i="14"/>
  <c r="J48" i="14"/>
  <c r="Q48" i="14"/>
  <c r="Z47" i="14"/>
  <c r="AC47" i="14" s="1"/>
  <c r="W47" i="14"/>
  <c r="U47" i="14"/>
  <c r="J47" i="14"/>
  <c r="Z46" i="14"/>
  <c r="AC46" i="14" s="1"/>
  <c r="W46" i="14"/>
  <c r="U46" i="14"/>
  <c r="J46" i="14"/>
  <c r="T46" i="14"/>
  <c r="X46" i="14" s="1"/>
  <c r="Z45" i="14"/>
  <c r="AC45" i="14" s="1"/>
  <c r="W45" i="14"/>
  <c r="U45" i="14"/>
  <c r="J45" i="14"/>
  <c r="Z44" i="14"/>
  <c r="AC44" i="14" s="1"/>
  <c r="W44" i="14"/>
  <c r="U44" i="14"/>
  <c r="J44" i="14"/>
  <c r="Z43" i="14"/>
  <c r="AC43" i="14" s="1"/>
  <c r="W43" i="14"/>
  <c r="U43" i="14"/>
  <c r="J43" i="14"/>
  <c r="Z42" i="14"/>
  <c r="AC42" i="14" s="1"/>
  <c r="W42" i="14"/>
  <c r="U42" i="14"/>
  <c r="J42" i="14"/>
  <c r="T42" i="14"/>
  <c r="X42" i="14" s="1"/>
  <c r="Z41" i="14"/>
  <c r="AC41" i="14" s="1"/>
  <c r="W41" i="14"/>
  <c r="U41" i="14"/>
  <c r="J41" i="14"/>
  <c r="T41" i="14"/>
  <c r="X41" i="14" s="1"/>
  <c r="Z40" i="14"/>
  <c r="AC40" i="14" s="1"/>
  <c r="W40" i="14"/>
  <c r="U40" i="14"/>
  <c r="J40" i="14"/>
  <c r="R40" i="14"/>
  <c r="Z39" i="14"/>
  <c r="AC39" i="14" s="1"/>
  <c r="W39" i="14"/>
  <c r="U39" i="14"/>
  <c r="J39" i="14"/>
  <c r="Z38" i="14"/>
  <c r="AC38" i="14" s="1"/>
  <c r="W38" i="14"/>
  <c r="U38" i="14"/>
  <c r="J38" i="14"/>
  <c r="Z37" i="14"/>
  <c r="AC37" i="14" s="1"/>
  <c r="W37" i="14"/>
  <c r="U37" i="14"/>
  <c r="J37" i="14"/>
  <c r="Q37" i="14"/>
  <c r="Z36" i="14"/>
  <c r="AC36" i="14" s="1"/>
  <c r="W36" i="14"/>
  <c r="U36" i="14"/>
  <c r="J36" i="14"/>
  <c r="R36" i="14"/>
  <c r="Z35" i="14"/>
  <c r="AC35" i="14" s="1"/>
  <c r="W35" i="14"/>
  <c r="U35" i="14"/>
  <c r="J35" i="14"/>
  <c r="R35" i="14"/>
  <c r="Z34" i="14"/>
  <c r="AC34" i="14" s="1"/>
  <c r="W34" i="14"/>
  <c r="U34" i="14"/>
  <c r="J34" i="14"/>
  <c r="T34" i="14"/>
  <c r="X34" i="14" s="1"/>
  <c r="Z33" i="14"/>
  <c r="AC33" i="14" s="1"/>
  <c r="W33" i="14"/>
  <c r="U33" i="14"/>
  <c r="J33" i="14"/>
  <c r="T33" i="14"/>
  <c r="X33" i="14" s="1"/>
  <c r="Z32" i="14"/>
  <c r="AC32" i="14" s="1"/>
  <c r="W32" i="14"/>
  <c r="U32" i="14"/>
  <c r="J32" i="14"/>
  <c r="R32" i="14"/>
  <c r="Z31" i="14"/>
  <c r="AC31" i="14" s="1"/>
  <c r="W31" i="14"/>
  <c r="U31" i="14"/>
  <c r="J31" i="14"/>
  <c r="T31" i="14"/>
  <c r="X31" i="14" s="1"/>
  <c r="Z30" i="14"/>
  <c r="AC30" i="14" s="1"/>
  <c r="W30" i="14"/>
  <c r="U30" i="14"/>
  <c r="J30" i="14"/>
  <c r="Z29" i="14"/>
  <c r="AC29" i="14" s="1"/>
  <c r="W29" i="14"/>
  <c r="U29" i="14"/>
  <c r="J29" i="14"/>
  <c r="T29" i="14"/>
  <c r="Z28" i="14"/>
  <c r="W28" i="14"/>
  <c r="U28" i="14"/>
  <c r="J28" i="14"/>
  <c r="K28" i="14" s="1"/>
  <c r="R28" i="14"/>
  <c r="S10" i="14"/>
  <c r="S9" i="14"/>
  <c r="J604" i="13"/>
  <c r="J609" i="13" s="1"/>
  <c r="I604" i="13"/>
  <c r="I609" i="13" s="1"/>
  <c r="H604" i="13"/>
  <c r="H609" i="13" s="1"/>
  <c r="G604" i="13"/>
  <c r="G609" i="13" s="1"/>
  <c r="F604" i="13"/>
  <c r="F609" i="13" s="1"/>
  <c r="E604" i="13"/>
  <c r="E609" i="13" s="1"/>
  <c r="D604" i="13"/>
  <c r="D609" i="13" s="1"/>
  <c r="C604" i="13"/>
  <c r="C609" i="13" s="1"/>
  <c r="K592" i="13"/>
  <c r="K597" i="13" s="1"/>
  <c r="J592" i="13"/>
  <c r="J597" i="13" s="1"/>
  <c r="I592" i="13"/>
  <c r="I597" i="13" s="1"/>
  <c r="H592" i="13"/>
  <c r="H597" i="13" s="1"/>
  <c r="G592" i="13"/>
  <c r="G597" i="13" s="1"/>
  <c r="F592" i="13"/>
  <c r="F597" i="13" s="1"/>
  <c r="E592" i="13"/>
  <c r="E597" i="13" s="1"/>
  <c r="D592" i="13"/>
  <c r="D597" i="13" s="1"/>
  <c r="K579" i="13"/>
  <c r="K584" i="13" s="1"/>
  <c r="J579" i="13"/>
  <c r="J584" i="13" s="1"/>
  <c r="I579" i="13"/>
  <c r="I584" i="13" s="1"/>
  <c r="H579" i="13"/>
  <c r="H584" i="13" s="1"/>
  <c r="G579" i="13"/>
  <c r="G584" i="13" s="1"/>
  <c r="F579" i="13"/>
  <c r="F584" i="13" s="1"/>
  <c r="E579" i="13"/>
  <c r="E584" i="13" s="1"/>
  <c r="D579" i="13"/>
  <c r="D584" i="13" s="1"/>
  <c r="C579" i="13"/>
  <c r="C584" i="13" s="1"/>
  <c r="K566" i="13"/>
  <c r="K571" i="13" s="1"/>
  <c r="J566" i="13"/>
  <c r="J571" i="13" s="1"/>
  <c r="I566" i="13"/>
  <c r="I571" i="13" s="1"/>
  <c r="H566" i="13"/>
  <c r="H571" i="13" s="1"/>
  <c r="G566" i="13"/>
  <c r="G571" i="13" s="1"/>
  <c r="F566" i="13"/>
  <c r="F571" i="13" s="1"/>
  <c r="E566" i="13"/>
  <c r="E571" i="13" s="1"/>
  <c r="D566" i="13"/>
  <c r="D571" i="13" s="1"/>
  <c r="G550" i="13"/>
  <c r="F550" i="13"/>
  <c r="E550" i="13"/>
  <c r="L534" i="13"/>
  <c r="K534" i="13"/>
  <c r="E534" i="13"/>
  <c r="I509" i="13"/>
  <c r="F509" i="13" s="1"/>
  <c r="D211" i="14" s="1"/>
  <c r="I498" i="13"/>
  <c r="F498" i="13" s="1"/>
  <c r="J96" i="24" s="1"/>
  <c r="I130" i="12" s="1"/>
  <c r="M130" i="12" s="1"/>
  <c r="I487" i="13"/>
  <c r="F487" i="13" s="1"/>
  <c r="J111" i="24" s="1"/>
  <c r="I146" i="12" s="1"/>
  <c r="M146" i="12" s="1"/>
  <c r="I476" i="13"/>
  <c r="F476" i="13" s="1"/>
  <c r="J95" i="24" s="1"/>
  <c r="I129" i="12" s="1"/>
  <c r="M129" i="12" s="1"/>
  <c r="I466" i="13"/>
  <c r="I465" i="13" s="1"/>
  <c r="F465" i="13" s="1"/>
  <c r="J94" i="24" s="1"/>
  <c r="I128" i="12" s="1"/>
  <c r="I454" i="13"/>
  <c r="F454" i="13" s="1"/>
  <c r="J93" i="24" s="1"/>
  <c r="I127" i="12" s="1"/>
  <c r="M127" i="12" s="1"/>
  <c r="I443" i="13"/>
  <c r="F443" i="13" s="1"/>
  <c r="J92" i="24" s="1"/>
  <c r="I126" i="12" s="1"/>
  <c r="M126" i="12" s="1"/>
  <c r="I432" i="13"/>
  <c r="F432" i="13" s="1"/>
  <c r="J91" i="24" s="1"/>
  <c r="I125" i="12" s="1"/>
  <c r="M125" i="12" s="1"/>
  <c r="I421" i="13"/>
  <c r="F421" i="13" s="1"/>
  <c r="J90" i="24" s="1"/>
  <c r="I124" i="12" s="1"/>
  <c r="M124" i="12" s="1"/>
  <c r="I410" i="13"/>
  <c r="F410" i="13" s="1"/>
  <c r="J89" i="24" s="1"/>
  <c r="I123" i="12" s="1"/>
  <c r="M123" i="12" s="1"/>
  <c r="I399" i="13"/>
  <c r="F399" i="13" s="1"/>
  <c r="J88" i="24" s="1"/>
  <c r="I122" i="12" s="1"/>
  <c r="M122" i="12" s="1"/>
  <c r="I388" i="13"/>
  <c r="F388" i="13" s="1"/>
  <c r="J87" i="24" s="1"/>
  <c r="I121" i="12" s="1"/>
  <c r="M121" i="12" s="1"/>
  <c r="I377" i="13"/>
  <c r="F377" i="13" s="1"/>
  <c r="J86" i="24" s="1"/>
  <c r="I120" i="12" s="1"/>
  <c r="M120" i="12" s="1"/>
  <c r="I366" i="13"/>
  <c r="F366" i="13" s="1"/>
  <c r="J85" i="24" s="1"/>
  <c r="I119" i="12" s="1"/>
  <c r="M119" i="12" s="1"/>
  <c r="I355" i="13"/>
  <c r="F355" i="13" s="1"/>
  <c r="J84" i="24" s="1"/>
  <c r="I118" i="12" s="1"/>
  <c r="M118" i="12" s="1"/>
  <c r="I344" i="13"/>
  <c r="F344" i="13" s="1"/>
  <c r="J83" i="24" s="1"/>
  <c r="I117" i="12" s="1"/>
  <c r="M117" i="12" s="1"/>
  <c r="I333" i="13"/>
  <c r="I300" i="13"/>
  <c r="F300" i="13" s="1"/>
  <c r="J77" i="24" s="1"/>
  <c r="I111" i="12" s="1"/>
  <c r="M111" i="12" s="1"/>
  <c r="I278" i="13"/>
  <c r="F278" i="13" s="1"/>
  <c r="J75" i="24" s="1"/>
  <c r="I109" i="12" s="1"/>
  <c r="I274" i="13"/>
  <c r="I275" i="13" s="1"/>
  <c r="I267" i="13" s="1"/>
  <c r="F267" i="13" s="1"/>
  <c r="J74" i="24" s="1"/>
  <c r="I108" i="12" s="1"/>
  <c r="I263" i="13"/>
  <c r="I264" i="13" s="1"/>
  <c r="I256" i="13" s="1"/>
  <c r="F256" i="13" s="1"/>
  <c r="J73" i="24" s="1"/>
  <c r="I107" i="12" s="1"/>
  <c r="M107" i="12" s="1"/>
  <c r="I253" i="13"/>
  <c r="I245" i="13" s="1"/>
  <c r="I240" i="13"/>
  <c r="I241" i="13" s="1"/>
  <c r="I242" i="13" s="1"/>
  <c r="I234" i="13" s="1"/>
  <c r="F234" i="13" s="1"/>
  <c r="J70" i="24" s="1"/>
  <c r="I104" i="12" s="1"/>
  <c r="I225" i="13"/>
  <c r="I219" i="13"/>
  <c r="I220" i="13" s="1"/>
  <c r="I212" i="13" s="1"/>
  <c r="I208" i="13"/>
  <c r="I201" i="13" s="1"/>
  <c r="F201" i="13" s="1"/>
  <c r="J66" i="24" s="1"/>
  <c r="I100" i="12" s="1"/>
  <c r="I197" i="13"/>
  <c r="I190" i="13" s="1"/>
  <c r="F190" i="13" s="1"/>
  <c r="J65" i="24" s="1"/>
  <c r="I99" i="12" s="1"/>
  <c r="I186" i="13"/>
  <c r="I182" i="13" s="1"/>
  <c r="F182" i="13" s="1"/>
  <c r="I179" i="13"/>
  <c r="I171" i="13" s="1"/>
  <c r="I162" i="13"/>
  <c r="I154" i="13" s="1"/>
  <c r="I143" i="13"/>
  <c r="F143" i="13" s="1"/>
  <c r="I132" i="13"/>
  <c r="F132" i="13" s="1"/>
  <c r="F89" i="13"/>
  <c r="J118" i="24" s="1"/>
  <c r="I154" i="12" s="1"/>
  <c r="F74" i="13"/>
  <c r="F63" i="13"/>
  <c r="J49" i="24" s="1"/>
  <c r="I82" i="12" s="1"/>
  <c r="M82" i="12" s="1"/>
  <c r="F52" i="13"/>
  <c r="J48" i="24" s="1"/>
  <c r="I81" i="12" s="1"/>
  <c r="F41" i="13"/>
  <c r="J47" i="24" s="1"/>
  <c r="I80" i="12" s="1"/>
  <c r="F30" i="13"/>
  <c r="J44" i="24" s="1"/>
  <c r="I77" i="12" s="1"/>
  <c r="F19" i="13"/>
  <c r="I8" i="13"/>
  <c r="F8" i="13" s="1"/>
  <c r="J38" i="24" s="1"/>
  <c r="I71" i="12" s="1"/>
  <c r="M71" i="12" s="1"/>
  <c r="A22" i="12"/>
  <c r="A18" i="12"/>
  <c r="A16" i="12"/>
  <c r="A14" i="12"/>
  <c r="A12" i="12"/>
  <c r="M2" i="12"/>
  <c r="A1" i="12"/>
  <c r="I1593" i="8"/>
  <c r="M1593" i="8" s="1"/>
  <c r="I431" i="8"/>
  <c r="M431" i="8" s="1"/>
  <c r="M2" i="10"/>
  <c r="A1" i="10"/>
  <c r="M2125" i="8"/>
  <c r="K2125" i="8"/>
  <c r="I2125" i="8"/>
  <c r="H2125" i="8"/>
  <c r="M2124" i="8"/>
  <c r="K2124" i="8"/>
  <c r="I2124" i="8"/>
  <c r="H2124" i="8"/>
  <c r="M2123" i="8"/>
  <c r="K2123" i="8"/>
  <c r="I2123" i="8"/>
  <c r="H2123" i="8"/>
  <c r="M2122" i="8"/>
  <c r="K2122" i="8"/>
  <c r="I2122" i="8"/>
  <c r="H2122" i="8"/>
  <c r="M2121" i="8"/>
  <c r="K2121" i="8"/>
  <c r="I2121" i="8"/>
  <c r="H2121" i="8"/>
  <c r="M2116" i="8"/>
  <c r="M2115" i="8"/>
  <c r="M2114" i="8"/>
  <c r="M2113" i="8"/>
  <c r="M2112" i="8"/>
  <c r="M2107" i="8"/>
  <c r="I2107" i="8"/>
  <c r="H2107" i="8"/>
  <c r="M2106" i="8"/>
  <c r="I2106" i="8"/>
  <c r="H2106" i="8"/>
  <c r="M2105" i="8"/>
  <c r="I2105" i="8"/>
  <c r="H2105" i="8"/>
  <c r="M2104" i="8"/>
  <c r="I2104" i="8"/>
  <c r="H2104" i="8"/>
  <c r="M2103" i="8"/>
  <c r="H2103" i="8"/>
  <c r="M2098" i="8"/>
  <c r="I2098" i="8"/>
  <c r="H2098" i="8"/>
  <c r="M2097" i="8"/>
  <c r="I2097" i="8"/>
  <c r="H2097" i="8"/>
  <c r="M2096" i="8"/>
  <c r="I2096" i="8"/>
  <c r="H2096" i="8"/>
  <c r="M2095" i="8"/>
  <c r="I2095" i="8"/>
  <c r="H2095" i="8"/>
  <c r="M2094" i="8"/>
  <c r="I2094" i="8"/>
  <c r="H2094" i="8"/>
  <c r="I2093" i="8"/>
  <c r="M2093" i="8" s="1"/>
  <c r="H2093" i="8"/>
  <c r="B2089" i="8"/>
  <c r="M2083" i="8"/>
  <c r="K2083" i="8"/>
  <c r="I2083" i="8"/>
  <c r="H2083" i="8"/>
  <c r="M2082" i="8"/>
  <c r="K2082" i="8"/>
  <c r="I2082" i="8"/>
  <c r="H2082" i="8"/>
  <c r="M2081" i="8"/>
  <c r="K2081" i="8"/>
  <c r="I2081" i="8"/>
  <c r="H2081" i="8"/>
  <c r="M2080" i="8"/>
  <c r="K2080" i="8"/>
  <c r="I2080" i="8"/>
  <c r="H2080" i="8"/>
  <c r="H2079" i="8"/>
  <c r="M2074" i="8"/>
  <c r="M2073" i="8"/>
  <c r="M2072" i="8"/>
  <c r="M2071" i="8"/>
  <c r="M2065" i="8"/>
  <c r="I2065" i="8"/>
  <c r="H2065" i="8"/>
  <c r="M2064" i="8"/>
  <c r="I2064" i="8"/>
  <c r="H2064" i="8"/>
  <c r="M2063" i="8"/>
  <c r="I2063" i="8"/>
  <c r="H2063" i="8"/>
  <c r="M2062" i="8"/>
  <c r="I2062" i="8"/>
  <c r="H2062" i="8"/>
  <c r="H2061" i="8"/>
  <c r="M2056" i="8"/>
  <c r="I2056" i="8"/>
  <c r="H2056" i="8"/>
  <c r="I2055" i="8"/>
  <c r="H2055" i="8"/>
  <c r="M2054" i="8"/>
  <c r="I2054" i="8"/>
  <c r="H2054" i="8"/>
  <c r="I2053" i="8"/>
  <c r="H2053" i="8"/>
  <c r="I2052" i="8"/>
  <c r="H2052" i="8"/>
  <c r="I2051" i="8"/>
  <c r="H2051" i="8"/>
  <c r="I2050" i="8"/>
  <c r="H2050" i="8"/>
  <c r="I2049" i="8"/>
  <c r="H2049" i="8"/>
  <c r="I2048" i="8"/>
  <c r="H2048" i="8"/>
  <c r="M2047" i="8"/>
  <c r="I2047" i="8"/>
  <c r="H2047" i="8"/>
  <c r="I2046" i="8"/>
  <c r="H2046" i="8"/>
  <c r="I2045" i="8"/>
  <c r="H2045" i="8"/>
  <c r="I2044" i="8"/>
  <c r="H2044" i="8"/>
  <c r="K2043" i="8"/>
  <c r="H2043" i="8"/>
  <c r="H2042" i="8"/>
  <c r="K2041" i="8"/>
  <c r="H2041" i="8"/>
  <c r="K2040" i="8"/>
  <c r="H2040" i="8"/>
  <c r="H2039" i="8"/>
  <c r="H2038" i="8"/>
  <c r="H2037" i="8"/>
  <c r="I2036" i="8"/>
  <c r="H2036" i="8"/>
  <c r="H2035" i="8"/>
  <c r="H2034" i="8"/>
  <c r="H2033" i="8"/>
  <c r="H2032" i="8"/>
  <c r="B2028" i="8"/>
  <c r="M2022" i="8"/>
  <c r="K2022" i="8"/>
  <c r="I2022" i="8"/>
  <c r="H2022" i="8"/>
  <c r="M2021" i="8"/>
  <c r="K2021" i="8"/>
  <c r="I2021" i="8"/>
  <c r="H2021" i="8"/>
  <c r="M2020" i="8"/>
  <c r="K2020" i="8"/>
  <c r="I2020" i="8"/>
  <c r="H2020" i="8"/>
  <c r="M2019" i="8"/>
  <c r="K2019" i="8"/>
  <c r="I2019" i="8"/>
  <c r="H2019" i="8"/>
  <c r="H2018" i="8"/>
  <c r="M2013" i="8"/>
  <c r="M2012" i="8"/>
  <c r="M2011" i="8"/>
  <c r="M2010" i="8"/>
  <c r="M2009" i="8"/>
  <c r="M2004" i="8"/>
  <c r="I2004" i="8"/>
  <c r="H2004" i="8"/>
  <c r="M2003" i="8"/>
  <c r="I2003" i="8"/>
  <c r="H2003" i="8"/>
  <c r="M2002" i="8"/>
  <c r="H2002" i="8"/>
  <c r="M2001" i="8"/>
  <c r="I2001" i="8"/>
  <c r="H2001" i="8"/>
  <c r="H2000" i="8"/>
  <c r="M1995" i="8"/>
  <c r="I1995" i="8"/>
  <c r="H1995" i="8"/>
  <c r="M1994" i="8"/>
  <c r="I1994" i="8"/>
  <c r="H1994" i="8"/>
  <c r="M1993" i="8"/>
  <c r="I1993" i="8"/>
  <c r="H1993" i="8"/>
  <c r="M1992" i="8"/>
  <c r="I1992" i="8"/>
  <c r="H1992" i="8"/>
  <c r="M1991" i="8"/>
  <c r="I1991" i="8"/>
  <c r="H1991" i="8"/>
  <c r="M1990" i="8"/>
  <c r="I1990" i="8"/>
  <c r="H1990" i="8"/>
  <c r="M1989" i="8"/>
  <c r="I1989" i="8"/>
  <c r="H1989" i="8"/>
  <c r="I1988" i="8"/>
  <c r="M1988" i="8" s="1"/>
  <c r="H1988" i="8"/>
  <c r="B1984" i="8"/>
  <c r="M1978" i="8"/>
  <c r="K1978" i="8"/>
  <c r="I1978" i="8"/>
  <c r="H1978" i="8"/>
  <c r="M1977" i="8"/>
  <c r="K1977" i="8"/>
  <c r="I1977" i="8"/>
  <c r="H1977" i="8"/>
  <c r="M1976" i="8"/>
  <c r="K1976" i="8"/>
  <c r="I1976" i="8"/>
  <c r="H1976" i="8"/>
  <c r="M1975" i="8"/>
  <c r="K1975" i="8"/>
  <c r="I1975" i="8"/>
  <c r="H1975" i="8"/>
  <c r="H1974" i="8"/>
  <c r="M1969" i="8"/>
  <c r="M1968" i="8"/>
  <c r="M1967" i="8"/>
  <c r="M1966" i="8"/>
  <c r="M1960" i="8"/>
  <c r="I1960" i="8"/>
  <c r="H1960" i="8"/>
  <c r="M1959" i="8"/>
  <c r="I1959" i="8"/>
  <c r="H1959" i="8"/>
  <c r="M1958" i="8"/>
  <c r="I1958" i="8"/>
  <c r="H1958" i="8"/>
  <c r="M1957" i="8"/>
  <c r="I1957" i="8"/>
  <c r="H1957" i="8"/>
  <c r="H1956" i="8"/>
  <c r="M1951" i="8"/>
  <c r="I1951" i="8"/>
  <c r="H1951" i="8"/>
  <c r="H1949" i="8"/>
  <c r="H1948" i="8"/>
  <c r="B1944" i="8"/>
  <c r="M1938" i="8"/>
  <c r="K1938" i="8"/>
  <c r="I1938" i="8"/>
  <c r="H1938" i="8"/>
  <c r="M1937" i="8"/>
  <c r="K1937" i="8"/>
  <c r="I1937" i="8"/>
  <c r="H1937" i="8"/>
  <c r="M1936" i="8"/>
  <c r="K1936" i="8"/>
  <c r="I1936" i="8"/>
  <c r="H1936" i="8"/>
  <c r="M1935" i="8"/>
  <c r="K1935" i="8"/>
  <c r="I1935" i="8"/>
  <c r="H1935" i="8"/>
  <c r="L1934" i="8"/>
  <c r="J184" i="12" s="1"/>
  <c r="M184" i="12" s="1"/>
  <c r="H1934" i="8"/>
  <c r="M1929" i="8"/>
  <c r="M1928" i="8"/>
  <c r="M1927" i="8"/>
  <c r="M1926" i="8"/>
  <c r="M1920" i="8"/>
  <c r="I1920" i="8"/>
  <c r="H1920" i="8"/>
  <c r="M1919" i="8"/>
  <c r="I1919" i="8"/>
  <c r="H1919" i="8"/>
  <c r="M1918" i="8"/>
  <c r="I1918" i="8"/>
  <c r="H1918" i="8"/>
  <c r="M1917" i="8"/>
  <c r="I1917" i="8"/>
  <c r="H1917" i="8"/>
  <c r="H1916" i="8"/>
  <c r="M1911" i="8"/>
  <c r="I1911" i="8"/>
  <c r="H1911" i="8"/>
  <c r="M1910" i="8"/>
  <c r="I1910" i="8"/>
  <c r="H1910" i="8"/>
  <c r="M1909" i="8"/>
  <c r="I1909" i="8"/>
  <c r="H1909" i="8"/>
  <c r="M1908" i="8"/>
  <c r="I1908" i="8"/>
  <c r="H1908" i="8"/>
  <c r="M1907" i="8"/>
  <c r="I1907" i="8"/>
  <c r="H1907" i="8"/>
  <c r="M1906" i="8"/>
  <c r="I1906" i="8"/>
  <c r="H1906" i="8"/>
  <c r="M1905" i="8"/>
  <c r="I1905" i="8"/>
  <c r="H1905" i="8"/>
  <c r="I1904" i="8"/>
  <c r="M1904" i="8" s="1"/>
  <c r="H1904" i="8"/>
  <c r="B1900" i="8"/>
  <c r="M1894" i="8"/>
  <c r="K1894" i="8"/>
  <c r="I1894" i="8"/>
  <c r="H1894" i="8"/>
  <c r="M1893" i="8"/>
  <c r="K1893" i="8"/>
  <c r="I1893" i="8"/>
  <c r="H1893" i="8"/>
  <c r="M1892" i="8"/>
  <c r="K1892" i="8"/>
  <c r="I1892" i="8"/>
  <c r="H1892" i="8"/>
  <c r="M1891" i="8"/>
  <c r="K1891" i="8"/>
  <c r="I1891" i="8"/>
  <c r="H1891" i="8"/>
  <c r="L1890" i="8"/>
  <c r="J183" i="12" s="1"/>
  <c r="M183" i="12" s="1"/>
  <c r="H1890" i="8"/>
  <c r="M1885" i="8"/>
  <c r="M1884" i="8"/>
  <c r="M1883" i="8"/>
  <c r="M1882" i="8"/>
  <c r="M1876" i="8"/>
  <c r="I1876" i="8"/>
  <c r="H1876" i="8"/>
  <c r="M1875" i="8"/>
  <c r="I1875" i="8"/>
  <c r="H1875" i="8"/>
  <c r="M1874" i="8"/>
  <c r="I1874" i="8"/>
  <c r="H1874" i="8"/>
  <c r="M1873" i="8"/>
  <c r="I1873" i="8"/>
  <c r="H1873" i="8"/>
  <c r="H1872" i="8"/>
  <c r="M1867" i="8"/>
  <c r="I1867" i="8"/>
  <c r="H1867" i="8"/>
  <c r="M1866" i="8"/>
  <c r="I1866" i="8"/>
  <c r="H1866" i="8"/>
  <c r="M1865" i="8"/>
  <c r="I1865" i="8"/>
  <c r="H1865" i="8"/>
  <c r="M1864" i="8"/>
  <c r="I1864" i="8"/>
  <c r="H1864" i="8"/>
  <c r="M1863" i="8"/>
  <c r="I1863" i="8"/>
  <c r="H1863" i="8"/>
  <c r="M1862" i="8"/>
  <c r="I1862" i="8"/>
  <c r="H1862" i="8"/>
  <c r="M1861" i="8"/>
  <c r="I1861" i="8"/>
  <c r="H1861" i="8"/>
  <c r="I1860" i="8"/>
  <c r="M1860" i="8" s="1"/>
  <c r="H1860" i="8"/>
  <c r="B1856" i="8"/>
  <c r="M1850" i="8"/>
  <c r="K1850" i="8"/>
  <c r="I1850" i="8"/>
  <c r="H1850" i="8"/>
  <c r="M1849" i="8"/>
  <c r="K1849" i="8"/>
  <c r="I1849" i="8"/>
  <c r="H1849" i="8"/>
  <c r="M1848" i="8"/>
  <c r="K1848" i="8"/>
  <c r="I1848" i="8"/>
  <c r="H1848" i="8"/>
  <c r="M1847" i="8"/>
  <c r="K1847" i="8"/>
  <c r="I1847" i="8"/>
  <c r="H1847" i="8"/>
  <c r="L1846" i="8"/>
  <c r="J182" i="12" s="1"/>
  <c r="M182" i="12" s="1"/>
  <c r="H1846" i="8"/>
  <c r="M1841" i="8"/>
  <c r="M1840" i="8"/>
  <c r="M1839" i="8"/>
  <c r="M1838" i="8"/>
  <c r="M1832" i="8"/>
  <c r="I1832" i="8"/>
  <c r="H1832" i="8"/>
  <c r="M1831" i="8"/>
  <c r="I1831" i="8"/>
  <c r="H1831" i="8"/>
  <c r="M1830" i="8"/>
  <c r="I1830" i="8"/>
  <c r="H1830" i="8"/>
  <c r="M1829" i="8"/>
  <c r="I1829" i="8"/>
  <c r="H1829" i="8"/>
  <c r="H1828" i="8"/>
  <c r="M1823" i="8"/>
  <c r="I1823" i="8"/>
  <c r="H1823" i="8"/>
  <c r="M1822" i="8"/>
  <c r="I1822" i="8"/>
  <c r="H1822" i="8"/>
  <c r="M1821" i="8"/>
  <c r="I1821" i="8"/>
  <c r="H1821" i="8"/>
  <c r="M1820" i="8"/>
  <c r="I1820" i="8"/>
  <c r="H1820" i="8"/>
  <c r="M1819" i="8"/>
  <c r="I1819" i="8"/>
  <c r="H1819" i="8"/>
  <c r="M1818" i="8"/>
  <c r="I1818" i="8"/>
  <c r="H1818" i="8"/>
  <c r="M1817" i="8"/>
  <c r="I1817" i="8"/>
  <c r="H1817" i="8"/>
  <c r="I1816" i="8"/>
  <c r="M1816" i="8" s="1"/>
  <c r="H1816" i="8"/>
  <c r="B1812" i="8"/>
  <c r="M1806" i="8"/>
  <c r="K1806" i="8"/>
  <c r="I1806" i="8"/>
  <c r="H1806" i="8"/>
  <c r="M1805" i="8"/>
  <c r="K1805" i="8"/>
  <c r="I1805" i="8"/>
  <c r="H1805" i="8"/>
  <c r="M1804" i="8"/>
  <c r="K1804" i="8"/>
  <c r="I1804" i="8"/>
  <c r="H1804" i="8"/>
  <c r="M1803" i="8"/>
  <c r="K1803" i="8"/>
  <c r="I1803" i="8"/>
  <c r="H1803" i="8"/>
  <c r="L1802" i="8"/>
  <c r="J181" i="12" s="1"/>
  <c r="M181" i="12" s="1"/>
  <c r="H1802" i="8"/>
  <c r="M1797" i="8"/>
  <c r="M1796" i="8"/>
  <c r="M1795" i="8"/>
  <c r="M1794" i="8"/>
  <c r="M1788" i="8"/>
  <c r="I1788" i="8"/>
  <c r="H1788" i="8"/>
  <c r="M1787" i="8"/>
  <c r="I1787" i="8"/>
  <c r="H1787" i="8"/>
  <c r="M1786" i="8"/>
  <c r="I1786" i="8"/>
  <c r="H1786" i="8"/>
  <c r="M1785" i="8"/>
  <c r="I1785" i="8"/>
  <c r="H1785" i="8"/>
  <c r="H1784" i="8"/>
  <c r="M1779" i="8"/>
  <c r="I1779" i="8"/>
  <c r="H1779" i="8"/>
  <c r="M1778" i="8"/>
  <c r="I1778" i="8"/>
  <c r="H1778" i="8"/>
  <c r="M1777" i="8"/>
  <c r="I1777" i="8"/>
  <c r="H1777" i="8"/>
  <c r="M1776" i="8"/>
  <c r="I1776" i="8"/>
  <c r="H1776" i="8"/>
  <c r="M1775" i="8"/>
  <c r="I1775" i="8"/>
  <c r="H1775" i="8"/>
  <c r="M1774" i="8"/>
  <c r="I1774" i="8"/>
  <c r="H1774" i="8"/>
  <c r="M1773" i="8"/>
  <c r="I1773" i="8"/>
  <c r="H1773" i="8"/>
  <c r="I1772" i="8"/>
  <c r="M1772" i="8" s="1"/>
  <c r="H1772" i="8"/>
  <c r="B1768" i="8"/>
  <c r="M1762" i="8"/>
  <c r="K1762" i="8"/>
  <c r="I1762" i="8"/>
  <c r="H1762" i="8"/>
  <c r="M1761" i="8"/>
  <c r="K1761" i="8"/>
  <c r="I1761" i="8"/>
  <c r="H1761" i="8"/>
  <c r="M1760" i="8"/>
  <c r="K1760" i="8"/>
  <c r="I1760" i="8"/>
  <c r="H1760" i="8"/>
  <c r="M1759" i="8"/>
  <c r="K1759" i="8"/>
  <c r="I1759" i="8"/>
  <c r="H1759" i="8"/>
  <c r="H1758" i="8"/>
  <c r="M1753" i="8"/>
  <c r="M1752" i="8"/>
  <c r="M1751" i="8"/>
  <c r="M1750" i="8"/>
  <c r="M1749" i="8"/>
  <c r="M1744" i="8"/>
  <c r="I1744" i="8"/>
  <c r="H1744" i="8"/>
  <c r="M1743" i="8"/>
  <c r="I1743" i="8"/>
  <c r="H1743" i="8"/>
  <c r="M1742" i="8"/>
  <c r="I1742" i="8"/>
  <c r="H1742" i="8"/>
  <c r="M1741" i="8"/>
  <c r="I1741" i="8"/>
  <c r="H1741" i="8"/>
  <c r="M1740" i="8"/>
  <c r="H1740" i="8"/>
  <c r="M1735" i="8"/>
  <c r="I1735" i="8"/>
  <c r="H1735" i="8"/>
  <c r="K1734" i="8"/>
  <c r="H1734" i="8"/>
  <c r="I1733" i="8"/>
  <c r="H1733" i="8"/>
  <c r="K1732" i="8"/>
  <c r="H1732" i="8"/>
  <c r="H1731" i="8"/>
  <c r="K1730" i="8"/>
  <c r="H1730" i="8"/>
  <c r="H1729" i="8"/>
  <c r="H1728" i="8"/>
  <c r="K1727" i="8"/>
  <c r="H1727" i="8"/>
  <c r="H1726" i="8"/>
  <c r="H1725" i="8"/>
  <c r="K1724" i="8"/>
  <c r="H1724" i="8"/>
  <c r="B1720" i="8"/>
  <c r="M1714" i="8"/>
  <c r="K1714" i="8"/>
  <c r="I1714" i="8"/>
  <c r="H1714" i="8"/>
  <c r="M1713" i="8"/>
  <c r="K1713" i="8"/>
  <c r="I1713" i="8"/>
  <c r="H1713" i="8"/>
  <c r="M1712" i="8"/>
  <c r="K1712" i="8"/>
  <c r="I1712" i="8"/>
  <c r="H1712" i="8"/>
  <c r="M1711" i="8"/>
  <c r="K1711" i="8"/>
  <c r="I1711" i="8"/>
  <c r="H1711" i="8"/>
  <c r="H1710" i="8"/>
  <c r="M1705" i="8"/>
  <c r="M1704" i="8"/>
  <c r="M1703" i="8"/>
  <c r="M1702" i="8"/>
  <c r="M1696" i="8"/>
  <c r="I1696" i="8"/>
  <c r="H1696" i="8"/>
  <c r="M1695" i="8"/>
  <c r="I1695" i="8"/>
  <c r="H1695" i="8"/>
  <c r="M1694" i="8"/>
  <c r="I1694" i="8"/>
  <c r="H1694" i="8"/>
  <c r="M1693" i="8"/>
  <c r="I1693" i="8"/>
  <c r="H1693" i="8"/>
  <c r="H1692" i="8"/>
  <c r="M1687" i="8"/>
  <c r="I1687" i="8"/>
  <c r="H1687" i="8"/>
  <c r="M1686" i="8"/>
  <c r="I1686" i="8"/>
  <c r="H1686" i="8"/>
  <c r="M1685" i="8"/>
  <c r="I1685" i="8"/>
  <c r="H1685" i="8"/>
  <c r="I1684" i="8"/>
  <c r="M1684" i="8" s="1"/>
  <c r="H1684" i="8"/>
  <c r="I1683" i="8"/>
  <c r="M1683" i="8" s="1"/>
  <c r="H1683" i="8"/>
  <c r="I1682" i="8"/>
  <c r="M1682" i="8" s="1"/>
  <c r="H1682" i="8"/>
  <c r="B1678" i="8"/>
  <c r="M1672" i="8"/>
  <c r="K1672" i="8"/>
  <c r="I1672" i="8"/>
  <c r="H1672" i="8"/>
  <c r="M1671" i="8"/>
  <c r="K1671" i="8"/>
  <c r="I1671" i="8"/>
  <c r="H1671" i="8"/>
  <c r="M1670" i="8"/>
  <c r="K1670" i="8"/>
  <c r="I1670" i="8"/>
  <c r="H1670" i="8"/>
  <c r="M1669" i="8"/>
  <c r="K1669" i="8"/>
  <c r="I1669" i="8"/>
  <c r="H1669" i="8"/>
  <c r="H1668" i="8"/>
  <c r="M1663" i="8"/>
  <c r="M1662" i="8"/>
  <c r="M1661" i="8"/>
  <c r="M1660" i="8"/>
  <c r="M1659" i="8"/>
  <c r="M1654" i="8"/>
  <c r="I1654" i="8"/>
  <c r="H1654" i="8"/>
  <c r="M1653" i="8"/>
  <c r="I1653" i="8"/>
  <c r="H1653" i="8"/>
  <c r="M1652" i="8"/>
  <c r="I1652" i="8"/>
  <c r="H1652" i="8"/>
  <c r="M1651" i="8"/>
  <c r="I1651" i="8"/>
  <c r="H1651" i="8"/>
  <c r="M1650" i="8"/>
  <c r="H1650" i="8"/>
  <c r="M1645" i="8"/>
  <c r="I1645" i="8"/>
  <c r="H1645" i="8"/>
  <c r="M1644" i="8"/>
  <c r="I1644" i="8"/>
  <c r="H1644" i="8"/>
  <c r="H1643" i="8"/>
  <c r="K1642" i="8"/>
  <c r="H1642" i="8"/>
  <c r="K1641" i="8"/>
  <c r="H1641" i="8"/>
  <c r="H1640" i="8"/>
  <c r="H1639" i="8"/>
  <c r="H1638" i="8"/>
  <c r="H1637" i="8"/>
  <c r="B1633" i="8"/>
  <c r="M1627" i="8"/>
  <c r="K1627" i="8"/>
  <c r="I1627" i="8"/>
  <c r="H1627" i="8"/>
  <c r="M1626" i="8"/>
  <c r="K1626" i="8"/>
  <c r="I1626" i="8"/>
  <c r="H1626" i="8"/>
  <c r="H1625" i="8"/>
  <c r="M1620" i="8"/>
  <c r="M1619" i="8"/>
  <c r="M1618" i="8"/>
  <c r="M1617" i="8"/>
  <c r="I1611" i="8"/>
  <c r="M1611" i="8" s="1"/>
  <c r="H1611" i="8"/>
  <c r="I1610" i="8"/>
  <c r="M1610" i="8" s="1"/>
  <c r="H1610" i="8"/>
  <c r="I1609" i="8"/>
  <c r="M1609" i="8" s="1"/>
  <c r="H1609" i="8"/>
  <c r="I1608" i="8"/>
  <c r="M1608" i="8" s="1"/>
  <c r="H1608" i="8"/>
  <c r="H1607" i="8"/>
  <c r="M1602" i="8"/>
  <c r="I1602" i="8"/>
  <c r="H1602" i="8"/>
  <c r="I1601" i="8"/>
  <c r="M1601" i="8" s="1"/>
  <c r="H1601" i="8"/>
  <c r="I1600" i="8"/>
  <c r="M1600" i="8" s="1"/>
  <c r="H1600" i="8"/>
  <c r="I1599" i="8"/>
  <c r="M1599" i="8" s="1"/>
  <c r="H1599" i="8"/>
  <c r="H1598" i="8"/>
  <c r="I1597" i="8"/>
  <c r="M1597" i="8" s="1"/>
  <c r="H1597" i="8"/>
  <c r="I1596" i="8"/>
  <c r="M1596" i="8" s="1"/>
  <c r="H1596" i="8"/>
  <c r="I1595" i="8"/>
  <c r="M1595" i="8" s="1"/>
  <c r="H1595" i="8"/>
  <c r="I1594" i="8"/>
  <c r="M1594" i="8" s="1"/>
  <c r="H1594" i="8"/>
  <c r="H1593" i="8"/>
  <c r="B1589" i="8"/>
  <c r="M1583" i="8"/>
  <c r="K1583" i="8"/>
  <c r="I1583" i="8"/>
  <c r="H1583" i="8"/>
  <c r="M1582" i="8"/>
  <c r="K1582" i="8"/>
  <c r="I1582" i="8"/>
  <c r="H1582" i="8"/>
  <c r="M1581" i="8"/>
  <c r="K1581" i="8"/>
  <c r="I1581" i="8"/>
  <c r="H1581" i="8"/>
  <c r="M1580" i="8"/>
  <c r="K1580" i="8"/>
  <c r="I1580" i="8"/>
  <c r="H1580" i="8"/>
  <c r="J207" i="12"/>
  <c r="M207" i="12" s="1"/>
  <c r="H1579" i="8"/>
  <c r="M1574" i="8"/>
  <c r="M1573" i="8"/>
  <c r="M1572" i="8"/>
  <c r="M1571" i="8"/>
  <c r="M1565" i="8"/>
  <c r="I1565" i="8"/>
  <c r="H1565" i="8"/>
  <c r="M1564" i="8"/>
  <c r="I1564" i="8"/>
  <c r="H1564" i="8"/>
  <c r="M1563" i="8"/>
  <c r="I1563" i="8"/>
  <c r="H1563" i="8"/>
  <c r="M1562" i="8"/>
  <c r="I1562" i="8"/>
  <c r="H1562" i="8"/>
  <c r="H1561" i="8"/>
  <c r="M1556" i="8"/>
  <c r="I1556" i="8"/>
  <c r="H1556" i="8"/>
  <c r="H1554" i="8"/>
  <c r="H1553" i="8"/>
  <c r="B1549" i="8"/>
  <c r="M1543" i="8"/>
  <c r="K1543" i="8"/>
  <c r="I1543" i="8"/>
  <c r="H1543" i="8"/>
  <c r="M1542" i="8"/>
  <c r="K1542" i="8"/>
  <c r="I1542" i="8"/>
  <c r="H1542" i="8"/>
  <c r="M1541" i="8"/>
  <c r="K1541" i="8"/>
  <c r="I1541" i="8"/>
  <c r="H1541" i="8"/>
  <c r="M1540" i="8"/>
  <c r="K1540" i="8"/>
  <c r="I1540" i="8"/>
  <c r="H1540" i="8"/>
  <c r="K1539" i="8"/>
  <c r="I1539" i="8"/>
  <c r="H1539" i="8"/>
  <c r="M1534" i="8"/>
  <c r="M1533" i="8"/>
  <c r="M1532" i="8"/>
  <c r="M1531" i="8"/>
  <c r="M1530" i="8"/>
  <c r="M1525" i="8"/>
  <c r="I1525" i="8"/>
  <c r="H1525" i="8"/>
  <c r="M1524" i="8"/>
  <c r="I1524" i="8"/>
  <c r="H1524" i="8"/>
  <c r="M1523" i="8"/>
  <c r="I1523" i="8"/>
  <c r="H1523" i="8"/>
  <c r="M1522" i="8"/>
  <c r="I1522" i="8"/>
  <c r="H1522" i="8"/>
  <c r="H1521" i="8"/>
  <c r="M1516" i="8"/>
  <c r="I1516" i="8"/>
  <c r="H1516" i="8"/>
  <c r="M1515" i="8"/>
  <c r="I1515" i="8"/>
  <c r="H1515" i="8"/>
  <c r="M1514" i="8"/>
  <c r="I1514" i="8"/>
  <c r="H1514" i="8"/>
  <c r="M1513" i="8"/>
  <c r="I1513" i="8"/>
  <c r="H1513" i="8"/>
  <c r="M1512" i="8"/>
  <c r="I1512" i="8"/>
  <c r="H1512" i="8"/>
  <c r="M1511" i="8"/>
  <c r="I1511" i="8"/>
  <c r="H1511" i="8"/>
  <c r="B1507" i="8"/>
  <c r="M1501" i="8"/>
  <c r="K1501" i="8"/>
  <c r="I1501" i="8"/>
  <c r="H1501" i="8"/>
  <c r="M1500" i="8"/>
  <c r="K1500" i="8"/>
  <c r="I1500" i="8"/>
  <c r="H1500" i="8"/>
  <c r="M1499" i="8"/>
  <c r="K1499" i="8"/>
  <c r="I1499" i="8"/>
  <c r="H1499" i="8"/>
  <c r="M1498" i="8"/>
  <c r="K1498" i="8"/>
  <c r="I1498" i="8"/>
  <c r="H1498" i="8"/>
  <c r="H1497" i="8"/>
  <c r="M1492" i="8"/>
  <c r="M1491" i="8"/>
  <c r="M1483" i="8"/>
  <c r="I1483" i="8"/>
  <c r="H1483" i="8"/>
  <c r="M1482" i="8"/>
  <c r="I1482" i="8"/>
  <c r="H1482" i="8"/>
  <c r="M1481" i="8"/>
  <c r="I1481" i="8"/>
  <c r="H1481" i="8"/>
  <c r="I1480" i="8"/>
  <c r="M1480" i="8" s="1"/>
  <c r="H1480" i="8"/>
  <c r="H1479" i="8"/>
  <c r="M1474" i="8"/>
  <c r="I1474" i="8"/>
  <c r="H1474" i="8"/>
  <c r="I1473" i="8"/>
  <c r="M1473" i="8" s="1"/>
  <c r="H1473" i="8"/>
  <c r="I1472" i="8"/>
  <c r="M1472" i="8" s="1"/>
  <c r="H1472" i="8"/>
  <c r="I1471" i="8"/>
  <c r="M1471" i="8" s="1"/>
  <c r="H1471" i="8"/>
  <c r="I1470" i="8"/>
  <c r="M1470" i="8" s="1"/>
  <c r="I1490" i="8" s="1"/>
  <c r="M1490" i="8" s="1"/>
  <c r="H1470" i="8"/>
  <c r="B1466" i="8"/>
  <c r="M1460" i="8"/>
  <c r="K1460" i="8"/>
  <c r="I1460" i="8"/>
  <c r="H1460" i="8"/>
  <c r="M1459" i="8"/>
  <c r="K1459" i="8"/>
  <c r="I1459" i="8"/>
  <c r="H1459" i="8"/>
  <c r="M1458" i="8"/>
  <c r="K1458" i="8"/>
  <c r="I1458" i="8"/>
  <c r="H1458" i="8"/>
  <c r="M1457" i="8"/>
  <c r="K1457" i="8"/>
  <c r="I1457" i="8"/>
  <c r="H1457" i="8"/>
  <c r="H1456" i="8"/>
  <c r="M1451" i="8"/>
  <c r="M1450" i="8"/>
  <c r="M1449" i="8"/>
  <c r="M1448" i="8"/>
  <c r="M1442" i="8"/>
  <c r="I1442" i="8"/>
  <c r="H1442" i="8"/>
  <c r="M1441" i="8"/>
  <c r="I1441" i="8"/>
  <c r="H1441" i="8"/>
  <c r="M1440" i="8"/>
  <c r="I1440" i="8"/>
  <c r="H1440" i="8"/>
  <c r="M1439" i="8"/>
  <c r="I1439" i="8"/>
  <c r="H1439" i="8"/>
  <c r="H1438" i="8"/>
  <c r="M1433" i="8"/>
  <c r="I1433" i="8"/>
  <c r="H1433" i="8"/>
  <c r="M1432" i="8"/>
  <c r="I1432" i="8"/>
  <c r="H1432" i="8"/>
  <c r="M1431" i="8"/>
  <c r="I1431" i="8"/>
  <c r="H1431" i="8"/>
  <c r="M1430" i="8"/>
  <c r="I1430" i="8"/>
  <c r="H1430" i="8"/>
  <c r="M1429" i="8"/>
  <c r="I1429" i="8"/>
  <c r="H1429" i="8"/>
  <c r="M1428" i="8"/>
  <c r="I1428" i="8"/>
  <c r="H1428" i="8"/>
  <c r="I1427" i="8"/>
  <c r="M1427" i="8" s="1"/>
  <c r="H1427" i="8"/>
  <c r="I1426" i="8"/>
  <c r="M1426" i="8" s="1"/>
  <c r="H1426" i="8"/>
  <c r="I1425" i="8"/>
  <c r="M1425" i="8" s="1"/>
  <c r="H1425" i="8"/>
  <c r="B1421" i="8"/>
  <c r="M1415" i="8"/>
  <c r="K1415" i="8"/>
  <c r="I1415" i="8"/>
  <c r="H1415" i="8"/>
  <c r="M1414" i="8"/>
  <c r="K1414" i="8"/>
  <c r="I1414" i="8"/>
  <c r="H1414" i="8"/>
  <c r="M1413" i="8"/>
  <c r="K1413" i="8"/>
  <c r="I1413" i="8"/>
  <c r="H1413" i="8"/>
  <c r="M1412" i="8"/>
  <c r="K1412" i="8"/>
  <c r="I1412" i="8"/>
  <c r="H1412" i="8"/>
  <c r="L1411" i="8"/>
  <c r="J104" i="12" s="1"/>
  <c r="H1411" i="8"/>
  <c r="M1406" i="8"/>
  <c r="M1405" i="8"/>
  <c r="M1404" i="8"/>
  <c r="M1403" i="8"/>
  <c r="M1397" i="8"/>
  <c r="I1397" i="8"/>
  <c r="H1397" i="8"/>
  <c r="M1396" i="8"/>
  <c r="I1396" i="8"/>
  <c r="H1396" i="8"/>
  <c r="M1395" i="8"/>
  <c r="I1395" i="8"/>
  <c r="H1395" i="8"/>
  <c r="M1394" i="8"/>
  <c r="I1394" i="8"/>
  <c r="H1394" i="8"/>
  <c r="H1393" i="8"/>
  <c r="M1388" i="8"/>
  <c r="I1388" i="8"/>
  <c r="H1388" i="8"/>
  <c r="M1387" i="8"/>
  <c r="I1387" i="8"/>
  <c r="H1387" i="8"/>
  <c r="M1386" i="8"/>
  <c r="I1386" i="8"/>
  <c r="H1386" i="8"/>
  <c r="M1385" i="8"/>
  <c r="I1385" i="8"/>
  <c r="H1385" i="8"/>
  <c r="M1384" i="8"/>
  <c r="I1384" i="8"/>
  <c r="H1384" i="8"/>
  <c r="M1383" i="8"/>
  <c r="I1383" i="8"/>
  <c r="H1383" i="8"/>
  <c r="M1382" i="8"/>
  <c r="I1382" i="8"/>
  <c r="H1382" i="8"/>
  <c r="M1381" i="8"/>
  <c r="I1381" i="8"/>
  <c r="H1381" i="8"/>
  <c r="H1380" i="8"/>
  <c r="B1376" i="8"/>
  <c r="M1370" i="8"/>
  <c r="K1370" i="8"/>
  <c r="I1370" i="8"/>
  <c r="H1370" i="8"/>
  <c r="M1369" i="8"/>
  <c r="K1369" i="8"/>
  <c r="I1369" i="8"/>
  <c r="H1369" i="8"/>
  <c r="M1368" i="8"/>
  <c r="K1368" i="8"/>
  <c r="I1368" i="8"/>
  <c r="H1368" i="8"/>
  <c r="M1367" i="8"/>
  <c r="K1367" i="8"/>
  <c r="I1367" i="8"/>
  <c r="H1367" i="8"/>
  <c r="J81" i="12"/>
  <c r="J109" i="12" s="1"/>
  <c r="H1366" i="8"/>
  <c r="M1361" i="8"/>
  <c r="M1360" i="8"/>
  <c r="M1352" i="8"/>
  <c r="I1352" i="8"/>
  <c r="H1352" i="8"/>
  <c r="M1351" i="8"/>
  <c r="I1351" i="8"/>
  <c r="H1351" i="8"/>
  <c r="K1350" i="8"/>
  <c r="I1350" i="8"/>
  <c r="H1350" i="8"/>
  <c r="K1349" i="8"/>
  <c r="I1349" i="8"/>
  <c r="H1349" i="8"/>
  <c r="H1348" i="8"/>
  <c r="M1343" i="8"/>
  <c r="I1343" i="8"/>
  <c r="H1343" i="8"/>
  <c r="M1342" i="8"/>
  <c r="I1342" i="8"/>
  <c r="H1342" i="8"/>
  <c r="M1341" i="8"/>
  <c r="I1341" i="8"/>
  <c r="H1341" i="8"/>
  <c r="M1340" i="8"/>
  <c r="I1340" i="8"/>
  <c r="H1340" i="8"/>
  <c r="I1339" i="8"/>
  <c r="M1339" i="8" s="1"/>
  <c r="H1339" i="8"/>
  <c r="I1338" i="8"/>
  <c r="M1338" i="8" s="1"/>
  <c r="H1338" i="8"/>
  <c r="I1337" i="8"/>
  <c r="M1337" i="8" s="1"/>
  <c r="H1337" i="8"/>
  <c r="I1336" i="8"/>
  <c r="M1336" i="8" s="1"/>
  <c r="H1336" i="8"/>
  <c r="I1335" i="8"/>
  <c r="M1335" i="8" s="1"/>
  <c r="H1335" i="8"/>
  <c r="B1331" i="8"/>
  <c r="M1325" i="8"/>
  <c r="K1325" i="8"/>
  <c r="I1325" i="8"/>
  <c r="H1325" i="8"/>
  <c r="M1324" i="8"/>
  <c r="K1324" i="8"/>
  <c r="I1324" i="8"/>
  <c r="H1324" i="8"/>
  <c r="M1323" i="8"/>
  <c r="K1323" i="8"/>
  <c r="I1323" i="8"/>
  <c r="H1323" i="8"/>
  <c r="M1322" i="8"/>
  <c r="K1322" i="8"/>
  <c r="I1322" i="8"/>
  <c r="H1322" i="8"/>
  <c r="H1321" i="8"/>
  <c r="M1316" i="8"/>
  <c r="M1315" i="8"/>
  <c r="M1307" i="8"/>
  <c r="I1307" i="8"/>
  <c r="H1307" i="8"/>
  <c r="M1306" i="8"/>
  <c r="I1306" i="8"/>
  <c r="H1306" i="8"/>
  <c r="I1305" i="8"/>
  <c r="M1305" i="8" s="1"/>
  <c r="H1305" i="8"/>
  <c r="I1304" i="8"/>
  <c r="M1304" i="8" s="1"/>
  <c r="H1304" i="8"/>
  <c r="H1303" i="8"/>
  <c r="M1298" i="8"/>
  <c r="I1298" i="8"/>
  <c r="H1298" i="8"/>
  <c r="M1297" i="8"/>
  <c r="I1297" i="8"/>
  <c r="H1297" i="8"/>
  <c r="M1296" i="8"/>
  <c r="I1296" i="8"/>
  <c r="H1296" i="8"/>
  <c r="H1295" i="8"/>
  <c r="I1294" i="8"/>
  <c r="M1294" i="8" s="1"/>
  <c r="H1294" i="8"/>
  <c r="I1293" i="8"/>
  <c r="M1293" i="8" s="1"/>
  <c r="H1293" i="8"/>
  <c r="I1292" i="8"/>
  <c r="M1292" i="8" s="1"/>
  <c r="H1292" i="8"/>
  <c r="I1291" i="8"/>
  <c r="M1291" i="8" s="1"/>
  <c r="H1291" i="8"/>
  <c r="I1290" i="8"/>
  <c r="M1290" i="8" s="1"/>
  <c r="H1290" i="8"/>
  <c r="B1286" i="8"/>
  <c r="M1280" i="8"/>
  <c r="K1280" i="8"/>
  <c r="I1280" i="8"/>
  <c r="H1280" i="8"/>
  <c r="M1279" i="8"/>
  <c r="K1279" i="8"/>
  <c r="I1279" i="8"/>
  <c r="H1279" i="8"/>
  <c r="M1278" i="8"/>
  <c r="K1278" i="8"/>
  <c r="I1278" i="8"/>
  <c r="H1278" i="8"/>
  <c r="M1277" i="8"/>
  <c r="K1277" i="8"/>
  <c r="I1277" i="8"/>
  <c r="H1277" i="8"/>
  <c r="H1276" i="8"/>
  <c r="M1271" i="8"/>
  <c r="M1270" i="8"/>
  <c r="M1262" i="8"/>
  <c r="I1262" i="8"/>
  <c r="H1262" i="8"/>
  <c r="M1261" i="8"/>
  <c r="I1261" i="8"/>
  <c r="H1261" i="8"/>
  <c r="I1260" i="8"/>
  <c r="M1260" i="8" s="1"/>
  <c r="H1260" i="8"/>
  <c r="I1259" i="8"/>
  <c r="M1259" i="8" s="1"/>
  <c r="H1259" i="8"/>
  <c r="H1258" i="8"/>
  <c r="M1253" i="8"/>
  <c r="I1253" i="8"/>
  <c r="H1253" i="8"/>
  <c r="I1252" i="8"/>
  <c r="M1252" i="8" s="1"/>
  <c r="H1252" i="8"/>
  <c r="I1251" i="8"/>
  <c r="M1251" i="8" s="1"/>
  <c r="H1251" i="8"/>
  <c r="I1250" i="8"/>
  <c r="M1250" i="8" s="1"/>
  <c r="H1250" i="8"/>
  <c r="I1249" i="8"/>
  <c r="M1249" i="8" s="1"/>
  <c r="H1249" i="8"/>
  <c r="I1248" i="8"/>
  <c r="M1248" i="8" s="1"/>
  <c r="H1248" i="8"/>
  <c r="I1247" i="8"/>
  <c r="M1247" i="8" s="1"/>
  <c r="H1247" i="8"/>
  <c r="I1246" i="8"/>
  <c r="M1246" i="8" s="1"/>
  <c r="H1246" i="8"/>
  <c r="I1245" i="8"/>
  <c r="M1245" i="8" s="1"/>
  <c r="H1245" i="8"/>
  <c r="B1241" i="8"/>
  <c r="M1235" i="8"/>
  <c r="K1235" i="8"/>
  <c r="I1235" i="8"/>
  <c r="H1235" i="8"/>
  <c r="M1234" i="8"/>
  <c r="K1234" i="8"/>
  <c r="I1234" i="8"/>
  <c r="H1234" i="8"/>
  <c r="H1233" i="8"/>
  <c r="M1228" i="8"/>
  <c r="M1227" i="8"/>
  <c r="M1226" i="8"/>
  <c r="M1225" i="8"/>
  <c r="I1219" i="8"/>
  <c r="M1219" i="8" s="1"/>
  <c r="H1219" i="8"/>
  <c r="I1218" i="8"/>
  <c r="M1218" i="8" s="1"/>
  <c r="H1218" i="8"/>
  <c r="I1217" i="8"/>
  <c r="M1217" i="8" s="1"/>
  <c r="H1217" i="8"/>
  <c r="I1216" i="8"/>
  <c r="M1216" i="8" s="1"/>
  <c r="H1216" i="8"/>
  <c r="H1215" i="8"/>
  <c r="M1210" i="8"/>
  <c r="I1210" i="8"/>
  <c r="H1210" i="8"/>
  <c r="I1209" i="8"/>
  <c r="M1209" i="8" s="1"/>
  <c r="H1209" i="8"/>
  <c r="I1208" i="8"/>
  <c r="M1208" i="8" s="1"/>
  <c r="H1208" i="8"/>
  <c r="I1207" i="8"/>
  <c r="M1207" i="8" s="1"/>
  <c r="H1207" i="8"/>
  <c r="I1206" i="8"/>
  <c r="M1206" i="8" s="1"/>
  <c r="H1206" i="8"/>
  <c r="H1205" i="8"/>
  <c r="I1204" i="8"/>
  <c r="M1204" i="8" s="1"/>
  <c r="H1204" i="8"/>
  <c r="I1203" i="8"/>
  <c r="M1203" i="8" s="1"/>
  <c r="H1203" i="8"/>
  <c r="I1202" i="8"/>
  <c r="M1202" i="8" s="1"/>
  <c r="H1202" i="8"/>
  <c r="I1201" i="8"/>
  <c r="M1201" i="8" s="1"/>
  <c r="H1201" i="8"/>
  <c r="I1200" i="8"/>
  <c r="M1200" i="8" s="1"/>
  <c r="H1200" i="8"/>
  <c r="B1196" i="8"/>
  <c r="M1190" i="8"/>
  <c r="K1190" i="8"/>
  <c r="I1190" i="8"/>
  <c r="H1190" i="8"/>
  <c r="M1189" i="8"/>
  <c r="K1189" i="8"/>
  <c r="I1189" i="8"/>
  <c r="H1189" i="8"/>
  <c r="M1188" i="8"/>
  <c r="K1188" i="8"/>
  <c r="I1188" i="8"/>
  <c r="H1188" i="8"/>
  <c r="M1187" i="8"/>
  <c r="K1187" i="8"/>
  <c r="I1187" i="8"/>
  <c r="H1187" i="8"/>
  <c r="H1186" i="8"/>
  <c r="M1181" i="8"/>
  <c r="M1180" i="8"/>
  <c r="M1179" i="8"/>
  <c r="M1178" i="8"/>
  <c r="M1172" i="8"/>
  <c r="I1172" i="8"/>
  <c r="H1172" i="8"/>
  <c r="M1171" i="8"/>
  <c r="I1171" i="8"/>
  <c r="H1171" i="8"/>
  <c r="M1170" i="8"/>
  <c r="H1170" i="8"/>
  <c r="M1169" i="8"/>
  <c r="I1169" i="8"/>
  <c r="H1169" i="8"/>
  <c r="H1168" i="8"/>
  <c r="M1163" i="8"/>
  <c r="I1163" i="8"/>
  <c r="H1163" i="8"/>
  <c r="M1162" i="8"/>
  <c r="I1162" i="8"/>
  <c r="M1161" i="8"/>
  <c r="I1161" i="8"/>
  <c r="H1161" i="8"/>
  <c r="M1160" i="8"/>
  <c r="I1160" i="8"/>
  <c r="H1160" i="8"/>
  <c r="M1159" i="8"/>
  <c r="I1159" i="8"/>
  <c r="H1159" i="8"/>
  <c r="M1158" i="8"/>
  <c r="I1158" i="8"/>
  <c r="H1158" i="8"/>
  <c r="H1157" i="8"/>
  <c r="I1156" i="8"/>
  <c r="M1156" i="8" s="1"/>
  <c r="H1156" i="8"/>
  <c r="B1152" i="8"/>
  <c r="M1146" i="8"/>
  <c r="K1146" i="8"/>
  <c r="I1146" i="8"/>
  <c r="H1146" i="8"/>
  <c r="M1145" i="8"/>
  <c r="K1145" i="8"/>
  <c r="I1145" i="8"/>
  <c r="H1145" i="8"/>
  <c r="M1144" i="8"/>
  <c r="K1144" i="8"/>
  <c r="I1144" i="8"/>
  <c r="H1144" i="8"/>
  <c r="M1143" i="8"/>
  <c r="K1143" i="8"/>
  <c r="I1143" i="8"/>
  <c r="H1143" i="8"/>
  <c r="H1142" i="8"/>
  <c r="M1137" i="8"/>
  <c r="M1136" i="8"/>
  <c r="M1135" i="8"/>
  <c r="M1134" i="8"/>
  <c r="M1133" i="8"/>
  <c r="M1128" i="8"/>
  <c r="I1128" i="8"/>
  <c r="H1128" i="8"/>
  <c r="M1127" i="8"/>
  <c r="I1127" i="8"/>
  <c r="H1127" i="8"/>
  <c r="M1126" i="8"/>
  <c r="I1126" i="8"/>
  <c r="H1126" i="8"/>
  <c r="M1125" i="8"/>
  <c r="I1125" i="8"/>
  <c r="H1125" i="8"/>
  <c r="H1124" i="8"/>
  <c r="M1119" i="8"/>
  <c r="I1119" i="8"/>
  <c r="H1119" i="8"/>
  <c r="M1118" i="8"/>
  <c r="I1118" i="8"/>
  <c r="H1118" i="8"/>
  <c r="M1117" i="8"/>
  <c r="I1117" i="8"/>
  <c r="H1117" i="8"/>
  <c r="M1116" i="8"/>
  <c r="I1116" i="8"/>
  <c r="H1116" i="8"/>
  <c r="M1115" i="8"/>
  <c r="I1115" i="8"/>
  <c r="H1115" i="8"/>
  <c r="I1114" i="8"/>
  <c r="M1114" i="8" s="1"/>
  <c r="H1114" i="8"/>
  <c r="B1110" i="8"/>
  <c r="M1104" i="8"/>
  <c r="K1104" i="8"/>
  <c r="I1104" i="8"/>
  <c r="H1104" i="8"/>
  <c r="M1103" i="8"/>
  <c r="K1103" i="8"/>
  <c r="I1103" i="8"/>
  <c r="H1103" i="8"/>
  <c r="M1102" i="8"/>
  <c r="K1102" i="8"/>
  <c r="I1102" i="8"/>
  <c r="H1102" i="8"/>
  <c r="M1101" i="8"/>
  <c r="K1101" i="8"/>
  <c r="I1101" i="8"/>
  <c r="H1101" i="8"/>
  <c r="H1100" i="8"/>
  <c r="M1095" i="8"/>
  <c r="M1094" i="8"/>
  <c r="M1093" i="8"/>
  <c r="M1092" i="8"/>
  <c r="M1091" i="8"/>
  <c r="M1086" i="8"/>
  <c r="I1086" i="8"/>
  <c r="H1086" i="8"/>
  <c r="M1085" i="8"/>
  <c r="I1085" i="8"/>
  <c r="H1085" i="8"/>
  <c r="M1084" i="8"/>
  <c r="I1084" i="8"/>
  <c r="H1084" i="8"/>
  <c r="M1083" i="8"/>
  <c r="I1083" i="8"/>
  <c r="H1083" i="8"/>
  <c r="H1082" i="8"/>
  <c r="M1077" i="8"/>
  <c r="I1077" i="8"/>
  <c r="H1077" i="8"/>
  <c r="M1076" i="8"/>
  <c r="I1076" i="8"/>
  <c r="H1076" i="8"/>
  <c r="M1075" i="8"/>
  <c r="I1075" i="8"/>
  <c r="H1075" i="8"/>
  <c r="M1074" i="8"/>
  <c r="I1074" i="8"/>
  <c r="H1074" i="8"/>
  <c r="M1073" i="8"/>
  <c r="I1073" i="8"/>
  <c r="H1073" i="8"/>
  <c r="I1072" i="8"/>
  <c r="M1072" i="8" s="1"/>
  <c r="H1072" i="8"/>
  <c r="B1068" i="8"/>
  <c r="M1062" i="8"/>
  <c r="K1062" i="8"/>
  <c r="I1062" i="8"/>
  <c r="H1062" i="8"/>
  <c r="M1061" i="8"/>
  <c r="K1061" i="8"/>
  <c r="I1061" i="8"/>
  <c r="H1061" i="8"/>
  <c r="M1060" i="8"/>
  <c r="K1060" i="8"/>
  <c r="I1060" i="8"/>
  <c r="H1060" i="8"/>
  <c r="M1059" i="8"/>
  <c r="K1059" i="8"/>
  <c r="I1059" i="8"/>
  <c r="H1059" i="8"/>
  <c r="H1058" i="8"/>
  <c r="M1053" i="8"/>
  <c r="M1052" i="8"/>
  <c r="M1051" i="8"/>
  <c r="M1050" i="8"/>
  <c r="M1049" i="8"/>
  <c r="M1044" i="8"/>
  <c r="I1044" i="8"/>
  <c r="H1044" i="8"/>
  <c r="M1043" i="8"/>
  <c r="I1043" i="8"/>
  <c r="H1043" i="8"/>
  <c r="M1042" i="8"/>
  <c r="I1042" i="8"/>
  <c r="H1042" i="8"/>
  <c r="M1041" i="8"/>
  <c r="I1041" i="8"/>
  <c r="H1041" i="8"/>
  <c r="H1040" i="8"/>
  <c r="M1035" i="8"/>
  <c r="I1035" i="8"/>
  <c r="H1035" i="8"/>
  <c r="M1034" i="8"/>
  <c r="I1034" i="8"/>
  <c r="H1034" i="8"/>
  <c r="M1033" i="8"/>
  <c r="I1033" i="8"/>
  <c r="H1033" i="8"/>
  <c r="M1032" i="8"/>
  <c r="I1032" i="8"/>
  <c r="H1032" i="8"/>
  <c r="M1031" i="8"/>
  <c r="I1031" i="8"/>
  <c r="H1031" i="8"/>
  <c r="I1030" i="8"/>
  <c r="M1030" i="8" s="1"/>
  <c r="H1030" i="8"/>
  <c r="B1026" i="8"/>
  <c r="M1020" i="8"/>
  <c r="K1020" i="8"/>
  <c r="I1020" i="8"/>
  <c r="H1020" i="8"/>
  <c r="M1019" i="8"/>
  <c r="K1019" i="8"/>
  <c r="I1019" i="8"/>
  <c r="H1019" i="8"/>
  <c r="M1018" i="8"/>
  <c r="K1018" i="8"/>
  <c r="I1018" i="8"/>
  <c r="H1018" i="8"/>
  <c r="M1017" i="8"/>
  <c r="K1017" i="8"/>
  <c r="I1017" i="8"/>
  <c r="H1017" i="8"/>
  <c r="H1016" i="8"/>
  <c r="M1011" i="8"/>
  <c r="M1010" i="8"/>
  <c r="M1009" i="8"/>
  <c r="M1008" i="8"/>
  <c r="M1007" i="8"/>
  <c r="M1002" i="8"/>
  <c r="I1002" i="8"/>
  <c r="H1002" i="8"/>
  <c r="M1001" i="8"/>
  <c r="I1001" i="8"/>
  <c r="H1001" i="8"/>
  <c r="M1000" i="8"/>
  <c r="I1000" i="8"/>
  <c r="H1000" i="8"/>
  <c r="M999" i="8"/>
  <c r="I999" i="8"/>
  <c r="H999" i="8"/>
  <c r="H998" i="8"/>
  <c r="M993" i="8"/>
  <c r="I993" i="8"/>
  <c r="H993" i="8"/>
  <c r="M992" i="8"/>
  <c r="I992" i="8"/>
  <c r="H992" i="8"/>
  <c r="M991" i="8"/>
  <c r="I991" i="8"/>
  <c r="H991" i="8"/>
  <c r="M990" i="8"/>
  <c r="I990" i="8"/>
  <c r="H990" i="8"/>
  <c r="M989" i="8"/>
  <c r="I989" i="8"/>
  <c r="H989" i="8"/>
  <c r="M988" i="8"/>
  <c r="I988" i="8"/>
  <c r="H988" i="8"/>
  <c r="M987" i="8"/>
  <c r="I987" i="8"/>
  <c r="H987" i="8"/>
  <c r="I986" i="8"/>
  <c r="M986" i="8" s="1"/>
  <c r="H986" i="8"/>
  <c r="B982" i="8"/>
  <c r="M976" i="8"/>
  <c r="K976" i="8"/>
  <c r="I976" i="8"/>
  <c r="H976" i="8"/>
  <c r="M975" i="8"/>
  <c r="K975" i="8"/>
  <c r="I975" i="8"/>
  <c r="H975" i="8"/>
  <c r="M974" i="8"/>
  <c r="K974" i="8"/>
  <c r="I974" i="8"/>
  <c r="H974" i="8"/>
  <c r="M973" i="8"/>
  <c r="K973" i="8"/>
  <c r="I973" i="8"/>
  <c r="H973" i="8"/>
  <c r="H972" i="8"/>
  <c r="M967" i="8"/>
  <c r="M966" i="8"/>
  <c r="M965" i="8"/>
  <c r="M964" i="8"/>
  <c r="M963" i="8"/>
  <c r="M958" i="8"/>
  <c r="I958" i="8"/>
  <c r="H958" i="8"/>
  <c r="M957" i="8"/>
  <c r="I957" i="8"/>
  <c r="H957" i="8"/>
  <c r="M956" i="8"/>
  <c r="I956" i="8"/>
  <c r="H956" i="8"/>
  <c r="M955" i="8"/>
  <c r="I955" i="8"/>
  <c r="H955" i="8"/>
  <c r="H954" i="8"/>
  <c r="M949" i="8"/>
  <c r="I949" i="8"/>
  <c r="H949" i="8"/>
  <c r="M948" i="8"/>
  <c r="I948" i="8"/>
  <c r="H948" i="8"/>
  <c r="M947" i="8"/>
  <c r="I947" i="8"/>
  <c r="H947" i="8"/>
  <c r="M946" i="8"/>
  <c r="I946" i="8"/>
  <c r="H946" i="8"/>
  <c r="M945" i="8"/>
  <c r="I945" i="8"/>
  <c r="H945" i="8"/>
  <c r="M944" i="8"/>
  <c r="I944" i="8"/>
  <c r="H944" i="8"/>
  <c r="M943" i="8"/>
  <c r="I943" i="8"/>
  <c r="H943" i="8"/>
  <c r="I942" i="8"/>
  <c r="M942" i="8" s="1"/>
  <c r="H942" i="8"/>
  <c r="B938" i="8"/>
  <c r="M888" i="8"/>
  <c r="K888" i="8"/>
  <c r="I888" i="8"/>
  <c r="H888" i="8"/>
  <c r="M887" i="8"/>
  <c r="K887" i="8"/>
  <c r="I887" i="8"/>
  <c r="H887" i="8"/>
  <c r="M886" i="8"/>
  <c r="K886" i="8"/>
  <c r="I886" i="8"/>
  <c r="H886" i="8"/>
  <c r="M885" i="8"/>
  <c r="K885" i="8"/>
  <c r="I885" i="8"/>
  <c r="H885" i="8"/>
  <c r="H884" i="8"/>
  <c r="M879" i="8"/>
  <c r="M878" i="8"/>
  <c r="M877" i="8"/>
  <c r="M871" i="8"/>
  <c r="I871" i="8"/>
  <c r="H871" i="8"/>
  <c r="M870" i="8"/>
  <c r="I870" i="8"/>
  <c r="H870" i="8"/>
  <c r="M869" i="8"/>
  <c r="I869" i="8"/>
  <c r="H869" i="8"/>
  <c r="I868" i="8"/>
  <c r="M868" i="8" s="1"/>
  <c r="H868" i="8"/>
  <c r="H867" i="8"/>
  <c r="M862" i="8"/>
  <c r="I862" i="8"/>
  <c r="H862" i="8"/>
  <c r="M861" i="8"/>
  <c r="I861" i="8"/>
  <c r="H861" i="8"/>
  <c r="M860" i="8"/>
  <c r="I860" i="8"/>
  <c r="H860" i="8"/>
  <c r="M859" i="8"/>
  <c r="I859" i="8"/>
  <c r="H859" i="8"/>
  <c r="M858" i="8"/>
  <c r="I858" i="8"/>
  <c r="H858" i="8"/>
  <c r="B854" i="8"/>
  <c r="M848" i="8"/>
  <c r="K848" i="8"/>
  <c r="I848" i="8"/>
  <c r="H848" i="8"/>
  <c r="M847" i="8"/>
  <c r="K847" i="8"/>
  <c r="I847" i="8"/>
  <c r="H847" i="8"/>
  <c r="M846" i="8"/>
  <c r="K846" i="8"/>
  <c r="I846" i="8"/>
  <c r="H846" i="8"/>
  <c r="M845" i="8"/>
  <c r="K845" i="8"/>
  <c r="I845" i="8"/>
  <c r="H845" i="8"/>
  <c r="H844" i="8"/>
  <c r="M839" i="8"/>
  <c r="M838" i="8"/>
  <c r="M837" i="8"/>
  <c r="M836" i="8"/>
  <c r="M835" i="8"/>
  <c r="M830" i="8"/>
  <c r="I830" i="8"/>
  <c r="H830" i="8"/>
  <c r="M829" i="8"/>
  <c r="I829" i="8"/>
  <c r="H829" i="8"/>
  <c r="M828" i="8"/>
  <c r="I828" i="8"/>
  <c r="H828" i="8"/>
  <c r="M827" i="8"/>
  <c r="I827" i="8"/>
  <c r="H827" i="8"/>
  <c r="H826" i="8"/>
  <c r="M821" i="8"/>
  <c r="I821" i="8"/>
  <c r="H821" i="8"/>
  <c r="M820" i="8"/>
  <c r="I820" i="8"/>
  <c r="H820" i="8"/>
  <c r="M819" i="8"/>
  <c r="I819" i="8"/>
  <c r="H819" i="8"/>
  <c r="M818" i="8"/>
  <c r="I818" i="8"/>
  <c r="H818" i="8"/>
  <c r="M817" i="8"/>
  <c r="I817" i="8"/>
  <c r="H817" i="8"/>
  <c r="M816" i="8"/>
  <c r="I816" i="8"/>
  <c r="H816" i="8"/>
  <c r="M815" i="8"/>
  <c r="I815" i="8"/>
  <c r="H815" i="8"/>
  <c r="I814" i="8"/>
  <c r="M814" i="8" s="1"/>
  <c r="H814" i="8"/>
  <c r="B810" i="8"/>
  <c r="M804" i="8"/>
  <c r="K804" i="8"/>
  <c r="I804" i="8"/>
  <c r="H804" i="8"/>
  <c r="M803" i="8"/>
  <c r="K803" i="8"/>
  <c r="I803" i="8"/>
  <c r="H803" i="8"/>
  <c r="M802" i="8"/>
  <c r="K802" i="8"/>
  <c r="I802" i="8"/>
  <c r="H802" i="8"/>
  <c r="M801" i="8"/>
  <c r="K801" i="8"/>
  <c r="I801" i="8"/>
  <c r="H801" i="8"/>
  <c r="H800" i="8"/>
  <c r="M795" i="8"/>
  <c r="M794" i="8"/>
  <c r="M793" i="8"/>
  <c r="M792" i="8"/>
  <c r="M791" i="8"/>
  <c r="M786" i="8"/>
  <c r="I786" i="8"/>
  <c r="H786" i="8"/>
  <c r="M785" i="8"/>
  <c r="I785" i="8"/>
  <c r="H785" i="8"/>
  <c r="M784" i="8"/>
  <c r="I784" i="8"/>
  <c r="H784" i="8"/>
  <c r="M783" i="8"/>
  <c r="I783" i="8"/>
  <c r="H783" i="8"/>
  <c r="H782" i="8"/>
  <c r="M777" i="8"/>
  <c r="I777" i="8"/>
  <c r="H777" i="8"/>
  <c r="M776" i="8"/>
  <c r="I776" i="8"/>
  <c r="H776" i="8"/>
  <c r="M775" i="8"/>
  <c r="I775" i="8"/>
  <c r="H775" i="8"/>
  <c r="M774" i="8"/>
  <c r="I774" i="8"/>
  <c r="H774" i="8"/>
  <c r="M773" i="8"/>
  <c r="I773" i="8"/>
  <c r="H773" i="8"/>
  <c r="M772" i="8"/>
  <c r="I772" i="8"/>
  <c r="H772" i="8"/>
  <c r="I771" i="8"/>
  <c r="M771" i="8" s="1"/>
  <c r="H771" i="8"/>
  <c r="I770" i="8"/>
  <c r="M770" i="8" s="1"/>
  <c r="H770" i="8"/>
  <c r="B766" i="8"/>
  <c r="M760" i="8"/>
  <c r="K760" i="8"/>
  <c r="I760" i="8"/>
  <c r="H760" i="8"/>
  <c r="M759" i="8"/>
  <c r="K759" i="8"/>
  <c r="I759" i="8"/>
  <c r="H759" i="8"/>
  <c r="M758" i="8"/>
  <c r="K758" i="8"/>
  <c r="I758" i="8"/>
  <c r="H758" i="8"/>
  <c r="M757" i="8"/>
  <c r="K757" i="8"/>
  <c r="I757" i="8"/>
  <c r="H757" i="8"/>
  <c r="H756" i="8"/>
  <c r="M751" i="8"/>
  <c r="M750" i="8"/>
  <c r="M749" i="8"/>
  <c r="M748" i="8"/>
  <c r="M747" i="8"/>
  <c r="M742" i="8"/>
  <c r="I742" i="8"/>
  <c r="H742" i="8"/>
  <c r="M741" i="8"/>
  <c r="I741" i="8"/>
  <c r="H741" i="8"/>
  <c r="M740" i="8"/>
  <c r="I740" i="8"/>
  <c r="H740" i="8"/>
  <c r="M739" i="8"/>
  <c r="I739" i="8"/>
  <c r="H739" i="8"/>
  <c r="H738" i="8"/>
  <c r="M733" i="8"/>
  <c r="I733" i="8"/>
  <c r="H733" i="8"/>
  <c r="M732" i="8"/>
  <c r="I732" i="8"/>
  <c r="H732" i="8"/>
  <c r="M731" i="8"/>
  <c r="I731" i="8"/>
  <c r="H731" i="8"/>
  <c r="M730" i="8"/>
  <c r="I730" i="8"/>
  <c r="H730" i="8"/>
  <c r="M729" i="8"/>
  <c r="I729" i="8"/>
  <c r="H729" i="8"/>
  <c r="M728" i="8"/>
  <c r="I728" i="8"/>
  <c r="H728" i="8"/>
  <c r="M727" i="8"/>
  <c r="I727" i="8"/>
  <c r="H727" i="8"/>
  <c r="I726" i="8"/>
  <c r="M726" i="8" s="1"/>
  <c r="H726" i="8"/>
  <c r="B722" i="8"/>
  <c r="M716" i="8"/>
  <c r="K716" i="8"/>
  <c r="I716" i="8"/>
  <c r="H716" i="8"/>
  <c r="M715" i="8"/>
  <c r="K715" i="8"/>
  <c r="I715" i="8"/>
  <c r="H715" i="8"/>
  <c r="M714" i="8"/>
  <c r="K714" i="8"/>
  <c r="I714" i="8"/>
  <c r="H714" i="8"/>
  <c r="M713" i="8"/>
  <c r="K713" i="8"/>
  <c r="I713" i="8"/>
  <c r="H713" i="8"/>
  <c r="L712" i="8"/>
  <c r="J55" i="12" s="1"/>
  <c r="H712" i="8"/>
  <c r="M707" i="8"/>
  <c r="M706" i="8"/>
  <c r="M705" i="8"/>
  <c r="M704" i="8"/>
  <c r="M698" i="8"/>
  <c r="I698" i="8"/>
  <c r="H698" i="8"/>
  <c r="M697" i="8"/>
  <c r="I697" i="8"/>
  <c r="H697" i="8"/>
  <c r="M696" i="8"/>
  <c r="I696" i="8"/>
  <c r="H696" i="8"/>
  <c r="M695" i="8"/>
  <c r="I695" i="8"/>
  <c r="H695" i="8"/>
  <c r="H694" i="8"/>
  <c r="M689" i="8"/>
  <c r="I689" i="8"/>
  <c r="H689" i="8"/>
  <c r="M688" i="8"/>
  <c r="I688" i="8"/>
  <c r="H688" i="8"/>
  <c r="M687" i="8"/>
  <c r="I687" i="8"/>
  <c r="H687" i="8"/>
  <c r="M686" i="8"/>
  <c r="I686" i="8"/>
  <c r="H686" i="8"/>
  <c r="M685" i="8"/>
  <c r="I685" i="8"/>
  <c r="H685" i="8"/>
  <c r="I684" i="8"/>
  <c r="M684" i="8" s="1"/>
  <c r="H684" i="8"/>
  <c r="B680" i="8"/>
  <c r="M632" i="8"/>
  <c r="K632" i="8"/>
  <c r="I632" i="8"/>
  <c r="H632" i="8"/>
  <c r="M631" i="8"/>
  <c r="K631" i="8"/>
  <c r="I631" i="8"/>
  <c r="H631" i="8"/>
  <c r="M630" i="8"/>
  <c r="K630" i="8"/>
  <c r="I630" i="8"/>
  <c r="H630" i="8"/>
  <c r="M629" i="8"/>
  <c r="K629" i="8"/>
  <c r="I629" i="8"/>
  <c r="H629" i="8"/>
  <c r="L628" i="8"/>
  <c r="J128" i="12" s="1"/>
  <c r="H628" i="8"/>
  <c r="M623" i="8"/>
  <c r="M622" i="8"/>
  <c r="M621" i="8"/>
  <c r="M620" i="8"/>
  <c r="M614" i="8"/>
  <c r="I614" i="8"/>
  <c r="H614" i="8"/>
  <c r="M613" i="8"/>
  <c r="I613" i="8"/>
  <c r="H613" i="8"/>
  <c r="K612" i="8"/>
  <c r="I612" i="8"/>
  <c r="H612" i="8"/>
  <c r="K611" i="8"/>
  <c r="I611" i="8"/>
  <c r="H611" i="8"/>
  <c r="H610" i="8"/>
  <c r="M605" i="8"/>
  <c r="I605" i="8"/>
  <c r="H605" i="8"/>
  <c r="M604" i="8"/>
  <c r="I604" i="8"/>
  <c r="H604" i="8"/>
  <c r="M603" i="8"/>
  <c r="I603" i="8"/>
  <c r="H603" i="8"/>
  <c r="M602" i="8"/>
  <c r="I602" i="8"/>
  <c r="H602" i="8"/>
  <c r="M601" i="8"/>
  <c r="I601" i="8"/>
  <c r="H601" i="8"/>
  <c r="I600" i="8"/>
  <c r="M600" i="8" s="1"/>
  <c r="H600" i="8"/>
  <c r="B596" i="8"/>
  <c r="M590" i="8"/>
  <c r="K590" i="8"/>
  <c r="I590" i="8"/>
  <c r="H590" i="8"/>
  <c r="M589" i="8"/>
  <c r="K589" i="8"/>
  <c r="I589" i="8"/>
  <c r="H589" i="8"/>
  <c r="M588" i="8"/>
  <c r="K588" i="8"/>
  <c r="I588" i="8"/>
  <c r="H588" i="8"/>
  <c r="M587" i="8"/>
  <c r="K587" i="8"/>
  <c r="I587" i="8"/>
  <c r="H587" i="8"/>
  <c r="H586" i="8"/>
  <c r="M581" i="8"/>
  <c r="M580" i="8"/>
  <c r="M579" i="8"/>
  <c r="M578" i="8"/>
  <c r="M577" i="8"/>
  <c r="M572" i="8"/>
  <c r="I572" i="8"/>
  <c r="H572" i="8"/>
  <c r="M571" i="8"/>
  <c r="I571" i="8"/>
  <c r="H571" i="8"/>
  <c r="M570" i="8"/>
  <c r="I570" i="8"/>
  <c r="H570" i="8"/>
  <c r="M569" i="8"/>
  <c r="H568" i="8"/>
  <c r="M563" i="8"/>
  <c r="I563" i="8"/>
  <c r="H563" i="8"/>
  <c r="M562" i="8"/>
  <c r="I562" i="8"/>
  <c r="H562" i="8"/>
  <c r="M561" i="8"/>
  <c r="I561" i="8"/>
  <c r="H561" i="8"/>
  <c r="M560" i="8"/>
  <c r="I560" i="8"/>
  <c r="H560" i="8"/>
  <c r="M559" i="8"/>
  <c r="I559" i="8"/>
  <c r="H559" i="8"/>
  <c r="I558" i="8"/>
  <c r="M558" i="8" s="1"/>
  <c r="H558" i="8"/>
  <c r="B554" i="8"/>
  <c r="M548" i="8"/>
  <c r="K548" i="8"/>
  <c r="I548" i="8"/>
  <c r="H548" i="8"/>
  <c r="M547" i="8"/>
  <c r="K547" i="8"/>
  <c r="I547" i="8"/>
  <c r="H547" i="8"/>
  <c r="M546" i="8"/>
  <c r="K546" i="8"/>
  <c r="I546" i="8"/>
  <c r="H546" i="8"/>
  <c r="M545" i="8"/>
  <c r="K545" i="8"/>
  <c r="I545" i="8"/>
  <c r="H545" i="8"/>
  <c r="M544" i="8"/>
  <c r="K544" i="8"/>
  <c r="I544" i="8"/>
  <c r="H544" i="8"/>
  <c r="M539" i="8"/>
  <c r="M538" i="8"/>
  <c r="M537" i="8"/>
  <c r="M536" i="8"/>
  <c r="M530" i="8"/>
  <c r="I530" i="8"/>
  <c r="H530" i="8"/>
  <c r="M529" i="8"/>
  <c r="I529" i="8"/>
  <c r="H529" i="8"/>
  <c r="M528" i="8"/>
  <c r="I528" i="8"/>
  <c r="H528" i="8"/>
  <c r="M527" i="8"/>
  <c r="I527" i="8"/>
  <c r="H527" i="8"/>
  <c r="I526" i="8"/>
  <c r="H526" i="8"/>
  <c r="M521" i="8"/>
  <c r="I521" i="8"/>
  <c r="H521" i="8"/>
  <c r="M520" i="8"/>
  <c r="I520" i="8"/>
  <c r="H520" i="8"/>
  <c r="M519" i="8"/>
  <c r="I519" i="8"/>
  <c r="H519" i="8"/>
  <c r="M518" i="8"/>
  <c r="I518" i="8"/>
  <c r="H518" i="8"/>
  <c r="M517" i="8"/>
  <c r="I517" i="8"/>
  <c r="H517" i="8"/>
  <c r="M516" i="8"/>
  <c r="I516" i="8"/>
  <c r="H516" i="8"/>
  <c r="B512" i="8"/>
  <c r="M506" i="8"/>
  <c r="K506" i="8"/>
  <c r="I506" i="8"/>
  <c r="H506" i="8"/>
  <c r="M505" i="8"/>
  <c r="K505" i="8"/>
  <c r="I505" i="8"/>
  <c r="H505" i="8"/>
  <c r="M504" i="8"/>
  <c r="K504" i="8"/>
  <c r="I504" i="8"/>
  <c r="H504" i="8"/>
  <c r="M503" i="8"/>
  <c r="K503" i="8"/>
  <c r="I503" i="8"/>
  <c r="H503" i="8"/>
  <c r="L502" i="8"/>
  <c r="J56" i="12" s="1"/>
  <c r="H502" i="8"/>
  <c r="M497" i="8"/>
  <c r="M496" i="8"/>
  <c r="M495" i="8"/>
  <c r="M488" i="8"/>
  <c r="I488" i="8"/>
  <c r="H488" i="8"/>
  <c r="M487" i="8"/>
  <c r="I487" i="8"/>
  <c r="H487" i="8"/>
  <c r="M486" i="8"/>
  <c r="I486" i="8"/>
  <c r="H486" i="8"/>
  <c r="K485" i="8"/>
  <c r="I485" i="8"/>
  <c r="H485" i="8"/>
  <c r="H484" i="8"/>
  <c r="M479" i="8"/>
  <c r="I479" i="8"/>
  <c r="H479" i="8"/>
  <c r="M478" i="8"/>
  <c r="I478" i="8"/>
  <c r="H478" i="8"/>
  <c r="M477" i="8"/>
  <c r="I477" i="8"/>
  <c r="H477" i="8"/>
  <c r="M476" i="8"/>
  <c r="I476" i="8"/>
  <c r="H476" i="8"/>
  <c r="M475" i="8"/>
  <c r="I475" i="8"/>
  <c r="H475" i="8"/>
  <c r="K474" i="8"/>
  <c r="H474" i="8"/>
  <c r="B470" i="8"/>
  <c r="M464" i="8"/>
  <c r="K464" i="8"/>
  <c r="I464" i="8"/>
  <c r="H464" i="8"/>
  <c r="M463" i="8"/>
  <c r="K463" i="8"/>
  <c r="I463" i="8"/>
  <c r="H463" i="8"/>
  <c r="M462" i="8"/>
  <c r="K462" i="8"/>
  <c r="I462" i="8"/>
  <c r="H462" i="8"/>
  <c r="M461" i="8"/>
  <c r="K461" i="8"/>
  <c r="I461" i="8"/>
  <c r="H461" i="8"/>
  <c r="H460" i="8"/>
  <c r="M455" i="8"/>
  <c r="M454" i="8"/>
  <c r="M453" i="8"/>
  <c r="M446" i="8"/>
  <c r="I446" i="8"/>
  <c r="H446" i="8"/>
  <c r="M445" i="8"/>
  <c r="I445" i="8"/>
  <c r="H445" i="8"/>
  <c r="M444" i="8"/>
  <c r="I444" i="8"/>
  <c r="H444" i="8"/>
  <c r="M443" i="8"/>
  <c r="I443" i="8"/>
  <c r="H443" i="8"/>
  <c r="H442" i="8"/>
  <c r="M437" i="8"/>
  <c r="I437" i="8"/>
  <c r="H437" i="8"/>
  <c r="I436" i="8"/>
  <c r="M436" i="8" s="1"/>
  <c r="H436" i="8"/>
  <c r="I435" i="8"/>
  <c r="M435" i="8" s="1"/>
  <c r="H435" i="8"/>
  <c r="I434" i="8"/>
  <c r="M434" i="8" s="1"/>
  <c r="H434" i="8"/>
  <c r="I433" i="8"/>
  <c r="M433" i="8" s="1"/>
  <c r="H433" i="8"/>
  <c r="H432" i="8"/>
  <c r="H431" i="8"/>
  <c r="I430" i="8"/>
  <c r="M430" i="8" s="1"/>
  <c r="H430" i="8"/>
  <c r="I429" i="8"/>
  <c r="M429" i="8" s="1"/>
  <c r="H429" i="8"/>
  <c r="I428" i="8"/>
  <c r="M428" i="8" s="1"/>
  <c r="H428" i="8"/>
  <c r="H427" i="8"/>
  <c r="H426" i="8"/>
  <c r="H425" i="8"/>
  <c r="H424" i="8"/>
  <c r="B420" i="8"/>
  <c r="M414" i="8"/>
  <c r="K414" i="8"/>
  <c r="I414" i="8"/>
  <c r="H414" i="8"/>
  <c r="M413" i="8"/>
  <c r="K413" i="8"/>
  <c r="I413" i="8"/>
  <c r="H413" i="8"/>
  <c r="M412" i="8"/>
  <c r="K412" i="8"/>
  <c r="I412" i="8"/>
  <c r="H412" i="8"/>
  <c r="M411" i="8"/>
  <c r="K411" i="8"/>
  <c r="I411" i="8"/>
  <c r="H411" i="8"/>
  <c r="H410" i="8"/>
  <c r="M405" i="8"/>
  <c r="M404" i="8"/>
  <c r="M403" i="8"/>
  <c r="M402" i="8"/>
  <c r="M396" i="8"/>
  <c r="I396" i="8"/>
  <c r="H396" i="8"/>
  <c r="M395" i="8"/>
  <c r="I395" i="8"/>
  <c r="H395" i="8"/>
  <c r="M394" i="8"/>
  <c r="I394" i="8"/>
  <c r="H394" i="8"/>
  <c r="M393" i="8"/>
  <c r="I393" i="8"/>
  <c r="H393" i="8"/>
  <c r="H392" i="8"/>
  <c r="M387" i="8"/>
  <c r="I387" i="8"/>
  <c r="H387" i="8"/>
  <c r="M386" i="8"/>
  <c r="I386" i="8"/>
  <c r="H386" i="8"/>
  <c r="M385" i="8"/>
  <c r="I385" i="8"/>
  <c r="H385" i="8"/>
  <c r="H384" i="8"/>
  <c r="M383" i="8"/>
  <c r="H383" i="8"/>
  <c r="B379" i="8"/>
  <c r="M373" i="8"/>
  <c r="K373" i="8"/>
  <c r="I373" i="8"/>
  <c r="H373" i="8"/>
  <c r="M372" i="8"/>
  <c r="K372" i="8"/>
  <c r="I372" i="8"/>
  <c r="H372" i="8"/>
  <c r="M371" i="8"/>
  <c r="K371" i="8"/>
  <c r="I371" i="8"/>
  <c r="H371" i="8"/>
  <c r="M370" i="8"/>
  <c r="K370" i="8"/>
  <c r="I370" i="8"/>
  <c r="H370" i="8"/>
  <c r="J108" i="12"/>
  <c r="J173" i="12" s="1"/>
  <c r="M173" i="12" s="1"/>
  <c r="H369" i="8"/>
  <c r="M364" i="8"/>
  <c r="M363" i="8"/>
  <c r="M355" i="8"/>
  <c r="I355" i="8"/>
  <c r="H355" i="8"/>
  <c r="M354" i="8"/>
  <c r="I354" i="8"/>
  <c r="H354" i="8"/>
  <c r="I353" i="8"/>
  <c r="H353" i="8"/>
  <c r="I352" i="8"/>
  <c r="H352" i="8"/>
  <c r="H351" i="8"/>
  <c r="M346" i="8"/>
  <c r="I346" i="8"/>
  <c r="H346" i="8"/>
  <c r="M345" i="8"/>
  <c r="I345" i="8"/>
  <c r="H345" i="8"/>
  <c r="M344" i="8"/>
  <c r="I344" i="8"/>
  <c r="H344" i="8"/>
  <c r="H343" i="8"/>
  <c r="I342" i="8"/>
  <c r="M342" i="8" s="1"/>
  <c r="H342" i="8"/>
  <c r="I341" i="8"/>
  <c r="M341" i="8" s="1"/>
  <c r="H341" i="8"/>
  <c r="I340" i="8"/>
  <c r="M340" i="8" s="1"/>
  <c r="H340" i="8"/>
  <c r="I339" i="8"/>
  <c r="M339" i="8" s="1"/>
  <c r="H339" i="8"/>
  <c r="B335" i="8"/>
  <c r="M329" i="8"/>
  <c r="K329" i="8"/>
  <c r="I329" i="8"/>
  <c r="H329" i="8"/>
  <c r="M328" i="8"/>
  <c r="K328" i="8"/>
  <c r="I328" i="8"/>
  <c r="H328" i="8"/>
  <c r="M327" i="8"/>
  <c r="K327" i="8"/>
  <c r="I327" i="8"/>
  <c r="H327" i="8"/>
  <c r="M326" i="8"/>
  <c r="K326" i="8"/>
  <c r="I326" i="8"/>
  <c r="H326" i="8"/>
  <c r="J80" i="12"/>
  <c r="J106" i="12" s="1"/>
  <c r="H325" i="8"/>
  <c r="M320" i="8"/>
  <c r="M319" i="8"/>
  <c r="M311" i="8"/>
  <c r="I311" i="8"/>
  <c r="H311" i="8"/>
  <c r="M310" i="8"/>
  <c r="I310" i="8"/>
  <c r="H310" i="8"/>
  <c r="M309" i="8"/>
  <c r="I309" i="8"/>
  <c r="H309" i="8"/>
  <c r="I308" i="8"/>
  <c r="H308" i="8"/>
  <c r="H307" i="8"/>
  <c r="M302" i="8"/>
  <c r="I302" i="8"/>
  <c r="H302" i="8"/>
  <c r="I301" i="8"/>
  <c r="M301" i="8" s="1"/>
  <c r="H301" i="8"/>
  <c r="I300" i="8"/>
  <c r="M300" i="8" s="1"/>
  <c r="H300" i="8"/>
  <c r="I299" i="8"/>
  <c r="M299" i="8" s="1"/>
  <c r="H299" i="8"/>
  <c r="I298" i="8"/>
  <c r="M298" i="8" s="1"/>
  <c r="I318" i="8" s="1"/>
  <c r="H298" i="8"/>
  <c r="B294" i="8"/>
  <c r="M288" i="8"/>
  <c r="K288" i="8"/>
  <c r="I288" i="8"/>
  <c r="H288" i="8"/>
  <c r="M287" i="8"/>
  <c r="K287" i="8"/>
  <c r="I287" i="8"/>
  <c r="H287" i="8"/>
  <c r="M286" i="8"/>
  <c r="K286" i="8"/>
  <c r="I286" i="8"/>
  <c r="H286" i="8"/>
  <c r="M285" i="8"/>
  <c r="K285" i="8"/>
  <c r="I285" i="8"/>
  <c r="H285" i="8"/>
  <c r="H284" i="8"/>
  <c r="M279" i="8"/>
  <c r="M278" i="8"/>
  <c r="M277" i="8"/>
  <c r="M276" i="8"/>
  <c r="M270" i="8"/>
  <c r="I270" i="8"/>
  <c r="H270" i="8"/>
  <c r="M269" i="8"/>
  <c r="I269" i="8"/>
  <c r="H269" i="8"/>
  <c r="M268" i="8"/>
  <c r="I268" i="8"/>
  <c r="H268" i="8"/>
  <c r="I267" i="8"/>
  <c r="M267" i="8" s="1"/>
  <c r="H267" i="8"/>
  <c r="H266" i="8"/>
  <c r="M261" i="8"/>
  <c r="I261" i="8"/>
  <c r="H261" i="8"/>
  <c r="M260" i="8"/>
  <c r="I260" i="8"/>
  <c r="H260" i="8"/>
  <c r="M259" i="8"/>
  <c r="I259" i="8"/>
  <c r="H259" i="8"/>
  <c r="M258" i="8"/>
  <c r="I258" i="8"/>
  <c r="H258" i="8"/>
  <c r="M257" i="8"/>
  <c r="I257" i="8"/>
  <c r="H257" i="8"/>
  <c r="B253" i="8"/>
  <c r="M247" i="8"/>
  <c r="K247" i="8"/>
  <c r="I247" i="8"/>
  <c r="H247" i="8"/>
  <c r="M246" i="8"/>
  <c r="K246" i="8"/>
  <c r="I246" i="8"/>
  <c r="H246" i="8"/>
  <c r="M245" i="8"/>
  <c r="K245" i="8"/>
  <c r="I245" i="8"/>
  <c r="H245" i="8"/>
  <c r="M244" i="8"/>
  <c r="K244" i="8"/>
  <c r="I244" i="8"/>
  <c r="H244" i="8"/>
  <c r="L243" i="8"/>
  <c r="J100" i="12" s="1"/>
  <c r="H243" i="8"/>
  <c r="M238" i="8"/>
  <c r="M237" i="8"/>
  <c r="M236" i="8"/>
  <c r="M235" i="8"/>
  <c r="M229" i="8"/>
  <c r="I229" i="8"/>
  <c r="H229" i="8"/>
  <c r="M228" i="8"/>
  <c r="I228" i="8"/>
  <c r="H228" i="8"/>
  <c r="M227" i="8"/>
  <c r="I227" i="8"/>
  <c r="H227" i="8"/>
  <c r="M226" i="8"/>
  <c r="I226" i="8"/>
  <c r="H226" i="8"/>
  <c r="H225" i="8"/>
  <c r="M220" i="8"/>
  <c r="I220" i="8"/>
  <c r="H220" i="8"/>
  <c r="M219" i="8"/>
  <c r="I219" i="8"/>
  <c r="H219" i="8"/>
  <c r="M218" i="8"/>
  <c r="I218" i="8"/>
  <c r="H218" i="8"/>
  <c r="H217" i="8"/>
  <c r="I216" i="8"/>
  <c r="M216" i="8" s="1"/>
  <c r="H216" i="8"/>
  <c r="I215" i="8"/>
  <c r="M215" i="8" s="1"/>
  <c r="H215" i="8"/>
  <c r="B211" i="8"/>
  <c r="M205" i="8"/>
  <c r="K205" i="8"/>
  <c r="I205" i="8"/>
  <c r="H205" i="8"/>
  <c r="M204" i="8"/>
  <c r="K204" i="8"/>
  <c r="I204" i="8"/>
  <c r="H204" i="8"/>
  <c r="M203" i="8"/>
  <c r="K203" i="8"/>
  <c r="I203" i="8"/>
  <c r="H203" i="8"/>
  <c r="M202" i="8"/>
  <c r="K202" i="8"/>
  <c r="I202" i="8"/>
  <c r="H202" i="8"/>
  <c r="L201" i="8"/>
  <c r="J99" i="12" s="1"/>
  <c r="H201" i="8"/>
  <c r="M196" i="8"/>
  <c r="M195" i="8"/>
  <c r="M194" i="8"/>
  <c r="M193" i="8"/>
  <c r="M187" i="8"/>
  <c r="I187" i="8"/>
  <c r="H187" i="8"/>
  <c r="M186" i="8"/>
  <c r="I186" i="8"/>
  <c r="H186" i="8"/>
  <c r="M185" i="8"/>
  <c r="I185" i="8"/>
  <c r="H185" i="8"/>
  <c r="M184" i="8"/>
  <c r="I184" i="8"/>
  <c r="H184" i="8"/>
  <c r="H183" i="8"/>
  <c r="M178" i="8"/>
  <c r="I178" i="8"/>
  <c r="H178" i="8"/>
  <c r="M177" i="8"/>
  <c r="I177" i="8"/>
  <c r="H177" i="8"/>
  <c r="M176" i="8"/>
  <c r="I176" i="8"/>
  <c r="H176" i="8"/>
  <c r="I175" i="8"/>
  <c r="M175" i="8" s="1"/>
  <c r="H175" i="8"/>
  <c r="H174" i="8"/>
  <c r="H173" i="8"/>
  <c r="B169" i="8"/>
  <c r="M163" i="8"/>
  <c r="K163" i="8"/>
  <c r="I163" i="8"/>
  <c r="H163" i="8"/>
  <c r="M162" i="8"/>
  <c r="K162" i="8"/>
  <c r="I162" i="8"/>
  <c r="H162" i="8"/>
  <c r="M161" i="8"/>
  <c r="K161" i="8"/>
  <c r="I161" i="8"/>
  <c r="H161" i="8"/>
  <c r="M160" i="8"/>
  <c r="K160" i="8"/>
  <c r="I160" i="8"/>
  <c r="H160" i="8"/>
  <c r="H159" i="8"/>
  <c r="M154" i="8"/>
  <c r="M153" i="8"/>
  <c r="M152" i="8"/>
  <c r="M151" i="8"/>
  <c r="M150" i="8"/>
  <c r="M145" i="8"/>
  <c r="I145" i="8"/>
  <c r="H145" i="8"/>
  <c r="M144" i="8"/>
  <c r="I144" i="8"/>
  <c r="H144" i="8"/>
  <c r="M143" i="8"/>
  <c r="I143" i="8"/>
  <c r="H143" i="8"/>
  <c r="M142" i="8"/>
  <c r="I142" i="8"/>
  <c r="H142" i="8"/>
  <c r="H141" i="8"/>
  <c r="M136" i="8"/>
  <c r="I136" i="8"/>
  <c r="H136" i="8"/>
  <c r="M135" i="8"/>
  <c r="I135" i="8"/>
  <c r="H135" i="8"/>
  <c r="M134" i="8"/>
  <c r="I134" i="8"/>
  <c r="H134" i="8"/>
  <c r="M133" i="8"/>
  <c r="I133" i="8"/>
  <c r="H133" i="8"/>
  <c r="M132" i="8"/>
  <c r="I132" i="8"/>
  <c r="H132" i="8"/>
  <c r="M131" i="8"/>
  <c r="I131" i="8"/>
  <c r="H131" i="8"/>
  <c r="B127" i="8"/>
  <c r="M121" i="8"/>
  <c r="K121" i="8"/>
  <c r="I121" i="8"/>
  <c r="H121" i="8"/>
  <c r="M120" i="8"/>
  <c r="K120" i="8"/>
  <c r="I120" i="8"/>
  <c r="H120" i="8"/>
  <c r="M119" i="8"/>
  <c r="K119" i="8"/>
  <c r="H119" i="8"/>
  <c r="M118" i="8"/>
  <c r="K118" i="8"/>
  <c r="I118" i="8"/>
  <c r="H118" i="8"/>
  <c r="J52" i="12"/>
  <c r="H117" i="8"/>
  <c r="M112" i="8"/>
  <c r="M111" i="8"/>
  <c r="M110" i="8"/>
  <c r="M109" i="8"/>
  <c r="M108" i="8"/>
  <c r="M103" i="8"/>
  <c r="I103" i="8"/>
  <c r="H103" i="8"/>
  <c r="M102" i="8"/>
  <c r="I102" i="8"/>
  <c r="H102" i="8"/>
  <c r="M101" i="8"/>
  <c r="I101" i="8"/>
  <c r="H101" i="8"/>
  <c r="M100" i="8"/>
  <c r="I100" i="8"/>
  <c r="H100" i="8"/>
  <c r="H99" i="8"/>
  <c r="M94" i="8"/>
  <c r="I94" i="8"/>
  <c r="H94" i="8"/>
  <c r="M93" i="8"/>
  <c r="I93" i="8"/>
  <c r="H93" i="8"/>
  <c r="M92" i="8"/>
  <c r="I92" i="8"/>
  <c r="H92" i="8"/>
  <c r="M91" i="8"/>
  <c r="I91" i="8"/>
  <c r="H91" i="8"/>
  <c r="M90" i="8"/>
  <c r="I90" i="8"/>
  <c r="H90" i="8"/>
  <c r="B86" i="8"/>
  <c r="M80" i="8"/>
  <c r="K80" i="8"/>
  <c r="I80" i="8"/>
  <c r="H80" i="8"/>
  <c r="M79" i="8"/>
  <c r="K79" i="8"/>
  <c r="I79" i="8"/>
  <c r="H79" i="8"/>
  <c r="M78" i="8"/>
  <c r="K78" i="8"/>
  <c r="I78" i="8"/>
  <c r="H78" i="8"/>
  <c r="M77" i="8"/>
  <c r="K77" i="8"/>
  <c r="I77" i="8"/>
  <c r="H77" i="8"/>
  <c r="H76" i="8"/>
  <c r="M71" i="8"/>
  <c r="M70" i="8"/>
  <c r="M69" i="8"/>
  <c r="M68" i="8"/>
  <c r="M62" i="8"/>
  <c r="I62" i="8"/>
  <c r="H62" i="8"/>
  <c r="M61" i="8"/>
  <c r="I61" i="8"/>
  <c r="H61" i="8"/>
  <c r="M60" i="8"/>
  <c r="I60" i="8"/>
  <c r="H60" i="8"/>
  <c r="I59" i="8"/>
  <c r="M59" i="8" s="1"/>
  <c r="H59" i="8"/>
  <c r="H58" i="8"/>
  <c r="M53" i="8"/>
  <c r="I53" i="8"/>
  <c r="H53" i="8"/>
  <c r="I52" i="8"/>
  <c r="M52" i="8" s="1"/>
  <c r="H52" i="8"/>
  <c r="H51" i="8"/>
  <c r="H50" i="8"/>
  <c r="I49" i="8"/>
  <c r="M49" i="8" s="1"/>
  <c r="H49" i="8"/>
  <c r="B45" i="8"/>
  <c r="M39" i="8"/>
  <c r="K39" i="8"/>
  <c r="I39" i="8"/>
  <c r="H39" i="8"/>
  <c r="M38" i="8"/>
  <c r="K38" i="8"/>
  <c r="I38" i="8"/>
  <c r="H38" i="8"/>
  <c r="M37" i="8"/>
  <c r="K37" i="8"/>
  <c r="I37" i="8"/>
  <c r="H37" i="8"/>
  <c r="M36" i="8"/>
  <c r="K36" i="8"/>
  <c r="I36" i="8"/>
  <c r="H36" i="8"/>
  <c r="H35" i="8"/>
  <c r="M30" i="8"/>
  <c r="M29" i="8"/>
  <c r="M28" i="8"/>
  <c r="M27" i="8"/>
  <c r="M21" i="8"/>
  <c r="I21" i="8"/>
  <c r="H21" i="8"/>
  <c r="M20" i="8"/>
  <c r="I20" i="8"/>
  <c r="H20" i="8"/>
  <c r="M19" i="8"/>
  <c r="I19" i="8"/>
  <c r="H19" i="8"/>
  <c r="I18" i="8"/>
  <c r="M18" i="8" s="1"/>
  <c r="H18" i="8"/>
  <c r="H17" i="8"/>
  <c r="M12" i="8"/>
  <c r="I12" i="8"/>
  <c r="H12" i="8"/>
  <c r="I11" i="8"/>
  <c r="M11" i="8" s="1"/>
  <c r="H11" i="8"/>
  <c r="H10" i="8"/>
  <c r="H9" i="8"/>
  <c r="I8" i="8"/>
  <c r="M8" i="8" s="1"/>
  <c r="H8" i="8"/>
  <c r="B4" i="8"/>
  <c r="H28" i="7"/>
  <c r="H87" i="12" s="1"/>
  <c r="H58" i="7"/>
  <c r="H180" i="12" s="1"/>
  <c r="H76" i="7"/>
  <c r="H75" i="7"/>
  <c r="H44" i="7"/>
  <c r="H125" i="12" s="1"/>
  <c r="H74" i="7"/>
  <c r="H23" i="7"/>
  <c r="H22" i="7"/>
  <c r="H184" i="12" s="1"/>
  <c r="H21" i="7"/>
  <c r="H183" i="12" s="1"/>
  <c r="H20" i="7"/>
  <c r="H182" i="12" s="1"/>
  <c r="H19" i="7"/>
  <c r="H181" i="12" s="1"/>
  <c r="H50" i="7"/>
  <c r="H130" i="12" s="1"/>
  <c r="H51" i="7"/>
  <c r="H148" i="12" s="1"/>
  <c r="H49" i="7"/>
  <c r="H146" i="12" s="1"/>
  <c r="H53" i="7"/>
  <c r="H73" i="7"/>
  <c r="H72" i="7"/>
  <c r="H71" i="7"/>
  <c r="H70" i="7"/>
  <c r="H69" i="7"/>
  <c r="H68" i="7"/>
  <c r="H207" i="12" s="1"/>
  <c r="H67" i="7"/>
  <c r="H66" i="7"/>
  <c r="H65" i="7"/>
  <c r="H64" i="7"/>
  <c r="H63" i="7"/>
  <c r="H62" i="7"/>
  <c r="H10" i="7"/>
  <c r="H61" i="7"/>
  <c r="H33" i="7"/>
  <c r="H107" i="12" s="1"/>
  <c r="H48" i="7"/>
  <c r="H129" i="12" s="1"/>
  <c r="H32" i="7"/>
  <c r="H104" i="12" s="1"/>
  <c r="H27" i="7"/>
  <c r="H34" i="7"/>
  <c r="H110" i="12" s="1"/>
  <c r="H35" i="7"/>
  <c r="H111" i="12" s="1"/>
  <c r="H54" i="7"/>
  <c r="H46" i="7"/>
  <c r="H127" i="12" s="1"/>
  <c r="H39" i="7"/>
  <c r="H120" i="12" s="1"/>
  <c r="H41" i="7"/>
  <c r="H122" i="12" s="1"/>
  <c r="H38" i="7"/>
  <c r="H119" i="12" s="1"/>
  <c r="H42" i="7"/>
  <c r="H123" i="12" s="1"/>
  <c r="H36" i="7"/>
  <c r="H117" i="12" s="1"/>
  <c r="H29" i="7"/>
  <c r="H98" i="12" s="1"/>
  <c r="H37" i="7"/>
  <c r="H118" i="12" s="1"/>
  <c r="H45" i="7"/>
  <c r="H126" i="12" s="1"/>
  <c r="H43" i="7"/>
  <c r="H124" i="12" s="1"/>
  <c r="H11" i="7"/>
  <c r="H40" i="7"/>
  <c r="H121" i="12" s="1"/>
  <c r="H47" i="7"/>
  <c r="H128" i="12" s="1"/>
  <c r="H17" i="7"/>
  <c r="H16" i="7"/>
  <c r="H12" i="7"/>
  <c r="H52" i="7"/>
  <c r="H15" i="7"/>
  <c r="H14" i="7"/>
  <c r="H26" i="7"/>
  <c r="H13" i="7"/>
  <c r="H31" i="7"/>
  <c r="H100" i="12" s="1"/>
  <c r="H30" i="7"/>
  <c r="H99" i="12" s="1"/>
  <c r="H59" i="7"/>
  <c r="H25" i="7"/>
  <c r="H24" i="7"/>
  <c r="H9" i="7"/>
  <c r="L2" i="7"/>
  <c r="A1" i="7"/>
  <c r="N36" i="31" l="1"/>
  <c r="M104" i="12"/>
  <c r="M81" i="12"/>
  <c r="M109" i="12"/>
  <c r="M108" i="12"/>
  <c r="M99" i="12"/>
  <c r="J197" i="12"/>
  <c r="M197" i="12" s="1"/>
  <c r="J140" i="12"/>
  <c r="J76" i="12"/>
  <c r="J169" i="12"/>
  <c r="M100" i="12"/>
  <c r="J170" i="12"/>
  <c r="M170" i="12" s="1"/>
  <c r="J198" i="12"/>
  <c r="M198" i="12" s="1"/>
  <c r="J77" i="12"/>
  <c r="M77" i="12" s="1"/>
  <c r="J102" i="12"/>
  <c r="J194" i="12"/>
  <c r="M194" i="12" s="1"/>
  <c r="J97" i="12"/>
  <c r="J138" i="12"/>
  <c r="J166" i="12"/>
  <c r="J74" i="12"/>
  <c r="J89" i="12"/>
  <c r="M89" i="12" s="1"/>
  <c r="J65" i="12"/>
  <c r="M80" i="12"/>
  <c r="M128" i="12"/>
  <c r="H198" i="12"/>
  <c r="H170" i="12"/>
  <c r="H77" i="12"/>
  <c r="H56" i="12"/>
  <c r="H102" i="12"/>
  <c r="I21" i="24"/>
  <c r="H195" i="12"/>
  <c r="H167" i="12"/>
  <c r="H53" i="12"/>
  <c r="H201" i="12"/>
  <c r="H177" i="12"/>
  <c r="H143" i="12"/>
  <c r="H59" i="12"/>
  <c r="H84" i="12"/>
  <c r="H114" i="12"/>
  <c r="H199" i="12"/>
  <c r="H141" i="12"/>
  <c r="H171" i="12"/>
  <c r="H57" i="12"/>
  <c r="H78" i="12"/>
  <c r="H103" i="12"/>
  <c r="H109" i="12"/>
  <c r="H81" i="12"/>
  <c r="H106" i="12"/>
  <c r="H80" i="12"/>
  <c r="H197" i="12"/>
  <c r="H169" i="12"/>
  <c r="H140" i="12"/>
  <c r="H76" i="12"/>
  <c r="H55" i="12"/>
  <c r="H186" i="12"/>
  <c r="H89" i="12"/>
  <c r="H65" i="12"/>
  <c r="H192" i="12"/>
  <c r="H136" i="12"/>
  <c r="H162" i="12"/>
  <c r="H72" i="12"/>
  <c r="H50" i="12"/>
  <c r="H173" i="12"/>
  <c r="H108" i="12"/>
  <c r="H95" i="12"/>
  <c r="H71" i="12"/>
  <c r="H174" i="12"/>
  <c r="H82" i="12"/>
  <c r="H112" i="12"/>
  <c r="H202" i="12"/>
  <c r="H178" i="12"/>
  <c r="H144" i="12"/>
  <c r="H85" i="12"/>
  <c r="H115" i="12"/>
  <c r="H60" i="12"/>
  <c r="I156" i="24"/>
  <c r="H194" i="12"/>
  <c r="H166" i="12"/>
  <c r="H138" i="12"/>
  <c r="H74" i="12"/>
  <c r="H97" i="12"/>
  <c r="H52" i="12"/>
  <c r="K35" i="12"/>
  <c r="J35" i="12"/>
  <c r="N35" i="12"/>
  <c r="L35" i="12"/>
  <c r="M35" i="12"/>
  <c r="M31" i="12"/>
  <c r="K31" i="12"/>
  <c r="N2318" i="8"/>
  <c r="L79" i="7" s="1"/>
  <c r="I2350" i="8"/>
  <c r="M2350" i="8" s="1"/>
  <c r="M2355" i="8" s="1"/>
  <c r="H2318" i="8" s="1"/>
  <c r="I79" i="7" s="1"/>
  <c r="I2410" i="8"/>
  <c r="M2410" i="8" s="1"/>
  <c r="M2415" i="8" s="1"/>
  <c r="H2378" i="8" s="1"/>
  <c r="I80" i="7" s="1"/>
  <c r="N2378" i="8"/>
  <c r="L80" i="7" s="1"/>
  <c r="I2463" i="8"/>
  <c r="M2463" i="8" s="1"/>
  <c r="M2468" i="8" s="1"/>
  <c r="H2438" i="8" s="1"/>
  <c r="I81" i="7" s="1"/>
  <c r="N2438" i="8"/>
  <c r="L81" i="7" s="1"/>
  <c r="I2516" i="8"/>
  <c r="M2516" i="8" s="1"/>
  <c r="M2521" i="8" s="1"/>
  <c r="H2491" i="8" s="1"/>
  <c r="I82" i="7" s="1"/>
  <c r="N2491" i="8"/>
  <c r="L82" i="7" s="1"/>
  <c r="U26" i="14"/>
  <c r="J127" i="24" s="1"/>
  <c r="I164" i="12" s="1"/>
  <c r="M164" i="12" s="1"/>
  <c r="I919" i="8"/>
  <c r="M919" i="8" s="1"/>
  <c r="M924" i="8" s="1"/>
  <c r="L894" i="8" s="1"/>
  <c r="F894" i="8" s="1"/>
  <c r="L28" i="14"/>
  <c r="I652" i="8"/>
  <c r="M652" i="8" s="1"/>
  <c r="M657" i="8" s="1"/>
  <c r="H638" i="8" s="1"/>
  <c r="F638" i="8" s="1"/>
  <c r="W26" i="14"/>
  <c r="I43" i="24"/>
  <c r="I105" i="24"/>
  <c r="I45" i="24"/>
  <c r="I106" i="24"/>
  <c r="I101" i="24"/>
  <c r="I39" i="24"/>
  <c r="J113" i="24"/>
  <c r="I148" i="12" s="1"/>
  <c r="M148" i="12" s="1"/>
  <c r="J101" i="24"/>
  <c r="I136" i="12" s="1"/>
  <c r="M136" i="12" s="1"/>
  <c r="R211" i="14"/>
  <c r="R209" i="14" s="1"/>
  <c r="K211" i="14"/>
  <c r="K209" i="14" s="1"/>
  <c r="T211" i="14"/>
  <c r="T209" i="14" s="1"/>
  <c r="O211" i="14"/>
  <c r="O209" i="14" s="1"/>
  <c r="P211" i="14"/>
  <c r="Q211" i="14"/>
  <c r="Q209" i="14" s="1"/>
  <c r="J54" i="24"/>
  <c r="I87" i="12" s="1"/>
  <c r="M87" i="12" s="1"/>
  <c r="B169" i="24"/>
  <c r="B144" i="24"/>
  <c r="B138" i="24"/>
  <c r="B127" i="24"/>
  <c r="B85" i="24"/>
  <c r="B93" i="24"/>
  <c r="B73" i="24"/>
  <c r="B70" i="24"/>
  <c r="B54" i="24"/>
  <c r="B38" i="24"/>
  <c r="B27" i="24"/>
  <c r="I164" i="24"/>
  <c r="I20" i="24"/>
  <c r="B166" i="24"/>
  <c r="B90" i="24"/>
  <c r="B78" i="24"/>
  <c r="B167" i="24"/>
  <c r="B145" i="24"/>
  <c r="B136" i="24"/>
  <c r="B125" i="24"/>
  <c r="B86" i="24"/>
  <c r="B94" i="24"/>
  <c r="B74" i="24"/>
  <c r="B68" i="24"/>
  <c r="B52" i="24"/>
  <c r="B33" i="24"/>
  <c r="I159" i="24"/>
  <c r="I166" i="24"/>
  <c r="B161" i="24"/>
  <c r="B146" i="24"/>
  <c r="B133" i="24"/>
  <c r="B119" i="24"/>
  <c r="B87" i="24"/>
  <c r="B95" i="24"/>
  <c r="B75" i="24"/>
  <c r="B64" i="24"/>
  <c r="B51" i="24"/>
  <c r="I167" i="24"/>
  <c r="I163" i="24"/>
  <c r="I33" i="24"/>
  <c r="I24" i="24"/>
  <c r="I109" i="24"/>
  <c r="B128" i="24"/>
  <c r="B23" i="24"/>
  <c r="I23" i="24"/>
  <c r="B160" i="24"/>
  <c r="B147" i="24"/>
  <c r="B134" i="24"/>
  <c r="B120" i="24"/>
  <c r="B88" i="24"/>
  <c r="B111" i="24"/>
  <c r="B76" i="24"/>
  <c r="B65" i="24"/>
  <c r="B49" i="24"/>
  <c r="B24" i="24"/>
  <c r="I161" i="24"/>
  <c r="I18" i="24"/>
  <c r="B31" i="24"/>
  <c r="B159" i="24"/>
  <c r="B143" i="24"/>
  <c r="B132" i="24"/>
  <c r="B118" i="24"/>
  <c r="B103" i="24"/>
  <c r="B89" i="24"/>
  <c r="B96" i="24"/>
  <c r="B77" i="24"/>
  <c r="B66" i="24"/>
  <c r="B48" i="24"/>
  <c r="B25" i="24"/>
  <c r="B18" i="24"/>
  <c r="I157" i="24"/>
  <c r="I28" i="24"/>
  <c r="B157" i="24"/>
  <c r="B83" i="24"/>
  <c r="B63" i="24"/>
  <c r="I103" i="24"/>
  <c r="B164" i="24"/>
  <c r="B154" i="24"/>
  <c r="B140" i="24"/>
  <c r="B129" i="24"/>
  <c r="B109" i="24"/>
  <c r="B113" i="24"/>
  <c r="B91" i="24"/>
  <c r="B81" i="24"/>
  <c r="B72" i="24"/>
  <c r="B61" i="24"/>
  <c r="B44" i="24"/>
  <c r="B30" i="24"/>
  <c r="B20" i="24"/>
  <c r="I169" i="24"/>
  <c r="I160" i="24"/>
  <c r="I27" i="24"/>
  <c r="I54" i="24"/>
  <c r="I108" i="24"/>
  <c r="B141" i="24"/>
  <c r="B47" i="24"/>
  <c r="B163" i="24"/>
  <c r="B149" i="24"/>
  <c r="B137" i="24"/>
  <c r="B130" i="24"/>
  <c r="B108" i="24"/>
  <c r="B84" i="24"/>
  <c r="B92" i="24"/>
  <c r="B80" i="24"/>
  <c r="B69" i="24"/>
  <c r="B56" i="24"/>
  <c r="B41" i="24"/>
  <c r="B28" i="24"/>
  <c r="I154" i="24"/>
  <c r="I25" i="24"/>
  <c r="I120" i="24"/>
  <c r="I118" i="24"/>
  <c r="I119" i="24"/>
  <c r="X29" i="14"/>
  <c r="L11" i="42"/>
  <c r="N11" i="42" s="1"/>
  <c r="L11" i="40"/>
  <c r="N11" i="40" s="1"/>
  <c r="AC28" i="14"/>
  <c r="Z27" i="14"/>
  <c r="N2173" i="8"/>
  <c r="L56" i="7" s="1"/>
  <c r="I2187" i="8"/>
  <c r="M2187" i="8" s="1"/>
  <c r="M2191" i="8" s="1"/>
  <c r="N2131" i="8"/>
  <c r="L55" i="7" s="1"/>
  <c r="I2145" i="8"/>
  <c r="M2145" i="8" s="1"/>
  <c r="M2150" i="8" s="1"/>
  <c r="I2237" i="8"/>
  <c r="M2237" i="8" s="1"/>
  <c r="H2214" i="8"/>
  <c r="I57" i="7" s="1"/>
  <c r="I1314" i="8"/>
  <c r="M1314" i="8" s="1"/>
  <c r="I1359" i="8"/>
  <c r="M1359" i="8" s="1"/>
  <c r="I1269" i="8"/>
  <c r="M1269" i="8" s="1"/>
  <c r="M318" i="8"/>
  <c r="I138" i="24"/>
  <c r="I127" i="24"/>
  <c r="I128" i="24"/>
  <c r="I144" i="24"/>
  <c r="I146" i="24"/>
  <c r="I145" i="24"/>
  <c r="I147" i="24"/>
  <c r="S11" i="14"/>
  <c r="F126" i="13"/>
  <c r="J61" i="24" s="1"/>
  <c r="I95" i="12" s="1"/>
  <c r="M95" i="12" s="1"/>
  <c r="I323" i="13"/>
  <c r="M308" i="8"/>
  <c r="M155" i="12"/>
  <c r="M1539" i="8"/>
  <c r="M1544" i="8" s="1"/>
  <c r="M353" i="8"/>
  <c r="K2044" i="8"/>
  <c r="M2044" i="8" s="1"/>
  <c r="M526" i="8"/>
  <c r="M531" i="8" s="1"/>
  <c r="H512" i="8" s="1"/>
  <c r="I16" i="7" s="1"/>
  <c r="K2032" i="8"/>
  <c r="I217" i="8"/>
  <c r="M217" i="8" s="1"/>
  <c r="M221" i="8" s="1"/>
  <c r="J211" i="8" s="1"/>
  <c r="J31" i="7" s="1"/>
  <c r="I50" i="8"/>
  <c r="M50" i="8" s="1"/>
  <c r="I1380" i="8"/>
  <c r="M1380" i="8" s="1"/>
  <c r="M1389" i="8" s="1"/>
  <c r="J1376" i="8" s="1"/>
  <c r="J32" i="7" s="1"/>
  <c r="K2034" i="8"/>
  <c r="I432" i="8"/>
  <c r="M432" i="8" s="1"/>
  <c r="I51" i="8"/>
  <c r="M51" i="8" s="1"/>
  <c r="I1948" i="8"/>
  <c r="M1948" i="8" s="1"/>
  <c r="K2046" i="8"/>
  <c r="M2046" i="8" s="1"/>
  <c r="I9" i="8"/>
  <c r="M9" i="8" s="1"/>
  <c r="I343" i="8"/>
  <c r="M343" i="8" s="1"/>
  <c r="M347" i="8" s="1"/>
  <c r="J335" i="8" s="1"/>
  <c r="J14" i="7" s="1"/>
  <c r="M425" i="8"/>
  <c r="I1553" i="8"/>
  <c r="M1553" i="8" s="1"/>
  <c r="I1949" i="8"/>
  <c r="M1949" i="8" s="1"/>
  <c r="I10" i="8"/>
  <c r="M10" i="8" s="1"/>
  <c r="I173" i="8"/>
  <c r="M173" i="8" s="1"/>
  <c r="I426" i="8"/>
  <c r="M426" i="8" s="1"/>
  <c r="I1554" i="8"/>
  <c r="M1554" i="8" s="1"/>
  <c r="M113" i="8"/>
  <c r="L86" i="8" s="1"/>
  <c r="K25" i="7" s="1"/>
  <c r="I174" i="8"/>
  <c r="M174" i="8" s="1"/>
  <c r="I427" i="8"/>
  <c r="M427" i="8" s="1"/>
  <c r="J70" i="7"/>
  <c r="M388" i="8"/>
  <c r="I18" i="26"/>
  <c r="L18" i="26"/>
  <c r="O18" i="26"/>
  <c r="F18" i="26"/>
  <c r="C18" i="26"/>
  <c r="N31" i="29"/>
  <c r="N13" i="31"/>
  <c r="L11" i="29"/>
  <c r="N11" i="29" s="1"/>
  <c r="M2117" i="8"/>
  <c r="L2089" i="8" s="1"/>
  <c r="K28" i="7" s="1"/>
  <c r="M1349" i="8"/>
  <c r="M611" i="8"/>
  <c r="M1096" i="8"/>
  <c r="L1068" i="8" s="1"/>
  <c r="K41" i="7" s="1"/>
  <c r="M1350" i="8"/>
  <c r="K2039" i="8"/>
  <c r="K2042" i="8"/>
  <c r="K2045" i="8"/>
  <c r="M2045" i="8" s="1"/>
  <c r="K2033" i="8"/>
  <c r="I44" i="24"/>
  <c r="I47" i="24"/>
  <c r="I56" i="24"/>
  <c r="I48" i="24"/>
  <c r="I38" i="24"/>
  <c r="I52" i="24"/>
  <c r="I49" i="24"/>
  <c r="I41" i="24"/>
  <c r="I51" i="24"/>
  <c r="I81" i="24"/>
  <c r="I83" i="24"/>
  <c r="I85" i="24"/>
  <c r="I87" i="24"/>
  <c r="I89" i="24"/>
  <c r="I91" i="24"/>
  <c r="I93" i="24"/>
  <c r="I111" i="24"/>
  <c r="I65" i="24"/>
  <c r="I75" i="24"/>
  <c r="I134" i="24"/>
  <c r="I61" i="24"/>
  <c r="I64" i="24"/>
  <c r="I66" i="24"/>
  <c r="I69" i="24"/>
  <c r="I72" i="24"/>
  <c r="I74" i="24"/>
  <c r="I76" i="24"/>
  <c r="I78" i="24"/>
  <c r="I133" i="24"/>
  <c r="I125" i="24"/>
  <c r="I136" i="24"/>
  <c r="I96" i="24"/>
  <c r="I63" i="24"/>
  <c r="I73" i="24"/>
  <c r="I80" i="24"/>
  <c r="I129" i="24"/>
  <c r="I130" i="24"/>
  <c r="I94" i="24"/>
  <c r="I113" i="24"/>
  <c r="I132" i="24"/>
  <c r="I70" i="24"/>
  <c r="I77" i="24"/>
  <c r="E203" i="24" s="1"/>
  <c r="I84" i="24"/>
  <c r="I86" i="24"/>
  <c r="I88" i="24"/>
  <c r="I90" i="24"/>
  <c r="I92" i="24"/>
  <c r="I95" i="24"/>
  <c r="I68" i="24"/>
  <c r="I137" i="24"/>
  <c r="I140" i="24"/>
  <c r="I143" i="24"/>
  <c r="I149" i="24"/>
  <c r="I141" i="24"/>
  <c r="M796" i="8"/>
  <c r="L766" i="8" s="1"/>
  <c r="K45" i="7" s="1"/>
  <c r="M968" i="8"/>
  <c r="L938" i="8" s="1"/>
  <c r="K36" i="7" s="1"/>
  <c r="M155" i="8"/>
  <c r="L127" i="8" s="1"/>
  <c r="K59" i="7" s="1"/>
  <c r="M582" i="8"/>
  <c r="L554" i="8" s="1"/>
  <c r="K17" i="7" s="1"/>
  <c r="C555" i="13"/>
  <c r="M485" i="8"/>
  <c r="K40" i="7"/>
  <c r="M752" i="8"/>
  <c r="L722" i="8" s="1"/>
  <c r="K43" i="7" s="1"/>
  <c r="M1012" i="8"/>
  <c r="L982" i="8" s="1"/>
  <c r="K42" i="7" s="1"/>
  <c r="K72" i="7"/>
  <c r="M1664" i="8"/>
  <c r="L1633" i="8" s="1"/>
  <c r="K49" i="7" s="1"/>
  <c r="K70" i="7"/>
  <c r="C557" i="13"/>
  <c r="M352" i="8"/>
  <c r="M612" i="8"/>
  <c r="M1754" i="8"/>
  <c r="L1720" i="8" s="1"/>
  <c r="K50" i="7" s="1"/>
  <c r="M2014" i="8"/>
  <c r="L1984" i="8" s="1"/>
  <c r="K44" i="7" s="1"/>
  <c r="K1638" i="8"/>
  <c r="K1637" i="8"/>
  <c r="M156" i="12"/>
  <c r="K36" i="14"/>
  <c r="N36" i="14" s="1"/>
  <c r="O90" i="14"/>
  <c r="T157" i="14"/>
  <c r="X157" i="14" s="1"/>
  <c r="T162" i="14"/>
  <c r="X162" i="14" s="1"/>
  <c r="O75" i="14"/>
  <c r="O98" i="14"/>
  <c r="Q156" i="14"/>
  <c r="I77" i="7"/>
  <c r="O132" i="14"/>
  <c r="T37" i="14"/>
  <c r="X37" i="14" s="1"/>
  <c r="T76" i="14"/>
  <c r="X76" i="14" s="1"/>
  <c r="K56" i="14"/>
  <c r="N56" i="14" s="1"/>
  <c r="R106" i="14"/>
  <c r="L77" i="7"/>
  <c r="Q65" i="14"/>
  <c r="K84" i="14"/>
  <c r="M84" i="14" s="1"/>
  <c r="O156" i="14"/>
  <c r="O157" i="14"/>
  <c r="R90" i="14"/>
  <c r="T113" i="14"/>
  <c r="X113" i="14" s="1"/>
  <c r="O86" i="14"/>
  <c r="O106" i="14"/>
  <c r="O107" i="14"/>
  <c r="L69" i="7"/>
  <c r="J77" i="7"/>
  <c r="M2126" i="8"/>
  <c r="M1655" i="8"/>
  <c r="H1633" i="8" s="1"/>
  <c r="I49" i="7" s="1"/>
  <c r="L74" i="7"/>
  <c r="M2108" i="8"/>
  <c r="H2089" i="8" s="1"/>
  <c r="I28" i="7" s="1"/>
  <c r="L67" i="7"/>
  <c r="M154" i="12"/>
  <c r="T72" i="14"/>
  <c r="X72" i="14" s="1"/>
  <c r="O94" i="14"/>
  <c r="O129" i="14"/>
  <c r="O137" i="14"/>
  <c r="R150" i="14"/>
  <c r="Q53" i="14"/>
  <c r="O99" i="14"/>
  <c r="O136" i="14"/>
  <c r="T150" i="14"/>
  <c r="X150" i="14" s="1"/>
  <c r="R48" i="14"/>
  <c r="R87" i="14"/>
  <c r="K146" i="14"/>
  <c r="N146" i="14" s="1"/>
  <c r="K59" i="14"/>
  <c r="M59" i="14" s="1"/>
  <c r="O133" i="14"/>
  <c r="O35" i="14"/>
  <c r="K131" i="14"/>
  <c r="M131" i="14" s="1"/>
  <c r="K139" i="14"/>
  <c r="M139" i="14" s="1"/>
  <c r="O150" i="14"/>
  <c r="O62" i="14"/>
  <c r="O63" i="14"/>
  <c r="K118" i="14"/>
  <c r="N118" i="14" s="1"/>
  <c r="K135" i="14"/>
  <c r="M135" i="14" s="1"/>
  <c r="Q41" i="14"/>
  <c r="R63" i="14"/>
  <c r="K116" i="14"/>
  <c r="N116" i="14" s="1"/>
  <c r="R130" i="14"/>
  <c r="K155" i="14"/>
  <c r="N155" i="14" s="1"/>
  <c r="O55" i="14"/>
  <c r="R98" i="14"/>
  <c r="R99" i="14"/>
  <c r="O103" i="14"/>
  <c r="O116" i="14"/>
  <c r="O126" i="14"/>
  <c r="Q131" i="14"/>
  <c r="Q132" i="14"/>
  <c r="O141" i="14"/>
  <c r="K162" i="14"/>
  <c r="M162" i="14" s="1"/>
  <c r="M1036" i="8"/>
  <c r="J1026" i="8" s="1"/>
  <c r="J38" i="7" s="1"/>
  <c r="T89" i="14"/>
  <c r="X89" i="14" s="1"/>
  <c r="O96" i="14"/>
  <c r="T105" i="14"/>
  <c r="X105" i="14" s="1"/>
  <c r="T128" i="14"/>
  <c r="X128" i="14" s="1"/>
  <c r="O140" i="14"/>
  <c r="Q155" i="14"/>
  <c r="O162" i="14"/>
  <c r="M2099" i="8"/>
  <c r="J2089" i="8" s="1"/>
  <c r="J28" i="7" s="1"/>
  <c r="Q49" i="14"/>
  <c r="Q77" i="14"/>
  <c r="R95" i="14"/>
  <c r="R103" i="14"/>
  <c r="R126" i="14"/>
  <c r="T126" i="14"/>
  <c r="X126" i="14" s="1"/>
  <c r="T39" i="14"/>
  <c r="X39" i="14" s="1"/>
  <c r="O39" i="14"/>
  <c r="K51" i="14"/>
  <c r="M51" i="14" s="1"/>
  <c r="Q148" i="14"/>
  <c r="T148" i="14"/>
  <c r="X148" i="14" s="1"/>
  <c r="O148" i="14"/>
  <c r="J72" i="7"/>
  <c r="T38" i="14"/>
  <c r="X38" i="14" s="1"/>
  <c r="O38" i="14"/>
  <c r="R66" i="14"/>
  <c r="R67" i="14"/>
  <c r="J40" i="7"/>
  <c r="M1475" i="8"/>
  <c r="J1466" i="8" s="1"/>
  <c r="J33" i="7" s="1"/>
  <c r="Q44" i="14"/>
  <c r="T44" i="14"/>
  <c r="X44" i="14" s="1"/>
  <c r="K44" i="14"/>
  <c r="N44" i="14" s="1"/>
  <c r="T67" i="14"/>
  <c r="X67" i="14" s="1"/>
  <c r="T82" i="14"/>
  <c r="X82" i="14" s="1"/>
  <c r="R82" i="14"/>
  <c r="Q154" i="14"/>
  <c r="R154" i="14"/>
  <c r="T154" i="14"/>
  <c r="X154" i="14" s="1"/>
  <c r="I69" i="7"/>
  <c r="T30" i="14"/>
  <c r="X30" i="14" s="1"/>
  <c r="O30" i="14"/>
  <c r="R39" i="14"/>
  <c r="O50" i="14"/>
  <c r="T54" i="14"/>
  <c r="X54" i="14" s="1"/>
  <c r="R54" i="14"/>
  <c r="T70" i="14"/>
  <c r="X70" i="14" s="1"/>
  <c r="O70" i="14"/>
  <c r="R88" i="14"/>
  <c r="T88" i="14"/>
  <c r="X88" i="14" s="1"/>
  <c r="R145" i="14"/>
  <c r="O145" i="14"/>
  <c r="K71" i="7"/>
  <c r="R38" i="14"/>
  <c r="R161" i="14"/>
  <c r="O161" i="14"/>
  <c r="T161" i="14"/>
  <c r="X161" i="14" s="1"/>
  <c r="O144" i="14"/>
  <c r="T144" i="14"/>
  <c r="X144" i="14" s="1"/>
  <c r="Q144" i="14"/>
  <c r="O160" i="14"/>
  <c r="T160" i="14"/>
  <c r="X160" i="14" s="1"/>
  <c r="T55" i="14"/>
  <c r="X55" i="14" s="1"/>
  <c r="T79" i="14"/>
  <c r="X79" i="14" s="1"/>
  <c r="R79" i="14"/>
  <c r="O79" i="14"/>
  <c r="O149" i="14"/>
  <c r="T149" i="14"/>
  <c r="X149" i="14" s="1"/>
  <c r="R149" i="14"/>
  <c r="M1688" i="8"/>
  <c r="T35" i="14"/>
  <c r="X35" i="14" s="1"/>
  <c r="O66" i="14"/>
  <c r="T80" i="14"/>
  <c r="X80" i="14" s="1"/>
  <c r="R159" i="14"/>
  <c r="Q159" i="14"/>
  <c r="K43" i="14"/>
  <c r="T60" i="14"/>
  <c r="X60" i="14" s="1"/>
  <c r="R71" i="14"/>
  <c r="Q73" i="14"/>
  <c r="R91" i="14"/>
  <c r="K108" i="14"/>
  <c r="N108" i="14" s="1"/>
  <c r="R114" i="14"/>
  <c r="K150" i="14"/>
  <c r="N150" i="14" s="1"/>
  <c r="O58" i="14"/>
  <c r="K68" i="14"/>
  <c r="N68" i="14" s="1"/>
  <c r="K76" i="14"/>
  <c r="N76" i="14" s="1"/>
  <c r="R78" i="14"/>
  <c r="K130" i="14"/>
  <c r="Q143" i="14"/>
  <c r="O146" i="14"/>
  <c r="K151" i="14"/>
  <c r="M151" i="14" s="1"/>
  <c r="K72" i="14"/>
  <c r="M72" i="14" s="1"/>
  <c r="T130" i="14"/>
  <c r="X130" i="14" s="1"/>
  <c r="Q135" i="14"/>
  <c r="Q136" i="14"/>
  <c r="T137" i="14"/>
  <c r="X137" i="14" s="1"/>
  <c r="Q139" i="14"/>
  <c r="Q140" i="14"/>
  <c r="K154" i="14"/>
  <c r="N154" i="14" s="1"/>
  <c r="K80" i="14"/>
  <c r="N80" i="14" s="1"/>
  <c r="M564" i="8"/>
  <c r="J554" i="8" s="1"/>
  <c r="J17" i="7" s="1"/>
  <c r="M822" i="8"/>
  <c r="J810" i="8" s="1"/>
  <c r="J37" i="7" s="1"/>
  <c r="M734" i="8"/>
  <c r="J722" i="8" s="1"/>
  <c r="J43" i="7" s="1"/>
  <c r="M474" i="8"/>
  <c r="M480" i="8" s="1"/>
  <c r="J470" i="8" s="1"/>
  <c r="J12" i="7" s="1"/>
  <c r="M950" i="8"/>
  <c r="J938" i="8" s="1"/>
  <c r="J36" i="7" s="1"/>
  <c r="J64" i="7"/>
  <c r="M606" i="8"/>
  <c r="I619" i="8" s="1"/>
  <c r="M619" i="8" s="1"/>
  <c r="M624" i="8" s="1"/>
  <c r="L596" i="8" s="1"/>
  <c r="K47" i="7" s="1"/>
  <c r="M95" i="8"/>
  <c r="J86" i="8" s="1"/>
  <c r="J25" i="7" s="1"/>
  <c r="M549" i="8"/>
  <c r="N512" i="8" s="1"/>
  <c r="L16" i="7" s="1"/>
  <c r="M690" i="8"/>
  <c r="J680" i="8" s="1"/>
  <c r="J11" i="7" s="1"/>
  <c r="M1120" i="8"/>
  <c r="J1110" i="8" s="1"/>
  <c r="J39" i="7" s="1"/>
  <c r="M137" i="8"/>
  <c r="J127" i="8" s="1"/>
  <c r="M262" i="8"/>
  <c r="J253" i="8" s="1"/>
  <c r="J13" i="7" s="1"/>
  <c r="M522" i="8"/>
  <c r="J512" i="8" s="1"/>
  <c r="J16" i="7" s="1"/>
  <c r="M994" i="8"/>
  <c r="J982" i="8" s="1"/>
  <c r="J42" i="7" s="1"/>
  <c r="M1344" i="8"/>
  <c r="J1331" i="8" s="1"/>
  <c r="J27" i="7" s="1"/>
  <c r="M1434" i="8"/>
  <c r="I1447" i="8" s="1"/>
  <c r="M1447" i="8" s="1"/>
  <c r="M1452" i="8" s="1"/>
  <c r="L1421" i="8" s="1"/>
  <c r="K48" i="7" s="1"/>
  <c r="R43" i="14"/>
  <c r="K55" i="14"/>
  <c r="L55" i="14" s="1"/>
  <c r="T56" i="14"/>
  <c r="X56" i="14" s="1"/>
  <c r="R58" i="14"/>
  <c r="O59" i="14"/>
  <c r="K67" i="14"/>
  <c r="L67" i="14" s="1"/>
  <c r="T68" i="14"/>
  <c r="X68" i="14" s="1"/>
  <c r="R70" i="14"/>
  <c r="O78" i="14"/>
  <c r="R86" i="14"/>
  <c r="K88" i="14"/>
  <c r="N88" i="14" s="1"/>
  <c r="T92" i="14"/>
  <c r="X92" i="14" s="1"/>
  <c r="Q93" i="14"/>
  <c r="R94" i="14"/>
  <c r="K96" i="14"/>
  <c r="N96" i="14" s="1"/>
  <c r="J71" i="7"/>
  <c r="L71" i="7"/>
  <c r="T43" i="14"/>
  <c r="X43" i="14" s="1"/>
  <c r="T102" i="14"/>
  <c r="X102" i="14" s="1"/>
  <c r="R102" i="14"/>
  <c r="K117" i="14"/>
  <c r="L117" i="14" s="1"/>
  <c r="O117" i="14"/>
  <c r="Q118" i="14"/>
  <c r="T118" i="14"/>
  <c r="X118" i="14" s="1"/>
  <c r="O118" i="14"/>
  <c r="M1254" i="8"/>
  <c r="J1241" i="8" s="1"/>
  <c r="J35" i="7" s="1"/>
  <c r="M1824" i="8"/>
  <c r="J1812" i="8" s="1"/>
  <c r="J20" i="7" s="1"/>
  <c r="K47" i="14"/>
  <c r="T48" i="14"/>
  <c r="X48" i="14" s="1"/>
  <c r="T52" i="14"/>
  <c r="X52" i="14" s="1"/>
  <c r="R59" i="14"/>
  <c r="T64" i="14"/>
  <c r="X64" i="14" s="1"/>
  <c r="T71" i="14"/>
  <c r="X71" i="14" s="1"/>
  <c r="R104" i="14"/>
  <c r="K104" i="14"/>
  <c r="T120" i="14"/>
  <c r="X120" i="14" s="1"/>
  <c r="M1996" i="8"/>
  <c r="J1984" i="8" s="1"/>
  <c r="J44" i="7" s="1"/>
  <c r="O46" i="14"/>
  <c r="T59" i="14"/>
  <c r="X59" i="14" s="1"/>
  <c r="K60" i="14"/>
  <c r="M60" i="14" s="1"/>
  <c r="O82" i="14"/>
  <c r="O91" i="14"/>
  <c r="K100" i="14"/>
  <c r="N100" i="14" s="1"/>
  <c r="O102" i="14"/>
  <c r="O115" i="14"/>
  <c r="K125" i="14"/>
  <c r="L125" i="14" s="1"/>
  <c r="O125" i="14"/>
  <c r="M1912" i="8"/>
  <c r="J1900" i="8" s="1"/>
  <c r="J22" i="7" s="1"/>
  <c r="Q29" i="14"/>
  <c r="O31" i="14"/>
  <c r="K35" i="14"/>
  <c r="M35" i="14" s="1"/>
  <c r="K40" i="14"/>
  <c r="O42" i="14"/>
  <c r="R44" i="14"/>
  <c r="O47" i="14"/>
  <c r="R50" i="14"/>
  <c r="O51" i="14"/>
  <c r="O74" i="14"/>
  <c r="O83" i="14"/>
  <c r="K92" i="14"/>
  <c r="N92" i="14" s="1"/>
  <c r="T96" i="14"/>
  <c r="X96" i="14" s="1"/>
  <c r="O100" i="14"/>
  <c r="O104" i="14"/>
  <c r="R108" i="14"/>
  <c r="T108" i="14"/>
  <c r="X108" i="14" s="1"/>
  <c r="T110" i="14"/>
  <c r="X110" i="14" s="1"/>
  <c r="R110" i="14"/>
  <c r="O110" i="14"/>
  <c r="R118" i="14"/>
  <c r="R30" i="14"/>
  <c r="K32" i="14"/>
  <c r="M32" i="14" s="1"/>
  <c r="O34" i="14"/>
  <c r="R46" i="14"/>
  <c r="O111" i="14"/>
  <c r="R115" i="14"/>
  <c r="Q122" i="14"/>
  <c r="O122" i="14"/>
  <c r="K122" i="14"/>
  <c r="M122" i="14" s="1"/>
  <c r="R122" i="14"/>
  <c r="R124" i="14"/>
  <c r="Q124" i="14"/>
  <c r="O124" i="14"/>
  <c r="K124" i="14"/>
  <c r="L124" i="14" s="1"/>
  <c r="M1868" i="8"/>
  <c r="I1881" i="8" s="1"/>
  <c r="M1881" i="8" s="1"/>
  <c r="M1886" i="8" s="1"/>
  <c r="L1856" i="8" s="1"/>
  <c r="K21" i="7" s="1"/>
  <c r="R31" i="14"/>
  <c r="Q33" i="14"/>
  <c r="R42" i="14"/>
  <c r="O43" i="14"/>
  <c r="R47" i="14"/>
  <c r="R51" i="14"/>
  <c r="Q61" i="14"/>
  <c r="K71" i="14"/>
  <c r="L71" i="14" s="1"/>
  <c r="R74" i="14"/>
  <c r="R83" i="14"/>
  <c r="O92" i="14"/>
  <c r="T100" i="14"/>
  <c r="X100" i="14" s="1"/>
  <c r="T109" i="14"/>
  <c r="X109" i="14" s="1"/>
  <c r="Q109" i="14"/>
  <c r="T121" i="14"/>
  <c r="X121" i="14" s="1"/>
  <c r="O121" i="14"/>
  <c r="R34" i="14"/>
  <c r="T47" i="14"/>
  <c r="X47" i="14" s="1"/>
  <c r="K48" i="14"/>
  <c r="N48" i="14" s="1"/>
  <c r="T51" i="14"/>
  <c r="X51" i="14" s="1"/>
  <c r="K52" i="14"/>
  <c r="N52" i="14" s="1"/>
  <c r="R62" i="14"/>
  <c r="K64" i="14"/>
  <c r="N64" i="14" s="1"/>
  <c r="O71" i="14"/>
  <c r="R75" i="14"/>
  <c r="T84" i="14"/>
  <c r="X84" i="14" s="1"/>
  <c r="O87" i="14"/>
  <c r="O95" i="14"/>
  <c r="R107" i="14"/>
  <c r="R111" i="14"/>
  <c r="T134" i="14"/>
  <c r="X134" i="14" s="1"/>
  <c r="T138" i="14"/>
  <c r="X138" i="14" s="1"/>
  <c r="Q123" i="14"/>
  <c r="K134" i="14"/>
  <c r="N134" i="14" s="1"/>
  <c r="K138" i="14"/>
  <c r="K142" i="14"/>
  <c r="L142" i="14" s="1"/>
  <c r="O152" i="14"/>
  <c r="K158" i="14"/>
  <c r="N158" i="14" s="1"/>
  <c r="Q116" i="14"/>
  <c r="K126" i="14"/>
  <c r="L126" i="14" s="1"/>
  <c r="R133" i="14"/>
  <c r="R141" i="14"/>
  <c r="O142" i="14"/>
  <c r="R146" i="14"/>
  <c r="K147" i="14"/>
  <c r="N147" i="14" s="1"/>
  <c r="Q151" i="14"/>
  <c r="O153" i="14"/>
  <c r="O158" i="14"/>
  <c r="R162" i="14"/>
  <c r="K163" i="14"/>
  <c r="N163" i="14" s="1"/>
  <c r="O134" i="14"/>
  <c r="O138" i="14"/>
  <c r="T146" i="14"/>
  <c r="Q152" i="14"/>
  <c r="K112" i="14"/>
  <c r="N112" i="14" s="1"/>
  <c r="O114" i="14"/>
  <c r="K115" i="14"/>
  <c r="M115" i="14" s="1"/>
  <c r="O130" i="14"/>
  <c r="R142" i="14"/>
  <c r="K143" i="14"/>
  <c r="L143" i="14" s="1"/>
  <c r="Q147" i="14"/>
  <c r="R153" i="14"/>
  <c r="O154" i="14"/>
  <c r="R158" i="14"/>
  <c r="K159" i="14"/>
  <c r="N159" i="14" s="1"/>
  <c r="Q163" i="14"/>
  <c r="K123" i="14"/>
  <c r="N123" i="14" s="1"/>
  <c r="R134" i="14"/>
  <c r="R138" i="14"/>
  <c r="T142" i="14"/>
  <c r="X142" i="14" s="1"/>
  <c r="T158" i="14"/>
  <c r="X158" i="14" s="1"/>
  <c r="M303" i="8"/>
  <c r="J294" i="8" s="1"/>
  <c r="J26" i="7" s="1"/>
  <c r="J60" i="7"/>
  <c r="M1078" i="8"/>
  <c r="J1068" i="8" s="1"/>
  <c r="J41" i="7" s="1"/>
  <c r="M1054" i="8"/>
  <c r="L1026" i="8" s="1"/>
  <c r="K38" i="7" s="1"/>
  <c r="M778" i="8"/>
  <c r="J766" i="8" s="1"/>
  <c r="J45" i="7" s="1"/>
  <c r="M1517" i="8"/>
  <c r="J1507" i="8" s="1"/>
  <c r="J10" i="7" s="1"/>
  <c r="M1535" i="8"/>
  <c r="L1507" i="8" s="1"/>
  <c r="K10" i="7" s="1"/>
  <c r="M863" i="8"/>
  <c r="J854" i="8" s="1"/>
  <c r="J29" i="7" s="1"/>
  <c r="M1138" i="8"/>
  <c r="L1110" i="8" s="1"/>
  <c r="K39" i="7" s="1"/>
  <c r="H154" i="12"/>
  <c r="H156" i="12"/>
  <c r="H155" i="12"/>
  <c r="M840" i="8"/>
  <c r="L810" i="8" s="1"/>
  <c r="K37" i="7" s="1"/>
  <c r="M1745" i="8"/>
  <c r="H1720" i="8" s="1"/>
  <c r="O69" i="14"/>
  <c r="K69" i="14"/>
  <c r="R69" i="14"/>
  <c r="T69" i="14"/>
  <c r="X69" i="14" s="1"/>
  <c r="Q69" i="14"/>
  <c r="F154" i="13"/>
  <c r="J63" i="24" s="1"/>
  <c r="I97" i="12" s="1"/>
  <c r="C556" i="13"/>
  <c r="M1780" i="8"/>
  <c r="I224" i="13"/>
  <c r="A521" i="13"/>
  <c r="I297" i="13" s="1"/>
  <c r="I289" i="13" s="1"/>
  <c r="F289" i="13" s="1"/>
  <c r="J76" i="24" s="1"/>
  <c r="I110" i="12" s="1"/>
  <c r="M110" i="12" s="1"/>
  <c r="C558" i="13"/>
  <c r="M1526" i="8"/>
  <c r="H1507" i="8" s="1"/>
  <c r="F212" i="13"/>
  <c r="J68" i="24" s="1"/>
  <c r="I102" i="12" s="1"/>
  <c r="I229" i="13"/>
  <c r="O57" i="14"/>
  <c r="K57" i="14"/>
  <c r="R57" i="14"/>
  <c r="T57" i="14"/>
  <c r="X57" i="14" s="1"/>
  <c r="Q57" i="14"/>
  <c r="O45" i="14"/>
  <c r="K45" i="14"/>
  <c r="R45" i="14"/>
  <c r="O81" i="14"/>
  <c r="K81" i="14"/>
  <c r="R81" i="14"/>
  <c r="O97" i="14"/>
  <c r="K97" i="14"/>
  <c r="R97" i="14"/>
  <c r="K1731" i="8"/>
  <c r="O85" i="14"/>
  <c r="K85" i="14"/>
  <c r="R85" i="14"/>
  <c r="O101" i="14"/>
  <c r="K101" i="14"/>
  <c r="R101" i="14"/>
  <c r="O119" i="14"/>
  <c r="T119" i="14"/>
  <c r="X119" i="14" s="1"/>
  <c r="K119" i="14"/>
  <c r="R119" i="14"/>
  <c r="Q119" i="14"/>
  <c r="O127" i="14"/>
  <c r="T127" i="14"/>
  <c r="X127" i="14" s="1"/>
  <c r="K127" i="14"/>
  <c r="R127" i="14"/>
  <c r="Q127" i="14"/>
  <c r="O33" i="14"/>
  <c r="K33" i="14"/>
  <c r="R33" i="14"/>
  <c r="O37" i="14"/>
  <c r="K37" i="14"/>
  <c r="R37" i="14"/>
  <c r="O41" i="14"/>
  <c r="K41" i="14"/>
  <c r="R41" i="14"/>
  <c r="Q45" i="14"/>
  <c r="O49" i="14"/>
  <c r="K49" i="14"/>
  <c r="R49" i="14"/>
  <c r="F171" i="13"/>
  <c r="F165" i="13" s="1"/>
  <c r="J64" i="24" s="1"/>
  <c r="I98" i="12" s="1"/>
  <c r="M98" i="12" s="1"/>
  <c r="O29" i="14"/>
  <c r="K29" i="14"/>
  <c r="R29" i="14"/>
  <c r="T45" i="14"/>
  <c r="X45" i="14" s="1"/>
  <c r="O61" i="14"/>
  <c r="K61" i="14"/>
  <c r="R61" i="14"/>
  <c r="O73" i="14"/>
  <c r="K73" i="14"/>
  <c r="R73" i="14"/>
  <c r="Q81" i="14"/>
  <c r="O89" i="14"/>
  <c r="K89" i="14"/>
  <c r="R89" i="14"/>
  <c r="Q97" i="14"/>
  <c r="O105" i="14"/>
  <c r="K105" i="14"/>
  <c r="R105" i="14"/>
  <c r="F245" i="13"/>
  <c r="J72" i="24" s="1"/>
  <c r="I106" i="12" s="1"/>
  <c r="M106" i="12" s="1"/>
  <c r="I228" i="13"/>
  <c r="T81" i="14"/>
  <c r="X81" i="14" s="1"/>
  <c r="T97" i="14"/>
  <c r="X97" i="14" s="1"/>
  <c r="O113" i="14"/>
  <c r="K113" i="14"/>
  <c r="R113" i="14"/>
  <c r="I227" i="13"/>
  <c r="O53" i="14"/>
  <c r="K53" i="14"/>
  <c r="R53" i="14"/>
  <c r="O65" i="14"/>
  <c r="K65" i="14"/>
  <c r="R65" i="14"/>
  <c r="O77" i="14"/>
  <c r="K77" i="14"/>
  <c r="R77" i="14"/>
  <c r="Q85" i="14"/>
  <c r="O93" i="14"/>
  <c r="K93" i="14"/>
  <c r="R93" i="14"/>
  <c r="Q101" i="14"/>
  <c r="O109" i="14"/>
  <c r="K109" i="14"/>
  <c r="R109" i="14"/>
  <c r="X28" i="14"/>
  <c r="T32" i="14"/>
  <c r="X32" i="14" s="1"/>
  <c r="T36" i="14"/>
  <c r="X36" i="14" s="1"/>
  <c r="T40" i="14"/>
  <c r="X40" i="14" s="1"/>
  <c r="T112" i="14"/>
  <c r="X112" i="14" s="1"/>
  <c r="Q120" i="14"/>
  <c r="K121" i="14"/>
  <c r="R121" i="14"/>
  <c r="Q128" i="14"/>
  <c r="K129" i="14"/>
  <c r="Q129" i="14"/>
  <c r="T129" i="14"/>
  <c r="X129" i="14" s="1"/>
  <c r="K133" i="14"/>
  <c r="K137" i="14"/>
  <c r="K141" i="14"/>
  <c r="K145" i="14"/>
  <c r="K149" i="14"/>
  <c r="K153" i="14"/>
  <c r="K157" i="14"/>
  <c r="K161" i="14"/>
  <c r="Q30" i="14"/>
  <c r="Q34" i="14"/>
  <c r="Q38" i="14"/>
  <c r="Q42" i="14"/>
  <c r="Q46" i="14"/>
  <c r="Q50" i="14"/>
  <c r="Q54" i="14"/>
  <c r="Q58" i="14"/>
  <c r="Q62" i="14"/>
  <c r="Q66" i="14"/>
  <c r="Q70" i="14"/>
  <c r="Q74" i="14"/>
  <c r="Q78" i="14"/>
  <c r="Q82" i="14"/>
  <c r="Q86" i="14"/>
  <c r="Q90" i="14"/>
  <c r="Q94" i="14"/>
  <c r="Q98" i="14"/>
  <c r="Q102" i="14"/>
  <c r="Q106" i="14"/>
  <c r="Q110" i="14"/>
  <c r="Q114" i="14"/>
  <c r="O28" i="14"/>
  <c r="K30" i="14"/>
  <c r="Q31" i="14"/>
  <c r="O32" i="14"/>
  <c r="K34" i="14"/>
  <c r="Q35" i="14"/>
  <c r="O36" i="14"/>
  <c r="K38" i="14"/>
  <c r="Q39" i="14"/>
  <c r="O40" i="14"/>
  <c r="K42" i="14"/>
  <c r="Q43" i="14"/>
  <c r="O44" i="14"/>
  <c r="K46" i="14"/>
  <c r="Q47" i="14"/>
  <c r="O48" i="14"/>
  <c r="K50" i="14"/>
  <c r="Q51" i="14"/>
  <c r="O52" i="14"/>
  <c r="K54" i="14"/>
  <c r="Q55" i="14"/>
  <c r="O56" i="14"/>
  <c r="K58" i="14"/>
  <c r="Q59" i="14"/>
  <c r="O60" i="14"/>
  <c r="K62" i="14"/>
  <c r="Q63" i="14"/>
  <c r="O64" i="14"/>
  <c r="K66" i="14"/>
  <c r="Q67" i="14"/>
  <c r="O68" i="14"/>
  <c r="K70" i="14"/>
  <c r="O72" i="14"/>
  <c r="K74" i="14"/>
  <c r="Q75" i="14"/>
  <c r="O76" i="14"/>
  <c r="K78" i="14"/>
  <c r="Q79" i="14"/>
  <c r="O80" i="14"/>
  <c r="K82" i="14"/>
  <c r="Q83" i="14"/>
  <c r="O84" i="14"/>
  <c r="K86" i="14"/>
  <c r="Q87" i="14"/>
  <c r="O88" i="14"/>
  <c r="K90" i="14"/>
  <c r="Q91" i="14"/>
  <c r="K94" i="14"/>
  <c r="Q95" i="14"/>
  <c r="K98" i="14"/>
  <c r="Q99" i="14"/>
  <c r="K102" i="14"/>
  <c r="Q103" i="14"/>
  <c r="K106" i="14"/>
  <c r="Q107" i="14"/>
  <c r="K110" i="14"/>
  <c r="Q111" i="14"/>
  <c r="O112" i="14"/>
  <c r="K114" i="14"/>
  <c r="Q115" i="14"/>
  <c r="Q117" i="14"/>
  <c r="K120" i="14"/>
  <c r="Q125" i="14"/>
  <c r="K128" i="14"/>
  <c r="K132" i="14"/>
  <c r="R132" i="14"/>
  <c r="K136" i="14"/>
  <c r="R136" i="14"/>
  <c r="K140" i="14"/>
  <c r="R140" i="14"/>
  <c r="K144" i="14"/>
  <c r="R144" i="14"/>
  <c r="K148" i="14"/>
  <c r="R148" i="14"/>
  <c r="K152" i="14"/>
  <c r="R152" i="14"/>
  <c r="K156" i="14"/>
  <c r="R156" i="14"/>
  <c r="K160" i="14"/>
  <c r="R160" i="14"/>
  <c r="R117" i="14"/>
  <c r="R125" i="14"/>
  <c r="Q28" i="14"/>
  <c r="K31" i="14"/>
  <c r="Q32" i="14"/>
  <c r="Q36" i="14"/>
  <c r="K39" i="14"/>
  <c r="Q40" i="14"/>
  <c r="Q52" i="14"/>
  <c r="Q56" i="14"/>
  <c r="Q60" i="14"/>
  <c r="K63" i="14"/>
  <c r="Q64" i="14"/>
  <c r="Q68" i="14"/>
  <c r="Q72" i="14"/>
  <c r="K75" i="14"/>
  <c r="Q76" i="14"/>
  <c r="K79" i="14"/>
  <c r="Q80" i="14"/>
  <c r="K83" i="14"/>
  <c r="Q84" i="14"/>
  <c r="K87" i="14"/>
  <c r="Q88" i="14"/>
  <c r="K91" i="14"/>
  <c r="Q92" i="14"/>
  <c r="K95" i="14"/>
  <c r="Q96" i="14"/>
  <c r="K99" i="14"/>
  <c r="Q100" i="14"/>
  <c r="K103" i="14"/>
  <c r="Q104" i="14"/>
  <c r="K107" i="14"/>
  <c r="Q108" i="14"/>
  <c r="K111" i="14"/>
  <c r="Q112" i="14"/>
  <c r="T117" i="14"/>
  <c r="X117" i="14" s="1"/>
  <c r="T125" i="14"/>
  <c r="X125" i="14" s="1"/>
  <c r="O131" i="14"/>
  <c r="T131" i="14"/>
  <c r="X131" i="14" s="1"/>
  <c r="O135" i="14"/>
  <c r="T135" i="14"/>
  <c r="X135" i="14" s="1"/>
  <c r="O139" i="14"/>
  <c r="T139" i="14"/>
  <c r="X139" i="14" s="1"/>
  <c r="O143" i="14"/>
  <c r="T143" i="14"/>
  <c r="X143" i="14" s="1"/>
  <c r="O147" i="14"/>
  <c r="T147" i="14"/>
  <c r="X147" i="14" s="1"/>
  <c r="O151" i="14"/>
  <c r="T151" i="14"/>
  <c r="X151" i="14" s="1"/>
  <c r="O155" i="14"/>
  <c r="T155" i="14"/>
  <c r="X155" i="14" s="1"/>
  <c r="O159" i="14"/>
  <c r="T159" i="14"/>
  <c r="X159" i="14" s="1"/>
  <c r="O163" i="14"/>
  <c r="T163" i="14"/>
  <c r="X163" i="14" s="1"/>
  <c r="T116" i="14"/>
  <c r="X116" i="14" s="1"/>
  <c r="O120" i="14"/>
  <c r="O123" i="14"/>
  <c r="T123" i="14"/>
  <c r="X123" i="14" s="1"/>
  <c r="T124" i="14"/>
  <c r="X124" i="14" s="1"/>
  <c r="O128" i="14"/>
  <c r="Q133" i="14"/>
  <c r="Q137" i="14"/>
  <c r="Q141" i="14"/>
  <c r="Q145" i="14"/>
  <c r="Q149" i="14"/>
  <c r="Q153" i="14"/>
  <c r="Q157" i="14"/>
  <c r="Q161" i="14"/>
  <c r="N19" i="31" l="1"/>
  <c r="N22" i="31" s="1"/>
  <c r="N24" i="31" s="1"/>
  <c r="I401" i="8"/>
  <c r="M401" i="8" s="1"/>
  <c r="M406" i="8" s="1"/>
  <c r="L379" i="8" s="1"/>
  <c r="K15" i="7" s="1"/>
  <c r="J80" i="10"/>
  <c r="M895" i="8"/>
  <c r="M40" i="7"/>
  <c r="M639" i="8"/>
  <c r="K87" i="24" s="1"/>
  <c r="J125" i="24"/>
  <c r="I162" i="12" s="1"/>
  <c r="M162" i="12" s="1"/>
  <c r="J149" i="24"/>
  <c r="I186" i="12" s="1"/>
  <c r="J186" i="12"/>
  <c r="M65" i="12"/>
  <c r="M102" i="12"/>
  <c r="M97" i="12"/>
  <c r="O188" i="12"/>
  <c r="E24" i="12" s="1"/>
  <c r="F24" i="12" s="1"/>
  <c r="O150" i="12"/>
  <c r="E20" i="12" s="1"/>
  <c r="K60" i="7"/>
  <c r="R26" i="14"/>
  <c r="K26" i="14"/>
  <c r="M60" i="7"/>
  <c r="Q26" i="14"/>
  <c r="T26" i="14"/>
  <c r="J128" i="24" s="1"/>
  <c r="I165" i="12" s="1"/>
  <c r="M165" i="12" s="1"/>
  <c r="O26" i="14"/>
  <c r="J132" i="24" s="1"/>
  <c r="I169" i="12" s="1"/>
  <c r="M169" i="12" s="1"/>
  <c r="J24" i="24"/>
  <c r="I56" i="12" s="1"/>
  <c r="M56" i="12" s="1"/>
  <c r="P209" i="14"/>
  <c r="J105" i="24"/>
  <c r="I140" i="12" s="1"/>
  <c r="M140" i="12" s="1"/>
  <c r="X211" i="14"/>
  <c r="X209" i="14" s="1"/>
  <c r="N211" i="14"/>
  <c r="L211" i="14"/>
  <c r="L209" i="14" s="1"/>
  <c r="S211" i="14"/>
  <c r="S209" i="14" s="1"/>
  <c r="M211" i="14"/>
  <c r="M209" i="14" s="1"/>
  <c r="N24" i="40"/>
  <c r="N26" i="40" s="1"/>
  <c r="N54" i="40" s="1"/>
  <c r="M11" i="40" s="1"/>
  <c r="N25" i="42"/>
  <c r="N27" i="42" s="1"/>
  <c r="N51" i="42" s="1"/>
  <c r="N52" i="42" s="1"/>
  <c r="N53" i="42" s="1"/>
  <c r="M11" i="42" s="1"/>
  <c r="I2155" i="8"/>
  <c r="M2155" i="8" s="1"/>
  <c r="M2159" i="8" s="1"/>
  <c r="L2131" i="8" s="1"/>
  <c r="K55" i="7" s="1"/>
  <c r="H2131" i="8"/>
  <c r="I2196" i="8"/>
  <c r="M2196" i="8" s="1"/>
  <c r="M2200" i="8" s="1"/>
  <c r="L2173" i="8" s="1"/>
  <c r="K56" i="7" s="1"/>
  <c r="H2173" i="8"/>
  <c r="H1678" i="8"/>
  <c r="I51" i="7" s="1"/>
  <c r="I362" i="8"/>
  <c r="M362" i="8" s="1"/>
  <c r="M13" i="8"/>
  <c r="J4" i="8" s="1"/>
  <c r="J9" i="7" s="1"/>
  <c r="M1952" i="8"/>
  <c r="M179" i="8"/>
  <c r="I192" i="8" s="1"/>
  <c r="M192" i="8" s="1"/>
  <c r="M197" i="8" s="1"/>
  <c r="L169" i="8" s="1"/>
  <c r="K30" i="7" s="1"/>
  <c r="M1557" i="8"/>
  <c r="M54" i="8"/>
  <c r="J45" i="8" s="1"/>
  <c r="J24" i="7" s="1"/>
  <c r="M154" i="14"/>
  <c r="L154" i="14"/>
  <c r="L112" i="14"/>
  <c r="L158" i="14"/>
  <c r="N135" i="14"/>
  <c r="L135" i="14"/>
  <c r="L76" i="14"/>
  <c r="M76" i="14"/>
  <c r="N2089" i="8"/>
  <c r="L28" i="7" s="1"/>
  <c r="I2103" i="8"/>
  <c r="M43" i="14"/>
  <c r="L43" i="14"/>
  <c r="N43" i="14"/>
  <c r="K76" i="7"/>
  <c r="L80" i="14"/>
  <c r="N67" i="14"/>
  <c r="M80" i="14"/>
  <c r="L44" i="14"/>
  <c r="J59" i="7"/>
  <c r="N1507" i="8"/>
  <c r="F1507" i="8" s="1"/>
  <c r="M68" i="14"/>
  <c r="L56" i="14"/>
  <c r="M56" i="14"/>
  <c r="N35" i="14"/>
  <c r="S100" i="14"/>
  <c r="V100" i="14" s="1"/>
  <c r="N18" i="29"/>
  <c r="N20" i="29" s="1"/>
  <c r="N33" i="29" s="1"/>
  <c r="M11" i="29" s="1"/>
  <c r="S150" i="14"/>
  <c r="V150" i="14" s="1"/>
  <c r="N139" i="14"/>
  <c r="M118" i="14"/>
  <c r="L139" i="14"/>
  <c r="K2035" i="8"/>
  <c r="M112" i="14"/>
  <c r="M142" i="14"/>
  <c r="L155" i="14"/>
  <c r="N131" i="14"/>
  <c r="I71" i="7"/>
  <c r="M163" i="14"/>
  <c r="M155" i="14"/>
  <c r="L163" i="14"/>
  <c r="L35" i="14"/>
  <c r="L64" i="14"/>
  <c r="M44" i="14"/>
  <c r="L100" i="14"/>
  <c r="L108" i="14"/>
  <c r="M100" i="14"/>
  <c r="M108" i="14"/>
  <c r="M67" i="14"/>
  <c r="M55" i="14"/>
  <c r="L36" i="14"/>
  <c r="N55" i="14"/>
  <c r="M123" i="14"/>
  <c r="M36" i="14"/>
  <c r="N142" i="14"/>
  <c r="N84" i="14"/>
  <c r="L84" i="14"/>
  <c r="N59" i="14"/>
  <c r="S130" i="14"/>
  <c r="V130" i="14" s="1"/>
  <c r="L59" i="14"/>
  <c r="L88" i="14"/>
  <c r="N51" i="14"/>
  <c r="L52" i="14"/>
  <c r="L147" i="14"/>
  <c r="L51" i="14"/>
  <c r="M52" i="14"/>
  <c r="M147" i="14"/>
  <c r="S35" i="14"/>
  <c r="V35" i="14" s="1"/>
  <c r="N151" i="14"/>
  <c r="N72" i="14"/>
  <c r="L151" i="14"/>
  <c r="L72" i="14"/>
  <c r="S108" i="14"/>
  <c r="V108" i="14" s="1"/>
  <c r="S96" i="14"/>
  <c r="V96" i="14" s="1"/>
  <c r="S55" i="14"/>
  <c r="V55" i="14" s="1"/>
  <c r="L68" i="14"/>
  <c r="L96" i="14"/>
  <c r="M124" i="14"/>
  <c r="M96" i="14"/>
  <c r="M64" i="14"/>
  <c r="M88" i="14"/>
  <c r="S115" i="14"/>
  <c r="V115" i="14" s="1"/>
  <c r="S67" i="14"/>
  <c r="V67" i="14" s="1"/>
  <c r="S59" i="14"/>
  <c r="V59" i="14" s="1"/>
  <c r="S51" i="14"/>
  <c r="V51" i="14" s="1"/>
  <c r="S43" i="14"/>
  <c r="V43" i="14" s="1"/>
  <c r="L146" i="14"/>
  <c r="M158" i="14"/>
  <c r="N115" i="14"/>
  <c r="L131" i="14"/>
  <c r="M146" i="14"/>
  <c r="L115" i="14"/>
  <c r="N122" i="14"/>
  <c r="M28" i="14"/>
  <c r="M71" i="14"/>
  <c r="N71" i="14"/>
  <c r="L48" i="14"/>
  <c r="N28" i="14"/>
  <c r="L159" i="14"/>
  <c r="M48" i="14"/>
  <c r="N60" i="14"/>
  <c r="S47" i="14"/>
  <c r="V47" i="14" s="1"/>
  <c r="L92" i="14"/>
  <c r="L60" i="14"/>
  <c r="K64" i="7"/>
  <c r="M92" i="14"/>
  <c r="S71" i="14"/>
  <c r="V71" i="14" s="1"/>
  <c r="S142" i="14"/>
  <c r="V142" i="14" s="1"/>
  <c r="M143" i="14"/>
  <c r="N143" i="14"/>
  <c r="L47" i="14"/>
  <c r="N47" i="14"/>
  <c r="M138" i="14"/>
  <c r="S138" i="14"/>
  <c r="V138" i="14" s="1"/>
  <c r="L138" i="14"/>
  <c r="N32" i="14"/>
  <c r="L32" i="14"/>
  <c r="N162" i="14"/>
  <c r="S162" i="14"/>
  <c r="V162" i="14" s="1"/>
  <c r="L162" i="14"/>
  <c r="M116" i="14"/>
  <c r="L116" i="14"/>
  <c r="M47" i="14"/>
  <c r="M134" i="14"/>
  <c r="S134" i="14"/>
  <c r="V134" i="14" s="1"/>
  <c r="L134" i="14"/>
  <c r="M40" i="14"/>
  <c r="N40" i="14"/>
  <c r="L40" i="14"/>
  <c r="N130" i="14"/>
  <c r="L130" i="14"/>
  <c r="M130" i="14"/>
  <c r="K75" i="7"/>
  <c r="J75" i="7"/>
  <c r="S126" i="14"/>
  <c r="V126" i="14" s="1"/>
  <c r="N126" i="14"/>
  <c r="M150" i="14"/>
  <c r="L150" i="14"/>
  <c r="K74" i="7"/>
  <c r="J74" i="7"/>
  <c r="K63" i="7"/>
  <c r="J63" i="7"/>
  <c r="S154" i="14"/>
  <c r="V154" i="14" s="1"/>
  <c r="J67" i="7"/>
  <c r="K67" i="7"/>
  <c r="N124" i="14"/>
  <c r="M159" i="14"/>
  <c r="X146" i="14"/>
  <c r="X26" i="14" s="1"/>
  <c r="J138" i="24" s="1"/>
  <c r="I175" i="12" s="1"/>
  <c r="M175" i="12" s="1"/>
  <c r="S146" i="14"/>
  <c r="V146" i="14" s="1"/>
  <c r="M104" i="14"/>
  <c r="L104" i="14"/>
  <c r="N104" i="14"/>
  <c r="L118" i="14"/>
  <c r="S118" i="14"/>
  <c r="V118" i="14" s="1"/>
  <c r="S44" i="14"/>
  <c r="V44" i="14" s="1"/>
  <c r="D555" i="13"/>
  <c r="I316" i="13" s="1"/>
  <c r="I311" i="13" s="1"/>
  <c r="F311" i="13" s="1"/>
  <c r="J78" i="24" s="1"/>
  <c r="I112" i="12" s="1"/>
  <c r="M112" i="12" s="1"/>
  <c r="S104" i="14"/>
  <c r="V104" i="14" s="1"/>
  <c r="S92" i="14"/>
  <c r="V92" i="14" s="1"/>
  <c r="S48" i="14"/>
  <c r="V48" i="14" s="1"/>
  <c r="K1733" i="8"/>
  <c r="M1733" i="8" s="1"/>
  <c r="J1421" i="8"/>
  <c r="J48" i="7" s="1"/>
  <c r="I1925" i="8"/>
  <c r="M1925" i="8" s="1"/>
  <c r="M1930" i="8" s="1"/>
  <c r="L1900" i="8" s="1"/>
  <c r="K22" i="7" s="1"/>
  <c r="J596" i="8"/>
  <c r="J47" i="7" s="1"/>
  <c r="J379" i="8"/>
  <c r="I234" i="8"/>
  <c r="M234" i="8" s="1"/>
  <c r="M239" i="8" s="1"/>
  <c r="L211" i="8" s="1"/>
  <c r="K31" i="7" s="1"/>
  <c r="K77" i="7"/>
  <c r="S158" i="14"/>
  <c r="V158" i="14" s="1"/>
  <c r="N138" i="14"/>
  <c r="J1856" i="8"/>
  <c r="J21" i="7" s="1"/>
  <c r="I1837" i="8"/>
  <c r="M1837" i="8" s="1"/>
  <c r="M1842" i="8" s="1"/>
  <c r="L1812" i="8" s="1"/>
  <c r="K20" i="7" s="1"/>
  <c r="M126" i="14"/>
  <c r="L123" i="14"/>
  <c r="J73" i="7"/>
  <c r="K69" i="7"/>
  <c r="S135" i="14"/>
  <c r="V135" i="14" s="1"/>
  <c r="S159" i="14"/>
  <c r="V159" i="14" s="1"/>
  <c r="S143" i="14"/>
  <c r="V143" i="14" s="1"/>
  <c r="S123" i="14"/>
  <c r="V123" i="14" s="1"/>
  <c r="S60" i="14"/>
  <c r="V60" i="14" s="1"/>
  <c r="S88" i="14"/>
  <c r="V88" i="14" s="1"/>
  <c r="S125" i="14"/>
  <c r="V125" i="14" s="1"/>
  <c r="S124" i="14"/>
  <c r="V124" i="14" s="1"/>
  <c r="S64" i="14"/>
  <c r="V64" i="14" s="1"/>
  <c r="S32" i="14"/>
  <c r="V32" i="14" s="1"/>
  <c r="S163" i="14"/>
  <c r="V163" i="14" s="1"/>
  <c r="S147" i="14"/>
  <c r="V147" i="14" s="1"/>
  <c r="S131" i="14"/>
  <c r="V131" i="14" s="1"/>
  <c r="N125" i="14"/>
  <c r="M125" i="14"/>
  <c r="S72" i="14"/>
  <c r="V72" i="14" s="1"/>
  <c r="S116" i="14"/>
  <c r="V116" i="14" s="1"/>
  <c r="S155" i="14"/>
  <c r="V155" i="14" s="1"/>
  <c r="S139" i="14"/>
  <c r="V139" i="14" s="1"/>
  <c r="S112" i="14"/>
  <c r="V112" i="14" s="1"/>
  <c r="S84" i="14"/>
  <c r="V84" i="14" s="1"/>
  <c r="S40" i="14"/>
  <c r="V40" i="14" s="1"/>
  <c r="L122" i="14"/>
  <c r="S122" i="14"/>
  <c r="V122" i="14" s="1"/>
  <c r="S117" i="14"/>
  <c r="V117" i="14" s="1"/>
  <c r="N117" i="14"/>
  <c r="M117" i="14"/>
  <c r="L99" i="14"/>
  <c r="S99" i="14"/>
  <c r="V99" i="14" s="1"/>
  <c r="N99" i="14"/>
  <c r="M99" i="14"/>
  <c r="L83" i="14"/>
  <c r="S83" i="14"/>
  <c r="V83" i="14" s="1"/>
  <c r="N83" i="14"/>
  <c r="M83" i="14"/>
  <c r="L63" i="14"/>
  <c r="S63" i="14"/>
  <c r="V63" i="14" s="1"/>
  <c r="N63" i="14"/>
  <c r="M63" i="14"/>
  <c r="L31" i="14"/>
  <c r="S31" i="14"/>
  <c r="V31" i="14" s="1"/>
  <c r="N31" i="14"/>
  <c r="M31" i="14"/>
  <c r="N78" i="14"/>
  <c r="M78" i="14"/>
  <c r="L78" i="14"/>
  <c r="S78" i="14"/>
  <c r="V78" i="14" s="1"/>
  <c r="N66" i="14"/>
  <c r="M66" i="14"/>
  <c r="L66" i="14"/>
  <c r="S66" i="14"/>
  <c r="V66" i="14" s="1"/>
  <c r="N34" i="14"/>
  <c r="M34" i="14"/>
  <c r="L34" i="14"/>
  <c r="S34" i="14"/>
  <c r="V34" i="14" s="1"/>
  <c r="S145" i="14"/>
  <c r="V145" i="14" s="1"/>
  <c r="N145" i="14"/>
  <c r="M145" i="14"/>
  <c r="L145" i="14"/>
  <c r="N49" i="14"/>
  <c r="M49" i="14"/>
  <c r="S49" i="14"/>
  <c r="V49" i="14" s="1"/>
  <c r="L49" i="14"/>
  <c r="N33" i="14"/>
  <c r="M33" i="14"/>
  <c r="S33" i="14"/>
  <c r="V33" i="14" s="1"/>
  <c r="L33" i="14"/>
  <c r="K2079" i="8"/>
  <c r="K1758" i="8"/>
  <c r="K1710" i="8"/>
  <c r="K1934" i="8"/>
  <c r="K1846" i="8"/>
  <c r="K1668" i="8"/>
  <c r="K1625" i="8"/>
  <c r="K1579" i="8"/>
  <c r="K844" i="8"/>
  <c r="K1497" i="8"/>
  <c r="K1411" i="8"/>
  <c r="K1366" i="8"/>
  <c r="K1233" i="8"/>
  <c r="K2018" i="8"/>
  <c r="K1890" i="8"/>
  <c r="K1321" i="8"/>
  <c r="K1974" i="8"/>
  <c r="K1802" i="8"/>
  <c r="K1276" i="8"/>
  <c r="K1016" i="8"/>
  <c r="K884" i="8"/>
  <c r="K35" i="8"/>
  <c r="K1186" i="8"/>
  <c r="K586" i="8"/>
  <c r="K159" i="8"/>
  <c r="K800" i="8"/>
  <c r="K502" i="8"/>
  <c r="K410" i="8"/>
  <c r="K284" i="8"/>
  <c r="K1142" i="8"/>
  <c r="K1100" i="8"/>
  <c r="K712" i="8"/>
  <c r="K460" i="8"/>
  <c r="K201" i="8"/>
  <c r="K972" i="8"/>
  <c r="K1456" i="8"/>
  <c r="K369" i="8"/>
  <c r="K325" i="8"/>
  <c r="K243" i="8"/>
  <c r="K117" i="8"/>
  <c r="K628" i="8"/>
  <c r="K76" i="8"/>
  <c r="K1058" i="8"/>
  <c r="K756" i="8"/>
  <c r="M152" i="14"/>
  <c r="S152" i="14"/>
  <c r="V152" i="14" s="1"/>
  <c r="N152" i="14"/>
  <c r="L152" i="14"/>
  <c r="M136" i="14"/>
  <c r="S136" i="14"/>
  <c r="V136" i="14" s="1"/>
  <c r="N136" i="14"/>
  <c r="L136" i="14"/>
  <c r="N102" i="14"/>
  <c r="M102" i="14"/>
  <c r="L102" i="14"/>
  <c r="S102" i="14"/>
  <c r="V102" i="14" s="1"/>
  <c r="S76" i="14"/>
  <c r="V76" i="14" s="1"/>
  <c r="N54" i="14"/>
  <c r="M54" i="14"/>
  <c r="L54" i="14"/>
  <c r="S54" i="14"/>
  <c r="V54" i="14" s="1"/>
  <c r="S141" i="14"/>
  <c r="V141" i="14" s="1"/>
  <c r="N141" i="14"/>
  <c r="M141" i="14"/>
  <c r="L141" i="14"/>
  <c r="S121" i="14"/>
  <c r="V121" i="14" s="1"/>
  <c r="N121" i="14"/>
  <c r="M121" i="14"/>
  <c r="L121" i="14"/>
  <c r="N53" i="14"/>
  <c r="M53" i="14"/>
  <c r="S53" i="14"/>
  <c r="V53" i="14" s="1"/>
  <c r="L53" i="14"/>
  <c r="N29" i="14"/>
  <c r="M29" i="14"/>
  <c r="S29" i="14"/>
  <c r="V29" i="14" s="1"/>
  <c r="L29" i="14"/>
  <c r="L127" i="14"/>
  <c r="N127" i="14"/>
  <c r="M127" i="14"/>
  <c r="S127" i="14"/>
  <c r="V127" i="14" s="1"/>
  <c r="N45" i="14"/>
  <c r="M45" i="14"/>
  <c r="S45" i="14"/>
  <c r="V45" i="14" s="1"/>
  <c r="L45" i="14"/>
  <c r="N57" i="14"/>
  <c r="M57" i="14"/>
  <c r="S57" i="14"/>
  <c r="V57" i="14" s="1"/>
  <c r="L57" i="14"/>
  <c r="I223" i="13"/>
  <c r="L111" i="14"/>
  <c r="S111" i="14"/>
  <c r="V111" i="14" s="1"/>
  <c r="N111" i="14"/>
  <c r="M111" i="14"/>
  <c r="L95" i="14"/>
  <c r="S95" i="14"/>
  <c r="V95" i="14" s="1"/>
  <c r="N95" i="14"/>
  <c r="M95" i="14"/>
  <c r="L79" i="14"/>
  <c r="S79" i="14"/>
  <c r="V79" i="14" s="1"/>
  <c r="N79" i="14"/>
  <c r="M79" i="14"/>
  <c r="N114" i="14"/>
  <c r="M114" i="14"/>
  <c r="L114" i="14"/>
  <c r="S114" i="14"/>
  <c r="V114" i="14" s="1"/>
  <c r="N86" i="14"/>
  <c r="M86" i="14"/>
  <c r="L86" i="14"/>
  <c r="S86" i="14"/>
  <c r="V86" i="14" s="1"/>
  <c r="S52" i="14"/>
  <c r="V52" i="14" s="1"/>
  <c r="N42" i="14"/>
  <c r="M42" i="14"/>
  <c r="L42" i="14"/>
  <c r="S42" i="14"/>
  <c r="V42" i="14" s="1"/>
  <c r="S137" i="14"/>
  <c r="V137" i="14" s="1"/>
  <c r="N137" i="14"/>
  <c r="M137" i="14"/>
  <c r="L137" i="14"/>
  <c r="N89" i="14"/>
  <c r="M89" i="14"/>
  <c r="S89" i="14"/>
  <c r="V89" i="14" s="1"/>
  <c r="L89" i="14"/>
  <c r="N101" i="14"/>
  <c r="M101" i="14"/>
  <c r="S101" i="14"/>
  <c r="V101" i="14" s="1"/>
  <c r="L101" i="14"/>
  <c r="S151" i="14"/>
  <c r="V151" i="14" s="1"/>
  <c r="I10" i="7"/>
  <c r="M148" i="14"/>
  <c r="S148" i="14"/>
  <c r="V148" i="14" s="1"/>
  <c r="N148" i="14"/>
  <c r="L148" i="14"/>
  <c r="N98" i="14"/>
  <c r="M98" i="14"/>
  <c r="L98" i="14"/>
  <c r="S98" i="14"/>
  <c r="V98" i="14" s="1"/>
  <c r="I1793" i="8"/>
  <c r="M1793" i="8" s="1"/>
  <c r="M1798" i="8" s="1"/>
  <c r="L1768" i="8" s="1"/>
  <c r="K19" i="7" s="1"/>
  <c r="J1768" i="8"/>
  <c r="J19" i="7" s="1"/>
  <c r="N69" i="14"/>
  <c r="M69" i="14"/>
  <c r="S69" i="14"/>
  <c r="V69" i="14" s="1"/>
  <c r="L69" i="14"/>
  <c r="I67" i="7"/>
  <c r="L107" i="14"/>
  <c r="S107" i="14"/>
  <c r="V107" i="14" s="1"/>
  <c r="N107" i="14"/>
  <c r="M107" i="14"/>
  <c r="L91" i="14"/>
  <c r="S91" i="14"/>
  <c r="V91" i="14" s="1"/>
  <c r="N91" i="14"/>
  <c r="M91" i="14"/>
  <c r="L75" i="14"/>
  <c r="S75" i="14"/>
  <c r="V75" i="14" s="1"/>
  <c r="N75" i="14"/>
  <c r="M75" i="14"/>
  <c r="M128" i="14"/>
  <c r="N128" i="14"/>
  <c r="L128" i="14"/>
  <c r="S128" i="14"/>
  <c r="V128" i="14" s="1"/>
  <c r="N50" i="14"/>
  <c r="M50" i="14"/>
  <c r="L50" i="14"/>
  <c r="S50" i="14"/>
  <c r="V50" i="14" s="1"/>
  <c r="S28" i="14"/>
  <c r="S161" i="14"/>
  <c r="V161" i="14" s="1"/>
  <c r="N161" i="14"/>
  <c r="M161" i="14"/>
  <c r="L161" i="14"/>
  <c r="N65" i="14"/>
  <c r="M65" i="14"/>
  <c r="S65" i="14"/>
  <c r="V65" i="14" s="1"/>
  <c r="L65" i="14"/>
  <c r="AC27" i="14"/>
  <c r="K62" i="7"/>
  <c r="J62" i="7"/>
  <c r="K66" i="7"/>
  <c r="J66" i="7"/>
  <c r="J69" i="7"/>
  <c r="K2036" i="8"/>
  <c r="M2036" i="8" s="1"/>
  <c r="N74" i="14"/>
  <c r="M74" i="14"/>
  <c r="L74" i="14"/>
  <c r="S74" i="14"/>
  <c r="V74" i="14" s="1"/>
  <c r="S133" i="14"/>
  <c r="V133" i="14" s="1"/>
  <c r="N133" i="14"/>
  <c r="M133" i="14"/>
  <c r="L133" i="14"/>
  <c r="N93" i="14"/>
  <c r="M93" i="14"/>
  <c r="S93" i="14"/>
  <c r="V93" i="14" s="1"/>
  <c r="L93" i="14"/>
  <c r="N37" i="14"/>
  <c r="M37" i="14"/>
  <c r="S37" i="14"/>
  <c r="V37" i="14" s="1"/>
  <c r="L37" i="14"/>
  <c r="N81" i="14"/>
  <c r="M81" i="14"/>
  <c r="S81" i="14"/>
  <c r="V81" i="14" s="1"/>
  <c r="L81" i="14"/>
  <c r="L39" i="14"/>
  <c r="S39" i="14"/>
  <c r="V39" i="14" s="1"/>
  <c r="N39" i="14"/>
  <c r="M39" i="14"/>
  <c r="M160" i="14"/>
  <c r="S160" i="14"/>
  <c r="V160" i="14" s="1"/>
  <c r="N160" i="14"/>
  <c r="L160" i="14"/>
  <c r="M144" i="14"/>
  <c r="S144" i="14"/>
  <c r="V144" i="14" s="1"/>
  <c r="N144" i="14"/>
  <c r="L144" i="14"/>
  <c r="N110" i="14"/>
  <c r="M110" i="14"/>
  <c r="L110" i="14"/>
  <c r="S110" i="14"/>
  <c r="V110" i="14" s="1"/>
  <c r="N94" i="14"/>
  <c r="M94" i="14"/>
  <c r="L94" i="14"/>
  <c r="S94" i="14"/>
  <c r="V94" i="14" s="1"/>
  <c r="N82" i="14"/>
  <c r="M82" i="14"/>
  <c r="L82" i="14"/>
  <c r="S82" i="14"/>
  <c r="V82" i="14" s="1"/>
  <c r="N70" i="14"/>
  <c r="M70" i="14"/>
  <c r="L70" i="14"/>
  <c r="S70" i="14"/>
  <c r="V70" i="14" s="1"/>
  <c r="N38" i="14"/>
  <c r="M38" i="14"/>
  <c r="L38" i="14"/>
  <c r="S38" i="14"/>
  <c r="V38" i="14" s="1"/>
  <c r="S157" i="14"/>
  <c r="V157" i="14" s="1"/>
  <c r="N157" i="14"/>
  <c r="M157" i="14"/>
  <c r="L157" i="14"/>
  <c r="N61" i="14"/>
  <c r="M61" i="14"/>
  <c r="S61" i="14"/>
  <c r="V61" i="14" s="1"/>
  <c r="L61" i="14"/>
  <c r="N85" i="14"/>
  <c r="M85" i="14"/>
  <c r="S85" i="14"/>
  <c r="V85" i="14" s="1"/>
  <c r="L85" i="14"/>
  <c r="J65" i="7"/>
  <c r="K65" i="7"/>
  <c r="N62" i="14"/>
  <c r="M62" i="14"/>
  <c r="L62" i="14"/>
  <c r="S62" i="14"/>
  <c r="V62" i="14" s="1"/>
  <c r="N30" i="14"/>
  <c r="M30" i="14"/>
  <c r="L30" i="14"/>
  <c r="S30" i="14"/>
  <c r="V30" i="14" s="1"/>
  <c r="L103" i="14"/>
  <c r="S103" i="14"/>
  <c r="V103" i="14" s="1"/>
  <c r="N103" i="14"/>
  <c r="M103" i="14"/>
  <c r="L87" i="14"/>
  <c r="S87" i="14"/>
  <c r="V87" i="14" s="1"/>
  <c r="N87" i="14"/>
  <c r="M87" i="14"/>
  <c r="S80" i="14"/>
  <c r="V80" i="14" s="1"/>
  <c r="S68" i="14"/>
  <c r="V68" i="14" s="1"/>
  <c r="N58" i="14"/>
  <c r="M58" i="14"/>
  <c r="L58" i="14"/>
  <c r="S58" i="14"/>
  <c r="V58" i="14" s="1"/>
  <c r="S36" i="14"/>
  <c r="V36" i="14" s="1"/>
  <c r="S153" i="14"/>
  <c r="V153" i="14" s="1"/>
  <c r="N153" i="14"/>
  <c r="M153" i="14"/>
  <c r="L153" i="14"/>
  <c r="S129" i="14"/>
  <c r="V129" i="14" s="1"/>
  <c r="N129" i="14"/>
  <c r="M129" i="14"/>
  <c r="L129" i="14"/>
  <c r="N109" i="14"/>
  <c r="M109" i="14"/>
  <c r="S109" i="14"/>
  <c r="V109" i="14" s="1"/>
  <c r="L109" i="14"/>
  <c r="N105" i="14"/>
  <c r="M105" i="14"/>
  <c r="S105" i="14"/>
  <c r="V105" i="14" s="1"/>
  <c r="L105" i="14"/>
  <c r="N73" i="14"/>
  <c r="M73" i="14"/>
  <c r="S73" i="14"/>
  <c r="V73" i="14" s="1"/>
  <c r="L73" i="14"/>
  <c r="L119" i="14"/>
  <c r="N119" i="14"/>
  <c r="M119" i="14"/>
  <c r="S119" i="14"/>
  <c r="V119" i="14" s="1"/>
  <c r="I74" i="7"/>
  <c r="M132" i="14"/>
  <c r="S132" i="14"/>
  <c r="V132" i="14" s="1"/>
  <c r="N132" i="14"/>
  <c r="L132" i="14"/>
  <c r="M156" i="14"/>
  <c r="S156" i="14"/>
  <c r="V156" i="14" s="1"/>
  <c r="N156" i="14"/>
  <c r="L156" i="14"/>
  <c r="M140" i="14"/>
  <c r="S140" i="14"/>
  <c r="V140" i="14" s="1"/>
  <c r="N140" i="14"/>
  <c r="L140" i="14"/>
  <c r="M120" i="14"/>
  <c r="N120" i="14"/>
  <c r="L120" i="14"/>
  <c r="S120" i="14"/>
  <c r="V120" i="14" s="1"/>
  <c r="N106" i="14"/>
  <c r="M106" i="14"/>
  <c r="L106" i="14"/>
  <c r="S106" i="14"/>
  <c r="V106" i="14" s="1"/>
  <c r="N90" i="14"/>
  <c r="M90" i="14"/>
  <c r="L90" i="14"/>
  <c r="S90" i="14"/>
  <c r="V90" i="14" s="1"/>
  <c r="S56" i="14"/>
  <c r="V56" i="14" s="1"/>
  <c r="N46" i="14"/>
  <c r="M46" i="14"/>
  <c r="L46" i="14"/>
  <c r="S46" i="14"/>
  <c r="V46" i="14" s="1"/>
  <c r="S149" i="14"/>
  <c r="V149" i="14" s="1"/>
  <c r="N149" i="14"/>
  <c r="M149" i="14"/>
  <c r="L149" i="14"/>
  <c r="N77" i="14"/>
  <c r="M77" i="14"/>
  <c r="S77" i="14"/>
  <c r="V77" i="14" s="1"/>
  <c r="L77" i="14"/>
  <c r="N113" i="14"/>
  <c r="M113" i="14"/>
  <c r="S113" i="14"/>
  <c r="V113" i="14" s="1"/>
  <c r="L113" i="14"/>
  <c r="N41" i="14"/>
  <c r="M41" i="14"/>
  <c r="S41" i="14"/>
  <c r="V41" i="14" s="1"/>
  <c r="L41" i="14"/>
  <c r="N97" i="14"/>
  <c r="M97" i="14"/>
  <c r="S97" i="14"/>
  <c r="V97" i="14" s="1"/>
  <c r="L97" i="14"/>
  <c r="I50" i="7"/>
  <c r="M10" i="7" l="1"/>
  <c r="M1508" i="8"/>
  <c r="M186" i="12"/>
  <c r="F20" i="12"/>
  <c r="L26" i="14"/>
  <c r="J129" i="24" s="1"/>
  <c r="I166" i="12" s="1"/>
  <c r="M166" i="12" s="1"/>
  <c r="M26" i="14"/>
  <c r="N26" i="14"/>
  <c r="J130" i="24" s="1"/>
  <c r="I167" i="12" s="1"/>
  <c r="M167" i="12" s="1"/>
  <c r="J1549" i="8"/>
  <c r="J68" i="7" s="1"/>
  <c r="S26" i="14"/>
  <c r="J134" i="24" s="1"/>
  <c r="I171" i="12" s="1"/>
  <c r="M171" i="12" s="1"/>
  <c r="J21" i="24"/>
  <c r="I53" i="12" s="1"/>
  <c r="M53" i="12" s="1"/>
  <c r="N209" i="14"/>
  <c r="J106" i="24"/>
  <c r="I141" i="12" s="1"/>
  <c r="M141" i="12" s="1"/>
  <c r="J103" i="24"/>
  <c r="I138" i="12" s="1"/>
  <c r="M138" i="12" s="1"/>
  <c r="V211" i="14"/>
  <c r="V209" i="14" s="1"/>
  <c r="J23" i="24"/>
  <c r="I55" i="12" s="1"/>
  <c r="M55" i="12" s="1"/>
  <c r="J43" i="24"/>
  <c r="I76" i="12" s="1"/>
  <c r="M76" i="12" s="1"/>
  <c r="V28" i="14"/>
  <c r="V26" i="14" s="1"/>
  <c r="J141" i="24" s="1"/>
  <c r="M23" i="42"/>
  <c r="M40" i="42"/>
  <c r="M12" i="42"/>
  <c r="M22" i="42"/>
  <c r="M47" i="42"/>
  <c r="M36" i="42"/>
  <c r="M1" i="42"/>
  <c r="D36" i="12" s="1"/>
  <c r="M18" i="42"/>
  <c r="M21" i="42"/>
  <c r="M45" i="42"/>
  <c r="M39" i="42"/>
  <c r="M42" i="42"/>
  <c r="M46" i="42"/>
  <c r="M15" i="42"/>
  <c r="M19" i="42"/>
  <c r="M38" i="42"/>
  <c r="M41" i="42"/>
  <c r="M43" i="42"/>
  <c r="M24" i="42"/>
  <c r="M48" i="42"/>
  <c r="M20" i="42"/>
  <c r="M14" i="42"/>
  <c r="M44" i="42"/>
  <c r="M16" i="42"/>
  <c r="M13" i="42"/>
  <c r="M17" i="42"/>
  <c r="M37" i="42"/>
  <c r="M21" i="40"/>
  <c r="M45" i="40"/>
  <c r="M42" i="40"/>
  <c r="M47" i="40"/>
  <c r="M38" i="40"/>
  <c r="M23" i="40"/>
  <c r="M50" i="40"/>
  <c r="M18" i="40"/>
  <c r="M48" i="40"/>
  <c r="M41" i="40"/>
  <c r="M36" i="40"/>
  <c r="M20" i="40"/>
  <c r="M40" i="40"/>
  <c r="M44" i="40"/>
  <c r="M15" i="40"/>
  <c r="M49" i="40"/>
  <c r="M14" i="40"/>
  <c r="M43" i="40"/>
  <c r="M22" i="40"/>
  <c r="M16" i="40"/>
  <c r="M19" i="40"/>
  <c r="M12" i="40"/>
  <c r="N55" i="40"/>
  <c r="N56" i="40" s="1"/>
  <c r="M1" i="40" s="1"/>
  <c r="M13" i="40"/>
  <c r="M39" i="40"/>
  <c r="M37" i="40"/>
  <c r="M17" i="40"/>
  <c r="M46" i="40"/>
  <c r="I56" i="7"/>
  <c r="F2173" i="8"/>
  <c r="I55" i="7"/>
  <c r="F2131" i="8"/>
  <c r="J1944" i="8"/>
  <c r="J23" i="7" s="1"/>
  <c r="J169" i="8"/>
  <c r="J30" i="7" s="1"/>
  <c r="F223" i="13"/>
  <c r="J69" i="24" s="1"/>
  <c r="I103" i="12" s="1"/>
  <c r="M103" i="12" s="1"/>
  <c r="I324" i="13"/>
  <c r="I322" i="13" s="1"/>
  <c r="F322" i="13" s="1"/>
  <c r="J81" i="24" s="1"/>
  <c r="F2089" i="8"/>
  <c r="J76" i="7"/>
  <c r="L10" i="7"/>
  <c r="J15" i="7"/>
  <c r="M1" i="29"/>
  <c r="M27" i="29"/>
  <c r="M15" i="29"/>
  <c r="M12" i="29"/>
  <c r="M30" i="29"/>
  <c r="M25" i="29"/>
  <c r="M16" i="29"/>
  <c r="M28" i="29"/>
  <c r="M17" i="29"/>
  <c r="M13" i="29"/>
  <c r="M26" i="29"/>
  <c r="M29" i="29"/>
  <c r="M14" i="29"/>
  <c r="M71" i="7"/>
  <c r="M67" i="7"/>
  <c r="M74" i="7"/>
  <c r="M69" i="7"/>
  <c r="M77" i="7"/>
  <c r="K73" i="7"/>
  <c r="I2079" i="8"/>
  <c r="M2079" i="8" s="1"/>
  <c r="M2084" i="8" s="1"/>
  <c r="I2018" i="8"/>
  <c r="M2018" i="8" s="1"/>
  <c r="M2023" i="8" s="1"/>
  <c r="I35" i="8"/>
  <c r="M35" i="8" s="1"/>
  <c r="M40" i="8" s="1"/>
  <c r="I76" i="8"/>
  <c r="M76" i="8" s="1"/>
  <c r="M81" i="8" s="1"/>
  <c r="I884" i="8"/>
  <c r="M884" i="8" s="1"/>
  <c r="M889" i="8" s="1"/>
  <c r="I1456" i="8"/>
  <c r="M1456" i="8" s="1"/>
  <c r="M1461" i="8" s="1"/>
  <c r="I1186" i="8"/>
  <c r="M1186" i="8" s="1"/>
  <c r="M1191" i="8" s="1"/>
  <c r="I586" i="8"/>
  <c r="M586" i="8" s="1"/>
  <c r="M591" i="8" s="1"/>
  <c r="I159" i="8"/>
  <c r="M159" i="8" s="1"/>
  <c r="M164" i="8" s="1"/>
  <c r="I284" i="8"/>
  <c r="M284" i="8" s="1"/>
  <c r="M289" i="8" s="1"/>
  <c r="I1411" i="8"/>
  <c r="M1411" i="8" s="1"/>
  <c r="M1416" i="8" s="1"/>
  <c r="I117" i="8"/>
  <c r="M117" i="8" s="1"/>
  <c r="M122" i="8" s="1"/>
  <c r="I800" i="8"/>
  <c r="M800" i="8" s="1"/>
  <c r="M805" i="8" s="1"/>
  <c r="I1758" i="8"/>
  <c r="M1758" i="8" s="1"/>
  <c r="M1763" i="8" s="1"/>
  <c r="N1720" i="8" s="1"/>
  <c r="I1668" i="8"/>
  <c r="M1668" i="8" s="1"/>
  <c r="M1673" i="8" s="1"/>
  <c r="N1633" i="8" s="1"/>
  <c r="I410" i="8"/>
  <c r="M410" i="8" s="1"/>
  <c r="M415" i="8" s="1"/>
  <c r="I460" i="8"/>
  <c r="M460" i="8" s="1"/>
  <c r="M465" i="8" s="1"/>
  <c r="I502" i="8"/>
  <c r="M502" i="8" s="1"/>
  <c r="M507" i="8" s="1"/>
  <c r="I61" i="7"/>
  <c r="I1579" i="8"/>
  <c r="M1579" i="8" s="1"/>
  <c r="M1584" i="8" s="1"/>
  <c r="I1974" i="8"/>
  <c r="M1974" i="8" s="1"/>
  <c r="M1979" i="8" s="1"/>
  <c r="I712" i="8"/>
  <c r="M712" i="8" s="1"/>
  <c r="M717" i="8" s="1"/>
  <c r="I201" i="8"/>
  <c r="M201" i="8" s="1"/>
  <c r="M206" i="8" s="1"/>
  <c r="I243" i="8"/>
  <c r="M243" i="8" s="1"/>
  <c r="M248" i="8" s="1"/>
  <c r="I628" i="8"/>
  <c r="M628" i="8" s="1"/>
  <c r="M633" i="8" s="1"/>
  <c r="I1710" i="8"/>
  <c r="M1710" i="8" s="1"/>
  <c r="M1715" i="8" s="1"/>
  <c r="I1846" i="8"/>
  <c r="M1846" i="8" s="1"/>
  <c r="M1851" i="8" s="1"/>
  <c r="I1890" i="8"/>
  <c r="M1890" i="8" s="1"/>
  <c r="M1895" i="8" s="1"/>
  <c r="I1100" i="8"/>
  <c r="M1100" i="8" s="1"/>
  <c r="M1105" i="8" s="1"/>
  <c r="I1016" i="8"/>
  <c r="M1016" i="8" s="1"/>
  <c r="M1021" i="8" s="1"/>
  <c r="I1934" i="8"/>
  <c r="M1934" i="8" s="1"/>
  <c r="M1939" i="8" s="1"/>
  <c r="I1802" i="8"/>
  <c r="M1802" i="8" s="1"/>
  <c r="M1807" i="8" s="1"/>
  <c r="I1058" i="8"/>
  <c r="M1058" i="8" s="1"/>
  <c r="M1063" i="8" s="1"/>
  <c r="I756" i="8"/>
  <c r="M756" i="8" s="1"/>
  <c r="M761" i="8" s="1"/>
  <c r="I1142" i="8"/>
  <c r="M1142" i="8" s="1"/>
  <c r="M1147" i="8" s="1"/>
  <c r="I844" i="8"/>
  <c r="M844" i="8" s="1"/>
  <c r="M849" i="8" s="1"/>
  <c r="I972" i="8"/>
  <c r="M972" i="8" s="1"/>
  <c r="M977" i="8" s="1"/>
  <c r="I1276" i="8"/>
  <c r="M1276" i="8" s="1"/>
  <c r="M1281" i="8" s="1"/>
  <c r="I1321" i="8"/>
  <c r="M1321" i="8" s="1"/>
  <c r="M1326" i="8" s="1"/>
  <c r="I1497" i="8"/>
  <c r="M1497" i="8" s="1"/>
  <c r="M1502" i="8" s="1"/>
  <c r="I369" i="8"/>
  <c r="M369" i="8" s="1"/>
  <c r="M374" i="8" s="1"/>
  <c r="I325" i="8"/>
  <c r="M325" i="8" s="1"/>
  <c r="M330" i="8" s="1"/>
  <c r="I1366" i="8"/>
  <c r="M1366" i="8" s="1"/>
  <c r="M1371" i="8" s="1"/>
  <c r="K130" i="24" l="1"/>
  <c r="K21" i="24"/>
  <c r="K157" i="24"/>
  <c r="M55" i="7"/>
  <c r="M2132" i="8"/>
  <c r="K127" i="24" s="1"/>
  <c r="M28" i="7"/>
  <c r="M2090" i="8"/>
  <c r="K54" i="24" s="1"/>
  <c r="M56" i="7"/>
  <c r="M2174" i="8"/>
  <c r="K128" i="24" s="1"/>
  <c r="D28" i="12"/>
  <c r="M29" i="12" s="1"/>
  <c r="D32" i="12"/>
  <c r="M33" i="12" s="1"/>
  <c r="J140" i="24"/>
  <c r="I177" i="12" s="1"/>
  <c r="M177" i="12" s="1"/>
  <c r="I178" i="12"/>
  <c r="M178" i="12" s="1"/>
  <c r="J80" i="24"/>
  <c r="I114" i="12" s="1"/>
  <c r="M114" i="12" s="1"/>
  <c r="I115" i="12"/>
  <c r="M115" i="12" s="1"/>
  <c r="N37" i="12"/>
  <c r="K37" i="12"/>
  <c r="L37" i="12"/>
  <c r="M37" i="12"/>
  <c r="J37" i="12"/>
  <c r="J109" i="24"/>
  <c r="J41" i="24"/>
  <c r="I74" i="12" s="1"/>
  <c r="M74" i="12" s="1"/>
  <c r="J20" i="24"/>
  <c r="I52" i="12" s="1"/>
  <c r="M52" i="12" s="1"/>
  <c r="J45" i="24"/>
  <c r="I78" i="12" s="1"/>
  <c r="M78" i="12" s="1"/>
  <c r="J25" i="24"/>
  <c r="I57" i="12" s="1"/>
  <c r="M57" i="12" s="1"/>
  <c r="F333" i="13"/>
  <c r="I141" i="8"/>
  <c r="M141" i="8" s="1"/>
  <c r="M146" i="8" s="1"/>
  <c r="H127" i="8" s="1"/>
  <c r="N127" i="8"/>
  <c r="L59" i="7" s="1"/>
  <c r="I392" i="8"/>
  <c r="M392" i="8" s="1"/>
  <c r="M397" i="8" s="1"/>
  <c r="H379" i="8" s="1"/>
  <c r="N379" i="8"/>
  <c r="L15" i="7" s="1"/>
  <c r="L65" i="7"/>
  <c r="N1549" i="8"/>
  <c r="L68" i="7" s="1"/>
  <c r="I1561" i="8"/>
  <c r="M1561" i="8" s="1"/>
  <c r="M1566" i="8" s="1"/>
  <c r="I1124" i="8"/>
  <c r="M1124" i="8" s="1"/>
  <c r="M1129" i="8" s="1"/>
  <c r="H1110" i="8" s="1"/>
  <c r="N1110" i="8"/>
  <c r="L39" i="7" s="1"/>
  <c r="N420" i="8"/>
  <c r="L52" i="7" s="1"/>
  <c r="I442" i="8"/>
  <c r="M442" i="8" s="1"/>
  <c r="M447" i="8" s="1"/>
  <c r="N1241" i="8"/>
  <c r="L35" i="7" s="1"/>
  <c r="I1258" i="8"/>
  <c r="M1258" i="8" s="1"/>
  <c r="M1263" i="8" s="1"/>
  <c r="I1082" i="8"/>
  <c r="M1082" i="8" s="1"/>
  <c r="M1087" i="8" s="1"/>
  <c r="H1068" i="8" s="1"/>
  <c r="N1068" i="8"/>
  <c r="L41" i="7" s="1"/>
  <c r="I1625" i="8"/>
  <c r="M1625" i="8" s="1"/>
  <c r="M1628" i="8" s="1"/>
  <c r="I1233" i="8"/>
  <c r="M1233" i="8" s="1"/>
  <c r="M1236" i="8" s="1"/>
  <c r="N722" i="8"/>
  <c r="L43" i="7" s="1"/>
  <c r="I738" i="8"/>
  <c r="M738" i="8" s="1"/>
  <c r="M743" i="8" s="1"/>
  <c r="H722" i="8" s="1"/>
  <c r="I1828" i="8"/>
  <c r="M1828" i="8" s="1"/>
  <c r="M1833" i="8" s="1"/>
  <c r="H1812" i="8" s="1"/>
  <c r="N1812" i="8"/>
  <c r="L20" i="7" s="1"/>
  <c r="I610" i="8"/>
  <c r="M610" i="8" s="1"/>
  <c r="M615" i="8" s="1"/>
  <c r="H596" i="8" s="1"/>
  <c r="N596" i="8"/>
  <c r="L47" i="7" s="1"/>
  <c r="L40" i="7"/>
  <c r="L70" i="7"/>
  <c r="N470" i="8"/>
  <c r="L12" i="7" s="1"/>
  <c r="I484" i="8"/>
  <c r="M484" i="8" s="1"/>
  <c r="M489" i="8" s="1"/>
  <c r="L49" i="7"/>
  <c r="N766" i="8"/>
  <c r="L45" i="7" s="1"/>
  <c r="I782" i="8"/>
  <c r="M782" i="8" s="1"/>
  <c r="M787" i="8" s="1"/>
  <c r="H766" i="8" s="1"/>
  <c r="I568" i="8"/>
  <c r="M568" i="8" s="1"/>
  <c r="M573" i="8" s="1"/>
  <c r="H554" i="8" s="1"/>
  <c r="N554" i="8"/>
  <c r="L17" i="7" s="1"/>
  <c r="N1331" i="8"/>
  <c r="L27" i="7" s="1"/>
  <c r="I1348" i="8"/>
  <c r="M1348" i="8" s="1"/>
  <c r="M1353" i="8" s="1"/>
  <c r="N1026" i="8"/>
  <c r="L38" i="7" s="1"/>
  <c r="I1040" i="8"/>
  <c r="M1040" i="8" s="1"/>
  <c r="M1045" i="8" s="1"/>
  <c r="H1026" i="8" s="1"/>
  <c r="N1856" i="8"/>
  <c r="L21" i="7" s="1"/>
  <c r="I1872" i="8"/>
  <c r="M1872" i="8" s="1"/>
  <c r="M1877" i="8" s="1"/>
  <c r="H1856" i="8" s="1"/>
  <c r="N211" i="8"/>
  <c r="L31" i="7" s="1"/>
  <c r="I225" i="8"/>
  <c r="M225" i="8" s="1"/>
  <c r="M230" i="8" s="1"/>
  <c r="H211" i="8" s="1"/>
  <c r="I1168" i="8"/>
  <c r="M1168" i="8" s="1"/>
  <c r="M1173" i="8" s="1"/>
  <c r="N1152" i="8"/>
  <c r="L46" i="7" s="1"/>
  <c r="N45" i="8"/>
  <c r="L24" i="7" s="1"/>
  <c r="I58" i="8"/>
  <c r="M58" i="8" s="1"/>
  <c r="M63" i="8" s="1"/>
  <c r="I99" i="8"/>
  <c r="M99" i="8" s="1"/>
  <c r="M104" i="8" s="1"/>
  <c r="H86" i="8" s="1"/>
  <c r="N86" i="8"/>
  <c r="L25" i="7" s="1"/>
  <c r="N1421" i="8"/>
  <c r="L48" i="7" s="1"/>
  <c r="I1438" i="8"/>
  <c r="M1438" i="8" s="1"/>
  <c r="M1443" i="8" s="1"/>
  <c r="H1421" i="8" s="1"/>
  <c r="I17" i="8"/>
  <c r="M17" i="8" s="1"/>
  <c r="M22" i="8" s="1"/>
  <c r="N4" i="8"/>
  <c r="L9" i="7" s="1"/>
  <c r="I2061" i="8"/>
  <c r="M2061" i="8" s="1"/>
  <c r="M2066" i="8" s="1"/>
  <c r="H2028" i="8" s="1"/>
  <c r="N2028" i="8"/>
  <c r="L58" i="7" s="1"/>
  <c r="I351" i="8"/>
  <c r="M351" i="8" s="1"/>
  <c r="M356" i="8" s="1"/>
  <c r="N335" i="8"/>
  <c r="L14" i="7" s="1"/>
  <c r="L72" i="7"/>
  <c r="L63" i="7"/>
  <c r="I1692" i="8"/>
  <c r="M1692" i="8" s="1"/>
  <c r="M1697" i="8" s="1"/>
  <c r="N1678" i="8"/>
  <c r="L51" i="7" s="1"/>
  <c r="L76" i="7"/>
  <c r="N1944" i="8"/>
  <c r="L23" i="7" s="1"/>
  <c r="I1956" i="8"/>
  <c r="M1956" i="8" s="1"/>
  <c r="M1961" i="8" s="1"/>
  <c r="I1303" i="8"/>
  <c r="M1303" i="8" s="1"/>
  <c r="M1308" i="8" s="1"/>
  <c r="N1286" i="8"/>
  <c r="L34" i="7" s="1"/>
  <c r="I998" i="8"/>
  <c r="M998" i="8" s="1"/>
  <c r="M1003" i="8" s="1"/>
  <c r="H982" i="8" s="1"/>
  <c r="N982" i="8"/>
  <c r="L42" i="7" s="1"/>
  <c r="I307" i="8"/>
  <c r="M307" i="8" s="1"/>
  <c r="M312" i="8" s="1"/>
  <c r="N294" i="8"/>
  <c r="L26" i="7" s="1"/>
  <c r="I954" i="8"/>
  <c r="M954" i="8" s="1"/>
  <c r="M959" i="8" s="1"/>
  <c r="H938" i="8" s="1"/>
  <c r="N938" i="8"/>
  <c r="L36" i="7" s="1"/>
  <c r="L62" i="7"/>
  <c r="L75" i="7"/>
  <c r="L73" i="7"/>
  <c r="L61" i="7"/>
  <c r="L50" i="7"/>
  <c r="N1376" i="8"/>
  <c r="L32" i="7" s="1"/>
  <c r="I1393" i="8"/>
  <c r="M1393" i="8" s="1"/>
  <c r="M1398" i="8" s="1"/>
  <c r="H1376" i="8" s="1"/>
  <c r="N854" i="8"/>
  <c r="L29" i="7" s="1"/>
  <c r="I867" i="8"/>
  <c r="M867" i="8" s="1"/>
  <c r="M872" i="8" s="1"/>
  <c r="I1479" i="8"/>
  <c r="M1479" i="8" s="1"/>
  <c r="M1484" i="8" s="1"/>
  <c r="N1466" i="8"/>
  <c r="L33" i="7" s="1"/>
  <c r="I826" i="8"/>
  <c r="M826" i="8" s="1"/>
  <c r="M831" i="8" s="1"/>
  <c r="H810" i="8" s="1"/>
  <c r="N810" i="8"/>
  <c r="L37" i="7" s="1"/>
  <c r="N1768" i="8"/>
  <c r="L19" i="7" s="1"/>
  <c r="I1784" i="8"/>
  <c r="M1784" i="8" s="1"/>
  <c r="M1789" i="8" s="1"/>
  <c r="H1768" i="8" s="1"/>
  <c r="I1916" i="8"/>
  <c r="M1916" i="8" s="1"/>
  <c r="M1921" i="8" s="1"/>
  <c r="H1900" i="8" s="1"/>
  <c r="N1900" i="8"/>
  <c r="L22" i="7" s="1"/>
  <c r="N169" i="8"/>
  <c r="L30" i="7" s="1"/>
  <c r="I183" i="8"/>
  <c r="M183" i="8" s="1"/>
  <c r="M188" i="8" s="1"/>
  <c r="H169" i="8" s="1"/>
  <c r="I2000" i="8"/>
  <c r="M2000" i="8" s="1"/>
  <c r="M2005" i="8" s="1"/>
  <c r="H1984" i="8" s="1"/>
  <c r="N1984" i="8"/>
  <c r="L44" i="7" s="1"/>
  <c r="I60" i="7"/>
  <c r="L60" i="7"/>
  <c r="L64" i="7"/>
  <c r="L66" i="7"/>
  <c r="N680" i="8"/>
  <c r="L11" i="7" s="1"/>
  <c r="I694" i="8"/>
  <c r="M694" i="8" s="1"/>
  <c r="M699" i="8" s="1"/>
  <c r="H680" i="8" s="1"/>
  <c r="I266" i="8"/>
  <c r="M266" i="8" s="1"/>
  <c r="M271" i="8" s="1"/>
  <c r="N253" i="8"/>
  <c r="L13" i="7" s="1"/>
  <c r="M54" i="24" l="1"/>
  <c r="K29" i="12"/>
  <c r="N29" i="12"/>
  <c r="M21" i="24"/>
  <c r="M128" i="24"/>
  <c r="M127" i="24"/>
  <c r="N33" i="12"/>
  <c r="L29" i="12"/>
  <c r="L33" i="12"/>
  <c r="J33" i="12"/>
  <c r="J29" i="12"/>
  <c r="I33" i="12"/>
  <c r="K33" i="12"/>
  <c r="O91" i="12"/>
  <c r="E16" i="12" s="1"/>
  <c r="F16" i="12" s="1"/>
  <c r="O158" i="12"/>
  <c r="E22" i="12" s="1"/>
  <c r="F22" i="12" s="1"/>
  <c r="J108" i="24"/>
  <c r="I143" i="12" s="1"/>
  <c r="M143" i="12" s="1"/>
  <c r="I144" i="12"/>
  <c r="M144" i="12" s="1"/>
  <c r="H1152" i="8"/>
  <c r="I1177" i="8"/>
  <c r="M1177" i="8" s="1"/>
  <c r="M1182" i="8" s="1"/>
  <c r="L1152" i="8" s="1"/>
  <c r="K46" i="7" s="1"/>
  <c r="H1549" i="8"/>
  <c r="I68" i="7" s="1"/>
  <c r="I1570" i="8"/>
  <c r="M1570" i="8" s="1"/>
  <c r="M1575" i="8" s="1"/>
  <c r="L1549" i="8" s="1"/>
  <c r="K68" i="7" s="1"/>
  <c r="J52" i="24"/>
  <c r="I85" i="12" s="1"/>
  <c r="M85" i="12" s="1"/>
  <c r="J28" i="24"/>
  <c r="J1678" i="8"/>
  <c r="J51" i="7" s="1"/>
  <c r="I1701" i="8"/>
  <c r="M1701" i="8" s="1"/>
  <c r="M1706" i="8" s="1"/>
  <c r="L1678" i="8" s="1"/>
  <c r="K51" i="7" s="1"/>
  <c r="H1944" i="8"/>
  <c r="I1965" i="8"/>
  <c r="M1965" i="8" s="1"/>
  <c r="M1970" i="8" s="1"/>
  <c r="L1944" i="8" s="1"/>
  <c r="K23" i="7" s="1"/>
  <c r="F127" i="8"/>
  <c r="F379" i="8"/>
  <c r="M380" i="8" s="1"/>
  <c r="M62" i="7"/>
  <c r="I62" i="7"/>
  <c r="M76" i="7"/>
  <c r="I76" i="7"/>
  <c r="I31" i="7"/>
  <c r="F211" i="8"/>
  <c r="F1984" i="8"/>
  <c r="I44" i="7"/>
  <c r="I1488" i="8"/>
  <c r="M1488" i="8" s="1"/>
  <c r="M1493" i="8" s="1"/>
  <c r="L1466" i="8" s="1"/>
  <c r="K33" i="7" s="1"/>
  <c r="H1466" i="8"/>
  <c r="I1312" i="8"/>
  <c r="M1312" i="8" s="1"/>
  <c r="M1317" i="8" s="1"/>
  <c r="L1286" i="8" s="1"/>
  <c r="K34" i="7" s="1"/>
  <c r="H1286" i="8"/>
  <c r="H4" i="8"/>
  <c r="I26" i="8"/>
  <c r="M26" i="8" s="1"/>
  <c r="M31" i="8" s="1"/>
  <c r="L4" i="8" s="1"/>
  <c r="K9" i="7" s="1"/>
  <c r="I47" i="7"/>
  <c r="F596" i="8"/>
  <c r="M597" i="8" s="1"/>
  <c r="K94" i="24" s="1"/>
  <c r="I1215" i="8"/>
  <c r="M1215" i="8" s="1"/>
  <c r="M1220" i="8" s="1"/>
  <c r="H1196" i="8" s="1"/>
  <c r="N1196" i="8"/>
  <c r="L54" i="7" s="1"/>
  <c r="M65" i="7"/>
  <c r="I65" i="7"/>
  <c r="F169" i="8"/>
  <c r="I30" i="7"/>
  <c r="M316" i="8"/>
  <c r="H294" i="8"/>
  <c r="I494" i="8"/>
  <c r="M494" i="8" s="1"/>
  <c r="H470" i="8"/>
  <c r="N1589" i="8"/>
  <c r="L53" i="7" s="1"/>
  <c r="I1607" i="8"/>
  <c r="M1607" i="8" s="1"/>
  <c r="M1612" i="8" s="1"/>
  <c r="H1589" i="8" s="1"/>
  <c r="F1110" i="8"/>
  <c r="I39" i="7"/>
  <c r="H854" i="8"/>
  <c r="I876" i="8"/>
  <c r="M876" i="8" s="1"/>
  <c r="M880" i="8" s="1"/>
  <c r="L854" i="8" s="1"/>
  <c r="K29" i="7" s="1"/>
  <c r="F1900" i="8"/>
  <c r="M1901" i="8" s="1"/>
  <c r="K147" i="24" s="1"/>
  <c r="I22" i="7"/>
  <c r="M75" i="7"/>
  <c r="I75" i="7"/>
  <c r="I46" i="7"/>
  <c r="I38" i="7"/>
  <c r="F1026" i="8"/>
  <c r="H1331" i="8"/>
  <c r="I1357" i="8"/>
  <c r="M1357" i="8" s="1"/>
  <c r="F554" i="8"/>
  <c r="I17" i="7"/>
  <c r="I59" i="7"/>
  <c r="F1768" i="8"/>
  <c r="M1769" i="8" s="1"/>
  <c r="K144" i="24" s="1"/>
  <c r="I19" i="7"/>
  <c r="I32" i="7"/>
  <c r="I23" i="7"/>
  <c r="F1421" i="8"/>
  <c r="I48" i="7"/>
  <c r="F766" i="8"/>
  <c r="I45" i="7"/>
  <c r="I70" i="7"/>
  <c r="M70" i="7"/>
  <c r="I43" i="7"/>
  <c r="F722" i="8"/>
  <c r="I452" i="8"/>
  <c r="M452" i="8" s="1"/>
  <c r="H420" i="8"/>
  <c r="K61" i="7"/>
  <c r="M63" i="7"/>
  <c r="I63" i="7"/>
  <c r="I360" i="8"/>
  <c r="M360" i="8" s="1"/>
  <c r="H335" i="8"/>
  <c r="I11" i="7"/>
  <c r="I66" i="7"/>
  <c r="M66" i="7"/>
  <c r="F938" i="8"/>
  <c r="I36" i="7"/>
  <c r="H45" i="8"/>
  <c r="I67" i="8"/>
  <c r="M67" i="8" s="1"/>
  <c r="M72" i="8" s="1"/>
  <c r="L45" i="8" s="1"/>
  <c r="K24" i="7" s="1"/>
  <c r="I40" i="7"/>
  <c r="I41" i="7"/>
  <c r="F1068" i="8"/>
  <c r="I275" i="8"/>
  <c r="M275" i="8" s="1"/>
  <c r="M280" i="8" s="1"/>
  <c r="L253" i="8" s="1"/>
  <c r="K13" i="7" s="1"/>
  <c r="H253" i="8"/>
  <c r="M64" i="7"/>
  <c r="I64" i="7"/>
  <c r="I37" i="7"/>
  <c r="F810" i="8"/>
  <c r="M73" i="7"/>
  <c r="I73" i="7"/>
  <c r="F982" i="8"/>
  <c r="I42" i="7"/>
  <c r="M72" i="7"/>
  <c r="I72" i="7"/>
  <c r="I58" i="7"/>
  <c r="I25" i="7"/>
  <c r="F86" i="8"/>
  <c r="F1856" i="8"/>
  <c r="M1857" i="8" s="1"/>
  <c r="K146" i="24" s="1"/>
  <c r="I21" i="7"/>
  <c r="F1812" i="8"/>
  <c r="M1813" i="8" s="1"/>
  <c r="K145" i="24" s="1"/>
  <c r="I20" i="7"/>
  <c r="H1241" i="8"/>
  <c r="I1267" i="8"/>
  <c r="M1267" i="8" s="1"/>
  <c r="M1272" i="8" s="1"/>
  <c r="L1241" i="8" s="1"/>
  <c r="K35" i="7" s="1"/>
  <c r="I15" i="7"/>
  <c r="K137" i="24" l="1"/>
  <c r="K78" i="24"/>
  <c r="K49" i="24"/>
  <c r="M45" i="7"/>
  <c r="M767" i="8"/>
  <c r="K92" i="24" s="1"/>
  <c r="M41" i="7"/>
  <c r="M1069" i="8"/>
  <c r="K88" i="24" s="1"/>
  <c r="M17" i="7"/>
  <c r="M555" i="8"/>
  <c r="M31" i="7"/>
  <c r="M212" i="8"/>
  <c r="K66" i="24" s="1"/>
  <c r="J79" i="10"/>
  <c r="I2383" i="8" s="1"/>
  <c r="M2383" i="8" s="1"/>
  <c r="M128" i="8"/>
  <c r="M42" i="7"/>
  <c r="M983" i="8"/>
  <c r="K89" i="24" s="1"/>
  <c r="M38" i="7"/>
  <c r="M1027" i="8"/>
  <c r="K85" i="24" s="1"/>
  <c r="M25" i="7"/>
  <c r="M87" i="8"/>
  <c r="M48" i="7"/>
  <c r="M1422" i="8"/>
  <c r="K95" i="24" s="1"/>
  <c r="M39" i="7"/>
  <c r="M1111" i="8"/>
  <c r="K86" i="24" s="1"/>
  <c r="M30" i="7"/>
  <c r="M170" i="8"/>
  <c r="K65" i="24" s="1"/>
  <c r="M44" i="7"/>
  <c r="M1985" i="8"/>
  <c r="K91" i="24" s="1"/>
  <c r="M37" i="7"/>
  <c r="M811" i="8"/>
  <c r="K84" i="24" s="1"/>
  <c r="M36" i="7"/>
  <c r="M939" i="8"/>
  <c r="K83" i="24" s="1"/>
  <c r="M43" i="7"/>
  <c r="M723" i="8"/>
  <c r="K90" i="24" s="1"/>
  <c r="O132" i="12"/>
  <c r="E18" i="12" s="1"/>
  <c r="F18" i="12" s="1"/>
  <c r="J27" i="24"/>
  <c r="I59" i="12" s="1"/>
  <c r="M59" i="12" s="1"/>
  <c r="I60" i="12"/>
  <c r="M60" i="12" s="1"/>
  <c r="F1549" i="8"/>
  <c r="J51" i="24"/>
  <c r="I84" i="12" s="1"/>
  <c r="M84" i="12" s="1"/>
  <c r="O67" i="12" s="1"/>
  <c r="E14" i="12" s="1"/>
  <c r="F14" i="12" s="1"/>
  <c r="F1944" i="8"/>
  <c r="F1678" i="8"/>
  <c r="M1679" i="8" s="1"/>
  <c r="K113" i="24" s="1"/>
  <c r="M47" i="7"/>
  <c r="J77" i="10"/>
  <c r="M20" i="7"/>
  <c r="M21" i="7"/>
  <c r="M22" i="7"/>
  <c r="J73" i="10"/>
  <c r="I2504" i="8" s="1"/>
  <c r="M2504" i="8" s="1"/>
  <c r="M15" i="7"/>
  <c r="M19" i="7"/>
  <c r="M59" i="7"/>
  <c r="F253" i="8"/>
  <c r="I13" i="7"/>
  <c r="I27" i="7"/>
  <c r="I12" i="7"/>
  <c r="I34" i="7"/>
  <c r="I54" i="7"/>
  <c r="I26" i="7"/>
  <c r="M1402" i="8"/>
  <c r="M1407" i="8" s="1"/>
  <c r="L1376" i="8" s="1"/>
  <c r="M703" i="8"/>
  <c r="M708" i="8" s="1"/>
  <c r="L680" i="8" s="1"/>
  <c r="M493" i="8"/>
  <c r="M498" i="8" s="1"/>
  <c r="L470" i="8" s="1"/>
  <c r="K12" i="7" s="1"/>
  <c r="M1358" i="8"/>
  <c r="M1362" i="8" s="1"/>
  <c r="L1331" i="8" s="1"/>
  <c r="K27" i="7" s="1"/>
  <c r="I361" i="8"/>
  <c r="M361" i="8" s="1"/>
  <c r="M365" i="8" s="1"/>
  <c r="L335" i="8" s="1"/>
  <c r="M317" i="8"/>
  <c r="M321" i="8" s="1"/>
  <c r="L294" i="8" s="1"/>
  <c r="I535" i="8"/>
  <c r="M535" i="8" s="1"/>
  <c r="M540" i="8" s="1"/>
  <c r="L512" i="8" s="1"/>
  <c r="F45" i="8"/>
  <c r="I24" i="7"/>
  <c r="I14" i="7"/>
  <c r="F854" i="8"/>
  <c r="I29" i="7"/>
  <c r="J61" i="7"/>
  <c r="M61" i="7"/>
  <c r="I53" i="7"/>
  <c r="F1466" i="8"/>
  <c r="I33" i="7"/>
  <c r="I52" i="7"/>
  <c r="F4" i="8"/>
  <c r="I9" i="7"/>
  <c r="F1241" i="8"/>
  <c r="M1242" i="8" s="1"/>
  <c r="K77" i="24" s="1"/>
  <c r="I35" i="7"/>
  <c r="K63" i="24" l="1"/>
  <c r="M63" i="24" s="1"/>
  <c r="K129" i="24"/>
  <c r="K41" i="24"/>
  <c r="K20" i="24"/>
  <c r="K156" i="24"/>
  <c r="K103" i="24"/>
  <c r="I1638" i="8"/>
  <c r="M1638" i="8" s="1"/>
  <c r="I2443" i="8"/>
  <c r="M2443" i="8" s="1"/>
  <c r="K141" i="24"/>
  <c r="K52" i="24"/>
  <c r="K28" i="24"/>
  <c r="K109" i="24"/>
  <c r="K81" i="24"/>
  <c r="K164" i="24"/>
  <c r="M88" i="24"/>
  <c r="M92" i="24"/>
  <c r="M91" i="24"/>
  <c r="I2323" i="8"/>
  <c r="M2323" i="8" s="1"/>
  <c r="I2496" i="8"/>
  <c r="M2496" i="8" s="1"/>
  <c r="M89" i="24"/>
  <c r="M86" i="24"/>
  <c r="M85" i="24"/>
  <c r="M84" i="24"/>
  <c r="M83" i="24"/>
  <c r="M33" i="7"/>
  <c r="M1467" i="8"/>
  <c r="K73" i="24" s="1"/>
  <c r="J83" i="10"/>
  <c r="I2445" i="8" s="1"/>
  <c r="M2445" i="8" s="1"/>
  <c r="M254" i="8"/>
  <c r="J70" i="10"/>
  <c r="I1637" i="8" s="1"/>
  <c r="M1637" i="8" s="1"/>
  <c r="M46" i="8"/>
  <c r="M23" i="7"/>
  <c r="M1945" i="8"/>
  <c r="M9" i="7"/>
  <c r="M5" i="8"/>
  <c r="M29" i="7"/>
  <c r="M855" i="8"/>
  <c r="K64" i="24" s="1"/>
  <c r="M90" i="24"/>
  <c r="M68" i="7"/>
  <c r="M1550" i="8"/>
  <c r="K169" i="24" s="1"/>
  <c r="O46" i="12"/>
  <c r="E12" i="12" s="1"/>
  <c r="F12" i="12" s="1"/>
  <c r="M51" i="7"/>
  <c r="J82" i="10"/>
  <c r="I2042" i="8" s="1"/>
  <c r="M2042" i="8" s="1"/>
  <c r="I2390" i="8"/>
  <c r="M2390" i="8" s="1"/>
  <c r="I2451" i="8"/>
  <c r="M2451" i="8" s="1"/>
  <c r="I2391" i="8"/>
  <c r="M2391" i="8" s="1"/>
  <c r="I1732" i="8"/>
  <c r="M1732" i="8" s="1"/>
  <c r="I2331" i="8"/>
  <c r="M2331" i="8" s="1"/>
  <c r="I2041" i="8"/>
  <c r="M2041" i="8" s="1"/>
  <c r="I2330" i="8"/>
  <c r="M2330" i="8" s="1"/>
  <c r="M87" i="24"/>
  <c r="M28" i="24"/>
  <c r="M157" i="24"/>
  <c r="M130" i="24"/>
  <c r="M144" i="24"/>
  <c r="M147" i="24"/>
  <c r="M146" i="24"/>
  <c r="M145" i="24"/>
  <c r="I1641" i="8"/>
  <c r="M1641" i="8" s="1"/>
  <c r="M35" i="7"/>
  <c r="J74" i="10"/>
  <c r="I1725" i="8"/>
  <c r="M1725" i="8" s="1"/>
  <c r="I2033" i="8"/>
  <c r="M2033" i="8" s="1"/>
  <c r="M24" i="7"/>
  <c r="M13" i="7"/>
  <c r="M81" i="24"/>
  <c r="I1295" i="8"/>
  <c r="M1295" i="8" s="1"/>
  <c r="M1299" i="8" s="1"/>
  <c r="J1286" i="8" s="1"/>
  <c r="I1643" i="8"/>
  <c r="M1643" i="8" s="1"/>
  <c r="K26" i="7"/>
  <c r="F294" i="8"/>
  <c r="K14" i="7"/>
  <c r="F335" i="8"/>
  <c r="M336" i="8" s="1"/>
  <c r="F470" i="8"/>
  <c r="K11" i="7"/>
  <c r="F680" i="8"/>
  <c r="F1331" i="8"/>
  <c r="M1332" i="8" s="1"/>
  <c r="K32" i="7"/>
  <c r="F1376" i="8"/>
  <c r="K16" i="7"/>
  <c r="F512" i="8"/>
  <c r="K69" i="24" l="1"/>
  <c r="K161" i="24"/>
  <c r="K106" i="24"/>
  <c r="K134" i="24"/>
  <c r="K45" i="24"/>
  <c r="K25" i="24"/>
  <c r="K75" i="24"/>
  <c r="K48" i="24"/>
  <c r="K101" i="24"/>
  <c r="M101" i="24" s="1"/>
  <c r="K154" i="24"/>
  <c r="K125" i="24"/>
  <c r="K39" i="24"/>
  <c r="K18" i="24"/>
  <c r="K38" i="24"/>
  <c r="K61" i="24"/>
  <c r="K136" i="24"/>
  <c r="K74" i="24"/>
  <c r="K56" i="24"/>
  <c r="K33" i="24"/>
  <c r="K149" i="24"/>
  <c r="M149" i="24" s="1"/>
  <c r="M156" i="24"/>
  <c r="M52" i="24"/>
  <c r="M141" i="24"/>
  <c r="I2035" i="8"/>
  <c r="M2035" i="8" s="1"/>
  <c r="M64" i="24"/>
  <c r="I2498" i="8"/>
  <c r="M2498" i="8" s="1"/>
  <c r="I2382" i="8"/>
  <c r="M2382" i="8" s="1"/>
  <c r="I2322" i="8"/>
  <c r="M2322" i="8" s="1"/>
  <c r="I2495" i="8"/>
  <c r="M2495" i="8" s="1"/>
  <c r="I2442" i="8"/>
  <c r="M2442" i="8" s="1"/>
  <c r="M20" i="24"/>
  <c r="M16" i="7"/>
  <c r="M513" i="8"/>
  <c r="J71" i="10"/>
  <c r="I2497" i="8" s="1"/>
  <c r="M2497" i="8" s="1"/>
  <c r="M471" i="8"/>
  <c r="M11" i="7"/>
  <c r="M681" i="8"/>
  <c r="M32" i="7"/>
  <c r="M1377" i="8"/>
  <c r="K70" i="24" s="1"/>
  <c r="J72" i="10"/>
  <c r="I2500" i="8" s="1"/>
  <c r="M2500" i="8" s="1"/>
  <c r="M295" i="8"/>
  <c r="M164" i="24"/>
  <c r="M137" i="24"/>
  <c r="M49" i="24"/>
  <c r="I2450" i="8"/>
  <c r="M2450" i="8" s="1"/>
  <c r="I2503" i="8"/>
  <c r="M2503" i="8" s="1"/>
  <c r="I2329" i="8"/>
  <c r="M2329" i="8" s="1"/>
  <c r="I2389" i="8"/>
  <c r="M2389" i="8" s="1"/>
  <c r="M113" i="24"/>
  <c r="M65" i="24"/>
  <c r="M109" i="24"/>
  <c r="M41" i="24"/>
  <c r="M129" i="24"/>
  <c r="M78" i="24"/>
  <c r="J52" i="10"/>
  <c r="I1598" i="8" s="1"/>
  <c r="M1598" i="8" s="1"/>
  <c r="M1603" i="8" s="1"/>
  <c r="J76" i="10"/>
  <c r="I1642" i="8"/>
  <c r="M1642" i="8" s="1"/>
  <c r="I2040" i="8"/>
  <c r="M2040" i="8" s="1"/>
  <c r="I1730" i="8"/>
  <c r="M1730" i="8" s="1"/>
  <c r="M14" i="7"/>
  <c r="J17" i="10"/>
  <c r="M26" i="7"/>
  <c r="I2218" i="8"/>
  <c r="M2218" i="8" s="1"/>
  <c r="M2224" i="8" s="1"/>
  <c r="M27" i="7"/>
  <c r="M12" i="7"/>
  <c r="I1731" i="8"/>
  <c r="M1731" i="8" s="1"/>
  <c r="J34" i="7"/>
  <c r="F1286" i="8"/>
  <c r="M1287" i="8" s="1"/>
  <c r="K76" i="24" s="1"/>
  <c r="I2032" i="8"/>
  <c r="M2032" i="8" s="1"/>
  <c r="I1724" i="8"/>
  <c r="M1724" i="8" s="1"/>
  <c r="K24" i="24" l="1"/>
  <c r="K160" i="24"/>
  <c r="K133" i="24"/>
  <c r="K68" i="24"/>
  <c r="K44" i="24"/>
  <c r="K72" i="24"/>
  <c r="K47" i="24"/>
  <c r="K159" i="24"/>
  <c r="K105" i="24"/>
  <c r="M105" i="24" s="1"/>
  <c r="K23" i="24"/>
  <c r="K43" i="24"/>
  <c r="K132" i="24"/>
  <c r="K80" i="24"/>
  <c r="M80" i="24" s="1"/>
  <c r="K163" i="24"/>
  <c r="K27" i="24"/>
  <c r="K140" i="24"/>
  <c r="K108" i="24"/>
  <c r="K51" i="24"/>
  <c r="M39" i="24"/>
  <c r="M33" i="24"/>
  <c r="M18" i="24"/>
  <c r="M56" i="24"/>
  <c r="M169" i="24"/>
  <c r="M154" i="24"/>
  <c r="M125" i="24"/>
  <c r="M163" i="24"/>
  <c r="I2444" i="8"/>
  <c r="M2444" i="8" s="1"/>
  <c r="I2326" i="8"/>
  <c r="M2326" i="8" s="1"/>
  <c r="I2386" i="8"/>
  <c r="M2386" i="8" s="1"/>
  <c r="I2447" i="8"/>
  <c r="M2447" i="8" s="1"/>
  <c r="I2384" i="8"/>
  <c r="M2384" i="8" s="1"/>
  <c r="I2324" i="8"/>
  <c r="M2324" i="8" s="1"/>
  <c r="M106" i="24"/>
  <c r="M161" i="24"/>
  <c r="M134" i="24"/>
  <c r="M61" i="24"/>
  <c r="M25" i="24"/>
  <c r="M45" i="24"/>
  <c r="M38" i="24"/>
  <c r="M69" i="24"/>
  <c r="I2448" i="8"/>
  <c r="M2448" i="8" s="1"/>
  <c r="I2501" i="8"/>
  <c r="M2501" i="8" s="1"/>
  <c r="I2327" i="8"/>
  <c r="M2327" i="8" s="1"/>
  <c r="I2387" i="8"/>
  <c r="M2387" i="8" s="1"/>
  <c r="M94" i="24"/>
  <c r="M103" i="24"/>
  <c r="M66" i="24"/>
  <c r="I1205" i="8"/>
  <c r="M1205" i="8" s="1"/>
  <c r="M1211" i="8" s="1"/>
  <c r="J1196" i="8" s="1"/>
  <c r="M34" i="7"/>
  <c r="J75" i="10"/>
  <c r="J1589" i="8"/>
  <c r="I1616" i="8"/>
  <c r="M1616" i="8" s="1"/>
  <c r="M1621" i="8" s="1"/>
  <c r="L1589" i="8" s="1"/>
  <c r="K53" i="7" s="1"/>
  <c r="I424" i="8"/>
  <c r="M424" i="8" s="1"/>
  <c r="M438" i="8" s="1"/>
  <c r="I1157" i="8"/>
  <c r="M1157" i="8" s="1"/>
  <c r="M1164" i="8" s="1"/>
  <c r="J1152" i="8" s="1"/>
  <c r="J2214" i="8"/>
  <c r="J57" i="7" s="1"/>
  <c r="M2236" i="8"/>
  <c r="M2241" i="8" s="1"/>
  <c r="L2214" i="8" s="1"/>
  <c r="K57" i="7" s="1"/>
  <c r="I1727" i="8"/>
  <c r="M1727" i="8" s="1"/>
  <c r="I2037" i="8"/>
  <c r="M2037" i="8" s="1"/>
  <c r="I1640" i="8"/>
  <c r="M1640" i="8" s="1"/>
  <c r="I2038" i="8"/>
  <c r="M2038" i="8" s="1"/>
  <c r="I1728" i="8"/>
  <c r="M1728" i="8" s="1"/>
  <c r="I2034" i="8"/>
  <c r="M2034" i="8" s="1"/>
  <c r="I1639" i="8"/>
  <c r="M1639" i="8" s="1"/>
  <c r="I1726" i="8"/>
  <c r="M1726" i="8" s="1"/>
  <c r="M27" i="24" l="1"/>
  <c r="M51" i="24"/>
  <c r="M43" i="24"/>
  <c r="M108" i="24"/>
  <c r="M140" i="24"/>
  <c r="M133" i="24"/>
  <c r="M136" i="24"/>
  <c r="M160" i="24"/>
  <c r="M24" i="24"/>
  <c r="M47" i="24"/>
  <c r="M74" i="24"/>
  <c r="M68" i="24"/>
  <c r="M72" i="24"/>
  <c r="M48" i="24"/>
  <c r="M75" i="24"/>
  <c r="I2449" i="8"/>
  <c r="M2449" i="8" s="1"/>
  <c r="I2502" i="8"/>
  <c r="M2502" i="8" s="1"/>
  <c r="M2512" i="8" s="1"/>
  <c r="J2491" i="8" s="1"/>
  <c r="I2328" i="8"/>
  <c r="M2328" i="8" s="1"/>
  <c r="I2388" i="8"/>
  <c r="M2388" i="8" s="1"/>
  <c r="M159" i="24"/>
  <c r="M23" i="24"/>
  <c r="M132" i="24"/>
  <c r="M44" i="24"/>
  <c r="I1224" i="8"/>
  <c r="M1224" i="8" s="1"/>
  <c r="M1229" i="8" s="1"/>
  <c r="L1196" i="8" s="1"/>
  <c r="K54" i="7" s="1"/>
  <c r="I2039" i="8"/>
  <c r="M2039" i="8" s="1"/>
  <c r="I1729" i="8"/>
  <c r="M1729" i="8" s="1"/>
  <c r="J53" i="7"/>
  <c r="F1589" i="8"/>
  <c r="J54" i="7"/>
  <c r="J46" i="7"/>
  <c r="F1152" i="8"/>
  <c r="M1153" i="8" s="1"/>
  <c r="K93" i="24" s="1"/>
  <c r="I451" i="8"/>
  <c r="M451" i="8" s="1"/>
  <c r="M456" i="8" s="1"/>
  <c r="L420" i="8" s="1"/>
  <c r="K52" i="7" s="1"/>
  <c r="J420" i="8"/>
  <c r="F2214" i="8"/>
  <c r="M1646" i="8"/>
  <c r="J1633" i="8" s="1"/>
  <c r="J49" i="7" s="1"/>
  <c r="M35" i="24" l="1"/>
  <c r="M57" i="7"/>
  <c r="M2215" i="8"/>
  <c r="K138" i="24" s="1"/>
  <c r="M53" i="7"/>
  <c r="M1590" i="8"/>
  <c r="K119" i="24" s="1"/>
  <c r="F2491" i="8"/>
  <c r="J82" i="7"/>
  <c r="M46" i="7"/>
  <c r="J78" i="10"/>
  <c r="M2459" i="8" s="1"/>
  <c r="J2438" i="8" s="1"/>
  <c r="F1196" i="8"/>
  <c r="J52" i="7"/>
  <c r="F420" i="8"/>
  <c r="F1633" i="8"/>
  <c r="M82" i="7" l="1"/>
  <c r="M2492" i="8"/>
  <c r="K31" i="24" s="1"/>
  <c r="M54" i="7"/>
  <c r="M1197" i="8"/>
  <c r="K120" i="24" s="1"/>
  <c r="J84" i="10"/>
  <c r="I2043" i="8" s="1"/>
  <c r="M2043" i="8" s="1"/>
  <c r="M2057" i="8" s="1"/>
  <c r="J2028" i="8" s="1"/>
  <c r="J58" i="7" s="1"/>
  <c r="M1634" i="8"/>
  <c r="K111" i="24" s="1"/>
  <c r="M52" i="7"/>
  <c r="M421" i="8"/>
  <c r="K118" i="24" s="1"/>
  <c r="M119" i="24"/>
  <c r="M138" i="24"/>
  <c r="M93" i="24"/>
  <c r="F2438" i="8"/>
  <c r="J81" i="7"/>
  <c r="M1734" i="8"/>
  <c r="M1736" i="8" s="1"/>
  <c r="J1720" i="8" s="1"/>
  <c r="F1720" i="8" s="1"/>
  <c r="I2392" i="8"/>
  <c r="M2392" i="8" s="1"/>
  <c r="M2406" i="8" s="1"/>
  <c r="J2378" i="8" s="1"/>
  <c r="I2332" i="8"/>
  <c r="M2332" i="8" s="1"/>
  <c r="M2346" i="8" s="1"/>
  <c r="M95" i="24"/>
  <c r="M49" i="7"/>
  <c r="M31" i="24" l="1"/>
  <c r="J50" i="7"/>
  <c r="M50" i="7"/>
  <c r="M1721" i="8"/>
  <c r="K96" i="24" s="1"/>
  <c r="M81" i="7"/>
  <c r="M2439" i="8"/>
  <c r="K167" i="24" s="1"/>
  <c r="M118" i="24"/>
  <c r="M120" i="24"/>
  <c r="F2378" i="8"/>
  <c r="J80" i="7"/>
  <c r="I2070" i="8"/>
  <c r="M2070" i="8" s="1"/>
  <c r="M2075" i="8" s="1"/>
  <c r="L2028" i="8" s="1"/>
  <c r="K58" i="7" s="1"/>
  <c r="M2359" i="8"/>
  <c r="M2364" i="8" s="1"/>
  <c r="L2318" i="8" s="1"/>
  <c r="K79" i="7" s="1"/>
  <c r="J2318" i="8"/>
  <c r="M70" i="24"/>
  <c r="M76" i="24"/>
  <c r="M73" i="24"/>
  <c r="M111" i="24"/>
  <c r="M98" i="24" s="1"/>
  <c r="M115" i="24" l="1"/>
  <c r="M96" i="24"/>
  <c r="M167" i="24"/>
  <c r="M80" i="7"/>
  <c r="M2379" i="8"/>
  <c r="K166" i="24" s="1"/>
  <c r="L45" i="23"/>
  <c r="D14" i="12"/>
  <c r="F2028" i="8"/>
  <c r="F2318" i="8"/>
  <c r="J79" i="7"/>
  <c r="M77" i="24"/>
  <c r="M58" i="24" l="1"/>
  <c r="L47" i="23"/>
  <c r="D20" i="12"/>
  <c r="J21" i="12" s="1"/>
  <c r="M166" i="24"/>
  <c r="M58" i="7"/>
  <c r="M2029" i="8"/>
  <c r="K143" i="24" s="1"/>
  <c r="M79" i="7"/>
  <c r="M2319" i="8"/>
  <c r="K30" i="24" s="1"/>
  <c r="D18" i="12"/>
  <c r="N19" i="12" s="1"/>
  <c r="L48" i="23"/>
  <c r="L15" i="12"/>
  <c r="J15" i="12"/>
  <c r="K15" i="12"/>
  <c r="M143" i="24" l="1"/>
  <c r="M122" i="24" s="1"/>
  <c r="M30" i="24"/>
  <c r="M151" i="24"/>
  <c r="L46" i="23"/>
  <c r="D16" i="12"/>
  <c r="L17" i="12" s="1"/>
  <c r="D24" i="12" l="1"/>
  <c r="J25" i="12" s="1"/>
  <c r="M16" i="24"/>
  <c r="M171" i="24" s="1"/>
  <c r="L50" i="23"/>
  <c r="D22" i="12"/>
  <c r="K23" i="12" s="1"/>
  <c r="K17" i="12"/>
  <c r="M17" i="12"/>
  <c r="L49" i="23"/>
  <c r="M173" i="24" l="1"/>
  <c r="M23" i="12"/>
  <c r="L44" i="23"/>
  <c r="D12" i="12"/>
  <c r="J13" i="12" s="1"/>
  <c r="L23" i="12"/>
  <c r="N23" i="12"/>
  <c r="J180" i="24" l="1"/>
  <c r="K180" i="24" s="1"/>
  <c r="J49" i="31"/>
  <c r="N49" i="31" s="1"/>
  <c r="E8" i="26"/>
  <c r="C16" i="26" s="1"/>
  <c r="C19" i="26" s="1"/>
  <c r="M187" i="24" l="1"/>
  <c r="J48" i="31"/>
  <c r="N48" i="31" s="1"/>
  <c r="F16" i="26"/>
  <c r="F19" i="26" s="1"/>
  <c r="O16" i="26"/>
  <c r="O19" i="26" s="1"/>
  <c r="J47" i="31"/>
  <c r="N47" i="31" s="1"/>
  <c r="J51" i="31"/>
  <c r="N51" i="31" s="1"/>
  <c r="L16" i="26"/>
  <c r="L19" i="26" s="1"/>
  <c r="I16" i="26"/>
  <c r="I19" i="26" s="1"/>
  <c r="K225" i="24"/>
  <c r="K227" i="24" s="1"/>
  <c r="P209" i="24" s="1"/>
  <c r="N52" i="31" l="1"/>
  <c r="P21" i="26"/>
  <c r="P23" i="26" s="1"/>
  <c r="P24" i="26" s="1"/>
  <c r="N42" i="31" s="1"/>
  <c r="N54" i="31" l="1"/>
  <c r="O1" i="26"/>
  <c r="M50" i="31" l="1"/>
  <c r="M35" i="31"/>
  <c r="M29" i="31"/>
  <c r="M21" i="31"/>
  <c r="M48" i="31"/>
  <c r="M15" i="31"/>
  <c r="M32" i="31"/>
  <c r="M51" i="31"/>
  <c r="M31" i="31"/>
  <c r="M18" i="31"/>
  <c r="M41" i="31"/>
  <c r="M49" i="31"/>
  <c r="M34" i="31"/>
  <c r="M16" i="31"/>
  <c r="M14" i="31"/>
  <c r="N56" i="31"/>
  <c r="M1" i="31" s="1"/>
  <c r="M13" i="31"/>
  <c r="M33" i="31"/>
  <c r="M17" i="31"/>
  <c r="M47" i="31"/>
  <c r="M30" i="31"/>
  <c r="D26" i="12" l="1"/>
  <c r="L27" i="12" s="1"/>
  <c r="D38" i="12"/>
  <c r="M27" i="12" l="1"/>
  <c r="D43" i="12"/>
  <c r="M30" i="12" s="1"/>
  <c r="K27" i="12"/>
  <c r="J27" i="12"/>
  <c r="N27" i="12"/>
  <c r="H39" i="12"/>
  <c r="I39" i="12"/>
  <c r="O39" i="12"/>
  <c r="J39" i="12"/>
  <c r="N39" i="12"/>
  <c r="M39" i="12"/>
  <c r="K39" i="12"/>
  <c r="L39" i="12"/>
  <c r="G39" i="12"/>
  <c r="K1" i="23" l="1"/>
  <c r="O1" i="12" s="1"/>
  <c r="J26" i="12"/>
  <c r="O38" i="12"/>
  <c r="L28" i="12"/>
  <c r="J12" i="12"/>
  <c r="L14" i="12"/>
  <c r="N34" i="12"/>
  <c r="M26" i="12"/>
  <c r="I38" i="12"/>
  <c r="N28" i="12"/>
  <c r="K32" i="12"/>
  <c r="J36" i="12"/>
  <c r="N22" i="12"/>
  <c r="M32" i="12"/>
  <c r="J24" i="12"/>
  <c r="K26" i="12"/>
  <c r="K14" i="12"/>
  <c r="L32" i="12"/>
  <c r="I32" i="12"/>
  <c r="K16" i="12"/>
  <c r="M22" i="12"/>
  <c r="K34" i="12"/>
  <c r="N18" i="12"/>
  <c r="K38" i="12"/>
  <c r="N26" i="12"/>
  <c r="K36" i="12"/>
  <c r="L16" i="12"/>
  <c r="N36" i="12"/>
  <c r="M16" i="12"/>
  <c r="L36" i="12"/>
  <c r="M38" i="12"/>
  <c r="J14" i="12"/>
  <c r="N32" i="12"/>
  <c r="J20" i="12"/>
  <c r="G38" i="12"/>
  <c r="N38" i="12"/>
  <c r="H38" i="12"/>
  <c r="K28" i="12"/>
  <c r="L34" i="12"/>
  <c r="L38" i="12"/>
  <c r="J38" i="12"/>
  <c r="L26" i="12"/>
  <c r="J28" i="12"/>
  <c r="M28" i="12"/>
  <c r="J32" i="12"/>
  <c r="L22" i="12"/>
  <c r="J34" i="12"/>
  <c r="M34" i="12"/>
  <c r="K30" i="12"/>
  <c r="M36" i="12"/>
  <c r="K22"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4" authorId="0" shapeId="0" xr:uid="{00000000-0006-0000-0400-000001000000}">
      <text>
        <r>
          <rPr>
            <sz val="10"/>
            <color rgb="FF000000"/>
            <rFont val="Arial"/>
            <family val="2"/>
            <scheme val="minor"/>
          </rPr>
          <t>======
ID#AAAA7jWliqQ
Autor    (2023-03-03 01:19:19)
varia entre 0 y 1  S/ FONADE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<sst xmlns="http://schemas.openxmlformats.org/spreadsheetml/2006/main" count="8383" uniqueCount="1988">
  <si>
    <t>FECHA</t>
  </si>
  <si>
    <t>VALIDACIÓN DISEÑOS</t>
  </si>
  <si>
    <t>EJECUCIÓN</t>
  </si>
  <si>
    <t>LIQUIDACIÓN</t>
  </si>
  <si>
    <t>TOTAL OBRA</t>
  </si>
  <si>
    <t>EXCAVACIONES Y RELLENOS</t>
  </si>
  <si>
    <t>Z. Verde</t>
  </si>
  <si>
    <t>Afirmado</t>
  </si>
  <si>
    <t>Vía</t>
  </si>
  <si>
    <t>Bd Zanja</t>
  </si>
  <si>
    <t>m</t>
  </si>
  <si>
    <t>Profundidad a clave</t>
  </si>
  <si>
    <t>Seca</t>
  </si>
  <si>
    <t>%</t>
  </si>
  <si>
    <t>Conglomerado</t>
  </si>
  <si>
    <t>Mecánica</t>
  </si>
  <si>
    <t>Cama de Arena</t>
  </si>
  <si>
    <t>Relleno en Recebo</t>
  </si>
  <si>
    <t>Base</t>
  </si>
  <si>
    <t>Sub Base</t>
  </si>
  <si>
    <t>Pavimento</t>
  </si>
  <si>
    <t>DISPOSICIÓN DE ESCOMBROS</t>
  </si>
  <si>
    <t>Km</t>
  </si>
  <si>
    <t>Carga</t>
  </si>
  <si>
    <t>Kg</t>
  </si>
  <si>
    <t>Expansión</t>
  </si>
  <si>
    <t>Compactación</t>
  </si>
  <si>
    <t>ÍNDICE GENERAL COMPONENTE FINANCIERO ESTRUCTURADO</t>
  </si>
  <si>
    <t>Presupuesto General</t>
  </si>
  <si>
    <t>Cantidades de obra - Estructuras</t>
  </si>
  <si>
    <t>Cantidades de obra - Redes</t>
  </si>
  <si>
    <t>Factor Multiplicador</t>
  </si>
  <si>
    <t>Pólizas</t>
  </si>
  <si>
    <t>Lista de A.P.U.S.</t>
  </si>
  <si>
    <t>Cantidades de obra - Codos y Anclajes</t>
  </si>
  <si>
    <t>A.P.U.S.</t>
  </si>
  <si>
    <t>Cuadrillas</t>
  </si>
  <si>
    <t>Materiales</t>
  </si>
  <si>
    <t>Equipos</t>
  </si>
  <si>
    <t>DESCRIPCIÓN</t>
  </si>
  <si>
    <t>UNIDAD</t>
  </si>
  <si>
    <t>CANT.</t>
  </si>
  <si>
    <t>VALOR UNITARIO</t>
  </si>
  <si>
    <t>VR. PARCIAL</t>
  </si>
  <si>
    <t>A-01</t>
  </si>
  <si>
    <t>PRELIMINARES</t>
  </si>
  <si>
    <t>A-01.01</t>
  </si>
  <si>
    <t>LOCALIZACIÓN Y REPLANTEO DE ESTRUCTURAS DE ACUEDUCTOS (INCLUYE EQUIPO DE TOPOGRAFÍA)</t>
  </si>
  <si>
    <t>A-02</t>
  </si>
  <si>
    <t>EXCAVACIONES</t>
  </si>
  <si>
    <t>A-02.01</t>
  </si>
  <si>
    <t>EXCAVACIÓN MANUAL EN CONGLOMERADO (INCLUYE HERRAMIENTA MENOR Y MANO DE OBRA)</t>
  </si>
  <si>
    <t>A-03</t>
  </si>
  <si>
    <t>RELLENOS</t>
  </si>
  <si>
    <t>A-03.01</t>
  </si>
  <si>
    <t>RELLENO TIPO II: CON RECEBO SELECCIONADO, COMPACTADO EN CAPAS DE 20 CM, PROCTOR MODIFICADO 95%, A TODO FACTOR (INCLUYE RECEBO, EQUIPOS, HERRAMIENTAS, TRANSPORTE Y MANO DE OBRA)</t>
  </si>
  <si>
    <t>RELLENO CON MATERIAL SELECCIONADO DE LA EXCAVACIÓN, COMPACTADO CON EQUIPO MECÁNICO EN CAPAS DE 0,20 m (INCLUYE EQUIPO, HERRAMIENTA MENOR Y MANO DE OBRA)</t>
  </si>
  <si>
    <t>A-04</t>
  </si>
  <si>
    <t>CONCRETOS Y ACEROS</t>
  </si>
  <si>
    <t>A-04.01</t>
  </si>
  <si>
    <t>CONCRETO PARA SOLADO DE 2000 PSI A TODO COSTO (140 KG/CM2)</t>
  </si>
  <si>
    <t>A-04.02</t>
  </si>
  <si>
    <t>CONCRETO PARA PISO DE 4000 PSI IMPERMEABILIZADO A TODO COSTO (280 KG/CM2)</t>
  </si>
  <si>
    <t>A-04.03</t>
  </si>
  <si>
    <t>CONCRETO PARA MUROS DE 4000 PSI IMPERMEABILIZADO DE 280 KG/CM2 (INCLUYE FORMALETA METÁLICA POR AMBOS LADOS, MATERIALES, EQUIPOS, HERRAMIENTA MENOR Y MANO DE OBRA)</t>
  </si>
  <si>
    <t>CONCRETO PARA TAPA DE 4000 PSI IMPERMEABILIZADO 280 KG/CM2 (INCLUYE FORMALETA EN MADERA, MATERIALES, HERRAMIENTA MENOR Y MANO DE OBRA)</t>
  </si>
  <si>
    <t>SUMINISTRO FIGURADO Y ARMADO DE ACERO DE REFUERZO 60000 PSI (INCLUYE DESPERDICIO DEL 5%)</t>
  </si>
  <si>
    <t>A-05</t>
  </si>
  <si>
    <t>RETIRO Y DISPOSICIÓN FINAL DE ESCOMBROS</t>
  </si>
  <si>
    <t>A-05.01</t>
  </si>
  <si>
    <t>A-05.02</t>
  </si>
  <si>
    <t>A-06</t>
  </si>
  <si>
    <t>ACCESORIOS Y OBRAS COMPLEMENTARIAS</t>
  </si>
  <si>
    <t>A-06.01</t>
  </si>
  <si>
    <t>A-06.02</t>
  </si>
  <si>
    <t>A-06.03</t>
  </si>
  <si>
    <t>A-06.04</t>
  </si>
  <si>
    <t>SUMINISTRO E INSTALACIÓN PASOS PARA ESCALERA DE GATO EN VARILLA PRD-60 DE 3/4" ANTIDESLIZANTE CON ANCLAJE DENTADO, REFUERZO, Y TRANCA PIE. L=0,30 M AN= 0,30 (INCLUYE MATERIALES, EQUIPOS Y  MANO DE OBRA)</t>
  </si>
  <si>
    <t>SUMINISTRO E INSTALACIÓN DE UNIÓN DE DESMONTAJE Ø10" EN HIERRO DUCTIL (INCLUYE MATERIALES, HERRAMIENTAS Y MANO DE OBRA)</t>
  </si>
  <si>
    <t>TUBERÍAS</t>
  </si>
  <si>
    <t>DESCRIPCION</t>
  </si>
  <si>
    <t>UNID</t>
  </si>
  <si>
    <t>VR. UNIT</t>
  </si>
  <si>
    <t>ENTIBADO EN MADERA TIPO 2; CONTINUO PARA PROFUNDIDADES DE 2,0 A 4,0 MTS PARA TERRENOS INESTABLES 5 USOS (INCLUYE MATERIALES, HERRAMIENTAS Y MANO DE OBRA)</t>
  </si>
  <si>
    <t>CONCRETO DE 3000 PSI A TODO COSTO (210 KG/CM2)</t>
  </si>
  <si>
    <t>SUMINISTRO E INSTALACIÓN CODO 45° Ø6" EN HIERRO DUCTIL CON UNIÓN MECÁNICA (INCLUYE MATERIALES, HERRAMIENTAS Y MANO DE OBRA)</t>
  </si>
  <si>
    <t>SUMINISTRO E INSTALACIÓN DE CODO 90° Ø6" EN HIERRO DUCTIL (INCLUYE MATERIALES, HERRAMIENTAS Y MANO DE OBRA)</t>
  </si>
  <si>
    <t>EXCAVACIÓN MANUAL EN MATERIAL COMÚN  (INCLUYE MANO DE OBRA, EQUIPOS Y MATERIALES)</t>
  </si>
  <si>
    <t>EXCAVACIÓN MECÁNICA EN CONGLOMERADO (INCLUYE MAQUINARIA)</t>
  </si>
  <si>
    <t>RELLENO CON ARENA PARA BASE DE TUBERÍA (INCLUYE MATERIALES, TRANSPORTE Y MANO DE OBRA)</t>
  </si>
  <si>
    <t>RETIRO DE MATERIAL SOBRANTE HASTA BOTADERO AUTORIZADO, DISTANCIA 5KM (INCLUYE FACTOR DE EXPANSIÓN, CARGUE Y TRANSPORTE DE MATERIAL)</t>
  </si>
  <si>
    <t>EXTENDIDO MANUAL DE TIERRAS CON MATERIAL DE LA PROPIA EXCAVACÍON (INCLUYE HERRAMIENTA MENOR Y MANO DE OBRA)</t>
  </si>
  <si>
    <t>DISPOSICIÓN DE MATERIAL PROVENIENTE DE EXCAVACIÓN (INCLUYE TRANSPORTE)</t>
  </si>
  <si>
    <t>SUMINISTRO E INSTALACIÓN CODO 11,25° Ø6" EN HIERRO DUCTIL CON UNIÓN MECÁNICA (INCLUYE MATERIALES, HERRAMIENTAS Y MANO DE OBRA)</t>
  </si>
  <si>
    <t>SUMINISTRO E INSTALACIÓN CODO 22,5° Ø6" EN HIERRO DUCTIL CON UNIÓN MECÁNICA (INCLUYE MATERIALES, HERRAMIENTAS Y MANO DE OBRA)</t>
  </si>
  <si>
    <t>SUMINISTRO E INSTALACIÓN CODO 90° Ø6" EN HIERRO DUCTIL CON UNIÓN MECÁNICA (INCLUYE MATERIALES, HERRAMIENTAS Y MANO DE OBRA)</t>
  </si>
  <si>
    <t>CÁMARA DE QUIEBRE DE PRESIÓN 6" A TODO COSTO (INCLUYE REPLANTEO, EXCAVACIÓN, RECEBO, EXTENDIDO, CONCRETO DE 4000 PSI, ACERO DE REFUERZO, TUBERÍA DE LAVADO DE 6", VÁLVULA FLOTADORA, PASAMURO, MATERIALES, HERRRAMIENTA MENOR Y MANO DE OBRA)</t>
  </si>
  <si>
    <t>D-01</t>
  </si>
  <si>
    <t>D-01.01</t>
  </si>
  <si>
    <t>D-02</t>
  </si>
  <si>
    <t>D-02.01</t>
  </si>
  <si>
    <t>D-02.02</t>
  </si>
  <si>
    <t>EXCAVACIÓN MECÁNICA CON PROFUNDIDAD DE H= 0.0 A 6.0 MTS EN MATERIAL COMÚN SECO A TODO COSTO (INCLUYE MANO DE OBRA)</t>
  </si>
  <si>
    <t>D-02.03</t>
  </si>
  <si>
    <t>ENTIBADO EN MADERA TIPO 1; DISCONTINÚO PARA PROFUNDIDADES MAYORES A 2,0 MTS PARA TERRENOS MEDIANAMENTE ESTABLES 5 USOS (INCLUYE MATERIALES, HERRAMIENTAS Y MANO DE OBRA)</t>
  </si>
  <si>
    <t>D-02.04</t>
  </si>
  <si>
    <t>D-03</t>
  </si>
  <si>
    <t>D-03.01</t>
  </si>
  <si>
    <t>D-03.02</t>
  </si>
  <si>
    <t>D-03.03</t>
  </si>
  <si>
    <t>RELLENO CON GRAVA EN AREAS DE TANQUES DE PLANTA DE TRATAMIENTO (INCLUYE MATERIALES, HERRAMIENTAS, TRANSPORTE Y MANO DE OBRA)</t>
  </si>
  <si>
    <t>D-04</t>
  </si>
  <si>
    <t>CONCRETOS, MORTEROS Y ACEROS</t>
  </si>
  <si>
    <t>D-04.01</t>
  </si>
  <si>
    <t>D-04.02</t>
  </si>
  <si>
    <t>CONCRETO PARA SOLADO DE 2000 PSI PARA ANDÉN PERIMETRAL A TODO COSTO (140 KG/CM2)</t>
  </si>
  <si>
    <t>D-04.03</t>
  </si>
  <si>
    <t>D-04.04</t>
  </si>
  <si>
    <t>D-04.05</t>
  </si>
  <si>
    <t>D-04.06</t>
  </si>
  <si>
    <t>D-04.07</t>
  </si>
  <si>
    <t>D-05</t>
  </si>
  <si>
    <t>D-05.01</t>
  </si>
  <si>
    <t>D-05.02</t>
  </si>
  <si>
    <t>D-06</t>
  </si>
  <si>
    <t>ACCESORIOS Y OBRAS COMPLEMETARIAS</t>
  </si>
  <si>
    <t>D-06.01</t>
  </si>
  <si>
    <t>SUMINISTRO E INSTALACIÓN DE VÁLVULA DE COMPUERTA CON VOLANTE Ø8" EN HIERRO DUCTIL (INCLUYE MATERIALES, HERRAMIENTAS Y MANO DE OBRA)</t>
  </si>
  <si>
    <t>D-06.02</t>
  </si>
  <si>
    <t>SUMINISTRO E INSTALACIÓN DE VÁLVULA DE COMPUERTA CON VOLANTE Ø10" EN HIERRO DUCTIL (INCLUYE MATERIALES, HERRAMIENTAS Y MANO DE OBRA)</t>
  </si>
  <si>
    <t>D-06.03</t>
  </si>
  <si>
    <t>SUMINISTRO E INSTALACIÓN DE UNIÓN DE DESMONTAJE Ø6" EN HIERRO DUCTIL (INCLUYE MATERIALES, HERRAMIENTAS Y MANO DE OBRA)</t>
  </si>
  <si>
    <t>D-06.04</t>
  </si>
  <si>
    <t>D-06.05</t>
  </si>
  <si>
    <t>SUMINISTRO E INSTALACIÓN DE NIPLE PASAMURO DE Ø6" EN HIERRO DUCTIL (INCLUYE MATERIALES, HERRAMIENTAS Y MANO DE OBRA)</t>
  </si>
  <si>
    <t>D-06.06</t>
  </si>
  <si>
    <t>SUMINISTRO E INSTALACIÓN DE NIPLE PASAMURO DE Ø10" EN HIERRO DUCTIL (INCLUYE MATERIALES, HERRAMIENTAS Y MANO DE OBRA)</t>
  </si>
  <si>
    <t>D-06.07</t>
  </si>
  <si>
    <t>D-06.08</t>
  </si>
  <si>
    <t>SUMINISTRO E INSTALACIÓN CODO 90° Ø10" EN HIERRO DUCTIL (INCLUYE MATERIALES, HERRAMIENTAS Y MANO DE OBRA)</t>
  </si>
  <si>
    <t>D-06.09</t>
  </si>
  <si>
    <t>SUMINISTRO E INSTALACIÓN DE MACROMEDIDOR TIPO WOLTMAN Ø6" (INCLUYE HERRAMIENTA MENOR Y MANO DE OBRA)</t>
  </si>
  <si>
    <t>D-06.10</t>
  </si>
  <si>
    <t>SUMINISTRO E INSTALACIÓN TEE 90° Ø10" EN HIERRO DUCTIL (INCLUYE MATERIALES, HERRAMIENTAS Y MANO DE OBRA)</t>
  </si>
  <si>
    <t>D-06.11</t>
  </si>
  <si>
    <t>SUMINISTRO E INSTALACIÓN DE TAPA Y ARO (INCLUYE MATERIALES, HERRAMIENTAS Y MANO DE OBRA)</t>
  </si>
  <si>
    <t>D-06.12</t>
  </si>
  <si>
    <t>D-06.13</t>
  </si>
  <si>
    <t>CERRAMIENTO EN MALLA ESLABONADA APOYADA EN TUBERIA GALVANIZADA Ø2 1/2" (INCLUYE POSTES, SOLDADURA, ÁNGULOS, PINTURA, MATERIALES, HERRAMIENTA MENOR, Y MANO DE OBRA)</t>
  </si>
  <si>
    <t>D-06.14</t>
  </si>
  <si>
    <t>PUERTA DE ACCESO PEATONAL AL PREDIO DE UNA HOJA 1.20x2.00m EN MALLA ESLABONADA NO. 10 (INCLUYE MARCO, TUBERÍA HG DE 2", SOLDADURA, PINTURA, PORTACANDADOS, BISAGRAS, MATERIALES, HERRAMIENTA MENOR, EQUIPO Y MANO DE OBRA)</t>
  </si>
  <si>
    <t>D-06.15</t>
  </si>
  <si>
    <t>PORTÓN DE ACCESO VEHÍCULAR AL PREDIO 2.00x2.20m DE DOS HOJAS EN MALLA ESLABONADA NO. 10 (INCLUYE MARCO, TUBERÍA HG DE 2", SOLDADURA, MALLA, PINTURA, PORTACANDADO DE 4", BISAGRA DE 3", MATERIALES, HERRAMIENTA MENOR, EQUIPO Y MANO DE OBRA)</t>
  </si>
  <si>
    <t>SUMINISTRO E INSTALACIÓN DE TUBERIA DE VENTILACIÓN Ø2" (INCLUYE MATERIALES, HERRAMIENTAS Y MANO DE OBRA)</t>
  </si>
  <si>
    <t>CONSTRUCCIÓN DE CABEZAL DE DESCARGA EN CONCRETO DE 4000 PSI (INCLUYE REPLANTEO, EXCAVACIÓN MANUAL, RECEBO, SOLADO, ACERO DE REFUERZO, CONCREO DE 4000 PSI, FORMALETA METALICA, HERRAMIENTA MENOR Y MANO DE OBRA)</t>
  </si>
  <si>
    <t>CONSTRUCCIÓN DE POZO DE INSPECCIÓN DE ALCANTARILLADO CON ALTURA MAXIMA DE 2.00 MTS (INCLUYE REPLANTEO, EXCAVACIÓN, RECEBO, CONCRETO DE 4000 PSI, ACERO DE REFUERZO, TAPA DE SEGURIDAD, ESCALERA TIPO GATO, MATERIALES, HERRAMIENTA MENOR Y MANO DE OBRA)</t>
  </si>
  <si>
    <t>D-07.01</t>
  </si>
  <si>
    <t>ACCESORIOS</t>
  </si>
  <si>
    <t>SUMINISTRO E INSTALACIÓN CODO 11,25° Ø2" EN HIERRO DUCTIL CON UNIÓN MECÁNICA (INCLUYE MATERIALES, HERRAMIENTAS Y MANO DE OBRA)</t>
  </si>
  <si>
    <t>SUMINISTRO E INSTALACIÓN CODO 11,25° Ø4" EN HIERRO DUCTIL CON UNIÓN MECÁNICA (INCLUYE MATERIALES, HERRAMIENTAS Y MANO DE OBRA)</t>
  </si>
  <si>
    <t>SUMINISTRO E INSTALACIÓN CODO 22,5° Ø2" EN HIERRO DUCTIL CON UNIÓN MECÁNICA (INCLUYE MATERIALES, HERRAMIENTAS Y MANO DE OBRA)</t>
  </si>
  <si>
    <t>SUMINISTRO E INSTALACIÓN CODO 22,5° Ø4" EN HIERRO DUCTIL CON UNIÓN MECÁNICA (INCLUYE MATERIALES, HERRAMIENTAS Y MANO DE OBRA)</t>
  </si>
  <si>
    <t>SUMINISTRO E INSTALACIÓN CODO 45° Ø4" EN HIERRO DUCTIL CON UNIÓN MECÁNICA (INCLUYE MATERIALES, HERRAMIENTAS Y MANO DE OBRA)</t>
  </si>
  <si>
    <t>SUMINISTRO E INSTALACIÓN TEE Ø4" x 4" x 2" EN HIERRO DUCTIL CON UNIÓN MECÁNICA (INCLUYE MATERIALES, HERRAMIENTA MENOR Y MANO DE OBRA)</t>
  </si>
  <si>
    <t>SUMINISTRO E INSTALACIÓN REDUCCIÓN PVC PRESIÓN 4" X 3" (INCLUYE MATERIALES, HERRAMIENTA MENOR Y MANO DE OBRA)</t>
  </si>
  <si>
    <t>MICROMEDIDOR DE Ø1/2" (INCLUYE CAJA, TEE, CODO, ADAPTADORES, VÁLVULAS, MEDIDOR, COLLAR DE DERIVACIÓN, TAPÓN, RACOR, MATERIALES, HERRAMIENTA MENOR Y MANO DE OBRA)</t>
  </si>
  <si>
    <t>INSTALACIÓN DE MANGUERA PEAD DE D=12.7mm PARA ACOMETIDA RDE 9 (INCLUYE MANO DE OBRA)</t>
  </si>
  <si>
    <t>INSTALACIÓN DE TUBERÍA PVC Ø2" (INCLUYE PEGAMENTO, LIMPIADOR, HERRAMIENTA MENOR Y MANO DE OBRA)</t>
  </si>
  <si>
    <t>SUMINISTRO DE MANGUERA PEAD DE D=12.7mm PARA ACOMETIDA RDE 9</t>
  </si>
  <si>
    <t>ESTRUCTURA</t>
  </si>
  <si>
    <t>SUMINISTRO</t>
  </si>
  <si>
    <t>OBRA CIVIL</t>
  </si>
  <si>
    <t>ADMINISTRACIÓN</t>
  </si>
  <si>
    <t>IMPREVISTOS</t>
  </si>
  <si>
    <t>UTILIDAD</t>
  </si>
  <si>
    <t>AIU OBRA CIVIL</t>
  </si>
  <si>
    <t>TOTAL COSTOS OBRA CIVIL</t>
  </si>
  <si>
    <t>TOTAL</t>
  </si>
  <si>
    <t>COSTO DIRECTO OC</t>
  </si>
  <si>
    <t>A</t>
  </si>
  <si>
    <t>COSTOS DIRECTOS DE PERSONAL</t>
  </si>
  <si>
    <t>ÍTEM</t>
  </si>
  <si>
    <t>CARGO/OFICIO</t>
  </si>
  <si>
    <t>SMLMV</t>
  </si>
  <si>
    <t>CANTIDAD</t>
  </si>
  <si>
    <t>DEDICAC. (Mes)</t>
  </si>
  <si>
    <t>SUELDO Y/O TARIFA MENSUAL</t>
  </si>
  <si>
    <t>DURAC. (Meses)</t>
  </si>
  <si>
    <t>IMPACTO (%)</t>
  </si>
  <si>
    <t>VALOR PARCIAL ($)</t>
  </si>
  <si>
    <t>A.01</t>
  </si>
  <si>
    <t>Director de obra</t>
  </si>
  <si>
    <t>A.02</t>
  </si>
  <si>
    <t>Especialista Estructural</t>
  </si>
  <si>
    <t>A.03</t>
  </si>
  <si>
    <t>Especialista en Geotecnia</t>
  </si>
  <si>
    <t>A.04</t>
  </si>
  <si>
    <t>Especialista Hidráulico</t>
  </si>
  <si>
    <t>A.05</t>
  </si>
  <si>
    <t>Profesional Civil (Residente de Obra)</t>
  </si>
  <si>
    <t>A.06</t>
  </si>
  <si>
    <t>Profesional Topógrafo</t>
  </si>
  <si>
    <t>A.07</t>
  </si>
  <si>
    <t>Profesional Ambiental</t>
  </si>
  <si>
    <t>A.08</t>
  </si>
  <si>
    <t>Profesional Social</t>
  </si>
  <si>
    <t>A.09</t>
  </si>
  <si>
    <t>A.10</t>
  </si>
  <si>
    <t>Profesional QHSE</t>
  </si>
  <si>
    <t>Almacenista</t>
  </si>
  <si>
    <t>Subtotal Costos Directos de Personal</t>
  </si>
  <si>
    <t>Factor Prestacional</t>
  </si>
  <si>
    <t>Total Costos Directos de Personal Incluyendo Factor Prestacional</t>
  </si>
  <si>
    <t>B</t>
  </si>
  <si>
    <t>OTROS COSTOS DIRECTOS</t>
  </si>
  <si>
    <t>DURACIÓN (Meses)</t>
  </si>
  <si>
    <t>B.01</t>
  </si>
  <si>
    <t>Alquiler oficina</t>
  </si>
  <si>
    <t>MES</t>
  </si>
  <si>
    <t>B.02</t>
  </si>
  <si>
    <t>Servicios Públicos</t>
  </si>
  <si>
    <t>B.03</t>
  </si>
  <si>
    <t>Gastos de oficina (papelería, mensajería, alquiler equipos de computo)</t>
  </si>
  <si>
    <t>B.04</t>
  </si>
  <si>
    <t>Vehículo camionetas pick up  doble cabina</t>
  </si>
  <si>
    <t>B.05</t>
  </si>
  <si>
    <t>Ensayos y pruebas</t>
  </si>
  <si>
    <t>B.07</t>
  </si>
  <si>
    <t>B.08</t>
  </si>
  <si>
    <t>Servicio de Celaduría</t>
  </si>
  <si>
    <t>B.09</t>
  </si>
  <si>
    <t>Alquiler de equipo de topografía</t>
  </si>
  <si>
    <t>Subtotal Otros Costos Directos</t>
  </si>
  <si>
    <t>C</t>
  </si>
  <si>
    <t>GARANTÍAS</t>
  </si>
  <si>
    <t>C.01</t>
  </si>
  <si>
    <t>Garantías</t>
  </si>
  <si>
    <t>D</t>
  </si>
  <si>
    <t>ESTAMPILLAS</t>
  </si>
  <si>
    <t>D.01</t>
  </si>
  <si>
    <t>Unidad</t>
  </si>
  <si>
    <t>D.02</t>
  </si>
  <si>
    <t>Pro Cultura</t>
  </si>
  <si>
    <t>D.03</t>
  </si>
  <si>
    <t>Pro Universidad</t>
  </si>
  <si>
    <t>D.04</t>
  </si>
  <si>
    <t>Pro Deporte</t>
  </si>
  <si>
    <t>D.05</t>
  </si>
  <si>
    <t>Impuesto contribución a guerra (5% Sobre el valor gravable del contrato)</t>
  </si>
  <si>
    <t>D.06</t>
  </si>
  <si>
    <t>TOTAL COSTOS DIRECTOS DE PERSONAL + OTROS COSTOS DIRECTOS (A+B)</t>
  </si>
  <si>
    <t>AJUSTE</t>
  </si>
  <si>
    <t>VALOR TOTAL</t>
  </si>
  <si>
    <t>F.M.</t>
  </si>
  <si>
    <t>F.P</t>
  </si>
  <si>
    <t>FACTOR MULTIPLICADOR - FACTOR PRESTACIONAL</t>
  </si>
  <si>
    <t>SDLMV</t>
  </si>
  <si>
    <t>AUX TRANSPORTE M</t>
  </si>
  <si>
    <t>AUX TRANSPORTE D</t>
  </si>
  <si>
    <t>SUELDO ANUAL BASICO</t>
  </si>
  <si>
    <t>Salario Básico</t>
  </si>
  <si>
    <t>SUBTOTAL</t>
  </si>
  <si>
    <t>PRESTACIONES SOCIALES</t>
  </si>
  <si>
    <t>Auxilio de trasporte</t>
  </si>
  <si>
    <t>Primas anuales</t>
  </si>
  <si>
    <t>Cesantias anuales</t>
  </si>
  <si>
    <t>Intereses sobre las cesatias (mensual)</t>
  </si>
  <si>
    <t>Vacaciones anuales</t>
  </si>
  <si>
    <t>SEGURIDAD SOCIAL</t>
  </si>
  <si>
    <t>Pensión</t>
  </si>
  <si>
    <t>C.02</t>
  </si>
  <si>
    <t>Riesgos profesional</t>
  </si>
  <si>
    <t>C.03</t>
  </si>
  <si>
    <t>Salud</t>
  </si>
  <si>
    <t>APORTES PARAFISCALES</t>
  </si>
  <si>
    <t>Caja de compensación</t>
  </si>
  <si>
    <t>Aportes SENA</t>
  </si>
  <si>
    <t>Fondo Ind. Construcción</t>
  </si>
  <si>
    <t>Subsidio familiar</t>
  </si>
  <si>
    <t>Seguros de Ley</t>
  </si>
  <si>
    <t>ICBF</t>
  </si>
  <si>
    <t>E</t>
  </si>
  <si>
    <t>OTROS APORTES</t>
  </si>
  <si>
    <t>E.01</t>
  </si>
  <si>
    <t>E.02</t>
  </si>
  <si>
    <t>Seguro colectivo</t>
  </si>
  <si>
    <t>SUB TOTAL F.P.</t>
  </si>
  <si>
    <t>F</t>
  </si>
  <si>
    <t>IMPUESTOS Y ESTAMPILLAS</t>
  </si>
  <si>
    <t>F.01</t>
  </si>
  <si>
    <t>F.02</t>
  </si>
  <si>
    <t>F.03</t>
  </si>
  <si>
    <t>F.04</t>
  </si>
  <si>
    <t>F.05</t>
  </si>
  <si>
    <t>F.06</t>
  </si>
  <si>
    <t>Industria y Comercio (6,9/1000 Sobre el valor gravable del contrato)</t>
  </si>
  <si>
    <t>F.07</t>
  </si>
  <si>
    <t>Impuesto sobre la renta 34% Sobre la Utilidad</t>
  </si>
  <si>
    <t xml:space="preserve"> </t>
  </si>
  <si>
    <t>G</t>
  </si>
  <si>
    <t>G.01</t>
  </si>
  <si>
    <t>Asesoria legal, contable y financiera permanente y personal técnico administrativo adicional</t>
  </si>
  <si>
    <t>G.02</t>
  </si>
  <si>
    <t>Seguros, incendio y robos</t>
  </si>
  <si>
    <t>G.03</t>
  </si>
  <si>
    <t>Salarios y prestaciones personal auxiliar (administrativo y Tecnico)</t>
  </si>
  <si>
    <t>G.04</t>
  </si>
  <si>
    <t>Gastos bancarios</t>
  </si>
  <si>
    <t>G.05</t>
  </si>
  <si>
    <t>Preparacion de propuestas</t>
  </si>
  <si>
    <t>G.06</t>
  </si>
  <si>
    <t>Servicios de Oficina Públicos y comunicaciones</t>
  </si>
  <si>
    <t>H</t>
  </si>
  <si>
    <t>PÓLIZAS</t>
  </si>
  <si>
    <t>H.01</t>
  </si>
  <si>
    <t>Calidad</t>
  </si>
  <si>
    <t>H.02</t>
  </si>
  <si>
    <t>Cumplimiento, anticipo y salarios</t>
  </si>
  <si>
    <t>H.03</t>
  </si>
  <si>
    <t>Seriedad de la propuesta</t>
  </si>
  <si>
    <t>Calculado</t>
  </si>
  <si>
    <t>Ajustado</t>
  </si>
  <si>
    <t>DESAGREGADO PÓLIZAS</t>
  </si>
  <si>
    <t xml:space="preserve">Valor del contrato: </t>
  </si>
  <si>
    <t xml:space="preserve">PESOS COLOMBIANOS </t>
  </si>
  <si>
    <t>Plazo de ejecucion (meses):</t>
  </si>
  <si>
    <t>Plazo de ejecucion (dias):</t>
  </si>
  <si>
    <t>AMPARO</t>
  </si>
  <si>
    <t xml:space="preserve">CUMPLIMIENTO </t>
  </si>
  <si>
    <t>BUEN MANEJO DEL ANTICIPO (100% DEL ANTICIPO)</t>
  </si>
  <si>
    <t>RESPONSABILIDAD EXTRACONTRACTUAL</t>
  </si>
  <si>
    <t>ESTABILIDAD DE LA OBRA</t>
  </si>
  <si>
    <t>SALARIOS Y PRESTACIONES</t>
  </si>
  <si>
    <t>VIGENCIA</t>
  </si>
  <si>
    <t>Término igual a la vigencia del contrato y 6 meses más.</t>
  </si>
  <si>
    <t>Término igual a cinco (5) años a partir del acta de recibo final</t>
  </si>
  <si>
    <t>Término de la vigencia del contrato y tres (3) años más.</t>
  </si>
  <si>
    <t>TASA</t>
  </si>
  <si>
    <t xml:space="preserve">VALOR ASEGURADO </t>
  </si>
  <si>
    <t>DÍAS ADICIONALES</t>
  </si>
  <si>
    <t>TOTAL DÍAS</t>
  </si>
  <si>
    <t>PRIMA</t>
  </si>
  <si>
    <t>Total Prima Neta:</t>
  </si>
  <si>
    <t>Gastos de Expedición:</t>
  </si>
  <si>
    <t>I.V.A.</t>
  </si>
  <si>
    <t>Total Prima:</t>
  </si>
  <si>
    <t>LISTA DE ANÁLISIS DE PRECIOS UNITARIOS</t>
  </si>
  <si>
    <t>APU</t>
  </si>
  <si>
    <t>NOMBRE</t>
  </si>
  <si>
    <t>EQUIPO</t>
  </si>
  <si>
    <t>MAT.</t>
  </si>
  <si>
    <t>TRANSP.</t>
  </si>
  <si>
    <t>M.O.</t>
  </si>
  <si>
    <t>COSTO</t>
  </si>
  <si>
    <t>G001</t>
  </si>
  <si>
    <t>G002</t>
  </si>
  <si>
    <t>G003</t>
  </si>
  <si>
    <t>G004</t>
  </si>
  <si>
    <t>G005</t>
  </si>
  <si>
    <t>G006</t>
  </si>
  <si>
    <t>G007</t>
  </si>
  <si>
    <t>G008</t>
  </si>
  <si>
    <t>G009</t>
  </si>
  <si>
    <t>G010</t>
  </si>
  <si>
    <t>G011</t>
  </si>
  <si>
    <t>G012</t>
  </si>
  <si>
    <t>G014</t>
  </si>
  <si>
    <t>G015</t>
  </si>
  <si>
    <t>G018</t>
  </si>
  <si>
    <t>G025</t>
  </si>
  <si>
    <t>G026</t>
  </si>
  <si>
    <t>G028</t>
  </si>
  <si>
    <t>G029</t>
  </si>
  <si>
    <t>G030</t>
  </si>
  <si>
    <t>G031</t>
  </si>
  <si>
    <t>G032</t>
  </si>
  <si>
    <t>G033</t>
  </si>
  <si>
    <t>G034</t>
  </si>
  <si>
    <t>G035</t>
  </si>
  <si>
    <t>G036</t>
  </si>
  <si>
    <t>G037</t>
  </si>
  <si>
    <t>G038</t>
  </si>
  <si>
    <t>G040</t>
  </si>
  <si>
    <t>G041</t>
  </si>
  <si>
    <t>G042</t>
  </si>
  <si>
    <t>G043</t>
  </si>
  <si>
    <t>G044</t>
  </si>
  <si>
    <t>G045</t>
  </si>
  <si>
    <t>G046</t>
  </si>
  <si>
    <t>G049</t>
  </si>
  <si>
    <t>G053</t>
  </si>
  <si>
    <t>G054</t>
  </si>
  <si>
    <t>G056</t>
  </si>
  <si>
    <t>G057</t>
  </si>
  <si>
    <t>G059</t>
  </si>
  <si>
    <t>G062</t>
  </si>
  <si>
    <t>G066</t>
  </si>
  <si>
    <t>G067</t>
  </si>
  <si>
    <t>G069</t>
  </si>
  <si>
    <t>G070</t>
  </si>
  <si>
    <t>UNIDAD:</t>
  </si>
  <si>
    <t>M</t>
  </si>
  <si>
    <t>MATERIAL</t>
  </si>
  <si>
    <t>A - MATERIALES</t>
  </si>
  <si>
    <t>TARIFA</t>
  </si>
  <si>
    <t>SUB - TOTAL</t>
  </si>
  <si>
    <t>Estaca</t>
  </si>
  <si>
    <t>Pintura en aceite</t>
  </si>
  <si>
    <t>Clavo de alta velocidad 1/4"X2"</t>
  </si>
  <si>
    <t>Cinta señalización</t>
  </si>
  <si>
    <t>B - HERRAMIENTA, MAQUINARIA Y EQUIPO</t>
  </si>
  <si>
    <t>Herramienta Menor</t>
  </si>
  <si>
    <t>Equipo de topografía; (Incluye: estación total, 2 prismas y dos radios, con certificación de calibración máximo de 6 meses)</t>
  </si>
  <si>
    <t>C - TRANSPORTE</t>
  </si>
  <si>
    <t>Transporte</t>
  </si>
  <si>
    <t>D - MANO DE OBRA</t>
  </si>
  <si>
    <t>REND.</t>
  </si>
  <si>
    <t>Comisión de Topografía</t>
  </si>
  <si>
    <t>M2</t>
  </si>
  <si>
    <t>Cuerda de Naylon 0.5 mm</t>
  </si>
  <si>
    <t>M3</t>
  </si>
  <si>
    <t>Cuadrilla 1: 1 Ayudante A</t>
  </si>
  <si>
    <t>Cerco de 3x0,05x0,10</t>
  </si>
  <si>
    <t>Puntilla de 2" c/cabeza</t>
  </si>
  <si>
    <t>Tabla comun de 3x0,25x0,02m</t>
  </si>
  <si>
    <t>Transporte de Materiales</t>
  </si>
  <si>
    <t>% Mat</t>
  </si>
  <si>
    <t>Cuadrilla 5: 1 OfcA + 1 AyuA</t>
  </si>
  <si>
    <t>Apisonador tipo canguro, incluye combustible</t>
  </si>
  <si>
    <t>Transporte de Maquinaria y Equipo</t>
  </si>
  <si>
    <t>% M y E</t>
  </si>
  <si>
    <t>Cemento gris</t>
  </si>
  <si>
    <t>Arena triturada pasante 3/8"</t>
  </si>
  <si>
    <t>Triturado pasante de 3/4" retenido en 3/8"</t>
  </si>
  <si>
    <t>Agua</t>
  </si>
  <si>
    <t>Mezcladora Diesel (1.5 - 2.0 BTOS) incluye combustible</t>
  </si>
  <si>
    <t>Transporte de equipos y maquinaria</t>
  </si>
  <si>
    <t>% H,M,E</t>
  </si>
  <si>
    <t>Transporte de material</t>
  </si>
  <si>
    <t>Cuadrilla 8: 1 OfcA + 4 AyuA</t>
  </si>
  <si>
    <t>Formaleta en madera x m2 4 usos</t>
  </si>
  <si>
    <t>Vibrador de Mezcla (diesel) incluye combustible</t>
  </si>
  <si>
    <t>Transporte de maquinaria y equipos</t>
  </si>
  <si>
    <t>Transporte de materiales</t>
  </si>
  <si>
    <t>KM/M3</t>
  </si>
  <si>
    <t>KG</t>
  </si>
  <si>
    <t>Acero de refuerzo de 60000 PSI</t>
  </si>
  <si>
    <t>Alambre negro calibre 17</t>
  </si>
  <si>
    <t>% MAT</t>
  </si>
  <si>
    <t>Cuadrilla 6: 1 OfcA + 2 AyuA</t>
  </si>
  <si>
    <t>ML</t>
  </si>
  <si>
    <t>Concreto simple 3000 PSI a todo costo</t>
  </si>
  <si>
    <t>Concreto ciclopeo de 2500 PSI a todo costo</t>
  </si>
  <si>
    <t>Malla eslabonada calibre 10 rombo de 2 1/4"</t>
  </si>
  <si>
    <t>Angulo de 1 1/2" x 1 1/2" x 1/4"</t>
  </si>
  <si>
    <t>Platina de 1" x 1/8"</t>
  </si>
  <si>
    <t>Alambre de puas calibre 12,5 - rollo 350m-32,8 kilos</t>
  </si>
  <si>
    <t>Soldadura E-6013</t>
  </si>
  <si>
    <t>Tuberia A.N 2" cal 16 para cerramiento</t>
  </si>
  <si>
    <t>Pintura anticorrosiva</t>
  </si>
  <si>
    <t>Ladrillo prensado a la vista</t>
  </si>
  <si>
    <t>Suministro e instalacion de mortero 1:4</t>
  </si>
  <si>
    <t>Transporte de equipos y herramientas</t>
  </si>
  <si>
    <t>% Maq y Equi</t>
  </si>
  <si>
    <t>Recebo común</t>
  </si>
  <si>
    <t>Transporte de Maquinaria y Equipos</t>
  </si>
  <si>
    <t xml:space="preserve">Cuadrilla 2: 2 Ayudantes A </t>
  </si>
  <si>
    <t>M3-KM</t>
  </si>
  <si>
    <t>Retroexcavadora de llanta, balde estandar</t>
  </si>
  <si>
    <t>Transporte de material sobrante</t>
  </si>
  <si>
    <t>M3/Km</t>
  </si>
  <si>
    <t>Soldadura electrica 0,004 Kg de 3/23"</t>
  </si>
  <si>
    <t>Equipo de soldadura</t>
  </si>
  <si>
    <t>Cuadrilla Soldadura</t>
  </si>
  <si>
    <t>Cuadrilla 26:  1 OfcD - 1 AyuD</t>
  </si>
  <si>
    <t>UND</t>
  </si>
  <si>
    <t>Paso para escalera de gato en varilla PRD-60 de 3/4" recubierta con material de polipropileno de alto impacto antideslizante con anclaje dentado, refuerzo, y tranca pie. Longitud 0,30 m para soporte de pie y dos ancles de 0,30 m</t>
  </si>
  <si>
    <t>Taladro rotopercutor hasta 1 1/4"</t>
  </si>
  <si>
    <t>Compresor redondo</t>
  </si>
  <si>
    <t>Cuadrilla 17: 1 OfcB + 1 AyuB</t>
  </si>
  <si>
    <t>Pintura esmalte anticorrosivo negro, para puertas y ventanas</t>
  </si>
  <si>
    <t>Compresor de pintura</t>
  </si>
  <si>
    <t>Cuadrilla 9: 1 OfcA + 5 AyuA</t>
  </si>
  <si>
    <r>
      <rPr>
        <b/>
        <sz val="10"/>
        <color theme="0"/>
        <rFont val="Century Gothic"/>
        <family val="2"/>
      </rPr>
      <t xml:space="preserve">SUMINISTRO E INSTALACIÓN DE NIPLE PASAMURO DE </t>
    </r>
    <r>
      <rPr>
        <b/>
        <sz val="10"/>
        <color theme="0"/>
        <rFont val="Calibri"/>
        <family val="2"/>
      </rPr>
      <t>Ø6"</t>
    </r>
    <r>
      <rPr>
        <b/>
        <sz val="10"/>
        <color theme="0"/>
        <rFont val="Century Gothic"/>
        <family val="2"/>
      </rPr>
      <t xml:space="preserve"> EN HIERRO DUCTIL (INCLUYE MATERIALES, HERRAMIENTAS Y MANO DE OBRA)</t>
    </r>
  </si>
  <si>
    <t>Niple pasamuro Ø6 (0 - 1M)</t>
  </si>
  <si>
    <t>Codo de Ø10" x 90° en hierro ductil</t>
  </si>
  <si>
    <t>Tee Ø10" x 90° en hierro ductil</t>
  </si>
  <si>
    <t>Lubricante 500 gr</t>
  </si>
  <si>
    <t>Cuadrilla 3: 3 Ayudantes A</t>
  </si>
  <si>
    <t>Válvula compuerta con volante bridada Ø10" en hierro ductil</t>
  </si>
  <si>
    <t>Retroexcavadora de orugas balde estandar</t>
  </si>
  <si>
    <t>Abrazadera 1"</t>
  </si>
  <si>
    <t>Molde symons 8"x24"</t>
  </si>
  <si>
    <t>Ganchos waler</t>
  </si>
  <si>
    <t>Tuberia acero galvanizado 1" SCH 40</t>
  </si>
  <si>
    <t>Separadores hasta 250mm encofrado metálico-muro</t>
  </si>
  <si>
    <t>Cuñas para encofrado metalico de muro</t>
  </si>
  <si>
    <t>Válvula compuerta con volante bridada Ø8" en hierro ductil</t>
  </si>
  <si>
    <t>Codo Ø6" x 90° en hierro ductil</t>
  </si>
  <si>
    <t>Unión de desmontaje Ø6" en hierro ductil</t>
  </si>
  <si>
    <r>
      <rPr>
        <b/>
        <sz val="10"/>
        <color theme="0"/>
        <rFont val="Century Gothic"/>
        <family val="2"/>
      </rPr>
      <t xml:space="preserve">SUMINISTRO E INSTALACIÓN DE NIPLE PASAMURO DE </t>
    </r>
    <r>
      <rPr>
        <b/>
        <sz val="10"/>
        <color theme="0"/>
        <rFont val="Calibri"/>
        <family val="2"/>
      </rPr>
      <t>Ø10"</t>
    </r>
    <r>
      <rPr>
        <b/>
        <sz val="10"/>
        <color theme="0"/>
        <rFont val="Century Gothic"/>
        <family val="2"/>
      </rPr>
      <t xml:space="preserve"> EN HIERRO DUCTIL (INCLUYE MATERIALES, HERRAMIENTAS Y MANO DE OBRA)</t>
    </r>
  </si>
  <si>
    <t>Niple pasamuro Ø10" L=0,50 M en hierro ductil con exremos bridados</t>
  </si>
  <si>
    <t>Unión de desmontaje Ø10" en hierro ductil</t>
  </si>
  <si>
    <t>Tapa para pozos de inspeccion en HF liviano (Incluye aro)</t>
  </si>
  <si>
    <t>Pasamuro Ø6" L=0,50M en hierro ductil</t>
  </si>
  <si>
    <t>Concreto 4000 PSI</t>
  </si>
  <si>
    <t>Disolvete thinner</t>
  </si>
  <si>
    <t>Portacandado 4"</t>
  </si>
  <si>
    <t>bisagra aluminio exterior 3"</t>
  </si>
  <si>
    <t>Pistola para pintura</t>
  </si>
  <si>
    <t>Cuadrilla 23: 1 OfcC - 2 AyuC</t>
  </si>
  <si>
    <t xml:space="preserve">Impermeabilizante plastocrete DM </t>
  </si>
  <si>
    <t>Alquiler de camillas de 0,70 x 1,40m (3 dias de uso)</t>
  </si>
  <si>
    <t>Polin de 3x0,04x0,04m</t>
  </si>
  <si>
    <t>Formaleta metálica para estructura hidráulica (Incluye materiales, herramientas y mano de obra)</t>
  </si>
  <si>
    <t>Grava 3/4" triturada</t>
  </si>
  <si>
    <t>Codo PVC Ø4" x 90° union mecánica</t>
  </si>
  <si>
    <t>Niple pasamuro L= 0,50m Ø3" en hierro ductil</t>
  </si>
  <si>
    <t>Niple 0,25m Ø2" en hierro ductil</t>
  </si>
  <si>
    <t>Localización y replanteo de estructuras de acueductos (No incluye equipo de topografía)</t>
  </si>
  <si>
    <t>Excavación manual en conglomerado</t>
  </si>
  <si>
    <t>Relleno tipo II: Con recebo seleccionado, compactado en capas de 20 cm, proctor modificado 95%, a todo factor (incluye recebo, equipos, herramientas, transporte y mano de obra)</t>
  </si>
  <si>
    <t>Concreto para solado de 2000 PSI a todo costo (140 Kg/cm2)</t>
  </si>
  <si>
    <t>Suministro figurado y armado de acero de refuerzo 60000 PSI (Incluye desperdicio del 5%)</t>
  </si>
  <si>
    <t xml:space="preserve">Suministro e instalacion pasos para escalera de gato en varilla PRD-60 de 3/4" antideslizante con anclaje dentado, refuerzo, y tranca pie. L=0,30 m AN= 0,30 (Incluye materiales, equipos y mano de obra) </t>
  </si>
  <si>
    <t>Suministro e instalación de tapa y aro de seguridad para pozos de inspección ASTM-536 con resistencia D400 (Incluye materiales, herramientas y mano de obra)</t>
  </si>
  <si>
    <t>LOCALIZACIÓN Y REPLANTEO DE ESTRUCTURAS DE ACUEDUCTOS (NO INCLUYE EQUIPO DE TOPOGRAFÍA)</t>
  </si>
  <si>
    <t>Relleno con material seleccionado de la excavación, compactado con equipo mecánico en capas de 0,20 m (Incluye equipo, herramienta menor y mano de obra)</t>
  </si>
  <si>
    <t>Suministro e instalación de tubería novafort 6" para alcantarillado</t>
  </si>
  <si>
    <t>Construcción de cabezal de descarga de 4000 PSI</t>
  </si>
  <si>
    <t>Localización y replanteo de estructuras de acueductos (Incluye equipo de topografía)</t>
  </si>
  <si>
    <t>m3</t>
  </si>
  <si>
    <t>Galón</t>
  </si>
  <si>
    <t>Conductor</t>
  </si>
  <si>
    <t>Cuadrilla</t>
  </si>
  <si>
    <t>Tubería PVC Ø4" RDE 21</t>
  </si>
  <si>
    <t>Soldadura para PVC 1/4 Galon</t>
  </si>
  <si>
    <t>Limpiador PVC 1/4 Galon</t>
  </si>
  <si>
    <t>Extendido manual de tierras con material de la propia excavación</t>
  </si>
  <si>
    <t>Cuadrilla 18: 1 OfcB + 2 AyuB</t>
  </si>
  <si>
    <t>Concreto para piso de 4000 PSI impermeabilizado a todo costo (280 Kg/cm2)</t>
  </si>
  <si>
    <t>Concreto para tapa de 4000 PSI impermeabilizado a todo costo (280 Kg/cm2)</t>
  </si>
  <si>
    <t>Suministro de tubería novafort 6" para alcantarillado</t>
  </si>
  <si>
    <t>Concreto para muros de 4000 PSI impermeabilizado a todo costo (280 Kg/cm2)</t>
  </si>
  <si>
    <t>Codo de Ø6" de 11,25° en hierro ductil con unión mecánica</t>
  </si>
  <si>
    <t>Codo de Ø6" de 22,5° en hierro ductil con unión mecánica</t>
  </si>
  <si>
    <t>Codo de Ø6" de 45° en hierro ductil con unión mecánica</t>
  </si>
  <si>
    <t>Codo de Ø6" de 90° en hierro ductil con unión mecánica</t>
  </si>
  <si>
    <t>Tubería PVC 6" con unión mecánica RDE 21</t>
  </si>
  <si>
    <t>Enchape con tableta industrial (Incluye materiales, herramientas y mano de obra)</t>
  </si>
  <si>
    <t>Macromedidor tipo woltman Ø6"</t>
  </si>
  <si>
    <t>Cuadrilla 29: 1 OfcD - 4 AyuD</t>
  </si>
  <si>
    <t>Válvula flotadora Ø6"</t>
  </si>
  <si>
    <t>Arriero</t>
  </si>
  <si>
    <t>CUADRILLAS MANO DE OBRA</t>
  </si>
  <si>
    <t>ID</t>
  </si>
  <si>
    <t>SALARIO</t>
  </si>
  <si>
    <t>VALOR DÍA</t>
  </si>
  <si>
    <t>O-01</t>
  </si>
  <si>
    <t>O-02</t>
  </si>
  <si>
    <t>Cadenero</t>
  </si>
  <si>
    <t>O-03</t>
  </si>
  <si>
    <t>Trochero</t>
  </si>
  <si>
    <t>FACTOR PRESTACIONAL</t>
  </si>
  <si>
    <t>O-04</t>
  </si>
  <si>
    <t>Ayudante Albañilería</t>
  </si>
  <si>
    <t>O-05</t>
  </si>
  <si>
    <t>Oficial Albañilería</t>
  </si>
  <si>
    <t>O-06</t>
  </si>
  <si>
    <t>Ayudante B (Inst. Elec, Hidr y San)</t>
  </si>
  <si>
    <t>S.M.L.D.V</t>
  </si>
  <si>
    <t>O-07</t>
  </si>
  <si>
    <t>Oficial B (Inst. Elec, Hidr y San)</t>
  </si>
  <si>
    <t>O-08</t>
  </si>
  <si>
    <t>Ayudante C (Carpinterias)</t>
  </si>
  <si>
    <t>O-09</t>
  </si>
  <si>
    <t>Oficial C (Carpinterias)</t>
  </si>
  <si>
    <t>O-10</t>
  </si>
  <si>
    <t>Ayudante D (Pinturas y Acabados)</t>
  </si>
  <si>
    <t>O-11</t>
  </si>
  <si>
    <t>Oficial D (Pinturas y Acabados)</t>
  </si>
  <si>
    <t>Maestro de Obra</t>
  </si>
  <si>
    <t>CUADRILLA</t>
  </si>
  <si>
    <t>DÍA</t>
  </si>
  <si>
    <t>TOPÓGRAFO - MAESTRO  - OFICIAL</t>
  </si>
  <si>
    <t>CADENERO - AYUDANTE</t>
  </si>
  <si>
    <t>TROCHERO</t>
  </si>
  <si>
    <t>Cuadrilla 4: 1 Ayudante B</t>
  </si>
  <si>
    <t>Cuadrilla 7: 1 OfcA + 3 AyuA</t>
  </si>
  <si>
    <t>Cuadrilla 10: 1 OfcA + 6 AyuA</t>
  </si>
  <si>
    <t>Cuadrilla 11: 1Ma+1OfcA+1AyuA</t>
  </si>
  <si>
    <t>Cuadrilla 12: 1Ma+1OfcA+2AyuA</t>
  </si>
  <si>
    <t>Cuadrilla 13: 1Ma+1OfcA+3AyuA</t>
  </si>
  <si>
    <t>Cuadrilla 14: 1Ma+1OfcA+4AyuA</t>
  </si>
  <si>
    <t>Cuadrilla 15: 1Ma+1OfcA+5AyuA</t>
  </si>
  <si>
    <t>Cuadrilla 16: 1Ma+1OfcA+6AyuA</t>
  </si>
  <si>
    <t>Cuadrilla 19: 1 OfcB + 3 AyuB</t>
  </si>
  <si>
    <t>Cuadrilla 20: 1 OfcB + 4 AyuB</t>
  </si>
  <si>
    <t>Cuadrilla 21: 1 OfcB + 5 AyuB</t>
  </si>
  <si>
    <t>Cuadrilla 22: 1 OfcC - 1 AyuC</t>
  </si>
  <si>
    <t>Cuadrilla 24: 1 OfcC - 3 AyuC</t>
  </si>
  <si>
    <t>Cuadrilla 25: 1 OfcC - 4 AyuC</t>
  </si>
  <si>
    <t>Cuadrilla 27: 1 OfcD - 2 AyuD</t>
  </si>
  <si>
    <t>Cuadrilla 28: 1 OfcD - 3 AyuD</t>
  </si>
  <si>
    <t>Cuadrilla 30: 1 OfcA</t>
  </si>
  <si>
    <t>Cuadrilla 31: 1 OfcB</t>
  </si>
  <si>
    <t>Cuadrilla 29: 1 OfcC</t>
  </si>
  <si>
    <t>Cuadrilla 29: 1 OfcD</t>
  </si>
  <si>
    <t>Maestro</t>
  </si>
  <si>
    <t>Ayudante</t>
  </si>
  <si>
    <t>Oficial</t>
  </si>
  <si>
    <t>Cuadrilla 4: Instalaciones hidráulica y sanitaria</t>
  </si>
  <si>
    <t>Cuadrilla 5: Mezclas</t>
  </si>
  <si>
    <t>Cuadrilla 6: Pavimentos</t>
  </si>
  <si>
    <t>Comisión de topografía</t>
  </si>
  <si>
    <t>Cuadrilla eléctrica</t>
  </si>
  <si>
    <t>Oficial + Ayudante</t>
  </si>
  <si>
    <t>COSTO TOTAL</t>
  </si>
  <si>
    <t>PESO</t>
  </si>
  <si>
    <t>Día</t>
  </si>
  <si>
    <t>M002</t>
  </si>
  <si>
    <t>M003</t>
  </si>
  <si>
    <t>M004</t>
  </si>
  <si>
    <t>Libra</t>
  </si>
  <si>
    <t>M005</t>
  </si>
  <si>
    <t>ml</t>
  </si>
  <si>
    <t>M006</t>
  </si>
  <si>
    <t>M007</t>
  </si>
  <si>
    <t>M008</t>
  </si>
  <si>
    <t>M009</t>
  </si>
  <si>
    <t>M010</t>
  </si>
  <si>
    <t>Lt</t>
  </si>
  <si>
    <t>M011</t>
  </si>
  <si>
    <t>M012</t>
  </si>
  <si>
    <t>M013</t>
  </si>
  <si>
    <t>M014</t>
  </si>
  <si>
    <t>m2</t>
  </si>
  <si>
    <t>M015</t>
  </si>
  <si>
    <t>M016</t>
  </si>
  <si>
    <t>M017</t>
  </si>
  <si>
    <t>M018</t>
  </si>
  <si>
    <t>M019</t>
  </si>
  <si>
    <t>M020</t>
  </si>
  <si>
    <t>M021</t>
  </si>
  <si>
    <t>M022</t>
  </si>
  <si>
    <t>M023</t>
  </si>
  <si>
    <t>M024</t>
  </si>
  <si>
    <t>M025</t>
  </si>
  <si>
    <t>M026</t>
  </si>
  <si>
    <t>M027</t>
  </si>
  <si>
    <t>M028</t>
  </si>
  <si>
    <t>LB</t>
  </si>
  <si>
    <t>M030</t>
  </si>
  <si>
    <t>M031</t>
  </si>
  <si>
    <t>M036</t>
  </si>
  <si>
    <t>M040</t>
  </si>
  <si>
    <t>M051</t>
  </si>
  <si>
    <t>M052</t>
  </si>
  <si>
    <t>M054</t>
  </si>
  <si>
    <t>M058</t>
  </si>
  <si>
    <t>M060</t>
  </si>
  <si>
    <t>M061</t>
  </si>
  <si>
    <t>M062</t>
  </si>
  <si>
    <t>M063</t>
  </si>
  <si>
    <t>M064</t>
  </si>
  <si>
    <t>M065</t>
  </si>
  <si>
    <t>M066</t>
  </si>
  <si>
    <t>M067</t>
  </si>
  <si>
    <t>M068</t>
  </si>
  <si>
    <t>M069</t>
  </si>
  <si>
    <t>M070</t>
  </si>
  <si>
    <t>M071</t>
  </si>
  <si>
    <t>M072</t>
  </si>
  <si>
    <t>M073</t>
  </si>
  <si>
    <t>M074</t>
  </si>
  <si>
    <t>M075</t>
  </si>
  <si>
    <t>M076</t>
  </si>
  <si>
    <t>M077</t>
  </si>
  <si>
    <t>M078</t>
  </si>
  <si>
    <t>M079</t>
  </si>
  <si>
    <t>M080</t>
  </si>
  <si>
    <t>M081</t>
  </si>
  <si>
    <r>
      <rPr>
        <sz val="10"/>
        <color theme="1"/>
        <rFont val="Century Gothic"/>
        <family val="2"/>
      </rPr>
      <t xml:space="preserve">Pasamuro </t>
    </r>
    <r>
      <rPr>
        <sz val="10"/>
        <color theme="1"/>
        <rFont val="Calibri"/>
        <family val="2"/>
      </rPr>
      <t>Ø</t>
    </r>
    <r>
      <rPr>
        <sz val="10"/>
        <color theme="1"/>
        <rFont val="Century Gothic"/>
        <family val="2"/>
      </rPr>
      <t>6" L=0,50M en hierro ductil</t>
    </r>
  </si>
  <si>
    <t>M083</t>
  </si>
  <si>
    <t>M084</t>
  </si>
  <si>
    <t>M085</t>
  </si>
  <si>
    <t>M086</t>
  </si>
  <si>
    <t>M087</t>
  </si>
  <si>
    <t>M088</t>
  </si>
  <si>
    <t>M089</t>
  </si>
  <si>
    <t>Transporte cantera</t>
  </si>
  <si>
    <t>M090</t>
  </si>
  <si>
    <t>M091</t>
  </si>
  <si>
    <t>M092</t>
  </si>
  <si>
    <t>M094</t>
  </si>
  <si>
    <t>M096</t>
  </si>
  <si>
    <t>M097</t>
  </si>
  <si>
    <t>M098</t>
  </si>
  <si>
    <t>M099</t>
  </si>
  <si>
    <t>M100</t>
  </si>
  <si>
    <t>M101</t>
  </si>
  <si>
    <t>M102</t>
  </si>
  <si>
    <t>LISTA DE EQUIPOS</t>
  </si>
  <si>
    <t>E001</t>
  </si>
  <si>
    <t>% M.O.</t>
  </si>
  <si>
    <t>E002</t>
  </si>
  <si>
    <t>Dia</t>
  </si>
  <si>
    <t>E003</t>
  </si>
  <si>
    <t>E004</t>
  </si>
  <si>
    <t>E005</t>
  </si>
  <si>
    <t>E006</t>
  </si>
  <si>
    <t>Hora</t>
  </si>
  <si>
    <t>E007</t>
  </si>
  <si>
    <t>E009</t>
  </si>
  <si>
    <t>E010</t>
  </si>
  <si>
    <t>E013</t>
  </si>
  <si>
    <t>E014</t>
  </si>
  <si>
    <t>Gasolina</t>
  </si>
  <si>
    <t>E015</t>
  </si>
  <si>
    <t>Acpm</t>
  </si>
  <si>
    <t>E017</t>
  </si>
  <si>
    <t>E018</t>
  </si>
  <si>
    <t>CRONOGRAMA</t>
  </si>
  <si>
    <t>MESES</t>
  </si>
  <si>
    <t>PERIODO DE CONTRATACIÓN</t>
  </si>
  <si>
    <t>REPLANTEO DE DISEÑOS</t>
  </si>
  <si>
    <t>ACTIVIDAD</t>
  </si>
  <si>
    <t>RENDIMIENTO</t>
  </si>
  <si>
    <t>DURACIÓN/DÍAS</t>
  </si>
  <si>
    <t>CANTIDADES DE OBRA ESTRUCTURAS</t>
  </si>
  <si>
    <t>DIMENSIONES</t>
  </si>
  <si>
    <t>L (m)</t>
  </si>
  <si>
    <t>A (m)</t>
  </si>
  <si>
    <t>H (m)</t>
  </si>
  <si>
    <t>Ø</t>
  </si>
  <si>
    <t>PERÍMET.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</si>
  <si>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</si>
  <si>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</si>
  <si>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</si>
  <si>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</si>
  <si>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</si>
  <si>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</si>
  <si>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1 (m</t>
    </r>
    <r>
      <rPr>
        <b/>
        <vertAlign val="superscript"/>
        <sz val="10"/>
        <color theme="0"/>
        <rFont val="Century Gothic"/>
        <family val="2"/>
      </rPr>
      <t>2</t>
    </r>
    <r>
      <rPr>
        <b/>
        <sz val="10"/>
        <color theme="0"/>
        <rFont val="Century Gothic"/>
        <family val="2"/>
      </rPr>
      <t>)</t>
    </r>
  </si>
  <si>
    <r>
      <rPr>
        <b/>
        <sz val="10"/>
        <color theme="0"/>
        <rFont val="Century Gothic"/>
        <family val="2"/>
      </rPr>
      <t>ÁREA 2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</si>
  <si>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</si>
  <si>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</si>
  <si>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</si>
  <si>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ESPESOR (m)</t>
  </si>
  <si>
    <t>NO APLICA</t>
  </si>
  <si>
    <t>DIAMETRO (m)</t>
  </si>
  <si>
    <t>TANQUE DE ALMACENAMIENTO 250 M3</t>
  </si>
  <si>
    <t>D-01.01.01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</si>
  <si>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</si>
  <si>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</si>
  <si>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D-01.01.02</t>
  </si>
  <si>
    <t>LOCALIZACIÓN Y REPLANTEO DE ESTRUCTURAS DE ACUEDUCTOS TUBERÍA DE REBOSE  (INCLUYE EQUIPO DE TOPOGRAFÍA)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</si>
  <si>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</si>
  <si>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</si>
  <si>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</si>
  <si>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</si>
  <si>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D-02.02.01</t>
  </si>
  <si>
    <t>EXCAVACIÓN MECÁNICA CON PROFUNDIDAD DE ESTRUCTURA HIDRÁULICA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</si>
  <si>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</si>
  <si>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</si>
  <si>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D-02.02.02</t>
  </si>
  <si>
    <t>EXCAVACIÓN MECÁNICA PARA TUBERÍA DE REBOSE</t>
  </si>
  <si>
    <r>
      <rPr>
        <b/>
        <sz val="10"/>
        <color theme="0"/>
        <rFont val="Century Gothic"/>
        <family val="2"/>
      </rPr>
      <t>ANCHO (m</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</si>
  <si>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</si>
  <si>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</si>
  <si>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</si>
  <si>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</si>
  <si>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</si>
  <si>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RELLENO TIPO II: CON RECEBO SELECCIONADO, COMPACTADO EN CAPAS DE 20 CM PARA ESTRUCTURA HIDRÁULICA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</si>
  <si>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</si>
  <si>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</si>
  <si>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V EXCAVADO</t>
  </si>
  <si>
    <t>V ESTRUCTURA</t>
  </si>
  <si>
    <t>V ARENA</t>
  </si>
  <si>
    <t>V GRAVA</t>
  </si>
  <si>
    <t>V SOLADO</t>
  </si>
  <si>
    <t>V RECEBO</t>
  </si>
  <si>
    <t>V BASE</t>
  </si>
  <si>
    <t>V SUB BASE</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</si>
  <si>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</si>
  <si>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</si>
  <si>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 PARA SOLADO DE 2000 PSI A TODO COSTO (140 KG/CM2) PARA ESTRUCTRA HIDRÁULICA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</si>
  <si>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</si>
  <si>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</si>
  <si>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</si>
  <si>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</si>
  <si>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</si>
  <si>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</si>
  <si>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 PARA PISO DE 4000 PSI IMPERMEABILIZADO A TODO COSTO (280 KG/CM2) PARA ESTRUCTURA HIDRÁULICA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</si>
  <si>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</si>
  <si>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</si>
  <si>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</si>
  <si>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</si>
  <si>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</si>
  <si>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</si>
  <si>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</si>
  <si>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</si>
  <si>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RETIRO DE MATERIAL SOBRANTE HASTA BOTADERO AUTORIZADO, DISTANCIA 5KM (INCLUYE FACTOR DE EXPANSIÓN, HERRAMIENTAS, TRANSPORTE, MANO DE OBRA)</t>
  </si>
  <si>
    <t>V REQUERIDO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</si>
  <si>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</si>
  <si>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</si>
  <si>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</si>
  <si>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</si>
  <si>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VÁLVULA DE COMPUERTA CON VOLANTE Ø8" EN HIERRO DUCTIL</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</si>
  <si>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</si>
  <si>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</si>
  <si>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</si>
  <si>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</si>
  <si>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</si>
  <si>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</si>
  <si>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</si>
  <si>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</si>
  <si>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</si>
  <si>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</si>
  <si>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</si>
  <si>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</si>
  <si>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</si>
  <si>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</si>
  <si>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</si>
  <si>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</si>
  <si>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SUMINISTRO E INSTALACIÓN DE MACROMEDIDOR TIPO WOLTMAN Ø6" (INCLUYE MATERIALES, HERRAMIENTAS Y MANO DE OBRA)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</si>
  <si>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</si>
  <si>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</si>
  <si>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</si>
  <si>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</si>
  <si>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</si>
  <si>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</si>
  <si>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CANTIDAD ESCALAS</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</si>
  <si>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</si>
  <si>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</si>
  <si>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</si>
  <si>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</si>
  <si>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</si>
  <si>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</si>
  <si>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 xml:space="preserve">CONSTRUCCIÓN DE POZO DE INSPECCIÓN DE ALCANTARILLADO CON ALTURA MAXIMA DE 2.00 MTS </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</si>
  <si>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</si>
  <si>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</si>
  <si>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TUBERIA DE LAVADO Y REBOSE NOVAFORT 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</si>
  <si>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</si>
  <si>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</si>
  <si>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CONCRETO TOTAL DE MUROS TANQUE DE ALMACENAMIENTO 250 M3</t>
  </si>
  <si>
    <t>CONCRETO PARA MUROS TANQUE DE 250 M3 - CAJA PEQUEÑA</t>
  </si>
  <si>
    <t>CONCRETO PARA MUROS TANQUE DE 250 M3 - CAJA MEDIANA</t>
  </si>
  <si>
    <t>DERECHA</t>
  </si>
  <si>
    <t>IZQUIERDA</t>
  </si>
  <si>
    <t>LARGO</t>
  </si>
  <si>
    <t>ANCHO</t>
  </si>
  <si>
    <t>ALTO</t>
  </si>
  <si>
    <t>ESPESOR</t>
  </si>
  <si>
    <t>CONCRETO PARA MUROS TANQUE DE 250 M3 - CAJA GRANDE</t>
  </si>
  <si>
    <t>INTERIOR</t>
  </si>
  <si>
    <t>ACERO PARA TAQUE DE 250 M3</t>
  </si>
  <si>
    <t>T. CAJA PEQUEÑA</t>
  </si>
  <si>
    <t>T. CAJA MEDIANA</t>
  </si>
  <si>
    <t>T. CAJA GRANDE</t>
  </si>
  <si>
    <t>T. COMPLEMENTOS</t>
  </si>
  <si>
    <t>ACERO PARA TANQUE DE 250 M3 - CAJA PEQUEÑA</t>
  </si>
  <si>
    <t>MUROS EN X</t>
  </si>
  <si>
    <t>MUROS EN Y</t>
  </si>
  <si>
    <t>PISO</t>
  </si>
  <si>
    <t>TAPA</t>
  </si>
  <si>
    <t>X</t>
  </si>
  <si>
    <t>Y</t>
  </si>
  <si>
    <t>SEP.</t>
  </si>
  <si>
    <t>LONGITUD</t>
  </si>
  <si>
    <t># BARRAS</t>
  </si>
  <si>
    <t>L. BARRA</t>
  </si>
  <si>
    <t>KG/ML</t>
  </si>
  <si>
    <t>LINEAS</t>
  </si>
  <si>
    <t>TOTAL KG</t>
  </si>
  <si>
    <t>ACERO PARA TANQUE DE 250 M3 - CAJA MEDIANA EXTERIOR</t>
  </si>
  <si>
    <t>ACERO PARA TANQUE DE 250 M3 - CAJA GRANDE</t>
  </si>
  <si>
    <t>ACERO PARA TANQUE DE 250 M3 - COMPLEMENTOS</t>
  </si>
  <si>
    <t>CAJA MED. INTERIOR</t>
  </si>
  <si>
    <t>PARED INTERIOR</t>
  </si>
  <si>
    <t>ESQUINA</t>
  </si>
  <si>
    <t>ANDEN</t>
  </si>
  <si>
    <t>ANCHO = 1,5 M</t>
  </si>
  <si>
    <t>Cantidad</t>
  </si>
  <si>
    <t>CANTIDADES DE OBRAS REDES</t>
  </si>
  <si>
    <t>PESO (Kg/m)</t>
  </si>
  <si>
    <t>Densidad Arena</t>
  </si>
  <si>
    <r>
      <rPr>
        <b/>
        <sz val="10"/>
        <color theme="0"/>
        <rFont val="Century Gothic"/>
        <family val="2"/>
      </rPr>
      <t>Kg/m</t>
    </r>
    <r>
      <rPr>
        <b/>
        <vertAlign val="superscript"/>
        <sz val="10"/>
        <color theme="0"/>
        <rFont val="Century Gothic"/>
        <family val="2"/>
      </rPr>
      <t>3</t>
    </r>
  </si>
  <si>
    <t>PVC UM RDE 21 - Ø6</t>
  </si>
  <si>
    <t>PVC UM RDE 17 - Ø6</t>
  </si>
  <si>
    <t>PVC UM RDE 13.5 - Ø6</t>
  </si>
  <si>
    <t>Excav.</t>
  </si>
  <si>
    <t>E. Seca</t>
  </si>
  <si>
    <t>E. Cong.</t>
  </si>
  <si>
    <t>E. Méc.</t>
  </si>
  <si>
    <t>Arena</t>
  </si>
  <si>
    <t>Recebo</t>
  </si>
  <si>
    <t>Sitio</t>
  </si>
  <si>
    <t>Demolic.</t>
  </si>
  <si>
    <t>Corte</t>
  </si>
  <si>
    <t>Retiro</t>
  </si>
  <si>
    <t>Extendido</t>
  </si>
  <si>
    <t>Reposic.</t>
  </si>
  <si>
    <t>Trans.</t>
  </si>
  <si>
    <t>Peso tubería (Kg)</t>
  </si>
  <si>
    <t>Peso Arena (Kg)</t>
  </si>
  <si>
    <t>Recorrido propio (m)</t>
  </si>
  <si>
    <t>Total Kg</t>
  </si>
  <si>
    <t>Tramo</t>
  </si>
  <si>
    <t>Inicial</t>
  </si>
  <si>
    <t>Final</t>
  </si>
  <si>
    <t>Long.</t>
  </si>
  <si>
    <t>Ø (")</t>
  </si>
  <si>
    <t>Material</t>
  </si>
  <si>
    <t>Cimen.</t>
  </si>
  <si>
    <t>h (m)</t>
  </si>
  <si>
    <t>CQP-01</t>
  </si>
  <si>
    <t>Este (m)</t>
  </si>
  <si>
    <t>Norte (m)</t>
  </si>
  <si>
    <t>PI</t>
  </si>
  <si>
    <t>CAJAS Y VÁLVULAS</t>
  </si>
  <si>
    <t>CÁMARAS DE QUIEBRE DE PRESIÓN</t>
  </si>
  <si>
    <t>CQP</t>
  </si>
  <si>
    <t>Cota (m)</t>
  </si>
  <si>
    <t>Diámetro (")</t>
  </si>
  <si>
    <t>Localización general</t>
  </si>
  <si>
    <t>CABEZAL DE DESCARGA</t>
  </si>
  <si>
    <t>CD-01</t>
  </si>
  <si>
    <t>B (m)</t>
  </si>
  <si>
    <t>b (m)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</si>
  <si>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</si>
  <si>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</si>
  <si>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</si>
  <si>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</si>
  <si>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</si>
  <si>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</si>
  <si>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</si>
  <si>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</si>
  <si>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CD-04</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</si>
  <si>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</si>
  <si>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</si>
  <si>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CD-05</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</si>
  <si>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</si>
  <si>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</si>
  <si>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</si>
  <si>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</si>
  <si>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</si>
  <si>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CD-07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</si>
  <si>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</si>
  <si>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</si>
  <si>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POZO DE ALCANTARILLADO</t>
  </si>
  <si>
    <t>P-01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</si>
  <si>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</si>
  <si>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</si>
  <si>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P-02</t>
  </si>
  <si>
    <t>Excavación en conglomerado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</si>
  <si>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</si>
  <si>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</si>
  <si>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P-03</t>
  </si>
  <si>
    <t>Relleno con recebo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</si>
  <si>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</si>
  <si>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</si>
  <si>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P-04</t>
  </si>
  <si>
    <t>Solado de 2000 PSI</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</si>
  <si>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</si>
  <si>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</si>
  <si>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P-05</t>
  </si>
  <si>
    <t>Concreto para piso de 4000 PSI impermeabilizado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</si>
  <si>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</si>
  <si>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</si>
  <si>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P-06</t>
  </si>
  <si>
    <t>Concreto para muros de 4000 PSI impermeabilizado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</si>
  <si>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</si>
  <si>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</si>
  <si>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P-07</t>
  </si>
  <si>
    <t>Concreto tapa piso de 4000 PSI impermeabilizado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</si>
  <si>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</si>
  <si>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</si>
  <si>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P-08</t>
  </si>
  <si>
    <t>Escalera tipo gato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</si>
  <si>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</si>
  <si>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</si>
  <si>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P-09</t>
  </si>
  <si>
    <t>Tapa de seguridad</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</si>
  <si>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</si>
  <si>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</si>
  <si>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Localización y replanteo de estructuras</t>
  </si>
  <si>
    <t>Relleno con recebo común</t>
  </si>
  <si>
    <t>Concreto para piso de 4000 PSI</t>
  </si>
  <si>
    <t>CAMARA DE QUIEBRE DE PRESIÓN</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</si>
  <si>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</si>
  <si>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</si>
  <si>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CQP-02</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</si>
  <si>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</si>
  <si>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</si>
  <si>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CQP-03</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</si>
  <si>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</si>
  <si>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</si>
  <si>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CQP-04</t>
  </si>
  <si>
    <t>Relleno con material seleccionado de la excavación</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</si>
  <si>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</si>
  <si>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</si>
  <si>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CQP-05</t>
  </si>
  <si>
    <t>Extendido manual de tierras en sitio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</si>
  <si>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</si>
  <si>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</si>
  <si>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</si>
  <si>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</si>
  <si>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</si>
  <si>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CQP-07</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</si>
  <si>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</si>
  <si>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</si>
  <si>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CQP-08</t>
  </si>
  <si>
    <t>Concreto para muros de 4000 PSI</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</si>
  <si>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</si>
  <si>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</si>
  <si>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CQP-09</t>
  </si>
  <si>
    <t>Concreto para tapa de 4000 PSI</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</si>
  <si>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</si>
  <si>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</si>
  <si>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CQP-10</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</si>
  <si>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</si>
  <si>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</si>
  <si>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CPQ-11</t>
  </si>
  <si>
    <t>Enchape con tableta industrial</t>
  </si>
  <si>
    <t>CQP-11.01</t>
  </si>
  <si>
    <t>Enchape para piso</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</si>
  <si>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</si>
  <si>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</si>
  <si>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CQP-11,02</t>
  </si>
  <si>
    <t>Enchape para paredes</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</si>
  <si>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</si>
  <si>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</si>
  <si>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CQP-12</t>
  </si>
  <si>
    <t>Cabezal de descarga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</si>
  <si>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</si>
  <si>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</si>
  <si>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CQP-13</t>
  </si>
  <si>
    <t>Válvula flotadora</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</si>
  <si>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</si>
  <si>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</si>
  <si>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CQP-14</t>
  </si>
  <si>
    <t>Pasamuro 1 L=0,50m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</si>
  <si>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</si>
  <si>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</si>
  <si>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CQP-15</t>
  </si>
  <si>
    <t>Pasamuro 2 6" L=0,50m</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</si>
  <si>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</si>
  <si>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</si>
  <si>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CQP-16</t>
  </si>
  <si>
    <t>Tubería de lavado novafort 6"</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</si>
  <si>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</si>
  <si>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</si>
  <si>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CANTIDADES CODOS</t>
  </si>
  <si>
    <t>Codo 11.25 - Ø2</t>
  </si>
  <si>
    <t>Codo 11.25 - Ø3</t>
  </si>
  <si>
    <t>Codo 11.25 - Ø4</t>
  </si>
  <si>
    <t>Codo 11.25 - Ø6</t>
  </si>
  <si>
    <t>Codo 11.25 - Ø8</t>
  </si>
  <si>
    <t>Codo 22.5 - Ø2</t>
  </si>
  <si>
    <t>Codo 22.5 - Ø3</t>
  </si>
  <si>
    <t>Codo 22.5 - Ø4</t>
  </si>
  <si>
    <t>Codo 22.5 - Ø6</t>
  </si>
  <si>
    <t>Codo 22.5 - Ø8</t>
  </si>
  <si>
    <t>Codo 45 - Ø2</t>
  </si>
  <si>
    <t>Codo 45 - Ø3</t>
  </si>
  <si>
    <t>Codo 45 - Ø4</t>
  </si>
  <si>
    <t>Codo 45 - Ø6</t>
  </si>
  <si>
    <t>Codo 45 - Ø8</t>
  </si>
  <si>
    <t>Codo 90 - Ø2</t>
  </si>
  <si>
    <t>Codo 90 - Ø6</t>
  </si>
  <si>
    <t>CONCRETO</t>
  </si>
  <si>
    <t>ACERO</t>
  </si>
  <si>
    <t>Angulo codo</t>
  </si>
  <si>
    <t>Presión</t>
  </si>
  <si>
    <t>Área anclaje</t>
  </si>
  <si>
    <t>Altura</t>
  </si>
  <si>
    <t>Volumen (m3)</t>
  </si>
  <si>
    <t>Long. Total</t>
  </si>
  <si>
    <t>Peso Kg/ml</t>
  </si>
  <si>
    <t>Peso Kg</t>
  </si>
  <si>
    <t>11.25 - 22.5</t>
  </si>
  <si>
    <t>Codo 11,25 - 22,5</t>
  </si>
  <si>
    <t>Presión 25 mca</t>
  </si>
  <si>
    <t>Presión 75 mca</t>
  </si>
  <si>
    <t>Presión 125 mca</t>
  </si>
  <si>
    <t>Presión 175 mca</t>
  </si>
  <si>
    <t>Codo 45</t>
  </si>
  <si>
    <t>Codo 90</t>
  </si>
  <si>
    <t>Sector</t>
  </si>
  <si>
    <t>Caracteristica</t>
  </si>
  <si>
    <t>Nodo</t>
  </si>
  <si>
    <t>Accesorio</t>
  </si>
  <si>
    <t>Presión (m.c.a.)</t>
  </si>
  <si>
    <t>P. Anclaje (m.c.a.)</t>
  </si>
  <si>
    <t>Acero (Kg)</t>
  </si>
  <si>
    <t>Codo 11.25</t>
  </si>
  <si>
    <t>Codo 22.5</t>
  </si>
  <si>
    <t>A.I.U. Obra Civil</t>
  </si>
  <si>
    <t>SUMINISTRO DE TUBERÍA NOVAFORT Ø6" PARA LAVADO Y REBOSE</t>
  </si>
  <si>
    <t>Interventoría Obra Civil</t>
  </si>
  <si>
    <t>ESTRUCTURA DE COSTOS DE LA ADMINISTRACIÓN OBRA CIVIL, UTILIDAD E IMPREVISTOS (A.I.U)</t>
  </si>
  <si>
    <t>DESAGREGADO DE LA INTERVENTORÍA DE OBRA CIVIL</t>
  </si>
  <si>
    <t>LOCALIZACIÓN Y REPLANTEO DE REDES (NO INCLUYE EQUIPO DE TOPOGRAFÍA)</t>
  </si>
  <si>
    <t>COTIZACIÓN</t>
  </si>
  <si>
    <t>TRANSPORTE DE MATERIALES, RETIRO Y DISPOSICIÓN FINAL DE ESCOMBROS</t>
  </si>
  <si>
    <t>TOTAL COSTOS DIRECTOS OC</t>
  </si>
  <si>
    <t>INTERVENTORÍA OC</t>
  </si>
  <si>
    <t>Homcenter</t>
  </si>
  <si>
    <t>PAVCO</t>
  </si>
  <si>
    <t>Ferrehierros</t>
  </si>
  <si>
    <t>Ver APU</t>
  </si>
  <si>
    <t>APOLO</t>
  </si>
  <si>
    <t>Saniaguas SAS</t>
  </si>
  <si>
    <t>Agropecuaria Capi</t>
  </si>
  <si>
    <t>Costruequipos YEY</t>
  </si>
  <si>
    <t>FORMALETA METÁLICA PARA ESTRUCTURA HIDRÁULICA (INCLUYE MATERIALES, HERRAMIENTAS Y MANO DE OBRA)</t>
  </si>
  <si>
    <t>construequipos YEY</t>
  </si>
  <si>
    <t>Construequipos YEY</t>
  </si>
  <si>
    <t>FORTALECIMIENTO INSTITUCIONAL</t>
  </si>
  <si>
    <t>PRE CONTRACTUAL</t>
  </si>
  <si>
    <t>FERRETERIA DISTANCIA PROMEDIO</t>
  </si>
  <si>
    <t>Inst. provisionales movilización y desmovilización</t>
  </si>
  <si>
    <t>Mes</t>
  </si>
  <si>
    <t>MP: 011037-0653228 ANT</t>
  </si>
  <si>
    <t>CONSTRUCCIÓN DEL SISTEMA DE ACUEDUCTO IDOLOS, EL TIGRE, MUNICIPIO DE ISNOS – DEPARTAMENTO DEL HUILA – FASE I.</t>
  </si>
  <si>
    <t>CANTERA - RECEBERA BUENOS AIRES</t>
  </si>
  <si>
    <t>Deiner Alexander Obregón Palomeque</t>
  </si>
  <si>
    <t>Elaboracion - Ingeniero Civil</t>
  </si>
  <si>
    <t>CANTIDADES DE OBRA RED EXPRESA</t>
  </si>
  <si>
    <t>TS-311</t>
  </si>
  <si>
    <t>TS-312</t>
  </si>
  <si>
    <t>TS-313</t>
  </si>
  <si>
    <t>TS-314</t>
  </si>
  <si>
    <t>TS-315</t>
  </si>
  <si>
    <t>TS-316</t>
  </si>
  <si>
    <t>TS-317</t>
  </si>
  <si>
    <t>TS-318</t>
  </si>
  <si>
    <t>TS-319</t>
  </si>
  <si>
    <t>TS-320</t>
  </si>
  <si>
    <t>TS-321</t>
  </si>
  <si>
    <t>TS-322</t>
  </si>
  <si>
    <t>TS-323</t>
  </si>
  <si>
    <t>TS-324</t>
  </si>
  <si>
    <t>TS-325</t>
  </si>
  <si>
    <t>TS-326</t>
  </si>
  <si>
    <t>TS-327</t>
  </si>
  <si>
    <t>TS-328</t>
  </si>
  <si>
    <t>TS-329</t>
  </si>
  <si>
    <t>TS-330</t>
  </si>
  <si>
    <t>TS-331</t>
  </si>
  <si>
    <t>TS-332</t>
  </si>
  <si>
    <t>TS-333</t>
  </si>
  <si>
    <t>TS-334</t>
  </si>
  <si>
    <t>TS-336</t>
  </si>
  <si>
    <t>TS-337</t>
  </si>
  <si>
    <t>TS-338</t>
  </si>
  <si>
    <t>TS-339</t>
  </si>
  <si>
    <t>TS-340</t>
  </si>
  <si>
    <t>TS-341</t>
  </si>
  <si>
    <t>TS-342</t>
  </si>
  <si>
    <t>TS-343</t>
  </si>
  <si>
    <t>TS-344</t>
  </si>
  <si>
    <t>TS-345</t>
  </si>
  <si>
    <t>TS-346</t>
  </si>
  <si>
    <t>TS-347</t>
  </si>
  <si>
    <t>TS-348</t>
  </si>
  <si>
    <t>TS-349</t>
  </si>
  <si>
    <t>TS-350</t>
  </si>
  <si>
    <t>TS-351</t>
  </si>
  <si>
    <t>TS-352</t>
  </si>
  <si>
    <t>TS-353</t>
  </si>
  <si>
    <t>TS-354</t>
  </si>
  <si>
    <t>TS-355</t>
  </si>
  <si>
    <t>TS-356</t>
  </si>
  <si>
    <t>TS-357</t>
  </si>
  <si>
    <t>TS-358</t>
  </si>
  <si>
    <t>TS-359</t>
  </si>
  <si>
    <t>TS-360</t>
  </si>
  <si>
    <t>TS-361</t>
  </si>
  <si>
    <t>TS-362</t>
  </si>
  <si>
    <t>TS-363</t>
  </si>
  <si>
    <t>TS-364</t>
  </si>
  <si>
    <t>TS-365</t>
  </si>
  <si>
    <t>TS-366</t>
  </si>
  <si>
    <t>TS-367</t>
  </si>
  <si>
    <t>TS-368</t>
  </si>
  <si>
    <t>TS-369</t>
  </si>
  <si>
    <t>TS-370</t>
  </si>
  <si>
    <t>TS-371</t>
  </si>
  <si>
    <t>TS-372</t>
  </si>
  <si>
    <t>TS-373</t>
  </si>
  <si>
    <t>TS-374</t>
  </si>
  <si>
    <t>TS-375</t>
  </si>
  <si>
    <t>TS-376</t>
  </si>
  <si>
    <t>TS-377</t>
  </si>
  <si>
    <t>TS-378</t>
  </si>
  <si>
    <t>TS-379</t>
  </si>
  <si>
    <t>TS-380</t>
  </si>
  <si>
    <t>TS-381</t>
  </si>
  <si>
    <t>TS-382</t>
  </si>
  <si>
    <t>TS-383</t>
  </si>
  <si>
    <t>TS-384</t>
  </si>
  <si>
    <t>TS-385</t>
  </si>
  <si>
    <t>TS-386</t>
  </si>
  <si>
    <t>TS-387</t>
  </si>
  <si>
    <t>TS-388</t>
  </si>
  <si>
    <t>TS-389</t>
  </si>
  <si>
    <t>TS-390</t>
  </si>
  <si>
    <t>TS-391</t>
  </si>
  <si>
    <t>TS-392</t>
  </si>
  <si>
    <t>TS-393</t>
  </si>
  <si>
    <t>TS-394</t>
  </si>
  <si>
    <t>TS-395</t>
  </si>
  <si>
    <t>TS-396</t>
  </si>
  <si>
    <t>TS-397</t>
  </si>
  <si>
    <t>TS-398</t>
  </si>
  <si>
    <t>TS-399</t>
  </si>
  <si>
    <t>TS-400</t>
  </si>
  <si>
    <t>TS-401</t>
  </si>
  <si>
    <t>TS-402</t>
  </si>
  <si>
    <t>TS-403</t>
  </si>
  <si>
    <t>TS-404</t>
  </si>
  <si>
    <t>TS-405</t>
  </si>
  <si>
    <t>TS-406</t>
  </si>
  <si>
    <t>TS-407</t>
  </si>
  <si>
    <t>TS-408</t>
  </si>
  <si>
    <t>TS-409</t>
  </si>
  <si>
    <t>TS-410</t>
  </si>
  <si>
    <t>TS-411</t>
  </si>
  <si>
    <t>TS-412</t>
  </si>
  <si>
    <t>TS-413</t>
  </si>
  <si>
    <t>TS-414</t>
  </si>
  <si>
    <t>TS-415</t>
  </si>
  <si>
    <t>TS-416</t>
  </si>
  <si>
    <t>TS-417</t>
  </si>
  <si>
    <t>TS-418</t>
  </si>
  <si>
    <t>TS-419</t>
  </si>
  <si>
    <t>TS-420</t>
  </si>
  <si>
    <t>TS-421</t>
  </si>
  <si>
    <t>TS-422</t>
  </si>
  <si>
    <t>TS-423</t>
  </si>
  <si>
    <t>TS-424</t>
  </si>
  <si>
    <t>TS-425</t>
  </si>
  <si>
    <t>TS-426</t>
  </si>
  <si>
    <t>TS-427</t>
  </si>
  <si>
    <t>TS-428</t>
  </si>
  <si>
    <t>TS-429</t>
  </si>
  <si>
    <t>TS-430</t>
  </si>
  <si>
    <t>TS-431</t>
  </si>
  <si>
    <t>TS-432</t>
  </si>
  <si>
    <t>TS-433</t>
  </si>
  <si>
    <t>TS-434</t>
  </si>
  <si>
    <t>TS-549</t>
  </si>
  <si>
    <t>TS-550</t>
  </si>
  <si>
    <t>TS-551</t>
  </si>
  <si>
    <t>TS-552</t>
  </si>
  <si>
    <t>RM-001</t>
  </si>
  <si>
    <t>RM-002</t>
  </si>
  <si>
    <t>RM-003</t>
  </si>
  <si>
    <t>RM-004</t>
  </si>
  <si>
    <t>RM-005</t>
  </si>
  <si>
    <t>RM-006</t>
  </si>
  <si>
    <t>RM-007</t>
  </si>
  <si>
    <t>RM-008</t>
  </si>
  <si>
    <t>RM-009</t>
  </si>
  <si>
    <t>RM-010</t>
  </si>
  <si>
    <t>RM-011</t>
  </si>
  <si>
    <t>RM-012</t>
  </si>
  <si>
    <t>RM-013</t>
  </si>
  <si>
    <t>RM-014</t>
  </si>
  <si>
    <t>RM-015</t>
  </si>
  <si>
    <t>RM-016</t>
  </si>
  <si>
    <t>CQN5</t>
  </si>
  <si>
    <t>RM-017</t>
  </si>
  <si>
    <t>RM-018</t>
  </si>
  <si>
    <t>RM-019</t>
  </si>
  <si>
    <t>RM-020</t>
  </si>
  <si>
    <t>RM-021</t>
  </si>
  <si>
    <t>RM-022</t>
  </si>
  <si>
    <t>RM-023</t>
  </si>
  <si>
    <t>RM-024</t>
  </si>
  <si>
    <t>RM-025</t>
  </si>
  <si>
    <t>RM-026</t>
  </si>
  <si>
    <t>RM-027</t>
  </si>
  <si>
    <t>RM-028</t>
  </si>
  <si>
    <t>RM-029</t>
  </si>
  <si>
    <t>RM-030</t>
  </si>
  <si>
    <t>RM-031</t>
  </si>
  <si>
    <t>RM-032</t>
  </si>
  <si>
    <t>RM-033</t>
  </si>
  <si>
    <t>RM-034</t>
  </si>
  <si>
    <t>RM-035</t>
  </si>
  <si>
    <t>RM-036</t>
  </si>
  <si>
    <t>RM-037</t>
  </si>
  <si>
    <t>RM-038</t>
  </si>
  <si>
    <t>RM-039</t>
  </si>
  <si>
    <t>RM-040</t>
  </si>
  <si>
    <t>RM-041</t>
  </si>
  <si>
    <t>RM-042</t>
  </si>
  <si>
    <t>RM-043</t>
  </si>
  <si>
    <t>RM-044</t>
  </si>
  <si>
    <t>TCV-312</t>
  </si>
  <si>
    <t>RM-045</t>
  </si>
  <si>
    <t>RM-046</t>
  </si>
  <si>
    <t>RM-047</t>
  </si>
  <si>
    <t>RM-048</t>
  </si>
  <si>
    <t>RM-049</t>
  </si>
  <si>
    <t>RM-050</t>
  </si>
  <si>
    <t>RM-051</t>
  </si>
  <si>
    <t>RM-052</t>
  </si>
  <si>
    <t>RM-053</t>
  </si>
  <si>
    <t>RM-054</t>
  </si>
  <si>
    <t>RM-055</t>
  </si>
  <si>
    <t>RM-056</t>
  </si>
  <si>
    <t>RM-057</t>
  </si>
  <si>
    <t>RM-058</t>
  </si>
  <si>
    <t>RM-059</t>
  </si>
  <si>
    <t>RM-060</t>
  </si>
  <si>
    <t>RM-061</t>
  </si>
  <si>
    <t>RM-062</t>
  </si>
  <si>
    <t>RM-063</t>
  </si>
  <si>
    <t>RM-064</t>
  </si>
  <si>
    <t>RM-065</t>
  </si>
  <si>
    <t>RM-066</t>
  </si>
  <si>
    <t>RM-067</t>
  </si>
  <si>
    <t>RM-068</t>
  </si>
  <si>
    <t>RM-069</t>
  </si>
  <si>
    <t>RM-070</t>
  </si>
  <si>
    <t>RM-071</t>
  </si>
  <si>
    <t>RM-072</t>
  </si>
  <si>
    <t>RM-073</t>
  </si>
  <si>
    <t>RM-074</t>
  </si>
  <si>
    <t>RM-075</t>
  </si>
  <si>
    <t>RM-076</t>
  </si>
  <si>
    <t>RM-077</t>
  </si>
  <si>
    <t>RM-078</t>
  </si>
  <si>
    <t>RM-079</t>
  </si>
  <si>
    <t>RM-080</t>
  </si>
  <si>
    <t>RM-081</t>
  </si>
  <si>
    <t>RM-082</t>
  </si>
  <si>
    <t>RM-083</t>
  </si>
  <si>
    <t>RM-084</t>
  </si>
  <si>
    <t>RM-085</t>
  </si>
  <si>
    <t>RM-086</t>
  </si>
  <si>
    <t>RM-087</t>
  </si>
  <si>
    <t>RM-088</t>
  </si>
  <si>
    <t>RM-089</t>
  </si>
  <si>
    <t>RM-090</t>
  </si>
  <si>
    <t>RM-091</t>
  </si>
  <si>
    <t>RM-092</t>
  </si>
  <si>
    <t>RM-093</t>
  </si>
  <si>
    <t>RM-094</t>
  </si>
  <si>
    <t>TCV-313</t>
  </si>
  <si>
    <t>RM-095</t>
  </si>
  <si>
    <t>RM-096</t>
  </si>
  <si>
    <t>RM-097</t>
  </si>
  <si>
    <t>RM-098</t>
  </si>
  <si>
    <t>RM-099</t>
  </si>
  <si>
    <t>RM-100</t>
  </si>
  <si>
    <t>RM-101</t>
  </si>
  <si>
    <t>RM-102</t>
  </si>
  <si>
    <t>RM-103</t>
  </si>
  <si>
    <t>RM-104</t>
  </si>
  <si>
    <t>RM-105</t>
  </si>
  <si>
    <t>RM-106</t>
  </si>
  <si>
    <t>RM-107</t>
  </si>
  <si>
    <t>RM-108</t>
  </si>
  <si>
    <t>RM-109</t>
  </si>
  <si>
    <t>RM-110</t>
  </si>
  <si>
    <t>RM-111</t>
  </si>
  <si>
    <t>RM-112</t>
  </si>
  <si>
    <t>RM-113</t>
  </si>
  <si>
    <t>RM-114</t>
  </si>
  <si>
    <t>RM-115</t>
  </si>
  <si>
    <t>RM-116</t>
  </si>
  <si>
    <t>RM-117</t>
  </si>
  <si>
    <t>RM-118</t>
  </si>
  <si>
    <t>RM-119</t>
  </si>
  <si>
    <t>RM-120</t>
  </si>
  <si>
    <t>RM-121</t>
  </si>
  <si>
    <t>RM-122</t>
  </si>
  <si>
    <t>RM-123</t>
  </si>
  <si>
    <t>RM-124</t>
  </si>
  <si>
    <t>RM-125</t>
  </si>
  <si>
    <t>RM-126</t>
  </si>
  <si>
    <t>RM-127</t>
  </si>
  <si>
    <t>RM-128</t>
  </si>
  <si>
    <t>RM-129</t>
  </si>
  <si>
    <t>RM-130</t>
  </si>
  <si>
    <t>TCV-314</t>
  </si>
  <si>
    <t>RM-131</t>
  </si>
  <si>
    <t>RM-133</t>
  </si>
  <si>
    <t>RM-134</t>
  </si>
  <si>
    <t>RM-135</t>
  </si>
  <si>
    <t>RM-136</t>
  </si>
  <si>
    <t>RM-137</t>
  </si>
  <si>
    <t>RM-138</t>
  </si>
  <si>
    <t>RM-140</t>
  </si>
  <si>
    <t>RP2</t>
  </si>
  <si>
    <t>RM-141</t>
  </si>
  <si>
    <t>RM-142</t>
  </si>
  <si>
    <t>RM-143</t>
  </si>
  <si>
    <t>RM-144</t>
  </si>
  <si>
    <t>RM-145</t>
  </si>
  <si>
    <t>RM-146</t>
  </si>
  <si>
    <t>RM-147</t>
  </si>
  <si>
    <t>RM-149</t>
  </si>
  <si>
    <t>RM-151</t>
  </si>
  <si>
    <t>RM-153</t>
  </si>
  <si>
    <t>RM-154</t>
  </si>
  <si>
    <t>RM-155</t>
  </si>
  <si>
    <t>RM-156</t>
  </si>
  <si>
    <t>RM-158</t>
  </si>
  <si>
    <t>RM-161</t>
  </si>
  <si>
    <t>RM-163</t>
  </si>
  <si>
    <t>RM-164</t>
  </si>
  <si>
    <t>RM-165</t>
  </si>
  <si>
    <t>RM-166</t>
  </si>
  <si>
    <t>RM-170</t>
  </si>
  <si>
    <t>RM-171</t>
  </si>
  <si>
    <t>RM-172</t>
  </si>
  <si>
    <t>RM-173</t>
  </si>
  <si>
    <t>RP3</t>
  </si>
  <si>
    <t>RM-174</t>
  </si>
  <si>
    <t>PVC UM RDE 21 - Ø4</t>
  </si>
  <si>
    <t>PVC UM RDE 21 - Ø2</t>
  </si>
  <si>
    <t>RED EXPRESA Y SECUNDARIA FASE I</t>
  </si>
  <si>
    <t>TIGRE - ISNOS</t>
  </si>
  <si>
    <t>PLACA PTAP</t>
  </si>
  <si>
    <r>
      <t>ÁREA (m</t>
    </r>
    <r>
      <rPr>
        <b/>
        <vertAlign val="superscript"/>
        <sz val="10"/>
        <color theme="0"/>
        <rFont val="Century Gothic"/>
        <family val="2"/>
      </rPr>
      <t>2</t>
    </r>
    <r>
      <rPr>
        <b/>
        <sz val="10"/>
        <color theme="0"/>
        <rFont val="Century Gothic"/>
        <family val="2"/>
      </rPr>
      <t>)</t>
    </r>
  </si>
  <si>
    <r>
      <t>VOLÚM. (m</t>
    </r>
    <r>
      <rPr>
        <b/>
        <vertAlign val="superscript"/>
        <sz val="10"/>
        <color theme="0"/>
        <rFont val="Century Gothic"/>
        <family val="2"/>
      </rPr>
      <t>3</t>
    </r>
    <r>
      <rPr>
        <b/>
        <sz val="10"/>
        <color theme="0"/>
        <rFont val="Century Gothic"/>
        <family val="2"/>
      </rPr>
      <t>)</t>
    </r>
  </si>
  <si>
    <t>SUMINISTRO DE PTAP COMPACTA EN PRFV DE CICLO COMPLETO PARA CAUDAL DE 6 LPS (INCLUYE BANDEJAS DE AIREACIÓN, UNIDAD DE MEZCLA RÁPIDA, FLOCULADOR, SEDIMENTADOR, TANQUE DE CONTACTO CLORO, FILTRACIÓN, DISEÑO, CONSTRUCCIÓN Y PUESTA EN MARCHA)</t>
  </si>
  <si>
    <t>Ptap compacta de ciclo completo para caudal de 6 Lps</t>
  </si>
  <si>
    <t>N/A</t>
  </si>
  <si>
    <t>Red Expresa</t>
  </si>
  <si>
    <t>LE</t>
  </si>
  <si>
    <t>Codo 90 - Ø4</t>
  </si>
  <si>
    <t>LINEA EXPRESA</t>
  </si>
  <si>
    <t>Presión inicial (m)</t>
  </si>
  <si>
    <t>Presión Final (m)</t>
  </si>
  <si>
    <t>Cortadora de disco para concreto (Incluye disco y combustible)</t>
  </si>
  <si>
    <t>Transporte de herramientas y equipos</t>
  </si>
  <si>
    <t>% H, M, E</t>
  </si>
  <si>
    <t>Compresor para martillo demoledor</t>
  </si>
  <si>
    <t>Martillo demoledor de concreto</t>
  </si>
  <si>
    <t>E016</t>
  </si>
  <si>
    <t>%H, E, M</t>
  </si>
  <si>
    <t>TS-335</t>
  </si>
  <si>
    <t>TS-548</t>
  </si>
  <si>
    <t>Tanque Proyectado</t>
  </si>
  <si>
    <t>PLAN DE MANEJO AMBIENTAL (PMA)</t>
  </si>
  <si>
    <t>PLAN DE MANEJO DE TRANSITO (PMT)</t>
  </si>
  <si>
    <t>PLAN DE SEGURIDAD Y SALUD EN EL TRABAJO (SST)</t>
  </si>
  <si>
    <t xml:space="preserve">SUBTOTAL </t>
  </si>
  <si>
    <t>ESTRUCTURA DE COSTOS PLAN DE FORTALECIMIENTO INSTITUCIONAL</t>
  </si>
  <si>
    <t>A.FI.01</t>
  </si>
  <si>
    <t>Profesional en administración de empresas</t>
  </si>
  <si>
    <t>A.FI.02</t>
  </si>
  <si>
    <t>Profesional Contaduría</t>
  </si>
  <si>
    <t>A.FI.03</t>
  </si>
  <si>
    <t>Profesional Derecho</t>
  </si>
  <si>
    <t>A.FI.04</t>
  </si>
  <si>
    <t>A.FI.06</t>
  </si>
  <si>
    <t>Profesional Química</t>
  </si>
  <si>
    <t>A.FI.07</t>
  </si>
  <si>
    <t>A.FI.05</t>
  </si>
  <si>
    <t>A.FI.08</t>
  </si>
  <si>
    <t>A.FI.09</t>
  </si>
  <si>
    <t>B.FI.01</t>
  </si>
  <si>
    <t>B.FI.02</t>
  </si>
  <si>
    <t>B.FI.03</t>
  </si>
  <si>
    <t>B.FI.04</t>
  </si>
  <si>
    <t>B.FI.05</t>
  </si>
  <si>
    <t xml:space="preserve">Ensayos y pruebas calidad del agua </t>
  </si>
  <si>
    <t>B.FI.06</t>
  </si>
  <si>
    <t>Inst. provisionales movilización y desmovilización - Dotación</t>
  </si>
  <si>
    <t>B.FI.07</t>
  </si>
  <si>
    <t>B.FI.08</t>
  </si>
  <si>
    <t xml:space="preserve">Refrigerios para cada comunidad </t>
  </si>
  <si>
    <t xml:space="preserve"> (A+B)</t>
  </si>
  <si>
    <t>VALOR PARCIAL</t>
  </si>
  <si>
    <t>ADMÓN</t>
  </si>
  <si>
    <t>Cantera Buenos Aires</t>
  </si>
  <si>
    <t xml:space="preserve"> COSTOS PLAN DE MANEJO AMBIENTAL (PMA)</t>
  </si>
  <si>
    <t>Profesional Predial</t>
  </si>
  <si>
    <t>A.11</t>
  </si>
  <si>
    <t>Profesional Eléctrico</t>
  </si>
  <si>
    <t>A.12</t>
  </si>
  <si>
    <t>Apoyo aseo</t>
  </si>
  <si>
    <t>A.13</t>
  </si>
  <si>
    <t>*El profesional ambiental debe garantizar: Manejo integral de materiales de construcción, manejo y disposición final de residuos sólidos convencionales y especiales, manejo de aguas superficiales.</t>
  </si>
  <si>
    <t>*El profesional ambiental debe garantizar: Cubrimiento de materiales granulares (bases, subbases, arena, con plástico calibre 6 de 3 m de ancho x 10 m de longitud para 30 m2 por frente de obra</t>
  </si>
  <si>
    <t>*El profesional ambiental debe garantizar: Cubrimiento de escombros tela verde para cerramiento de 2,10 m de ancho x 15 de longitud para 30 m2 por frente de obra</t>
  </si>
  <si>
    <t>B.06</t>
  </si>
  <si>
    <t>Instalaciones provisionales movilización y desmovilización- Dotación</t>
  </si>
  <si>
    <t>KIT SEÑALIZACIÓN AMBIENTAL: señal de 15 x 15 cm - reciclable, señal de 15 x 15 cm - orgánico, señal de 15 x 15 cm - sustancias peligrosas.</t>
  </si>
  <si>
    <t>B.10</t>
  </si>
  <si>
    <t xml:space="preserve">Punto ecológico para desperdicios sólidos. Incluye tres (3) canecas de 55 litros de capacidad, compuesta de dos piezas (tapa y contenedor) resistente a la intemperie, de fácil limpieza y cargue, en polietileno de alta densidad, bolsas para basura color negra (24 mensuales), rojo (4 mensuales) y verde (4 mensuales) de material plástico de alta densidad, calibre de 2", de 65 x 85 cm </t>
  </si>
  <si>
    <t>B.11</t>
  </si>
  <si>
    <t xml:space="preserve">Caneca para lavado de herramientas con capacidad para 55 galones, redonda, con tapa, material: polietileno, irrompible, alta densidad resistente a carga estática resistente a la exposición a la intemperie color:  de acuerdo con la disponibilidad con la que se cuente </t>
  </si>
  <si>
    <t>B.12</t>
  </si>
  <si>
    <t>Plástico calibre 6 de 3 m de ancho x 10 m de longitud para 30 m2 por frente de obra</t>
  </si>
  <si>
    <t>B.13</t>
  </si>
  <si>
    <t>Tela verde para cerramiento de 2,10 m de ancho x 15 de longitud para 30 m2 por frente de obra</t>
  </si>
  <si>
    <t>B.14</t>
  </si>
  <si>
    <t>Alquiler baño existente en la zona</t>
  </si>
  <si>
    <t>B.15</t>
  </si>
  <si>
    <t>KIT ASEO INFRAESTRUCTURA: pala con mango, carretilla (tipo boggy con llanta neumática), cono mínimo de h: 45 cm, balde plástico de 25 lt, cepillo de casquillo de 37  x 7</t>
  </si>
  <si>
    <t xml:space="preserve"> COSTOS PLAN DE MANEJO DE TRÁNSITO (PMT)</t>
  </si>
  <si>
    <t>Profesional Civil (Transito y transporte)</t>
  </si>
  <si>
    <t>Apoyo Residente de Obra</t>
  </si>
  <si>
    <t>*El proofesional Ing Civil (Transito y transporte) debe presentar el diseño y aprobación del Plan de Manejo de Tránsito</t>
  </si>
  <si>
    <t>*El proofesional Ing Civil (Transito y transporte) debe realizar las campañas de socialización del PMT con la comunidad (volantes, reuniones)</t>
  </si>
  <si>
    <t>Señalización vertical (PARE, HOMBRES TRABAJANDO, DESVÍO)</t>
  </si>
  <si>
    <t>GLOBAL</t>
  </si>
  <si>
    <t>Conos viales reflectivos para trafico (2 X Punto)</t>
  </si>
  <si>
    <t>Barreras plásticas de contención (2 X Punto)</t>
  </si>
  <si>
    <t>Iluminación provisional (reflectores en horario nocturno)</t>
  </si>
  <si>
    <t>Pendones informativos y ruta de desvíos</t>
  </si>
  <si>
    <t>COSTOS PLAN DE SEGURIDAD Y SALUD EN EL TRABAJO (SST)</t>
  </si>
  <si>
    <t>A.14</t>
  </si>
  <si>
    <t>Auxiliar para limpieza</t>
  </si>
  <si>
    <t>*Las capacitaciones deben ser realizadas por el profesional QHSE/SST</t>
  </si>
  <si>
    <t>*La elaboración del plan de emergencia y evacuación (elaboración + socialización) estará a carggo del QHSE/SST</t>
  </si>
  <si>
    <t>*El auxiliar de limpieza debe mantener el frente de obra limpio y en orden, removiendo los escombros que puedan generr riesgos de acuerdo con las instruccións del profesional QHSE/SST</t>
  </si>
  <si>
    <t>Señalización de seguridad en obra (zonas de riesgo, salidas de emergencia, extintores)</t>
  </si>
  <si>
    <t>Instalación de vallas informativos con normas de seguridad</t>
  </si>
  <si>
    <t>Kit de primeros auxilios completo</t>
  </si>
  <si>
    <t>Extintores multipropósito (polvo químico seco de 10 lb)</t>
  </si>
  <si>
    <t>Kit para limpieza (Escoba, recogedor, pala)</t>
  </si>
  <si>
    <t>CORTE DE PAVIMENTO FLEXIBLE (INCLUYE CORTADORA DE DISCO, AGUA, HERRAMIENTA MENOR Y MANO DE OBRA)</t>
  </si>
  <si>
    <t>DEMOLICIÓN Y ROTURA DE PAVIMENTO FLEXIBLE (INCLUYE COMPRESOR, MARTILLO DEMOLEDOR, MATERIALES, HERRAMIENTA MENOR Y MANO DE OBRA)</t>
  </si>
  <si>
    <t>Mezcla asfaltica natural</t>
  </si>
  <si>
    <t>Base granular</t>
  </si>
  <si>
    <t>Transporte de materiales de cantera</t>
  </si>
  <si>
    <t>KM-M3</t>
  </si>
  <si>
    <t>Velocidad promedio transporte cargado</t>
  </si>
  <si>
    <t>Km/h</t>
  </si>
  <si>
    <t>Velocidad promedio transporte vacio</t>
  </si>
  <si>
    <t>Capacidad de carga transporte (volqueta)</t>
  </si>
  <si>
    <t>Capacidad de carga transporte (volqueta) para el tipo de material</t>
  </si>
  <si>
    <t>Ton</t>
  </si>
  <si>
    <t>Capacidad de carga del cucharon (retroexcavadora)</t>
  </si>
  <si>
    <t>Tiempo de giro, posicionamiento y descarga (retroexcavadora)</t>
  </si>
  <si>
    <t>min/ciclo</t>
  </si>
  <si>
    <t>Tiempo de posicionamiento en el punto de cargue</t>
  </si>
  <si>
    <t>min</t>
  </si>
  <si>
    <t>Distancia estimada a recorrer</t>
  </si>
  <si>
    <t>Factor de llenado de balde</t>
  </si>
  <si>
    <t>Factor de esponjamiento del material</t>
  </si>
  <si>
    <t>Densidad del material</t>
  </si>
  <si>
    <t>Ton/m3</t>
  </si>
  <si>
    <t>Tarifa transporte (volqueta 6m3)</t>
  </si>
  <si>
    <t>COP/hr</t>
  </si>
  <si>
    <t>Costo por disposición final viaje de volqueta sencilla 6 m3</t>
  </si>
  <si>
    <t>COP/viaje</t>
  </si>
  <si>
    <t>Costo por disposición final</t>
  </si>
  <si>
    <t>COP/m3</t>
  </si>
  <si>
    <t>Número de paladas por cargue de volqueta</t>
  </si>
  <si>
    <t>un</t>
  </si>
  <si>
    <t>Tiempo de cargue de volqueta</t>
  </si>
  <si>
    <t>hr</t>
  </si>
  <si>
    <t>Tiempo de posicionamiento de equipo de cargue y de transporte</t>
  </si>
  <si>
    <t>Tiempo de transporte a sitio seleccionado</t>
  </si>
  <si>
    <t>Tiempo de transporte de retorno a obra</t>
  </si>
  <si>
    <t>Tiempo total de ciclo para una volqueta</t>
  </si>
  <si>
    <t>Combustible (ACPM)</t>
  </si>
  <si>
    <t>Rendimiento combustible</t>
  </si>
  <si>
    <t>Galón/100KM</t>
  </si>
  <si>
    <t>Consumo combustible</t>
  </si>
  <si>
    <t>COP</t>
  </si>
  <si>
    <t>Costo por cada ciclo de volqueta</t>
  </si>
  <si>
    <t>Cantidad de transporte por cada ciclo</t>
  </si>
  <si>
    <t>m3-Km</t>
  </si>
  <si>
    <t/>
  </si>
  <si>
    <t>Alquiler volqueta 6 m3</t>
  </si>
  <si>
    <t>TRANSPORTE DE MATERIALES DE CANTERA (INCLUYE CONDUCTOR)</t>
  </si>
  <si>
    <t>REPOSICIÓN DE PAVIMENTO FLEXIBLE CON MEZCLA ASFÁLTICA (INCLUYE AGUA, BASE GRANULAR, MEZCLA ASFÁLTICA, EXTENDIDO Y COMPACTACIÓN DE MATERIAL, EQUIPOS, HERRAMIENTA MENOR Y MANO DE OBRA)</t>
  </si>
  <si>
    <t>Km-M3</t>
  </si>
  <si>
    <t>Transporte de material de cantera</t>
  </si>
  <si>
    <t>Transporte de material de ferreteria</t>
  </si>
  <si>
    <t>Transporte de materiales de ferreteria</t>
  </si>
  <si>
    <r>
      <t xml:space="preserve">SUMINISTRO E INSTALACIÓN DE TUBERÍA PVC UM </t>
    </r>
    <r>
      <rPr>
        <b/>
        <sz val="10"/>
        <color theme="0"/>
        <rFont val="Calibri"/>
        <family val="2"/>
      </rPr>
      <t>Ø6</t>
    </r>
    <r>
      <rPr>
        <b/>
        <sz val="10"/>
        <color theme="0"/>
        <rFont val="Century Gothic"/>
        <family val="2"/>
      </rPr>
      <t>" RDE 21 (INCLUYE PEGAMENTO, LIMPIADOR, HERRAMIENTA MENOR Y MANO DE OBRA)</t>
    </r>
  </si>
  <si>
    <t>SUMINISTRO E INSTALACIÓN DE TUBERÍA PVC UM Ø6" RDE 21 (INCLUYE PEGAMENTO, LIMPIADOR, HERRAMIENTA MENOR Y MANO DE OBRA)</t>
  </si>
  <si>
    <t>SUMINISTRO E INSTALACIÓN DE TUBERÍA NOVAFORT Ø6" PARA LAVADO Y REBOSE (INCLUYE MATERIALES, HERRAMIENTA MENOR Y MANO DE OBRA)</t>
  </si>
  <si>
    <t xml:space="preserve">Ferreteria Forero </t>
  </si>
  <si>
    <t>Maderplast</t>
  </si>
  <si>
    <t>Disposicion de construcción y demolicion (RCD)</t>
  </si>
  <si>
    <r>
      <t>Concreto (m</t>
    </r>
    <r>
      <rPr>
        <b/>
        <vertAlign val="superscript"/>
        <sz val="10"/>
        <color theme="0"/>
        <rFont val="Century Gothic"/>
        <family val="2"/>
      </rPr>
      <t>3</t>
    </r>
    <r>
      <rPr>
        <b/>
        <sz val="10"/>
        <color theme="0"/>
        <rFont val="Century Gothic"/>
        <family val="2"/>
      </rPr>
      <t>)</t>
    </r>
  </si>
  <si>
    <t>E.03</t>
  </si>
  <si>
    <t>Dotacion (Oberol, casco, botas, gafas, guantes, chalecos)</t>
  </si>
  <si>
    <t>Examen medico de ingreso</t>
  </si>
  <si>
    <t>A - EMPATE SOBRE ADUCCIÓN</t>
  </si>
  <si>
    <t>C - ALMACENAMIENTO 250 M³</t>
  </si>
  <si>
    <r>
      <t xml:space="preserve">SUMINISTRO DE PTAP COMPACTA EN </t>
    </r>
    <r>
      <rPr>
        <sz val="10"/>
        <color rgb="FFFF0000"/>
        <rFont val="Century Gothic"/>
        <family val="2"/>
      </rPr>
      <t xml:space="preserve">PRFV </t>
    </r>
    <r>
      <rPr>
        <sz val="10"/>
        <color theme="1"/>
        <rFont val="Century Gothic"/>
        <family val="2"/>
      </rPr>
      <t>DE CICLO COMPLETO PARA CAUDAL DE 6 LPS (INCLUYE BANDEJAS DE AIREACIÓN, UNIDAD DE MEZCLA RÁPIDA, FLOCULADOR, SEDIMENTADOR, TANQUE DE CONTACTO CLORO, FILTRACIÓN, DISEÑO, CONSTRUCCIÓN Y PUESTA EN MARCHA)</t>
    </r>
  </si>
  <si>
    <t>B - PTAP MÓDULO 1</t>
  </si>
  <si>
    <t>E - CERRAMIENTO</t>
  </si>
  <si>
    <t>F - RED EXPRESA FASE I - TIGRE</t>
  </si>
  <si>
    <t>G - EMPATE EL TIGRE</t>
  </si>
  <si>
    <t xml:space="preserve">D - LAVADO </t>
  </si>
  <si>
    <t>IMAGEN DE PAVIMENTO</t>
  </si>
  <si>
    <t>A-03.02</t>
  </si>
  <si>
    <t>A-03.03</t>
  </si>
  <si>
    <t>B-01</t>
  </si>
  <si>
    <t>B-01.01</t>
  </si>
  <si>
    <t>B-02</t>
  </si>
  <si>
    <t>B-02.01</t>
  </si>
  <si>
    <t>B-03</t>
  </si>
  <si>
    <t>B-03.01</t>
  </si>
  <si>
    <t>B-04</t>
  </si>
  <si>
    <t>B-04.01</t>
  </si>
  <si>
    <t>B-04.02</t>
  </si>
  <si>
    <t>B-05</t>
  </si>
  <si>
    <t>B-05.01</t>
  </si>
  <si>
    <t>B-05.02</t>
  </si>
  <si>
    <t>B-06</t>
  </si>
  <si>
    <t>B-06.01</t>
  </si>
  <si>
    <t>B-04.03</t>
  </si>
  <si>
    <t>B-07.01</t>
  </si>
  <si>
    <t>C-01</t>
  </si>
  <si>
    <t>C-01.01</t>
  </si>
  <si>
    <t>C-02</t>
  </si>
  <si>
    <t>C-02.01</t>
  </si>
  <si>
    <t>C-02.02</t>
  </si>
  <si>
    <t>C-02.03</t>
  </si>
  <si>
    <t>C-02.04</t>
  </si>
  <si>
    <t>C-03</t>
  </si>
  <si>
    <t>C-03.01</t>
  </si>
  <si>
    <t>C-03.02</t>
  </si>
  <si>
    <t>C-03.03</t>
  </si>
  <si>
    <t>C-04</t>
  </si>
  <si>
    <t>C-04.01</t>
  </si>
  <si>
    <t>C-04.02</t>
  </si>
  <si>
    <t>C-04.03</t>
  </si>
  <si>
    <t>C-04.04</t>
  </si>
  <si>
    <t>C-04.05</t>
  </si>
  <si>
    <t>C-04.06</t>
  </si>
  <si>
    <t>C-04.07</t>
  </si>
  <si>
    <t>C-05</t>
  </si>
  <si>
    <t>C-05.01</t>
  </si>
  <si>
    <t>C-05.02</t>
  </si>
  <si>
    <t>C-06</t>
  </si>
  <si>
    <t>C-06.01</t>
  </si>
  <si>
    <t>C-06.02</t>
  </si>
  <si>
    <t>C-06.03</t>
  </si>
  <si>
    <t>C-06.04</t>
  </si>
  <si>
    <t>C-06.05</t>
  </si>
  <si>
    <t>C-06.06</t>
  </si>
  <si>
    <t>C-06.07</t>
  </si>
  <si>
    <t>C-06.08</t>
  </si>
  <si>
    <t>C-06.09</t>
  </si>
  <si>
    <t>C-06.10</t>
  </si>
  <si>
    <t>C-06.11</t>
  </si>
  <si>
    <t>C-06.12</t>
  </si>
  <si>
    <t>C-06.13</t>
  </si>
  <si>
    <t>C-06.14</t>
  </si>
  <si>
    <t>E-01</t>
  </si>
  <si>
    <t>E-01.01</t>
  </si>
  <si>
    <t>F-01</t>
  </si>
  <si>
    <t>F-01.01</t>
  </si>
  <si>
    <t>F-02</t>
  </si>
  <si>
    <t>F-02.01</t>
  </si>
  <si>
    <t>F-02.03</t>
  </si>
  <si>
    <t>F-03</t>
  </si>
  <si>
    <t>F-03.01</t>
  </si>
  <si>
    <t>F-03.02</t>
  </si>
  <si>
    <t>F-03.03</t>
  </si>
  <si>
    <t>F-04</t>
  </si>
  <si>
    <t>F-04.01</t>
  </si>
  <si>
    <t>F-04.02</t>
  </si>
  <si>
    <t>F-04.03</t>
  </si>
  <si>
    <t>F-05</t>
  </si>
  <si>
    <t>F-05.01</t>
  </si>
  <si>
    <t>F-05.02</t>
  </si>
  <si>
    <t>F-06</t>
  </si>
  <si>
    <t>F-06.01</t>
  </si>
  <si>
    <t>F-07</t>
  </si>
  <si>
    <t>F-07.01</t>
  </si>
  <si>
    <t>F-02.02</t>
  </si>
  <si>
    <t>F-02.04</t>
  </si>
  <si>
    <t>F-06.02</t>
  </si>
  <si>
    <t>F-06.03</t>
  </si>
  <si>
    <t>F-06.04</t>
  </si>
  <si>
    <t>F-06.05</t>
  </si>
  <si>
    <t>G-01</t>
  </si>
  <si>
    <t>G-01.01</t>
  </si>
  <si>
    <t>G-02</t>
  </si>
  <si>
    <t>G-03</t>
  </si>
  <si>
    <t>G-03.01</t>
  </si>
  <si>
    <t>G-03.02</t>
  </si>
  <si>
    <t>G-03.03</t>
  </si>
  <si>
    <t>G-04</t>
  </si>
  <si>
    <t>G-04.01</t>
  </si>
  <si>
    <t>G-04.02</t>
  </si>
  <si>
    <t>G-05</t>
  </si>
  <si>
    <t>G-05.01</t>
  </si>
  <si>
    <t>G-05.02</t>
  </si>
  <si>
    <t>G-06</t>
  </si>
  <si>
    <t>G-06.01</t>
  </si>
  <si>
    <t>G-02.01</t>
  </si>
  <si>
    <t>COD APU</t>
  </si>
  <si>
    <t>G016</t>
  </si>
  <si>
    <t>MACROMEDIDOR</t>
  </si>
  <si>
    <t>G013</t>
  </si>
  <si>
    <t>G017</t>
  </si>
  <si>
    <t>G019</t>
  </si>
  <si>
    <t>G020</t>
  </si>
  <si>
    <t>G021</t>
  </si>
  <si>
    <t>G022</t>
  </si>
  <si>
    <t>G023</t>
  </si>
  <si>
    <t>G024</t>
  </si>
  <si>
    <t>G027</t>
  </si>
  <si>
    <t>G039</t>
  </si>
  <si>
    <t>G047</t>
  </si>
  <si>
    <t>G048</t>
  </si>
  <si>
    <t>G050</t>
  </si>
  <si>
    <t>G051</t>
  </si>
  <si>
    <t>G052</t>
  </si>
  <si>
    <t>G055</t>
  </si>
  <si>
    <t>G058</t>
  </si>
  <si>
    <t>G060</t>
  </si>
  <si>
    <t>G061</t>
  </si>
  <si>
    <t>G063</t>
  </si>
  <si>
    <t>G064</t>
  </si>
  <si>
    <t>G065</t>
  </si>
  <si>
    <t>G068</t>
  </si>
  <si>
    <t>SUMINISTRO DE TUBERÍA PVC Ø4" RDE 21</t>
  </si>
  <si>
    <t>SUMINISTRO DE TUBERÍA PVC Ø2" RDE 21</t>
  </si>
  <si>
    <t>SUMINISTRO DE TUBERÍA PVC Ø6" RDE 21</t>
  </si>
  <si>
    <t>CANTIDADES DE OBRA RED EMPATE ADUCCIÓN</t>
  </si>
  <si>
    <t>EMPATE</t>
  </si>
  <si>
    <t>Red nueva</t>
  </si>
  <si>
    <t>Aducción</t>
  </si>
  <si>
    <t>A-02.02</t>
  </si>
  <si>
    <t>CANTIDADES DE OBRA RED DE CONEXIÓN DE PTAP A TANQUE DE ALMACENAMIENTO</t>
  </si>
  <si>
    <t>CONEXIÓN</t>
  </si>
  <si>
    <t>PTAP</t>
  </si>
  <si>
    <t>TANQUE</t>
  </si>
  <si>
    <t>B-01.02</t>
  </si>
  <si>
    <t>B-03.02</t>
  </si>
  <si>
    <t>B-03.03</t>
  </si>
  <si>
    <t>B-07</t>
  </si>
  <si>
    <t>CANTIDADES DE OBRA RED DE LAVADO DE TANQUE DE ALMACENAMIENTO</t>
  </si>
  <si>
    <t>LAVADO</t>
  </si>
  <si>
    <t>CABEZAL</t>
  </si>
  <si>
    <t>E-01.02</t>
  </si>
  <si>
    <t>E-01.03</t>
  </si>
  <si>
    <t>CERRAMIENTO</t>
  </si>
  <si>
    <t>CANTIDADES DE OBRA RED EMPATE DISTRIBUCIÓN - EL TIGRE</t>
  </si>
  <si>
    <t>Distribución</t>
  </si>
  <si>
    <t>G-02.02</t>
  </si>
  <si>
    <r>
      <t xml:space="preserve">SUMINISTRO E INSTALACIÓN DE TUBERÍA PVC </t>
    </r>
    <r>
      <rPr>
        <b/>
        <sz val="10"/>
        <color theme="0"/>
        <rFont val="Calibri"/>
        <family val="2"/>
      </rPr>
      <t>Ø</t>
    </r>
    <r>
      <rPr>
        <b/>
        <sz val="10"/>
        <color theme="0"/>
        <rFont val="Century Gothic"/>
        <family val="2"/>
      </rPr>
      <t>4" RDE 21 (INCLUYE TUBERÍA, PEGAMENTO, LIMPIADOR, HERRAMIENTA MENOR Y MANO DE OBRA)</t>
    </r>
  </si>
  <si>
    <t>SUMINISTRO E INSTALACIÓN DE TUBERÍA PVC Ø4" RDE 21 (INCLUYE TUBERÍA, PEGAMENTO, LIMPIADOR, HERRAMIENTA MENOR Y MANO DE OBRA)</t>
  </si>
  <si>
    <t>MACROMEDIDOR RED MATRIZ</t>
  </si>
  <si>
    <t>Diametro (")</t>
  </si>
  <si>
    <t>Cota</t>
  </si>
  <si>
    <t>Norte</t>
  </si>
  <si>
    <t>Este</t>
  </si>
  <si>
    <t>Macro 1</t>
  </si>
  <si>
    <t>-</t>
  </si>
  <si>
    <t>Macro</t>
  </si>
  <si>
    <t>Macro 4</t>
  </si>
  <si>
    <t>Macro 5</t>
  </si>
  <si>
    <t>CAJA DE CONCRETO 4000 PSI PARA MACROMEDIDOR</t>
  </si>
  <si>
    <t>DIMENSIONES (m)</t>
  </si>
  <si>
    <t>Descripción</t>
  </si>
  <si>
    <t>Largo</t>
  </si>
  <si>
    <t>Ancho</t>
  </si>
  <si>
    <t>Alto</t>
  </si>
  <si>
    <t>Espesor</t>
  </si>
  <si>
    <t>Tee</t>
  </si>
  <si>
    <t>Und</t>
  </si>
  <si>
    <t>Loc. y replanteo</t>
  </si>
  <si>
    <t>Codo</t>
  </si>
  <si>
    <t>Exc. Concglomerado</t>
  </si>
  <si>
    <t>Válvula de compuerta</t>
  </si>
  <si>
    <t>Tubería PVC RDE 21</t>
  </si>
  <si>
    <t>Prov. Excavación</t>
  </si>
  <si>
    <t>Niple pasamuro hd 0,50m</t>
  </si>
  <si>
    <t>Solado</t>
  </si>
  <si>
    <t>Unión de desmontaje</t>
  </si>
  <si>
    <t>Acero</t>
  </si>
  <si>
    <t>Filtro en Y</t>
  </si>
  <si>
    <t>Concreto piso</t>
  </si>
  <si>
    <t>Niple hd 0,50m</t>
  </si>
  <si>
    <t>Concreto muros</t>
  </si>
  <si>
    <t>Macromedidor</t>
  </si>
  <si>
    <t>Concreto tapa</t>
  </si>
  <si>
    <t>Pasos escalera gato</t>
  </si>
  <si>
    <t>Macro 2</t>
  </si>
  <si>
    <t>Macro 3</t>
  </si>
  <si>
    <t>G071</t>
  </si>
  <si>
    <t>ESTACIÓN DE MACROMEDICIÓN L=1.90M, A=1.60M DE Ø6" A TODO COSTO (INCLUYE CONFORMACIÓN DE CAJA EN CONCRETO DE 4000 PSI, ACERO DE REFUERZO, TUBERÍA, ACCESORIOS, MATERIALES, HERRRAMIENTA MENOR Y MANO DE OBRA)</t>
  </si>
  <si>
    <t>Tee Ø6" BXB en hierro ductil</t>
  </si>
  <si>
    <t>Válvula compuerta con volante bridada Ø6" en hierro ductil</t>
  </si>
  <si>
    <t>Filtro en yee Ø6" en hierro ductil</t>
  </si>
  <si>
    <t>ESTACIÓN DE MACROMEDICIÓN L=1.90M, A=1.60M DE Ø4" A TODO COSTO (INCLUYE CONFORMACIÓN DE CAJA EN CONCRETO DE 4000 PSI, ACERO DE REFUERZO, TUBERÍA, ACCESORIOS, MATERIALES, HERRRAMIENTA MENOR Y MANO DE OBRA)</t>
  </si>
  <si>
    <t>G072</t>
  </si>
  <si>
    <t>Tee Ø4" BXB en hierro ductil</t>
  </si>
  <si>
    <t>Codo Ø4" x 90° en hierro ductil</t>
  </si>
  <si>
    <t>Válvula compuerta con volante bridada Ø4" en hierro ductil</t>
  </si>
  <si>
    <t>Niple pasamuro L= 0,50m Ø4" en hierro ductil</t>
  </si>
  <si>
    <t>Unión de desmontaje Ø4" en hierro ductil</t>
  </si>
  <si>
    <t>Filtro en yee Ø4" en hierro ductil</t>
  </si>
  <si>
    <t>Niple 0,25m Ø4" en hierro ductil</t>
  </si>
  <si>
    <t>Niple 0,25m Ø6" en hierro ductil</t>
  </si>
  <si>
    <t>Macromedidor tipo woltman Ø4"</t>
  </si>
  <si>
    <t>VÁLVULA TIPO CHOROTE CON CAJA</t>
  </si>
  <si>
    <t>CC-01</t>
  </si>
  <si>
    <r>
      <rPr>
        <b/>
        <sz val="10"/>
        <color theme="0"/>
        <rFont val="Century Gothic"/>
        <family val="2"/>
      </rPr>
      <t>ÁREA (m</t>
    </r>
    <r>
      <rPr>
        <b/>
        <vertAlign val="superscript"/>
        <sz val="10"/>
        <color theme="0"/>
        <rFont val="Century Gothic"/>
        <family val="2"/>
      </rPr>
      <t>2</t>
    </r>
    <r>
      <rPr>
        <b/>
        <sz val="10"/>
        <color theme="0"/>
        <rFont val="Century Gothic"/>
        <family val="2"/>
      </rPr>
      <t>)</t>
    </r>
  </si>
  <si>
    <r>
      <rPr>
        <b/>
        <sz val="10"/>
        <color theme="0"/>
        <rFont val="Century Gothic"/>
        <family val="2"/>
      </rPr>
      <t>VOLÚM. (m</t>
    </r>
    <r>
      <rPr>
        <b/>
        <vertAlign val="superscript"/>
        <sz val="10"/>
        <color theme="0"/>
        <rFont val="Century Gothic"/>
        <family val="2"/>
      </rPr>
      <t>3</t>
    </r>
    <r>
      <rPr>
        <b/>
        <sz val="10"/>
        <color theme="0"/>
        <rFont val="Century Gothic"/>
        <family val="2"/>
      </rPr>
      <t>)</t>
    </r>
  </si>
  <si>
    <t>CC-02</t>
  </si>
  <si>
    <t>CC-03</t>
  </si>
  <si>
    <t>CC-04</t>
  </si>
  <si>
    <t>Relleno con material de la misma excavación</t>
  </si>
  <si>
    <t>CC-05</t>
  </si>
  <si>
    <t>Extendido manual de material de excavación</t>
  </si>
  <si>
    <t>CC-06</t>
  </si>
  <si>
    <t>CC-07</t>
  </si>
  <si>
    <t>CC-08</t>
  </si>
  <si>
    <t>Concreo para muros de 4000 PSI</t>
  </si>
  <si>
    <t>CC-09</t>
  </si>
  <si>
    <t>Concreo para tapa de 4000 PSI</t>
  </si>
  <si>
    <t>CC-10</t>
  </si>
  <si>
    <t>Acero de 60000 PSI</t>
  </si>
  <si>
    <t>CC-11</t>
  </si>
  <si>
    <t>Pasamuro de L=0,50 M en hierro ductil</t>
  </si>
  <si>
    <t>CC-12</t>
  </si>
  <si>
    <t>Válvula con rueda de manejo en hierro ductil</t>
  </si>
  <si>
    <t>CC-13</t>
  </si>
  <si>
    <t>Tubo PEAD RDE 11 para válvula chorote</t>
  </si>
  <si>
    <t>VALVULAS DE CORTE</t>
  </si>
  <si>
    <t>V. Corte</t>
  </si>
  <si>
    <t>SUMINISTRO E INSTALACIÓN DE VÁLVULA DE CORTE TIPO CHOROTE Ø4" EN HIERRO DUCTIL (INCLUYE CAJA EN CONCRETO, REPLANTEO, EXCAVACIÓN, RECEBO, SOLADO, CONCRETO, ACERO, PASAMURO, VÁLVULA, MATERIALES, HERRAMIENTA MENOR Y MANO DE OBRA)</t>
  </si>
  <si>
    <t>G073</t>
  </si>
  <si>
    <t>SUMINISTRO E INSTALACIÓN DE VÁLVULA DE CORTE TIPO CHOROTE Ø6" EN HIERRO DUCTIL (INCLUYE CAJA EN CONCRETO, REPLANTEO, EXCAVACIÓN, RECEBO, SOLADO, CONCRETO, ACERO, PASAMURO, VÁLVULA, MATERIALES, HERRAMIENTA MENOR Y MANO DE OBRA)</t>
  </si>
  <si>
    <t>G074</t>
  </si>
  <si>
    <t>TANQUE DE ALMACENAMIENTO 250 M³</t>
  </si>
  <si>
    <t>APOYO A LA SUPERVISIÓN</t>
  </si>
  <si>
    <t>Cantidades de obra - Estructuras Menores</t>
  </si>
  <si>
    <t>Cronograma y Flujo de inversión</t>
  </si>
  <si>
    <t>Fortalecimiento Institucional</t>
  </si>
  <si>
    <t>Plan de Manejo Ambiental PMA</t>
  </si>
  <si>
    <t>Plan de Manejo de Tránsito PMT</t>
  </si>
  <si>
    <t>Plan de Seguridad y Salud en el Trabajo SST</t>
  </si>
  <si>
    <t>Pro Bienestar Adulto Mayor</t>
  </si>
  <si>
    <t>M001</t>
  </si>
  <si>
    <t>M029</t>
  </si>
  <si>
    <t>M032</t>
  </si>
  <si>
    <t>M033</t>
  </si>
  <si>
    <t>M034</t>
  </si>
  <si>
    <t>M035</t>
  </si>
  <si>
    <t>M037</t>
  </si>
  <si>
    <t>M038</t>
  </si>
  <si>
    <t>M039</t>
  </si>
  <si>
    <t>M041</t>
  </si>
  <si>
    <t>M042</t>
  </si>
  <si>
    <t>M043</t>
  </si>
  <si>
    <t>M044</t>
  </si>
  <si>
    <t>M045</t>
  </si>
  <si>
    <t>M046</t>
  </si>
  <si>
    <t>M047</t>
  </si>
  <si>
    <t>M048</t>
  </si>
  <si>
    <t>M049</t>
  </si>
  <si>
    <t>M050</t>
  </si>
  <si>
    <t>M053</t>
  </si>
  <si>
    <t>M055</t>
  </si>
  <si>
    <t>M056</t>
  </si>
  <si>
    <t>M057</t>
  </si>
  <si>
    <t>M059</t>
  </si>
  <si>
    <t>M082</t>
  </si>
  <si>
    <t>M093</t>
  </si>
  <si>
    <t>M095</t>
  </si>
  <si>
    <t>M103</t>
  </si>
  <si>
    <t>E008</t>
  </si>
  <si>
    <t>E011</t>
  </si>
  <si>
    <t>E012</t>
  </si>
  <si>
    <t>Masseq</t>
  </si>
  <si>
    <t>Acuatecnica</t>
  </si>
  <si>
    <t>DIÁS</t>
  </si>
  <si>
    <t>DÍAS</t>
  </si>
  <si>
    <t>VALOR</t>
  </si>
  <si>
    <t>AIU OC</t>
  </si>
  <si>
    <t>PLAN DE MANEJO AMBIENTAL</t>
  </si>
  <si>
    <t>PLAN DE MANEJO DE TRÁNSITO</t>
  </si>
  <si>
    <t>PLAN DE MANEJO DE SEGURIDAD Y SALUD EN EL TRABAJO</t>
  </si>
  <si>
    <t>--</t>
  </si>
  <si>
    <t>RM-132</t>
  </si>
  <si>
    <t>RM-139</t>
  </si>
  <si>
    <t>RM-148</t>
  </si>
  <si>
    <t>RM-150</t>
  </si>
  <si>
    <t>RM-152</t>
  </si>
  <si>
    <t>RM-157</t>
  </si>
  <si>
    <t>RM-159</t>
  </si>
  <si>
    <t>RM-160</t>
  </si>
  <si>
    <t>TS-435</t>
  </si>
  <si>
    <t>TS-436</t>
  </si>
  <si>
    <t>TS-437</t>
  </si>
  <si>
    <t>TS-438</t>
  </si>
  <si>
    <t>TS-439</t>
  </si>
  <si>
    <t>TS-440</t>
  </si>
  <si>
    <t>TS-441</t>
  </si>
  <si>
    <t>TS-442</t>
  </si>
  <si>
    <t>TS-443</t>
  </si>
  <si>
    <t>TS-444</t>
  </si>
  <si>
    <t>TS-445</t>
  </si>
  <si>
    <t>TS-446</t>
  </si>
  <si>
    <t>TS-447</t>
  </si>
  <si>
    <t>TS-448</t>
  </si>
  <si>
    <t>TS-449</t>
  </si>
  <si>
    <t>TS-450</t>
  </si>
  <si>
    <t>TS-451</t>
  </si>
  <si>
    <t>TS-452</t>
  </si>
  <si>
    <t>TS-453</t>
  </si>
  <si>
    <t>TS-454</t>
  </si>
  <si>
    <t>TS-455</t>
  </si>
  <si>
    <t>TS-456</t>
  </si>
  <si>
    <t>TS-457</t>
  </si>
  <si>
    <t>TS-458</t>
  </si>
  <si>
    <t>TS-459</t>
  </si>
  <si>
    <t>TS-460</t>
  </si>
  <si>
    <t>TS-461</t>
  </si>
  <si>
    <t>TS-462</t>
  </si>
  <si>
    <t>TS-463</t>
  </si>
  <si>
    <t>TS-464</t>
  </si>
  <si>
    <t>TS-465</t>
  </si>
  <si>
    <t>TS-466</t>
  </si>
  <si>
    <t>TS-467</t>
  </si>
  <si>
    <t>TS-468</t>
  </si>
  <si>
    <t>TS-469</t>
  </si>
  <si>
    <t>TS-470</t>
  </si>
  <si>
    <t>TS-546</t>
  </si>
  <si>
    <t>OBRA</t>
  </si>
  <si>
    <t>SUMINISTROS</t>
  </si>
  <si>
    <t>AIU</t>
  </si>
  <si>
    <t>PRESUPUESTO ORIGINAL</t>
  </si>
  <si>
    <t xml:space="preserve">SUBTOTAL OBRAS </t>
  </si>
  <si>
    <t>TOTAL SUMINISTROS</t>
  </si>
  <si>
    <t>TOTAL OBRA + SUMINISTROS</t>
  </si>
  <si>
    <t>TOTAL  OBRA CIVIL INCLUYE COSTO DIRECTO +A.I.U</t>
  </si>
  <si>
    <t>TOTAL COSTO DIRECTO + A.I.U</t>
  </si>
  <si>
    <t>DESCRIPCION COSTO DIRECTO</t>
  </si>
  <si>
    <t>COSTO DIRECTO</t>
  </si>
  <si>
    <t xml:space="preserve">IMPREVISTOS </t>
  </si>
  <si>
    <t>TOTAL  OBRAS( INCLUYE IVA)</t>
  </si>
  <si>
    <t>LA UTILIDAD INCLUYE EL IVA DEL 19%</t>
  </si>
  <si>
    <t xml:space="preserve">TOTAL UTILIDAD + IVA </t>
  </si>
  <si>
    <t>SUMINISTROS + ADMINISTRACIÓN</t>
  </si>
  <si>
    <t>COSTO SUMINISTRO SIN ADMINISTRACIÓN</t>
  </si>
  <si>
    <t>ADMINISTRACION DEL SUMINISTRO</t>
  </si>
  <si>
    <t>TOTAL SUMINISTRO + ADMINISTRACIÓN</t>
  </si>
  <si>
    <t>TOTAL OBRA CIVI+ A.I.U+ SUMINISTROS + ADM SUMNISTRO</t>
  </si>
  <si>
    <r>
      <rPr>
        <b/>
        <sz val="14"/>
        <rFont val="Arial"/>
        <family val="2"/>
      </rPr>
      <t xml:space="preserve">NOTA 1: </t>
    </r>
    <r>
      <rPr>
        <sz val="14"/>
        <rFont val="Arial"/>
        <family val="2"/>
      </rPr>
      <t xml:space="preserve"> Se debe tener en cuenta que el PRECIO UNITARIO incluye el valor de A.I.U. </t>
    </r>
  </si>
  <si>
    <t>PORCENTAJE</t>
  </si>
  <si>
    <r>
      <rPr>
        <b/>
        <sz val="14"/>
        <rFont val="Arial"/>
        <family val="2"/>
      </rPr>
      <t>NOTA 2:</t>
    </r>
    <r>
      <rPr>
        <sz val="14"/>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</si>
  <si>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</si>
  <si>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4"/>
        <rFont val="Arial"/>
        <family val="2"/>
      </rPr>
      <t xml:space="preserve">NOTA 3: </t>
    </r>
    <r>
      <rPr>
        <sz val="14"/>
        <rFont val="Arial"/>
        <family val="2"/>
      </rPr>
      <t xml:space="preserve">El A.I.U y su discriminación deben estar en porcentaje (%). </t>
    </r>
  </si>
  <si>
    <t>IMPREVISTO</t>
  </si>
  <si>
    <t>I=</t>
  </si>
  <si>
    <t>U=</t>
  </si>
  <si>
    <t>TOTAL A.I.U</t>
  </si>
  <si>
    <t>A.I.U.=</t>
  </si>
  <si>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</si>
  <si>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</si>
  <si>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</si>
  <si>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</si>
  <si>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</si>
  <si>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</si>
  <si>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</si>
  <si>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</si>
  <si>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</si>
  <si>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</si>
  <si>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</si>
  <si>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</si>
  <si>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 xml:space="preserve">VALOR TOTAL                                </t>
  </si>
  <si>
    <t>GENERAL</t>
  </si>
  <si>
    <r>
      <rPr>
        <b/>
        <sz val="14"/>
        <rFont val="Arial"/>
        <family val="2"/>
      </rPr>
      <t xml:space="preserve">NOTA 4:  </t>
    </r>
    <r>
      <rPr>
        <sz val="14"/>
        <rFont val="Arial"/>
        <family val="2"/>
      </rPr>
      <t>La Administración del Suministro se encuentra inmersa en el presupuesto.</t>
    </r>
  </si>
  <si>
    <t>"CONSTRUCCION SISTEMA DE ACUEDUCTO IDOLOS- EL TIGRE FASE I MUNICIPIO DE ISNOS DPTO DEL HUILA"</t>
  </si>
  <si>
    <t>Personal administrativo</t>
  </si>
  <si>
    <t xml:space="preserve">Servicio de vigilancia </t>
  </si>
  <si>
    <t xml:space="preserve">Subtotal Costos Directos de Personal Profesional </t>
  </si>
  <si>
    <t>Subtotal personal profesional + administrativo</t>
  </si>
  <si>
    <t xml:space="preserve">Impuesto contribución </t>
  </si>
  <si>
    <t>Prodesarrollo</t>
  </si>
  <si>
    <r>
      <rPr>
        <b/>
        <sz val="10"/>
        <color theme="1"/>
        <rFont val="Century Gothic"/>
        <family val="2"/>
      </rPr>
      <t>NOTA</t>
    </r>
    <r>
      <rPr>
        <sz val="10"/>
        <color theme="1"/>
        <rFont val="Century Gothic"/>
        <family val="2"/>
      </rPr>
      <t xml:space="preserve">: El director de obra y Residente de obra, tienen un mes más de duración en la obra para que puedan liquidar el contrato. </t>
    </r>
  </si>
  <si>
    <t>Profesional SST</t>
  </si>
  <si>
    <t xml:space="preserve">Valla del proyecto </t>
  </si>
  <si>
    <t xml:space="preserve">Ensayos y pruebas:asentamiento, ensayo de resistencia a compresión y ensayos de compactación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</si>
</sst>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5" formatCode="&quot;$&quot;\ #,##0;\-&quot;$&quot;\ #,##0"/>
    <numFmt numFmtId="7" formatCode="&quot;$&quot;\ #,##0.00;\-&quot;$&quot;\ #,##0.00"/>
    <numFmt numFmtId="44" formatCode="_-&quot;$&quot;\ * #,##0.00_-;\-&quot;$&quot;\ * #,##0.00_-;_-&quot;$&quot;\ * &quot;-&quot;??_-;_-@_-"/>
    <numFmt numFmtId="164" formatCode="_(&quot;$&quot;\ * #,##0.00_);_(&quot;$&quot;\ * \(#,##0.00\);_(&quot;$&quot;\ * &quot;-&quot;??_);_(@_)"/>
    <numFmt numFmtId="165" formatCode="d/m/yyyy"/>
    <numFmt numFmtId="166" formatCode="_-&quot;$&quot;\ * #,##0.00_-;\-&quot;$&quot;\ * #,##0.00_-;_-&quot;$&quot;\ * &quot;-&quot;??_-;_-@"/>
    <numFmt numFmtId="167" formatCode="_-[$$-409]* #,##0.00_ ;_-[$$-409]* \-#,##0.00\ ;_-[$$-409]* &quot;-&quot;??_ ;_-@_ "/>
    <numFmt numFmtId="168" formatCode="_-[$$-240A]\ * #,##0.00_-;\-[$$-240A]\ * #,##0.00_-;_-[$$-240A]\ * &quot;-&quot;??_-;_-@"/>
    <numFmt numFmtId="169" formatCode="0.0"/>
    <numFmt numFmtId="170" formatCode="#,##0.00;[Red]#,##0.00"/>
    <numFmt numFmtId="171" formatCode="&quot;$&quot;#,##0.00;[Red]&quot;$&quot;#,##0.00"/>
    <numFmt numFmtId="172" formatCode="_(* #,##0_);_(* \(#,##0\);_(* &quot;-&quot;??_);_(@_)"/>
    <numFmt numFmtId="173" formatCode="[$$-409]#,##0.00"/>
    <numFmt numFmtId="174" formatCode="00#"/>
    <numFmt numFmtId="175" formatCode="_([$$-240A]\ * #,##0.00_);_([$$-240A]\ * \(#,##0.00\);_([$$-240A]\ * &quot;-&quot;??_);_(@_)"/>
    <numFmt numFmtId="176" formatCode="_([$$-240A]\ * #,##0.0_);_([$$-240A]\ * \(#,##0.0\);_([$$-240A]\ * &quot;-&quot;??_);_(@_)"/>
    <numFmt numFmtId="177" formatCode="0.0000"/>
    <numFmt numFmtId="178" formatCode="0.000"/>
    <numFmt numFmtId="179" formatCode="_([$$-240A]\ * #,##0_);_([$$-240A]\ * \(#,##0\);_([$$-240A]\ * &quot;-&quot;??_);_(@_)"/>
    <numFmt numFmtId="180" formatCode="_(* #,##0.00_);_(* \(#,##0.00\);_(* &quot;-&quot;??_);_(@_)"/>
    <numFmt numFmtId="181" formatCode="&quot;$&quot;\ #,##0"/>
    <numFmt numFmtId="182" formatCode="_-* #,##0.00\ &quot;Pts&quot;_-;\-* #,##0.00\ &quot;Pts&quot;_-;_-* &quot;-&quot;??\ &quot;Pts&quot;_-;_-@_-"/>
    <numFmt numFmtId="183" formatCode="0.0%"/>
    <numFmt numFmtId="184" formatCode="&quot;$&quot;\ #,##0.00"/>
    <numFmt numFmtId="185" formatCode="_-[$$-240A]* #,##0.00_-;\-[$$-240A]* #,##0.00_-;_-[$$-240A]* &quot;-&quot;??_-;_-@_-"/>
    <numFmt numFmtId="186" formatCode="0#.00\ \L\t"/>
    <numFmt numFmtId="187" formatCode="_-[$$-240A]\ * #,##0.00_ ;_-[$$-240A]\ * \-#,##0.00\ ;_-[$$-240A]\ * &quot;-&quot;??_ ;_-@_ "/>
    <numFmt numFmtId="188" formatCode="#,##0.00_ ;\-#,##0.00\ "/>
    <numFmt numFmtId="189" formatCode="0.000%"/>
  </numFmts>
  <fonts count="83" x14ac:knownFonts="1">
    <font>
      <sz val="10"/>
      <color rgb="FF000000"/>
      <name val="Arial"/>
      <scheme val="minor"/>
    </font>
    <font>
      <sz val="11"/>
      <color theme="1"/>
      <name val="Arial"/>
      <family val="2"/>
      <scheme val="minor"/>
    </font>
    <font>
      <sz val="10"/>
      <color theme="1"/>
      <name val="Century Gothic"/>
      <family val="2"/>
    </font>
    <font>
      <sz val="10"/>
      <color theme="1"/>
      <name val="Century Gothic"/>
      <family val="2"/>
    </font>
    <font>
      <b/>
      <sz val="10"/>
      <color theme="0"/>
      <name val="Century Gothic"/>
      <family val="2"/>
    </font>
    <font>
      <sz val="10"/>
      <name val="Arial"/>
      <family val="2"/>
    </font>
    <font>
      <b/>
      <sz val="16"/>
      <color theme="1"/>
      <name val="Century Gothic"/>
      <family val="2"/>
    </font>
    <font>
      <sz val="16"/>
      <color rgb="FF000000"/>
      <name val="Century Gothic"/>
      <family val="2"/>
    </font>
    <font>
      <sz val="10"/>
      <color rgb="FF000000"/>
      <name val="Century Gothic"/>
      <family val="2"/>
    </font>
    <font>
      <sz val="10"/>
      <color theme="1"/>
      <name val="Century Gothic"/>
      <family val="2"/>
    </font>
    <font>
      <sz val="10"/>
      <color theme="0"/>
      <name val="Century Gothic"/>
      <family val="2"/>
    </font>
    <font>
      <sz val="10"/>
      <color rgb="FF000000"/>
      <name val="Arial"/>
      <family val="2"/>
    </font>
    <font>
      <b/>
      <sz val="10"/>
      <color theme="1"/>
      <name val="Century Gothic"/>
      <family val="2"/>
    </font>
    <font>
      <sz val="10"/>
      <color theme="1"/>
      <name val="Arial"/>
      <family val="2"/>
    </font>
    <font>
      <b/>
      <sz val="12"/>
      <color theme="0"/>
      <name val="Century Gothic"/>
      <family val="2"/>
    </font>
    <font>
      <b/>
      <sz val="8"/>
      <color theme="0"/>
      <name val="Century Gothic"/>
      <family val="2"/>
    </font>
    <font>
      <sz val="10"/>
      <color rgb="FFD8D8D8"/>
      <name val="Century Gothic"/>
      <family val="2"/>
    </font>
    <font>
      <sz val="7"/>
      <color theme="1"/>
      <name val="Century Gothic"/>
      <family val="2"/>
    </font>
    <font>
      <sz val="9"/>
      <color theme="1"/>
      <name val="Century Gothic"/>
      <family val="2"/>
    </font>
    <font>
      <sz val="10"/>
      <color rgb="FFBFBFBF"/>
      <name val="Century Gothic"/>
      <family val="2"/>
    </font>
    <font>
      <sz val="10"/>
      <color rgb="FFD8D8D8"/>
      <name val="Arial"/>
      <family val="2"/>
    </font>
    <font>
      <sz val="11"/>
      <color theme="1"/>
      <name val="Calibri"/>
      <family val="2"/>
    </font>
    <font>
      <b/>
      <sz val="18"/>
      <color theme="0"/>
      <name val="Century Gothic"/>
      <family val="2"/>
    </font>
    <font>
      <b/>
      <sz val="10"/>
      <color theme="1"/>
      <name val="Arial"/>
      <family val="2"/>
    </font>
    <font>
      <b/>
      <sz val="14"/>
      <color theme="0"/>
      <name val="Century Gothic"/>
      <family val="2"/>
    </font>
    <font>
      <b/>
      <sz val="10"/>
      <color theme="0"/>
      <name val="Calibri"/>
      <family val="2"/>
    </font>
    <font>
      <sz val="10"/>
      <color theme="1"/>
      <name val="Calibri"/>
      <family val="2"/>
    </font>
    <font>
      <b/>
      <vertAlign val="superscript"/>
      <sz val="10"/>
      <color theme="0"/>
      <name val="Century Gothic"/>
      <family val="2"/>
    </font>
    <font>
      <sz val="10"/>
      <color rgb="FF000000"/>
      <name val="Arial"/>
      <family val="2"/>
      <scheme val="minor"/>
    </font>
    <font>
      <b/>
      <sz val="12"/>
      <color theme="0"/>
      <name val="Century Gothic"/>
      <family val="2"/>
    </font>
    <font>
      <sz val="10"/>
      <name val="Century Gothic"/>
      <family val="2"/>
    </font>
    <font>
      <b/>
      <sz val="10"/>
      <color theme="0"/>
      <name val="Century Gothic"/>
      <family val="2"/>
    </font>
    <font>
      <b/>
      <sz val="16"/>
      <color theme="1"/>
      <name val="Century Gothic"/>
      <family val="2"/>
    </font>
    <font>
      <sz val="10"/>
      <color rgb="FF000000"/>
      <name val="Century Gothic"/>
      <family val="2"/>
    </font>
    <font>
      <sz val="16"/>
      <color rgb="FF000000"/>
      <name val="Century Gothic"/>
      <family val="2"/>
    </font>
    <font>
      <sz val="10"/>
      <color theme="1"/>
      <name val="Century Gothic"/>
      <family val="2"/>
    </font>
    <font>
      <b/>
      <sz val="10"/>
      <color theme="1"/>
      <name val="Century Gothic"/>
      <family val="2"/>
    </font>
    <font>
      <b/>
      <sz val="11"/>
      <color theme="1"/>
      <name val="Century Gothic"/>
      <family val="2"/>
    </font>
    <font>
      <sz val="11"/>
      <color theme="1"/>
      <name val="Century Gothic"/>
      <family val="2"/>
    </font>
    <font>
      <b/>
      <sz val="18"/>
      <color theme="0"/>
      <name val="Century Gothic"/>
      <family val="2"/>
    </font>
    <font>
      <sz val="10"/>
      <color rgb="FFFF0000"/>
      <name val="Century Gothic"/>
      <family val="2"/>
    </font>
    <font>
      <sz val="10"/>
      <color theme="0"/>
      <name val="Century Gothic"/>
      <family val="2"/>
    </font>
    <font>
      <b/>
      <sz val="12"/>
      <color theme="1"/>
      <name val="Century Gothic"/>
      <family val="2"/>
    </font>
    <font>
      <sz val="8"/>
      <name val="Arial"/>
      <family val="2"/>
      <scheme val="minor"/>
    </font>
    <font>
      <sz val="10"/>
      <color theme="1"/>
      <name val="Arial"/>
      <family val="2"/>
    </font>
    <font>
      <sz val="10"/>
      <name val="Arial"/>
      <family val="2"/>
    </font>
    <font>
      <sz val="8"/>
      <name val="Arial"/>
      <family val="2"/>
      <scheme val="minor"/>
    </font>
    <font>
      <sz val="10"/>
      <color rgb="FFD8D8D8"/>
      <name val="Century Gothic"/>
      <family val="2"/>
    </font>
    <font>
      <sz val="9"/>
      <color theme="1"/>
      <name val="Century Gothic"/>
      <family val="2"/>
    </font>
    <font>
      <sz val="10"/>
      <color rgb="FF000000"/>
      <name val="Arial"/>
      <family val="2"/>
      <scheme val="minor"/>
    </font>
    <font>
      <sz val="10"/>
      <color rgb="FF000000"/>
      <name val="Arial"/>
      <family val="2"/>
    </font>
    <font>
      <sz val="10"/>
      <color rgb="FFD8D8D8"/>
      <name val="Arial"/>
      <family val="2"/>
    </font>
    <font>
      <sz val="12"/>
      <color rgb="FF000000"/>
      <name val="Century Gothic"/>
      <family val="2"/>
    </font>
    <font>
      <b/>
      <sz val="10"/>
      <name val="Arial"/>
      <family val="2"/>
    </font>
    <font>
      <sz val="10"/>
      <color rgb="FFF2F2F2"/>
      <name val="Century Gothic"/>
      <family val="2"/>
    </font>
    <font>
      <b/>
      <sz val="22"/>
      <color rgb="FFFF0000"/>
      <name val="Century Gothic"/>
      <family val="2"/>
    </font>
    <font>
      <b/>
      <sz val="10"/>
      <name val="Century Gothic"/>
      <family val="2"/>
    </font>
    <font>
      <b/>
      <sz val="9"/>
      <color theme="0"/>
      <name val="Century Gothic"/>
      <family val="2"/>
    </font>
    <font>
      <sz val="9"/>
      <name val="Century Gothic"/>
      <family val="2"/>
    </font>
    <font>
      <sz val="9"/>
      <color rgb="FF000000"/>
      <name val="Century Gothic"/>
      <family val="2"/>
    </font>
    <font>
      <b/>
      <sz val="10"/>
      <color rgb="FF000000"/>
      <name val="Century Gothic"/>
      <family val="2"/>
    </font>
    <font>
      <sz val="10"/>
      <color theme="2" tint="-0.14999847407452621"/>
      <name val="Century Gothic"/>
      <family val="2"/>
    </font>
    <font>
      <sz val="12"/>
      <color theme="1"/>
      <name val="Arial"/>
      <family val="2"/>
      <scheme val="minor"/>
    </font>
    <font>
      <b/>
      <i/>
      <u val="singleAccounting"/>
      <sz val="12"/>
      <color theme="1"/>
      <name val="Arial"/>
      <family val="2"/>
      <scheme val="minor"/>
    </font>
    <font>
      <b/>
      <sz val="11"/>
      <color rgb="FF000000"/>
      <name val="Arial"/>
      <family val="2"/>
      <scheme val="minor"/>
    </font>
    <font>
      <sz val="10"/>
      <color rgb="FFFF0000"/>
      <name val="Arial"/>
      <family val="2"/>
    </font>
    <font>
      <b/>
      <sz val="10"/>
      <color rgb="FFFF0000"/>
      <name val="Arial"/>
      <family val="2"/>
    </font>
    <font>
      <b/>
      <sz val="10"/>
      <color rgb="FF000000"/>
      <name val="Arial"/>
      <family val="2"/>
      <scheme val="minor"/>
    </font>
    <font>
      <b/>
      <sz val="11"/>
      <name val="Arial"/>
      <family val="2"/>
    </font>
    <font>
      <sz val="12"/>
      <name val="Arial"/>
      <family val="2"/>
    </font>
    <font>
      <b/>
      <sz val="16"/>
      <name val="Arial"/>
      <family val="2"/>
    </font>
    <font>
      <sz val="11"/>
      <name val="Arial"/>
      <family val="2"/>
    </font>
    <font>
      <sz val="16"/>
      <name val="Arial"/>
      <family val="2"/>
    </font>
    <font>
      <b/>
      <sz val="12"/>
      <name val="Arial"/>
      <family val="2"/>
    </font>
    <font>
      <sz val="14"/>
      <name val="Arial"/>
      <family val="2"/>
    </font>
    <font>
      <b/>
      <sz val="14"/>
      <name val="Arial"/>
      <family val="2"/>
    </font>
    <font>
      <sz val="12"/>
      <name val="Arial Narrow"/>
      <family val="2"/>
    </font>
    <font>
      <sz val="8"/>
      <name val="Calibri"/>
      <family val="2"/>
    </font>
    <font>
      <b/>
      <sz val="8"/>
      <name val="Arial"/>
      <family val="2"/>
      <charset val="1"/>
    </font>
    <font>
      <sz val="8"/>
      <name val="Arial"/>
      <family val="2"/>
      <charset val="1"/>
    </font>
    <font>
      <b/>
      <sz val="11"/>
      <name val="Century Gothic"/>
      <family val="2"/>
    </font>
    <font>
      <sz val="11"/>
      <name val="Century Gothic"/>
      <family val="2"/>
    </font>
    <font>
      <sz val="8"/>
      <name val="Arial"/>
      <family val="2"/>
    </font>
  </fonts>
  <fills count="25">
    <fill>
      <patternFill patternType="none"/>
    </fill>
    <fill>
      <patternFill patternType="gray125"/>
    </fill>
    <fill>
      <patternFill patternType="solid">
        <fgColor rgb="FF44546A"/>
        <bgColor rgb="FF44546A"/>
      </patternFill>
    </fill>
    <fill>
      <patternFill patternType="solid">
        <fgColor rgb="FFD8D8D8"/>
        <bgColor rgb="FFD8D8D8"/>
      </patternFill>
    </fill>
    <fill>
      <patternFill patternType="solid">
        <fgColor rgb="FFBFBFBF"/>
        <bgColor rgb="FFBFBFBF"/>
      </patternFill>
    </fill>
    <fill>
      <patternFill patternType="solid">
        <fgColor rgb="FFFFFF00"/>
        <bgColor rgb="FFFFFF00"/>
      </patternFill>
    </fill>
    <fill>
      <patternFill patternType="solid">
        <fgColor rgb="FFFFFFFF"/>
        <bgColor rgb="FFFFFFFF"/>
      </patternFill>
    </fill>
    <fill>
      <patternFill patternType="solid">
        <fgColor rgb="FFF2F2F2"/>
        <bgColor rgb="FFF2F2F2"/>
      </patternFill>
    </fill>
    <fill>
      <patternFill patternType="solid">
        <fgColor rgb="FFFFC000"/>
        <bgColor rgb="FF44546A"/>
      </patternFill>
    </fill>
    <fill>
      <patternFill patternType="solid">
        <fgColor rgb="FFFFC000"/>
        <bgColor indexed="64"/>
      </patternFill>
    </fill>
    <fill>
      <patternFill patternType="solid">
        <fgColor rgb="FF92D050"/>
        <bgColor indexed="64"/>
      </patternFill>
    </fill>
    <fill>
      <patternFill patternType="solid">
        <fgColor rgb="FFFFC000"/>
        <bgColor rgb="FFFFC000"/>
      </patternFill>
    </fill>
    <fill>
      <patternFill patternType="solid">
        <fgColor rgb="FF00B0F0"/>
        <bgColor indexed="64"/>
      </patternFill>
    </fill>
    <fill>
      <patternFill patternType="solid">
        <fgColor theme="4" tint="0.59999389629810485"/>
        <bgColor indexed="64"/>
      </patternFill>
    </fill>
    <fill>
      <patternFill patternType="solid">
        <fgColor rgb="FF00B05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2" tint="-0.499984740745262"/>
        <bgColor rgb="FF44546A"/>
      </patternFill>
    </fill>
    <fill>
      <patternFill patternType="solid">
        <fgColor theme="2" tint="-0.499984740745262"/>
        <bgColor indexed="64"/>
      </patternFill>
    </fill>
  </fills>
  <borders count="9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ck">
        <color rgb="FF000000"/>
      </top>
      <bottom/>
      <diagonal/>
    </border>
    <border>
      <left/>
      <right/>
      <top style="thin">
        <color rgb="FF000000"/>
      </top>
      <bottom style="thin">
        <color rgb="FF000000"/>
      </bottom>
      <diagonal/>
    </border>
    <border>
      <left style="thin">
        <color rgb="FF000000"/>
      </left>
      <right/>
      <top/>
      <bottom/>
      <diagonal/>
    </border>
    <border>
      <left/>
      <right/>
      <top/>
      <bottom/>
      <diagonal/>
    </border>
    <border>
      <left style="medium">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bottom/>
      <diagonal/>
    </border>
    <border>
      <left/>
      <right/>
      <top/>
      <bottom/>
      <diagonal/>
    </border>
    <border>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auto="1"/>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top style="thin">
        <color indexed="64"/>
      </top>
      <bottom style="medium">
        <color indexed="64"/>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dotted">
        <color indexed="64"/>
      </left>
      <right style="dotted">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rgb="FF000000"/>
      </top>
      <bottom style="thin">
        <color indexed="64"/>
      </bottom>
      <diagonal/>
    </border>
  </borders>
  <cellStyleXfs count="17">
    <xf numFmtId="0" fontId="0" fillId="0" borderId="0"/>
    <xf numFmtId="9" fontId="28" fillId="0" borderId="0" applyFont="0" applyFill="0" applyBorder="0" applyAlignment="0" applyProtection="0"/>
    <xf numFmtId="44" fontId="28" fillId="0" borderId="0" applyFont="0" applyFill="0" applyBorder="0" applyAlignment="0" applyProtection="0"/>
    <xf numFmtId="0" fontId="49" fillId="0" borderId="42"/>
    <xf numFmtId="44" fontId="28" fillId="0" borderId="42" applyFont="0" applyFill="0" applyBorder="0" applyAlignment="0" applyProtection="0"/>
    <xf numFmtId="0" fontId="5" fillId="0" borderId="42"/>
    <xf numFmtId="0" fontId="5" fillId="0" borderId="42"/>
    <xf numFmtId="182" fontId="5" fillId="0" borderId="42" applyFont="0" applyFill="0" applyBorder="0" applyAlignment="0" applyProtection="0"/>
    <xf numFmtId="9" fontId="5" fillId="0" borderId="42" applyFont="0" applyFill="0" applyBorder="0" applyAlignment="0" applyProtection="0"/>
    <xf numFmtId="0" fontId="1" fillId="0" borderId="42"/>
    <xf numFmtId="186" fontId="5" fillId="0" borderId="42" applyFont="0" applyFill="0" applyBorder="0" applyAlignment="0" applyProtection="0"/>
    <xf numFmtId="0" fontId="5" fillId="0" borderId="42"/>
    <xf numFmtId="0" fontId="28" fillId="0" borderId="42"/>
    <xf numFmtId="9" fontId="28" fillId="0" borderId="42" applyFont="0" applyFill="0" applyBorder="0" applyAlignment="0" applyProtection="0"/>
    <xf numFmtId="44" fontId="28" fillId="0" borderId="42" applyFont="0" applyFill="0" applyBorder="0" applyAlignment="0" applyProtection="0"/>
    <xf numFmtId="0" fontId="28" fillId="0" borderId="42"/>
    <xf numFmtId="44" fontId="28" fillId="0" borderId="42" applyFont="0" applyFill="0" applyBorder="0" applyAlignment="0" applyProtection="0"/>
  </cellStyleXfs>
  <cellXfs count="1151">
    <xf numFmtId="0" fontId="0" fillId="0" borderId="0" xfId="0"/>
    <xf numFmtId="1" fontId="9" fillId="0" borderId="0" xfId="0" applyNumberFormat="1" applyFont="1" applyAlignment="1">
      <alignment horizontal="center" vertical="center" wrapText="1"/>
    </xf>
    <xf numFmtId="2" fontId="9" fillId="0" borderId="14" xfId="0" applyNumberFormat="1" applyFont="1" applyBorder="1" applyAlignment="1">
      <alignment horizontal="center"/>
    </xf>
    <xf numFmtId="2" fontId="9" fillId="0" borderId="14" xfId="0" applyNumberFormat="1" applyFont="1" applyBorder="1" applyAlignment="1">
      <alignment horizontal="center" vertical="center"/>
    </xf>
    <xf numFmtId="10" fontId="9" fillId="0" borderId="14" xfId="0" applyNumberFormat="1" applyFont="1" applyBorder="1" applyAlignment="1">
      <alignment horizontal="center" vertical="center"/>
    </xf>
    <xf numFmtId="0" fontId="9" fillId="0" borderId="0" xfId="0" applyFont="1"/>
    <xf numFmtId="0" fontId="4" fillId="2" borderId="14" xfId="0" applyFont="1" applyFill="1" applyBorder="1" applyAlignment="1">
      <alignment horizontal="center" vertical="center"/>
    </xf>
    <xf numFmtId="0" fontId="8" fillId="0" borderId="0" xfId="0" applyFont="1"/>
    <xf numFmtId="0" fontId="9" fillId="0" borderId="14" xfId="0" applyFont="1" applyBorder="1" applyAlignment="1">
      <alignment horizontal="center"/>
    </xf>
    <xf numFmtId="0" fontId="11" fillId="0" borderId="0" xfId="0" applyFont="1"/>
    <xf numFmtId="0" fontId="9" fillId="0" borderId="0" xfId="0" applyFont="1" applyAlignment="1">
      <alignment horizontal="center" vertical="center"/>
    </xf>
    <xf numFmtId="0" fontId="9" fillId="0" borderId="0" xfId="0" applyFont="1" applyAlignment="1">
      <alignment vertical="center"/>
    </xf>
    <xf numFmtId="0" fontId="9" fillId="0" borderId="14" xfId="0" applyFont="1" applyBorder="1" applyAlignment="1">
      <alignment horizontal="center" vertical="center"/>
    </xf>
    <xf numFmtId="1" fontId="9" fillId="0" borderId="14" xfId="0" applyNumberFormat="1" applyFont="1" applyBorder="1" applyAlignment="1">
      <alignment horizontal="center" vertical="center"/>
    </xf>
    <xf numFmtId="49" fontId="9" fillId="0" borderId="0" xfId="0" applyNumberFormat="1" applyFont="1" applyAlignment="1">
      <alignment vertical="center"/>
    </xf>
    <xf numFmtId="0" fontId="12" fillId="0" borderId="0" xfId="0" applyFont="1" applyAlignment="1">
      <alignment horizontal="left" vertical="center" wrapText="1"/>
    </xf>
    <xf numFmtId="168" fontId="4" fillId="2" borderId="14" xfId="0" applyNumberFormat="1" applyFont="1" applyFill="1" applyBorder="1" applyAlignment="1">
      <alignment horizontal="center" vertical="center" wrapText="1"/>
    </xf>
    <xf numFmtId="168" fontId="9" fillId="0" borderId="14" xfId="0" applyNumberFormat="1" applyFont="1" applyBorder="1" applyAlignment="1">
      <alignment horizontal="center" vertical="center" wrapText="1"/>
    </xf>
    <xf numFmtId="169" fontId="9" fillId="0" borderId="14" xfId="0" applyNumberFormat="1" applyFont="1" applyBorder="1" applyAlignment="1">
      <alignment horizontal="center" vertical="center" wrapText="1"/>
    </xf>
    <xf numFmtId="1" fontId="9" fillId="0" borderId="14" xfId="0" applyNumberFormat="1" applyFont="1" applyBorder="1" applyAlignment="1">
      <alignment horizontal="center" vertical="center" wrapText="1"/>
    </xf>
    <xf numFmtId="10" fontId="9" fillId="0" borderId="14" xfId="0" applyNumberFormat="1" applyFont="1" applyBorder="1" applyAlignment="1">
      <alignment horizontal="center" vertical="center" wrapText="1"/>
    </xf>
    <xf numFmtId="168" fontId="9" fillId="0" borderId="0" xfId="0" applyNumberFormat="1" applyFont="1" applyAlignment="1">
      <alignment horizontal="center" vertical="center" wrapText="1"/>
    </xf>
    <xf numFmtId="1" fontId="9" fillId="0" borderId="0" xfId="0" applyNumberFormat="1" applyFont="1" applyAlignment="1">
      <alignment horizontal="right" vertical="center" wrapText="1"/>
    </xf>
    <xf numFmtId="168" fontId="4" fillId="2" borderId="21" xfId="0" applyNumberFormat="1" applyFont="1" applyFill="1" applyBorder="1" applyAlignment="1">
      <alignment horizontal="center" vertical="center"/>
    </xf>
    <xf numFmtId="1" fontId="9" fillId="0" borderId="4" xfId="0" applyNumberFormat="1" applyFont="1" applyBorder="1" applyAlignment="1">
      <alignment horizontal="center" vertical="center"/>
    </xf>
    <xf numFmtId="168" fontId="9" fillId="0" borderId="14" xfId="0" applyNumberFormat="1" applyFont="1" applyBorder="1" applyAlignment="1">
      <alignment horizontal="center" vertical="center"/>
    </xf>
    <xf numFmtId="168" fontId="12" fillId="0" borderId="0" xfId="0" applyNumberFormat="1" applyFont="1" applyAlignment="1">
      <alignment horizontal="center" vertical="center"/>
    </xf>
    <xf numFmtId="10" fontId="9" fillId="0" borderId="12" xfId="0" applyNumberFormat="1" applyFont="1" applyBorder="1" applyAlignment="1">
      <alignment horizontal="center" vertical="center"/>
    </xf>
    <xf numFmtId="164" fontId="8" fillId="0" borderId="0" xfId="0" applyNumberFormat="1" applyFont="1"/>
    <xf numFmtId="4" fontId="4" fillId="2" borderId="14" xfId="0" applyNumberFormat="1" applyFont="1" applyFill="1" applyBorder="1" applyAlignment="1">
      <alignment horizontal="center" vertical="center" wrapText="1"/>
    </xf>
    <xf numFmtId="4" fontId="9" fillId="0" borderId="27" xfId="0" applyNumberFormat="1" applyFont="1" applyBorder="1"/>
    <xf numFmtId="4" fontId="12" fillId="0" borderId="0" xfId="0" applyNumberFormat="1" applyFont="1" applyAlignment="1">
      <alignment horizontal="center" vertical="center" wrapText="1"/>
    </xf>
    <xf numFmtId="170" fontId="12" fillId="0" borderId="0" xfId="0" applyNumberFormat="1" applyFont="1" applyAlignment="1">
      <alignment horizontal="center" vertical="center" wrapText="1"/>
    </xf>
    <xf numFmtId="4" fontId="9" fillId="0" borderId="0" xfId="0" applyNumberFormat="1" applyFont="1"/>
    <xf numFmtId="9" fontId="9" fillId="0" borderId="14" xfId="0" applyNumberFormat="1" applyFont="1" applyBorder="1" applyAlignment="1">
      <alignment horizontal="center" vertical="center" wrapText="1"/>
    </xf>
    <xf numFmtId="9" fontId="4" fillId="2" borderId="14" xfId="0" applyNumberFormat="1" applyFont="1" applyFill="1" applyBorder="1" applyAlignment="1">
      <alignment horizontal="center" vertical="center" wrapText="1"/>
    </xf>
    <xf numFmtId="4" fontId="9" fillId="0" borderId="0" xfId="0" applyNumberFormat="1" applyFont="1" applyAlignment="1">
      <alignment horizontal="center" vertical="center"/>
    </xf>
    <xf numFmtId="10" fontId="4" fillId="2" borderId="14" xfId="0" applyNumberFormat="1" applyFont="1" applyFill="1" applyBorder="1" applyAlignment="1">
      <alignment horizontal="center" vertical="center" wrapText="1"/>
    </xf>
    <xf numFmtId="10" fontId="9" fillId="0" borderId="0" xfId="0" applyNumberFormat="1" applyFont="1"/>
    <xf numFmtId="10" fontId="4" fillId="2" borderId="30" xfId="0" applyNumberFormat="1" applyFont="1" applyFill="1" applyBorder="1" applyAlignment="1">
      <alignment horizontal="center" vertical="center" wrapText="1"/>
    </xf>
    <xf numFmtId="4" fontId="9" fillId="0" borderId="27" xfId="0" applyNumberFormat="1" applyFont="1" applyBorder="1" applyAlignment="1">
      <alignment horizontal="center" vertical="center" wrapText="1"/>
    </xf>
    <xf numFmtId="4" fontId="9" fillId="0" borderId="0" xfId="0" applyNumberFormat="1" applyFont="1" applyAlignment="1">
      <alignment horizontal="center" vertical="center" wrapText="1"/>
    </xf>
    <xf numFmtId="4" fontId="9" fillId="0" borderId="0" xfId="0" applyNumberFormat="1" applyFont="1" applyAlignment="1">
      <alignment wrapText="1"/>
    </xf>
    <xf numFmtId="4" fontId="12" fillId="0" borderId="14" xfId="0" applyNumberFormat="1" applyFont="1" applyBorder="1" applyAlignment="1">
      <alignment horizontal="center" vertical="center" wrapText="1"/>
    </xf>
    <xf numFmtId="0" fontId="9" fillId="0" borderId="0" xfId="0" applyFont="1" applyAlignment="1">
      <alignment wrapText="1"/>
    </xf>
    <xf numFmtId="0" fontId="9" fillId="6" borderId="14" xfId="0" applyFont="1" applyFill="1" applyBorder="1" applyAlignment="1">
      <alignment horizontal="center" vertical="center" wrapText="1"/>
    </xf>
    <xf numFmtId="0" fontId="9" fillId="0" borderId="0" xfId="0" applyFont="1" applyAlignment="1">
      <alignment horizontal="center" wrapText="1"/>
    </xf>
    <xf numFmtId="0" fontId="4" fillId="2" borderId="21" xfId="0" applyFont="1" applyFill="1" applyBorder="1" applyAlignment="1">
      <alignment horizontal="center" vertical="center" wrapText="1"/>
    </xf>
    <xf numFmtId="9" fontId="4" fillId="2" borderId="36" xfId="0" applyNumberFormat="1" applyFont="1" applyFill="1" applyBorder="1" applyAlignment="1">
      <alignment horizontal="center" vertical="center" wrapText="1"/>
    </xf>
    <xf numFmtId="0" fontId="16" fillId="0" borderId="0" xfId="0" applyFont="1" applyAlignment="1">
      <alignment horizontal="center" vertical="center"/>
    </xf>
    <xf numFmtId="0" fontId="4" fillId="2" borderId="37" xfId="0" applyFont="1" applyFill="1" applyBorder="1" applyAlignment="1">
      <alignment horizontal="center"/>
    </xf>
    <xf numFmtId="0" fontId="10" fillId="2" borderId="14" xfId="0" applyFont="1" applyFill="1" applyBorder="1" applyAlignment="1">
      <alignment horizontal="center" vertical="center"/>
    </xf>
    <xf numFmtId="0" fontId="10" fillId="0" borderId="14" xfId="0" applyFont="1" applyBorder="1"/>
    <xf numFmtId="175" fontId="4" fillId="2" borderId="14" xfId="0" applyNumberFormat="1" applyFont="1" applyFill="1" applyBorder="1" applyAlignment="1">
      <alignment horizontal="center" vertical="center"/>
    </xf>
    <xf numFmtId="175" fontId="9" fillId="0" borderId="14" xfId="0" applyNumberFormat="1" applyFont="1" applyBorder="1" applyAlignment="1">
      <alignment horizontal="center" vertical="center"/>
    </xf>
    <xf numFmtId="175" fontId="10" fillId="2" borderId="14" xfId="0" applyNumberFormat="1" applyFont="1" applyFill="1" applyBorder="1"/>
    <xf numFmtId="168" fontId="18" fillId="0" borderId="14" xfId="0" applyNumberFormat="1" applyFont="1" applyBorder="1"/>
    <xf numFmtId="175" fontId="9" fillId="0" borderId="14" xfId="0" applyNumberFormat="1" applyFont="1" applyBorder="1"/>
    <xf numFmtId="176" fontId="9" fillId="0" borderId="14" xfId="0" applyNumberFormat="1" applyFont="1" applyBorder="1"/>
    <xf numFmtId="175" fontId="18" fillId="0" borderId="14" xfId="0" applyNumberFormat="1" applyFont="1" applyBorder="1"/>
    <xf numFmtId="175" fontId="9" fillId="0" borderId="0" xfId="0" applyNumberFormat="1" applyFont="1"/>
    <xf numFmtId="0" fontId="12" fillId="3" borderId="14" xfId="0" applyFont="1" applyFill="1" applyBorder="1" applyAlignment="1">
      <alignment horizontal="center"/>
    </xf>
    <xf numFmtId="175" fontId="9" fillId="0" borderId="4" xfId="0" applyNumberFormat="1" applyFont="1" applyBorder="1" applyAlignment="1">
      <alignment horizontal="center" vertical="center"/>
    </xf>
    <xf numFmtId="2" fontId="9" fillId="0" borderId="4" xfId="0" applyNumberFormat="1" applyFont="1" applyBorder="1" applyAlignment="1">
      <alignment horizontal="center" vertical="center"/>
    </xf>
    <xf numFmtId="175" fontId="12" fillId="3" borderId="14" xfId="0" applyNumberFormat="1" applyFont="1" applyFill="1" applyBorder="1" applyAlignment="1">
      <alignment horizontal="center"/>
    </xf>
    <xf numFmtId="175" fontId="12" fillId="3" borderId="14" xfId="0" applyNumberFormat="1" applyFont="1" applyFill="1" applyBorder="1"/>
    <xf numFmtId="177" fontId="9" fillId="0" borderId="14" xfId="0" applyNumberFormat="1" applyFont="1" applyBorder="1" applyAlignment="1">
      <alignment horizontal="center" vertical="center"/>
    </xf>
    <xf numFmtId="0" fontId="12" fillId="0" borderId="4" xfId="0" applyFont="1" applyBorder="1" applyAlignment="1">
      <alignment horizontal="center"/>
    </xf>
    <xf numFmtId="0" fontId="12" fillId="0" borderId="5" xfId="0" applyFont="1" applyBorder="1" applyAlignment="1">
      <alignment horizontal="center"/>
    </xf>
    <xf numFmtId="175" fontId="9" fillId="0" borderId="5" xfId="0" applyNumberFormat="1" applyFont="1" applyBorder="1" applyAlignment="1">
      <alignment horizontal="center" vertical="center"/>
    </xf>
    <xf numFmtId="176" fontId="18" fillId="0" borderId="14" xfId="0" applyNumberFormat="1" applyFont="1" applyBorder="1"/>
    <xf numFmtId="178" fontId="9" fillId="0" borderId="14" xfId="0" applyNumberFormat="1" applyFont="1" applyBorder="1" applyAlignment="1">
      <alignment horizontal="center" vertical="center"/>
    </xf>
    <xf numFmtId="179" fontId="18" fillId="0" borderId="14" xfId="0" applyNumberFormat="1" applyFont="1" applyBorder="1"/>
    <xf numFmtId="0" fontId="13" fillId="0" borderId="0" xfId="0" applyFont="1"/>
    <xf numFmtId="169" fontId="9" fillId="0" borderId="14" xfId="0" applyNumberFormat="1" applyFont="1" applyBorder="1" applyAlignment="1">
      <alignment horizontal="center"/>
    </xf>
    <xf numFmtId="0" fontId="19" fillId="0" borderId="0" xfId="0" applyFont="1" applyAlignment="1">
      <alignment horizontal="center" vertical="center"/>
    </xf>
    <xf numFmtId="0" fontId="9" fillId="0" borderId="14" xfId="0" applyFont="1" applyBorder="1"/>
    <xf numFmtId="0" fontId="2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21" fillId="0" borderId="0" xfId="0" applyFont="1"/>
    <xf numFmtId="2" fontId="9" fillId="0" borderId="14" xfId="0" applyNumberFormat="1" applyFont="1" applyBorder="1" applyAlignment="1">
      <alignment horizontal="center" vertical="center" wrapText="1"/>
    </xf>
    <xf numFmtId="0" fontId="9" fillId="0" borderId="6" xfId="0" applyFont="1" applyBorder="1" applyAlignment="1">
      <alignment vertical="center"/>
    </xf>
    <xf numFmtId="0" fontId="9" fillId="0" borderId="0" xfId="0" applyFont="1" applyAlignment="1">
      <alignment horizontal="center" vertical="center" wrapText="1"/>
    </xf>
    <xf numFmtId="0" fontId="4" fillId="2" borderId="14" xfId="0" applyFont="1" applyFill="1" applyBorder="1" applyAlignment="1">
      <alignment vertical="center" wrapText="1"/>
    </xf>
    <xf numFmtId="0" fontId="4" fillId="2" borderId="14" xfId="0" applyFont="1" applyFill="1" applyBorder="1" applyAlignment="1">
      <alignment horizontal="center" vertical="center" wrapText="1"/>
    </xf>
    <xf numFmtId="2" fontId="12" fillId="0" borderId="14" xfId="0" applyNumberFormat="1" applyFont="1" applyBorder="1" applyAlignment="1">
      <alignment horizontal="center"/>
    </xf>
    <xf numFmtId="0" fontId="12" fillId="0" borderId="14" xfId="0" applyFont="1" applyBorder="1" applyAlignment="1">
      <alignment horizontal="center"/>
    </xf>
    <xf numFmtId="0" fontId="12" fillId="0" borderId="14" xfId="0" applyFont="1" applyBorder="1"/>
    <xf numFmtId="0" fontId="4" fillId="2" borderId="14" xfId="0" applyFont="1" applyFill="1" applyBorder="1" applyAlignment="1">
      <alignment horizontal="center"/>
    </xf>
    <xf numFmtId="2" fontId="9" fillId="0" borderId="4" xfId="0" applyNumberFormat="1" applyFont="1" applyBorder="1" applyAlignment="1">
      <alignment horizontal="center"/>
    </xf>
    <xf numFmtId="177" fontId="9" fillId="0" borderId="14" xfId="0" applyNumberFormat="1" applyFont="1" applyBorder="1" applyAlignment="1">
      <alignment horizontal="center" vertical="center" wrapText="1"/>
    </xf>
    <xf numFmtId="2" fontId="9" fillId="0" borderId="14" xfId="0" quotePrefix="1" applyNumberFormat="1" applyFont="1" applyBorder="1" applyAlignment="1">
      <alignment horizontal="center" vertical="center"/>
    </xf>
    <xf numFmtId="2" fontId="9" fillId="0" borderId="4" xfId="0" quotePrefix="1" applyNumberFormat="1" applyFont="1" applyBorder="1" applyAlignment="1">
      <alignment horizontal="center" vertical="center"/>
    </xf>
    <xf numFmtId="0" fontId="35" fillId="0" borderId="0" xfId="0" applyFont="1"/>
    <xf numFmtId="49" fontId="35" fillId="0" borderId="0" xfId="0" applyNumberFormat="1" applyFont="1" applyAlignment="1">
      <alignment vertical="center"/>
    </xf>
    <xf numFmtId="0" fontId="36" fillId="0" borderId="0" xfId="0" applyFont="1" applyAlignment="1">
      <alignment horizontal="left" vertical="center" wrapText="1"/>
    </xf>
    <xf numFmtId="0" fontId="35" fillId="0" borderId="14" xfId="0" applyFont="1" applyBorder="1"/>
    <xf numFmtId="0" fontId="37" fillId="0" borderId="0" xfId="0" applyFont="1" applyAlignment="1">
      <alignment horizontal="left" vertical="center" wrapText="1"/>
    </xf>
    <xf numFmtId="180" fontId="38" fillId="0" borderId="0" xfId="0" applyNumberFormat="1" applyFont="1" applyAlignment="1">
      <alignment horizontal="center" vertical="center"/>
    </xf>
    <xf numFmtId="180" fontId="37" fillId="0" borderId="0" xfId="0" applyNumberFormat="1" applyFont="1" applyAlignment="1">
      <alignment horizontal="center" vertical="center"/>
    </xf>
    <xf numFmtId="0" fontId="38" fillId="0" borderId="0" xfId="0" applyFont="1"/>
    <xf numFmtId="178" fontId="40" fillId="0" borderId="0" xfId="0" applyNumberFormat="1" applyFont="1"/>
    <xf numFmtId="178" fontId="35" fillId="0" borderId="14" xfId="0" applyNumberFormat="1" applyFont="1" applyBorder="1" applyAlignment="1">
      <alignment horizontal="center" vertical="center"/>
    </xf>
    <xf numFmtId="2" fontId="35" fillId="0" borderId="14" xfId="0" applyNumberFormat="1" applyFont="1" applyBorder="1" applyAlignment="1">
      <alignment horizontal="center" vertical="center"/>
    </xf>
    <xf numFmtId="0" fontId="35" fillId="0" borderId="0" xfId="0" applyFont="1" applyAlignment="1">
      <alignment horizontal="center" vertical="center"/>
    </xf>
    <xf numFmtId="0" fontId="31" fillId="2" borderId="14" xfId="0" applyFont="1" applyFill="1" applyBorder="1" applyAlignment="1">
      <alignment horizontal="center" vertical="center"/>
    </xf>
    <xf numFmtId="0" fontId="35" fillId="0" borderId="14" xfId="0" applyFont="1" applyBorder="1" applyAlignment="1">
      <alignment horizontal="center" vertical="center"/>
    </xf>
    <xf numFmtId="1" fontId="35" fillId="0" borderId="14" xfId="0" applyNumberFormat="1" applyFont="1" applyBorder="1" applyAlignment="1">
      <alignment horizontal="center" vertical="center"/>
    </xf>
    <xf numFmtId="10" fontId="35" fillId="0" borderId="14" xfId="0" applyNumberFormat="1" applyFont="1" applyBorder="1" applyAlignment="1">
      <alignment horizontal="center" vertical="center"/>
    </xf>
    <xf numFmtId="168" fontId="35" fillId="0" borderId="14" xfId="0" applyNumberFormat="1" applyFont="1" applyBorder="1" applyAlignment="1">
      <alignment horizontal="center" vertical="center" wrapText="1"/>
    </xf>
    <xf numFmtId="0" fontId="35" fillId="0" borderId="0" xfId="0" applyFont="1" applyAlignment="1">
      <alignment horizontal="center" vertical="center" wrapText="1"/>
    </xf>
    <xf numFmtId="0" fontId="35" fillId="0" borderId="0" xfId="0" applyFont="1" applyAlignment="1">
      <alignment vertical="center" wrapText="1"/>
    </xf>
    <xf numFmtId="0" fontId="33" fillId="0" borderId="0" xfId="0" applyFont="1" applyAlignment="1">
      <alignment wrapText="1"/>
    </xf>
    <xf numFmtId="0" fontId="0" fillId="0" borderId="0" xfId="0" applyAlignment="1">
      <alignment wrapText="1"/>
    </xf>
    <xf numFmtId="10" fontId="36" fillId="4" borderId="14" xfId="0" applyNumberFormat="1" applyFont="1" applyFill="1" applyBorder="1" applyAlignment="1">
      <alignment horizontal="center" vertical="center" wrapText="1"/>
    </xf>
    <xf numFmtId="0" fontId="5" fillId="0" borderId="42" xfId="0" applyFont="1" applyBorder="1"/>
    <xf numFmtId="9" fontId="11" fillId="0" borderId="0" xfId="1" applyFont="1" applyAlignment="1">
      <alignment vertical="center"/>
    </xf>
    <xf numFmtId="44" fontId="0" fillId="0" borderId="0" xfId="2" applyFont="1"/>
    <xf numFmtId="0" fontId="35" fillId="0" borderId="14" xfId="0" applyFont="1" applyBorder="1" applyAlignment="1">
      <alignment horizontal="center"/>
    </xf>
    <xf numFmtId="4" fontId="9" fillId="0" borderId="45" xfId="0" applyNumberFormat="1" applyFont="1" applyBorder="1" applyAlignment="1">
      <alignment horizontal="center" vertical="center"/>
    </xf>
    <xf numFmtId="0" fontId="4" fillId="0" borderId="42" xfId="0" applyFont="1" applyBorder="1" applyAlignment="1">
      <alignment horizontal="center"/>
    </xf>
    <xf numFmtId="9" fontId="4" fillId="2" borderId="45" xfId="0" applyNumberFormat="1" applyFont="1" applyFill="1" applyBorder="1" applyAlignment="1">
      <alignment horizontal="center" vertical="center"/>
    </xf>
    <xf numFmtId="4" fontId="4" fillId="2" borderId="45" xfId="0" applyNumberFormat="1" applyFont="1" applyFill="1" applyBorder="1" applyAlignment="1">
      <alignment horizontal="center" vertical="center" wrapText="1"/>
    </xf>
    <xf numFmtId="2" fontId="4" fillId="2" borderId="45" xfId="0" applyNumberFormat="1" applyFont="1" applyFill="1" applyBorder="1" applyAlignment="1">
      <alignment horizontal="center" vertical="center"/>
    </xf>
    <xf numFmtId="174" fontId="9" fillId="0" borderId="14" xfId="0" applyNumberFormat="1" applyFont="1" applyBorder="1" applyAlignment="1">
      <alignment horizontal="center" vertical="center" wrapText="1"/>
    </xf>
    <xf numFmtId="3" fontId="9" fillId="0" borderId="14" xfId="0" applyNumberFormat="1" applyFont="1" applyBorder="1" applyAlignment="1">
      <alignment horizontal="center" vertical="center" wrapText="1"/>
    </xf>
    <xf numFmtId="168" fontId="17" fillId="0" borderId="14" xfId="0" applyNumberFormat="1" applyFont="1" applyBorder="1" applyAlignment="1">
      <alignment horizontal="center" vertical="center" wrapText="1"/>
    </xf>
    <xf numFmtId="14" fontId="9" fillId="0" borderId="14" xfId="0" applyNumberFormat="1" applyFont="1" applyBorder="1" applyAlignment="1">
      <alignment horizontal="center" vertical="center"/>
    </xf>
    <xf numFmtId="14" fontId="9" fillId="0" borderId="14" xfId="0" applyNumberFormat="1" applyFont="1" applyBorder="1" applyAlignment="1">
      <alignment horizontal="center" vertical="center" wrapText="1"/>
    </xf>
    <xf numFmtId="0" fontId="9" fillId="0" borderId="14" xfId="0" applyFont="1" applyBorder="1" applyAlignment="1">
      <alignment horizontal="center" vertical="center" wrapText="1"/>
    </xf>
    <xf numFmtId="14" fontId="9" fillId="0" borderId="14" xfId="0" applyNumberFormat="1" applyFont="1" applyBorder="1" applyAlignment="1">
      <alignment horizontal="right" vertical="center"/>
    </xf>
    <xf numFmtId="0" fontId="33" fillId="0" borderId="0" xfId="0" applyFont="1"/>
    <xf numFmtId="0" fontId="9" fillId="0" borderId="42" xfId="0" applyFont="1" applyBorder="1" applyAlignment="1">
      <alignment horizontal="center" vertical="center"/>
    </xf>
    <xf numFmtId="0" fontId="8" fillId="0" borderId="42" xfId="0" applyFont="1" applyBorder="1"/>
    <xf numFmtId="0" fontId="31" fillId="0" borderId="42" xfId="0" applyFont="1" applyBorder="1" applyAlignment="1">
      <alignment vertical="center"/>
    </xf>
    <xf numFmtId="0" fontId="47" fillId="0" borderId="0" xfId="0" applyFont="1" applyAlignment="1">
      <alignment horizontal="center" vertical="center"/>
    </xf>
    <xf numFmtId="0" fontId="41" fillId="0" borderId="14" xfId="0" applyFont="1" applyBorder="1"/>
    <xf numFmtId="175" fontId="31" fillId="2" borderId="14" xfId="0" applyNumberFormat="1" applyFont="1" applyFill="1" applyBorder="1" applyAlignment="1">
      <alignment horizontal="center" vertical="center"/>
    </xf>
    <xf numFmtId="175" fontId="35" fillId="0" borderId="14" xfId="0" applyNumberFormat="1" applyFont="1" applyBorder="1" applyAlignment="1">
      <alignment horizontal="center" vertical="center"/>
    </xf>
    <xf numFmtId="175" fontId="41" fillId="2" borderId="14" xfId="0" applyNumberFormat="1" applyFont="1" applyFill="1" applyBorder="1"/>
    <xf numFmtId="175" fontId="48" fillId="0" borderId="14" xfId="0" applyNumberFormat="1" applyFont="1" applyBorder="1"/>
    <xf numFmtId="175" fontId="35" fillId="0" borderId="0" xfId="0" applyNumberFormat="1" applyFont="1"/>
    <xf numFmtId="0" fontId="36" fillId="3" borderId="14" xfId="0" applyFont="1" applyFill="1" applyBorder="1" applyAlignment="1">
      <alignment horizontal="center"/>
    </xf>
    <xf numFmtId="0" fontId="49" fillId="0" borderId="0" xfId="0" applyFont="1"/>
    <xf numFmtId="175" fontId="36" fillId="3" borderId="14" xfId="0" applyNumberFormat="1" applyFont="1" applyFill="1" applyBorder="1" applyAlignment="1">
      <alignment horizontal="center"/>
    </xf>
    <xf numFmtId="175" fontId="36" fillId="3" borderId="14" xfId="0" applyNumberFormat="1" applyFont="1" applyFill="1" applyBorder="1"/>
    <xf numFmtId="14" fontId="35" fillId="0" borderId="14" xfId="0" applyNumberFormat="1" applyFont="1" applyBorder="1" applyAlignment="1">
      <alignment horizontal="center"/>
    </xf>
    <xf numFmtId="0" fontId="36" fillId="3" borderId="38" xfId="0" applyFont="1" applyFill="1" applyBorder="1" applyAlignment="1">
      <alignment horizontal="center"/>
    </xf>
    <xf numFmtId="0" fontId="45" fillId="0" borderId="38" xfId="0" applyFont="1" applyBorder="1"/>
    <xf numFmtId="175" fontId="35" fillId="0" borderId="38" xfId="0" applyNumberFormat="1" applyFont="1" applyBorder="1" applyAlignment="1">
      <alignment horizontal="center" vertical="center"/>
    </xf>
    <xf numFmtId="0" fontId="45" fillId="0" borderId="39" xfId="0" applyFont="1" applyBorder="1"/>
    <xf numFmtId="14" fontId="35" fillId="0" borderId="14" xfId="0" applyNumberFormat="1" applyFont="1" applyBorder="1" applyAlignment="1">
      <alignment horizontal="right" vertical="center"/>
    </xf>
    <xf numFmtId="0" fontId="50" fillId="0" borderId="0" xfId="0" applyFont="1"/>
    <xf numFmtId="0" fontId="31" fillId="0" borderId="0" xfId="0" applyFont="1" applyAlignment="1">
      <alignment horizontal="right" wrapText="1"/>
    </xf>
    <xf numFmtId="0" fontId="51" fillId="0" borderId="0" xfId="0" applyFont="1" applyAlignment="1">
      <alignment horizontal="center" vertical="center"/>
    </xf>
    <xf numFmtId="168" fontId="31" fillId="2" borderId="14" xfId="0" applyNumberFormat="1" applyFont="1" applyFill="1" applyBorder="1" applyAlignment="1">
      <alignment horizontal="center" vertical="center" wrapText="1"/>
    </xf>
    <xf numFmtId="169" fontId="35" fillId="0" borderId="14" xfId="0" applyNumberFormat="1" applyFont="1" applyBorder="1" applyAlignment="1">
      <alignment horizontal="center" vertical="center" wrapText="1"/>
    </xf>
    <xf numFmtId="1" fontId="35" fillId="0" borderId="14" xfId="0" applyNumberFormat="1" applyFont="1" applyBorder="1" applyAlignment="1">
      <alignment horizontal="center" vertical="center" wrapText="1"/>
    </xf>
    <xf numFmtId="10" fontId="35" fillId="0" borderId="14" xfId="0" applyNumberFormat="1" applyFont="1" applyBorder="1" applyAlignment="1">
      <alignment horizontal="center" vertical="center" wrapText="1"/>
    </xf>
    <xf numFmtId="2" fontId="35" fillId="0" borderId="14" xfId="0" applyNumberFormat="1" applyFont="1" applyBorder="1" applyAlignment="1">
      <alignment horizontal="center" vertical="center" wrapText="1"/>
    </xf>
    <xf numFmtId="168" fontId="35" fillId="0" borderId="0" xfId="0" applyNumberFormat="1" applyFont="1" applyAlignment="1">
      <alignment horizontal="center" vertical="center" wrapText="1"/>
    </xf>
    <xf numFmtId="1" fontId="35" fillId="0" borderId="0" xfId="0" applyNumberFormat="1" applyFont="1" applyAlignment="1">
      <alignment horizontal="right" vertical="center" wrapText="1"/>
    </xf>
    <xf numFmtId="1" fontId="35" fillId="0" borderId="0" xfId="0" applyNumberFormat="1" applyFont="1" applyAlignment="1">
      <alignment horizontal="center" vertical="center" wrapText="1"/>
    </xf>
    <xf numFmtId="168" fontId="31" fillId="2" borderId="21" xfId="0" applyNumberFormat="1" applyFont="1" applyFill="1" applyBorder="1" applyAlignment="1">
      <alignment horizontal="center" vertical="center"/>
    </xf>
    <xf numFmtId="168" fontId="35" fillId="0" borderId="14" xfId="0" applyNumberFormat="1" applyFont="1" applyBorder="1" applyAlignment="1">
      <alignment horizontal="center" vertical="center"/>
    </xf>
    <xf numFmtId="168" fontId="36" fillId="0" borderId="0" xfId="0" applyNumberFormat="1" applyFont="1" applyAlignment="1">
      <alignment horizontal="center" vertical="center"/>
    </xf>
    <xf numFmtId="10" fontId="31" fillId="2" borderId="21" xfId="0" applyNumberFormat="1" applyFont="1" applyFill="1" applyBorder="1" applyAlignment="1">
      <alignment horizontal="center" vertical="center"/>
    </xf>
    <xf numFmtId="10" fontId="31" fillId="2" borderId="21" xfId="0" applyNumberFormat="1" applyFont="1" applyFill="1" applyBorder="1" applyAlignment="1">
      <alignment vertical="center"/>
    </xf>
    <xf numFmtId="0" fontId="50" fillId="0" borderId="34" xfId="0" applyFont="1" applyBorder="1"/>
    <xf numFmtId="1" fontId="35" fillId="0" borderId="21" xfId="0" applyNumberFormat="1" applyFont="1" applyBorder="1" applyAlignment="1">
      <alignment horizontal="center" vertical="center"/>
    </xf>
    <xf numFmtId="1" fontId="35" fillId="0" borderId="14" xfId="3" applyNumberFormat="1" applyFont="1" applyBorder="1" applyAlignment="1">
      <alignment horizontal="center" vertical="center" wrapText="1"/>
    </xf>
    <xf numFmtId="168" fontId="31" fillId="0" borderId="42" xfId="0" applyNumberFormat="1" applyFont="1" applyBorder="1" applyAlignment="1">
      <alignment horizontal="right" vertical="center"/>
    </xf>
    <xf numFmtId="0" fontId="45" fillId="0" borderId="42" xfId="0" applyFont="1" applyBorder="1"/>
    <xf numFmtId="168" fontId="35" fillId="0" borderId="42" xfId="0" applyNumberFormat="1" applyFont="1" applyBorder="1" applyAlignment="1">
      <alignment horizontal="center" vertical="center" wrapText="1"/>
    </xf>
    <xf numFmtId="2" fontId="33" fillId="0" borderId="14" xfId="3" applyNumberFormat="1" applyFont="1" applyBorder="1" applyAlignment="1">
      <alignment horizontal="center" vertical="center" wrapText="1"/>
    </xf>
    <xf numFmtId="0" fontId="33" fillId="0" borderId="14" xfId="3" applyFont="1" applyBorder="1" applyAlignment="1">
      <alignment horizontal="center" vertical="center" wrapText="1"/>
    </xf>
    <xf numFmtId="0" fontId="35" fillId="0" borderId="14" xfId="0" applyFont="1" applyBorder="1" applyAlignment="1">
      <alignment horizontal="center" vertical="center" wrapText="1"/>
    </xf>
    <xf numFmtId="177" fontId="35" fillId="0" borderId="14" xfId="0" applyNumberFormat="1" applyFont="1" applyBorder="1" applyAlignment="1">
      <alignment horizontal="center" vertical="center"/>
    </xf>
    <xf numFmtId="0" fontId="50" fillId="0" borderId="42" xfId="0" applyFont="1" applyBorder="1"/>
    <xf numFmtId="2" fontId="36" fillId="3" borderId="14" xfId="0" applyNumberFormat="1" applyFont="1" applyFill="1" applyBorder="1" applyAlignment="1">
      <alignment horizontal="center" vertical="center"/>
    </xf>
    <xf numFmtId="0" fontId="41" fillId="2" borderId="21" xfId="0" applyFont="1" applyFill="1" applyBorder="1"/>
    <xf numFmtId="9" fontId="41" fillId="2" borderId="14" xfId="0" applyNumberFormat="1" applyFont="1" applyFill="1" applyBorder="1" applyAlignment="1">
      <alignment horizontal="center"/>
    </xf>
    <xf numFmtId="9" fontId="35" fillId="0" borderId="14" xfId="0" applyNumberFormat="1" applyFont="1" applyBorder="1" applyAlignment="1">
      <alignment horizontal="center" vertical="center"/>
    </xf>
    <xf numFmtId="0" fontId="41" fillId="2" borderId="14" xfId="0" applyFont="1" applyFill="1" applyBorder="1" applyAlignment="1">
      <alignment horizontal="center"/>
    </xf>
    <xf numFmtId="0" fontId="54" fillId="0" borderId="0" xfId="0" applyFont="1" applyAlignment="1">
      <alignment horizontal="left"/>
    </xf>
    <xf numFmtId="2" fontId="35" fillId="0" borderId="14" xfId="0" applyNumberFormat="1" applyFont="1" applyBorder="1" applyAlignment="1">
      <alignment horizontal="center"/>
    </xf>
    <xf numFmtId="0" fontId="41" fillId="2" borderId="19" xfId="0" applyFont="1" applyFill="1" applyBorder="1" applyAlignment="1">
      <alignment horizontal="center"/>
    </xf>
    <xf numFmtId="2" fontId="35" fillId="0" borderId="12" xfId="0" applyNumberFormat="1" applyFont="1" applyBorder="1" applyAlignment="1">
      <alignment horizontal="center" vertical="center"/>
    </xf>
    <xf numFmtId="0" fontId="54" fillId="0" borderId="0" xfId="0" applyFont="1"/>
    <xf numFmtId="0" fontId="30" fillId="0" borderId="42" xfId="0" applyFont="1" applyBorder="1"/>
    <xf numFmtId="0" fontId="35" fillId="0" borderId="14" xfId="0" applyFont="1" applyBorder="1" applyAlignment="1">
      <alignment wrapText="1"/>
    </xf>
    <xf numFmtId="2" fontId="31" fillId="2" borderId="14" xfId="0" applyNumberFormat="1" applyFont="1" applyFill="1" applyBorder="1" applyAlignment="1">
      <alignment horizontal="center" vertical="center" wrapText="1"/>
    </xf>
    <xf numFmtId="0" fontId="35" fillId="0" borderId="14" xfId="0" applyFont="1" applyBorder="1" applyAlignment="1">
      <alignment horizontal="center" wrapText="1"/>
    </xf>
    <xf numFmtId="2" fontId="31" fillId="0" borderId="19" xfId="0" applyNumberFormat="1" applyFont="1" applyBorder="1" applyAlignment="1">
      <alignment horizontal="center" vertical="center" wrapText="1"/>
    </xf>
    <xf numFmtId="0" fontId="35" fillId="0" borderId="42" xfId="0" applyFont="1" applyBorder="1" applyAlignment="1">
      <alignment horizontal="center" vertical="center" wrapText="1"/>
    </xf>
    <xf numFmtId="2" fontId="35" fillId="0" borderId="0" xfId="0" applyNumberFormat="1" applyFont="1"/>
    <xf numFmtId="2" fontId="31" fillId="2" borderId="24" xfId="0" applyNumberFormat="1" applyFont="1" applyFill="1" applyBorder="1" applyAlignment="1">
      <alignment horizontal="center" vertical="center" wrapText="1"/>
    </xf>
    <xf numFmtId="1" fontId="31" fillId="2" borderId="14" xfId="0" applyNumberFormat="1" applyFont="1" applyFill="1" applyBorder="1" applyAlignment="1">
      <alignment horizontal="center" vertical="center" wrapText="1"/>
    </xf>
    <xf numFmtId="0" fontId="33" fillId="0" borderId="45" xfId="0" applyFont="1" applyBorder="1" applyAlignment="1">
      <alignment horizontal="center"/>
    </xf>
    <xf numFmtId="0" fontId="31" fillId="2" borderId="14" xfId="0" applyFont="1" applyFill="1" applyBorder="1" applyAlignment="1">
      <alignment horizontal="center" vertical="center" wrapText="1"/>
    </xf>
    <xf numFmtId="3" fontId="35" fillId="0" borderId="14" xfId="0" applyNumberFormat="1" applyFont="1" applyBorder="1" applyAlignment="1">
      <alignment horizontal="center" vertical="center" wrapText="1"/>
    </xf>
    <xf numFmtId="0" fontId="36" fillId="3" borderId="21" xfId="0" applyFont="1" applyFill="1" applyBorder="1" applyAlignment="1">
      <alignment horizontal="center" vertical="center" wrapText="1"/>
    </xf>
    <xf numFmtId="44" fontId="0" fillId="0" borderId="42" xfId="2" applyFont="1" applyBorder="1" applyAlignment="1">
      <alignment wrapText="1"/>
    </xf>
    <xf numFmtId="0" fontId="0" fillId="0" borderId="42" xfId="0" applyBorder="1" applyAlignment="1">
      <alignment wrapText="1"/>
    </xf>
    <xf numFmtId="0" fontId="31" fillId="2" borderId="14" xfId="0" applyFont="1" applyFill="1" applyBorder="1" applyAlignment="1">
      <alignment horizontal="left" vertical="center" wrapText="1"/>
    </xf>
    <xf numFmtId="0" fontId="35" fillId="0" borderId="0" xfId="0" applyFont="1" applyAlignment="1">
      <alignment wrapText="1"/>
    </xf>
    <xf numFmtId="166" fontId="35" fillId="0" borderId="0" xfId="0" applyNumberFormat="1" applyFont="1" applyAlignment="1">
      <alignment horizontal="center" vertical="center" wrapText="1"/>
    </xf>
    <xf numFmtId="0" fontId="0" fillId="0" borderId="0" xfId="0" applyAlignment="1">
      <alignment horizontal="left" vertical="center" wrapText="1"/>
    </xf>
    <xf numFmtId="10" fontId="36" fillId="0" borderId="14" xfId="0" applyNumberFormat="1" applyFont="1" applyBorder="1" applyAlignment="1">
      <alignment horizontal="center" vertical="center" wrapText="1"/>
    </xf>
    <xf numFmtId="167" fontId="35" fillId="0" borderId="0" xfId="0" applyNumberFormat="1" applyFont="1" applyAlignment="1">
      <alignment horizontal="center" wrapText="1"/>
    </xf>
    <xf numFmtId="10" fontId="36" fillId="0" borderId="0" xfId="0" applyNumberFormat="1" applyFont="1" applyAlignment="1">
      <alignment horizontal="center" vertical="center" wrapText="1"/>
    </xf>
    <xf numFmtId="0" fontId="33" fillId="0" borderId="0" xfId="0" applyFont="1" applyAlignment="1">
      <alignment horizontal="center"/>
    </xf>
    <xf numFmtId="0" fontId="4" fillId="2" borderId="45" xfId="0" applyFont="1" applyFill="1" applyBorder="1" applyAlignment="1">
      <alignment horizontal="center"/>
    </xf>
    <xf numFmtId="0" fontId="2" fillId="0" borderId="14" xfId="0" applyFont="1" applyBorder="1" applyAlignment="1">
      <alignment horizontal="center" vertical="center" wrapText="1"/>
    </xf>
    <xf numFmtId="3" fontId="2" fillId="0" borderId="14" xfId="0" applyNumberFormat="1" applyFont="1" applyBorder="1" applyAlignment="1">
      <alignment horizontal="center" vertical="center" wrapText="1"/>
    </xf>
    <xf numFmtId="0" fontId="2" fillId="0" borderId="21" xfId="0" applyFont="1" applyBorder="1" applyAlignment="1">
      <alignment horizontal="center" vertical="center" wrapText="1"/>
    </xf>
    <xf numFmtId="174" fontId="0" fillId="0" borderId="0" xfId="0" applyNumberFormat="1" applyAlignment="1">
      <alignment wrapText="1"/>
    </xf>
    <xf numFmtId="174" fontId="0" fillId="10" borderId="0" xfId="0" applyNumberFormat="1" applyFill="1" applyAlignment="1">
      <alignment wrapText="1"/>
    </xf>
    <xf numFmtId="0" fontId="0" fillId="10" borderId="0" xfId="0" applyFill="1" applyAlignment="1">
      <alignment wrapText="1"/>
    </xf>
    <xf numFmtId="0" fontId="0" fillId="10" borderId="0" xfId="0" applyFill="1"/>
    <xf numFmtId="0" fontId="31" fillId="2" borderId="45" xfId="0" applyFont="1" applyFill="1" applyBorder="1" applyAlignment="1">
      <alignment horizontal="center"/>
    </xf>
    <xf numFmtId="9" fontId="31" fillId="2" borderId="45" xfId="0" applyNumberFormat="1" applyFont="1" applyFill="1" applyBorder="1" applyAlignment="1">
      <alignment horizontal="center" vertical="center"/>
    </xf>
    <xf numFmtId="4" fontId="2" fillId="0" borderId="45" xfId="0" applyNumberFormat="1" applyFont="1" applyBorder="1" applyAlignment="1">
      <alignment horizontal="center" vertical="center"/>
    </xf>
    <xf numFmtId="4" fontId="31" fillId="2" borderId="45" xfId="0" applyNumberFormat="1" applyFont="1" applyFill="1" applyBorder="1" applyAlignment="1">
      <alignment horizontal="center" vertical="center" wrapText="1"/>
    </xf>
    <xf numFmtId="2" fontId="31" fillId="2" borderId="45" xfId="0" applyNumberFormat="1" applyFont="1" applyFill="1" applyBorder="1" applyAlignment="1">
      <alignment horizontal="center" vertical="center"/>
    </xf>
    <xf numFmtId="0" fontId="2" fillId="0" borderId="45" xfId="0" applyFont="1" applyBorder="1" applyAlignment="1">
      <alignment horizontal="center"/>
    </xf>
    <xf numFmtId="0" fontId="2" fillId="0" borderId="42" xfId="0" applyFont="1" applyBorder="1" applyAlignment="1">
      <alignment horizontal="center"/>
    </xf>
    <xf numFmtId="2" fontId="33" fillId="0" borderId="45" xfId="0" applyNumberFormat="1" applyFont="1" applyBorder="1" applyAlignment="1">
      <alignment horizontal="center"/>
    </xf>
    <xf numFmtId="0" fontId="31" fillId="2" borderId="14" xfId="0" applyFont="1" applyFill="1" applyBorder="1" applyAlignment="1">
      <alignment horizontal="center"/>
    </xf>
    <xf numFmtId="0" fontId="56" fillId="0" borderId="42" xfId="0" applyFont="1" applyBorder="1" applyAlignment="1">
      <alignment horizontal="center"/>
    </xf>
    <xf numFmtId="0" fontId="2" fillId="0" borderId="14" xfId="0" applyFont="1" applyBorder="1" applyAlignment="1">
      <alignment horizontal="center" vertical="center"/>
    </xf>
    <xf numFmtId="0" fontId="33" fillId="0" borderId="42" xfId="3" applyFont="1"/>
    <xf numFmtId="0" fontId="31" fillId="2" borderId="45" xfId="3" applyFont="1" applyFill="1" applyBorder="1" applyAlignment="1">
      <alignment horizontal="center"/>
    </xf>
    <xf numFmtId="0" fontId="31" fillId="2" borderId="45" xfId="3" applyFont="1" applyFill="1" applyBorder="1"/>
    <xf numFmtId="0" fontId="40" fillId="0" borderId="45" xfId="3" applyFont="1" applyBorder="1" applyAlignment="1">
      <alignment horizontal="center" vertical="center"/>
    </xf>
    <xf numFmtId="0" fontId="2" fillId="0" borderId="45" xfId="3" applyFont="1" applyBorder="1" applyAlignment="1">
      <alignment horizontal="center" vertical="center"/>
    </xf>
    <xf numFmtId="0" fontId="33" fillId="0" borderId="45" xfId="3" applyFont="1" applyBorder="1" applyAlignment="1">
      <alignment horizontal="center"/>
    </xf>
    <xf numFmtId="4" fontId="2" fillId="0" borderId="45" xfId="3" applyNumberFormat="1" applyFont="1" applyBorder="1" applyAlignment="1">
      <alignment horizontal="center" vertical="center"/>
    </xf>
    <xf numFmtId="0" fontId="2" fillId="0" borderId="45" xfId="3" applyFont="1" applyBorder="1" applyAlignment="1">
      <alignment horizontal="center"/>
    </xf>
    <xf numFmtId="0" fontId="30" fillId="0" borderId="42" xfId="3" applyFont="1"/>
    <xf numFmtId="0" fontId="57" fillId="2" borderId="45" xfId="3" applyFont="1" applyFill="1" applyBorder="1" applyAlignment="1">
      <alignment horizontal="center"/>
    </xf>
    <xf numFmtId="0" fontId="57" fillId="2" borderId="45" xfId="3" applyFont="1" applyFill="1" applyBorder="1" applyAlignment="1">
      <alignment horizontal="center" vertical="center"/>
    </xf>
    <xf numFmtId="0" fontId="48" fillId="0" borderId="45" xfId="3" applyFont="1" applyBorder="1" applyAlignment="1">
      <alignment horizontal="center"/>
    </xf>
    <xf numFmtId="2" fontId="48" fillId="0" borderId="45" xfId="3" applyNumberFormat="1" applyFont="1" applyBorder="1" applyAlignment="1">
      <alignment horizontal="center" vertical="center"/>
    </xf>
    <xf numFmtId="0" fontId="59" fillId="0" borderId="42" xfId="3" applyFont="1"/>
    <xf numFmtId="3" fontId="35" fillId="0" borderId="19" xfId="0" applyNumberFormat="1" applyFont="1" applyBorder="1" applyAlignment="1">
      <alignment horizontal="center" vertical="center" wrapText="1"/>
    </xf>
    <xf numFmtId="2" fontId="35" fillId="0" borderId="19" xfId="0" applyNumberFormat="1" applyFont="1" applyBorder="1" applyAlignment="1">
      <alignment horizontal="center" vertical="center" wrapText="1"/>
    </xf>
    <xf numFmtId="3" fontId="35" fillId="0" borderId="30" xfId="0" applyNumberFormat="1" applyFont="1" applyBorder="1" applyAlignment="1">
      <alignment horizontal="center" vertical="center" wrapText="1"/>
    </xf>
    <xf numFmtId="2" fontId="35" fillId="0" borderId="30" xfId="0" applyNumberFormat="1" applyFont="1" applyBorder="1" applyAlignment="1">
      <alignment horizontal="center" vertical="center" wrapText="1"/>
    </xf>
    <xf numFmtId="3" fontId="2" fillId="0" borderId="19" xfId="0" applyNumberFormat="1" applyFont="1" applyBorder="1" applyAlignment="1">
      <alignment horizontal="center" vertical="center" wrapText="1"/>
    </xf>
    <xf numFmtId="2" fontId="2" fillId="0" borderId="19" xfId="0" applyNumberFormat="1" applyFont="1" applyBorder="1" applyAlignment="1">
      <alignment horizontal="center" vertical="center" wrapText="1"/>
    </xf>
    <xf numFmtId="3" fontId="2" fillId="0" borderId="30" xfId="0" applyNumberFormat="1" applyFont="1" applyBorder="1" applyAlignment="1">
      <alignment horizontal="center" vertical="center" wrapText="1"/>
    </xf>
    <xf numFmtId="2" fontId="2" fillId="0" borderId="30" xfId="0" applyNumberFormat="1" applyFont="1" applyBorder="1" applyAlignment="1">
      <alignment horizontal="center" vertical="center" wrapText="1"/>
    </xf>
    <xf numFmtId="2" fontId="2" fillId="0" borderId="14" xfId="0" applyNumberFormat="1" applyFont="1" applyBorder="1" applyAlignment="1">
      <alignment horizontal="center" vertical="center" wrapText="1"/>
    </xf>
    <xf numFmtId="177" fontId="2" fillId="0" borderId="14" xfId="0" applyNumberFormat="1" applyFont="1" applyBorder="1" applyAlignment="1">
      <alignment horizontal="center" vertical="center" wrapText="1"/>
    </xf>
    <xf numFmtId="0" fontId="33" fillId="0" borderId="42" xfId="0" applyFont="1" applyBorder="1" applyAlignment="1">
      <alignment horizontal="center"/>
    </xf>
    <xf numFmtId="0" fontId="30" fillId="0" borderId="42" xfId="0" applyFont="1" applyBorder="1" applyAlignment="1">
      <alignment wrapText="1"/>
    </xf>
    <xf numFmtId="0" fontId="30" fillId="0" borderId="29" xfId="0" applyFont="1" applyBorder="1"/>
    <xf numFmtId="0" fontId="31" fillId="2" borderId="45" xfId="0" applyFont="1" applyFill="1" applyBorder="1" applyAlignment="1">
      <alignment horizontal="center" vertical="center" wrapText="1"/>
    </xf>
    <xf numFmtId="0" fontId="31" fillId="2" borderId="45" xfId="0" applyFont="1" applyFill="1" applyBorder="1" applyAlignment="1">
      <alignment horizontal="center" vertical="center"/>
    </xf>
    <xf numFmtId="0" fontId="33" fillId="0" borderId="42" xfId="0" applyFont="1" applyBorder="1" applyAlignment="1">
      <alignment wrapText="1"/>
    </xf>
    <xf numFmtId="166" fontId="35" fillId="0" borderId="42" xfId="0" applyNumberFormat="1" applyFont="1" applyBorder="1" applyAlignment="1">
      <alignment horizontal="center" vertical="center" wrapText="1"/>
    </xf>
    <xf numFmtId="0" fontId="35" fillId="0" borderId="42" xfId="0" applyFont="1" applyBorder="1" applyAlignment="1">
      <alignment wrapText="1"/>
    </xf>
    <xf numFmtId="0" fontId="35" fillId="0" borderId="42" xfId="0" applyFont="1" applyBorder="1" applyAlignment="1">
      <alignment vertical="center" wrapText="1"/>
    </xf>
    <xf numFmtId="44" fontId="33" fillId="0" borderId="42" xfId="2" applyFont="1" applyBorder="1" applyAlignment="1">
      <alignment wrapText="1"/>
    </xf>
    <xf numFmtId="0" fontId="33" fillId="0" borderId="45" xfId="0" applyFont="1" applyBorder="1" applyAlignment="1">
      <alignment horizontal="center" vertical="center"/>
    </xf>
    <xf numFmtId="4" fontId="33" fillId="0" borderId="45" xfId="0" applyNumberFormat="1" applyFont="1" applyBorder="1" applyAlignment="1">
      <alignment horizontal="center" vertical="center"/>
    </xf>
    <xf numFmtId="0" fontId="30" fillId="0" borderId="45" xfId="0" applyFont="1" applyBorder="1" applyAlignment="1">
      <alignment horizontal="center" vertical="center"/>
    </xf>
    <xf numFmtId="0" fontId="33" fillId="0" borderId="0" xfId="0" applyFont="1" applyAlignment="1">
      <alignment horizontal="center" vertical="center"/>
    </xf>
    <xf numFmtId="10" fontId="53" fillId="0" borderId="24" xfId="0" applyNumberFormat="1" applyFont="1" applyBorder="1"/>
    <xf numFmtId="0" fontId="0" fillId="12" borderId="0" xfId="0" applyFill="1"/>
    <xf numFmtId="0" fontId="11" fillId="12" borderId="0" xfId="0" applyFont="1" applyFill="1"/>
    <xf numFmtId="0" fontId="31" fillId="2" borderId="45" xfId="0" applyFont="1" applyFill="1" applyBorder="1" applyAlignment="1">
      <alignment vertical="center"/>
    </xf>
    <xf numFmtId="0" fontId="36" fillId="3" borderId="45" xfId="0" applyFont="1" applyFill="1" applyBorder="1" applyAlignment="1">
      <alignment horizontal="center" vertical="center" wrapText="1"/>
    </xf>
    <xf numFmtId="0" fontId="2" fillId="0" borderId="45" xfId="0" applyFont="1" applyBorder="1" applyAlignment="1">
      <alignment horizontal="center" vertical="center" wrapText="1"/>
    </xf>
    <xf numFmtId="0" fontId="31" fillId="2" borderId="41" xfId="0" applyFont="1" applyFill="1" applyBorder="1" applyAlignment="1">
      <alignment horizontal="center" vertical="center"/>
    </xf>
    <xf numFmtId="0" fontId="31" fillId="2" borderId="41" xfId="0" applyFont="1" applyFill="1" applyBorder="1" applyAlignment="1">
      <alignment vertical="center"/>
    </xf>
    <xf numFmtId="0" fontId="31" fillId="2" borderId="41" xfId="0" applyFont="1" applyFill="1" applyBorder="1" applyAlignment="1">
      <alignment horizontal="center" vertical="center" wrapText="1"/>
    </xf>
    <xf numFmtId="3" fontId="2" fillId="0" borderId="45" xfId="0" applyNumberFormat="1" applyFont="1" applyBorder="1" applyAlignment="1">
      <alignment horizontal="center" vertical="center" wrapText="1"/>
    </xf>
    <xf numFmtId="2" fontId="2" fillId="0" borderId="45" xfId="0" applyNumberFormat="1" applyFont="1" applyBorder="1" applyAlignment="1">
      <alignment horizontal="center" vertical="center" wrapText="1"/>
    </xf>
    <xf numFmtId="0" fontId="2" fillId="0" borderId="42" xfId="0" applyFont="1" applyBorder="1" applyAlignment="1">
      <alignment horizontal="left" vertical="center" wrapText="1"/>
    </xf>
    <xf numFmtId="0" fontId="2" fillId="0" borderId="42" xfId="0" applyFont="1" applyBorder="1" applyAlignment="1">
      <alignment wrapText="1"/>
    </xf>
    <xf numFmtId="3" fontId="2" fillId="0" borderId="42" xfId="0" applyNumberFormat="1" applyFont="1" applyBorder="1" applyAlignment="1">
      <alignment horizontal="center" vertical="center" wrapText="1"/>
    </xf>
    <xf numFmtId="2" fontId="2" fillId="0" borderId="42" xfId="0" applyNumberFormat="1" applyFont="1" applyBorder="1" applyAlignment="1">
      <alignment horizontal="center" vertical="center" wrapText="1"/>
    </xf>
    <xf numFmtId="0" fontId="2" fillId="0" borderId="0" xfId="0" applyFont="1"/>
    <xf numFmtId="49" fontId="2" fillId="0" borderId="0" xfId="0" applyNumberFormat="1" applyFont="1" applyAlignment="1">
      <alignment vertical="center"/>
    </xf>
    <xf numFmtId="0" fontId="2" fillId="0" borderId="42" xfId="0" applyFont="1" applyBorder="1" applyAlignment="1">
      <alignment horizontal="center" vertical="center" wrapText="1"/>
    </xf>
    <xf numFmtId="166" fontId="2" fillId="0" borderId="42" xfId="0" applyNumberFormat="1" applyFont="1" applyBorder="1" applyAlignment="1">
      <alignment horizontal="center" vertical="center" wrapText="1"/>
    </xf>
    <xf numFmtId="3" fontId="2" fillId="0" borderId="14" xfId="0" applyNumberFormat="1" applyFont="1" applyBorder="1" applyAlignment="1">
      <alignment horizontal="center" vertical="center"/>
    </xf>
    <xf numFmtId="2" fontId="2" fillId="0" borderId="14" xfId="0" applyNumberFormat="1" applyFont="1" applyBorder="1" applyAlignment="1">
      <alignment horizontal="center" vertical="center"/>
    </xf>
    <xf numFmtId="2" fontId="33" fillId="0" borderId="45" xfId="0" applyNumberFormat="1" applyFont="1" applyBorder="1" applyAlignment="1">
      <alignment horizontal="center" wrapText="1"/>
    </xf>
    <xf numFmtId="178" fontId="30" fillId="0" borderId="42" xfId="0" applyNumberFormat="1" applyFont="1" applyBorder="1" applyAlignment="1">
      <alignment wrapText="1"/>
    </xf>
    <xf numFmtId="2" fontId="33" fillId="0" borderId="42" xfId="0" applyNumberFormat="1" applyFont="1" applyBorder="1" applyAlignment="1">
      <alignment horizontal="center" wrapText="1"/>
    </xf>
    <xf numFmtId="178" fontId="2" fillId="0" borderId="43" xfId="0" applyNumberFormat="1" applyFont="1" applyBorder="1" applyAlignment="1">
      <alignment horizontal="center" vertical="center"/>
    </xf>
    <xf numFmtId="169" fontId="2" fillId="0" borderId="45" xfId="0" applyNumberFormat="1" applyFont="1" applyBorder="1" applyAlignment="1">
      <alignment horizontal="center"/>
    </xf>
    <xf numFmtId="0" fontId="2" fillId="0" borderId="45" xfId="0" applyFont="1" applyBorder="1"/>
    <xf numFmtId="0" fontId="33" fillId="0" borderId="45" xfId="0" applyFont="1" applyBorder="1"/>
    <xf numFmtId="169" fontId="2" fillId="0" borderId="42" xfId="0" applyNumberFormat="1" applyFont="1" applyBorder="1" applyAlignment="1">
      <alignment horizontal="center"/>
    </xf>
    <xf numFmtId="0" fontId="2" fillId="0" borderId="42" xfId="0" applyFont="1" applyBorder="1"/>
    <xf numFmtId="44" fontId="30" fillId="0" borderId="45" xfId="2" applyFont="1" applyBorder="1" applyAlignment="1"/>
    <xf numFmtId="44" fontId="30" fillId="0" borderId="45" xfId="2" applyFont="1" applyBorder="1" applyAlignment="1">
      <alignment horizontal="center"/>
    </xf>
    <xf numFmtId="0" fontId="31" fillId="2" borderId="50" xfId="0" applyFont="1" applyFill="1" applyBorder="1" applyAlignment="1">
      <alignment horizontal="center" vertical="center"/>
    </xf>
    <xf numFmtId="0" fontId="31" fillId="2" borderId="52" xfId="0" applyFont="1" applyFill="1" applyBorder="1" applyAlignment="1">
      <alignment horizontal="center" vertical="center"/>
    </xf>
    <xf numFmtId="0" fontId="31" fillId="0" borderId="45" xfId="0" applyFont="1" applyBorder="1" applyAlignment="1">
      <alignment vertical="center"/>
    </xf>
    <xf numFmtId="0" fontId="2" fillId="14" borderId="45" xfId="0" applyFont="1" applyFill="1" applyBorder="1"/>
    <xf numFmtId="178" fontId="2" fillId="0" borderId="42" xfId="0" applyNumberFormat="1" applyFont="1" applyBorder="1" applyAlignment="1">
      <alignment horizontal="center" vertical="center" wrapText="1"/>
    </xf>
    <xf numFmtId="44" fontId="56" fillId="0" borderId="45" xfId="0" applyNumberFormat="1" applyFont="1" applyBorder="1" applyAlignment="1">
      <alignment horizontal="center"/>
    </xf>
    <xf numFmtId="44" fontId="33" fillId="16" borderId="45" xfId="0" applyNumberFormat="1" applyFont="1" applyFill="1" applyBorder="1"/>
    <xf numFmtId="10" fontId="60" fillId="14" borderId="45" xfId="1" applyNumberFormat="1" applyFont="1" applyFill="1" applyBorder="1" applyAlignment="1">
      <alignment horizontal="center"/>
    </xf>
    <xf numFmtId="0" fontId="61" fillId="0" borderId="0" xfId="0" applyFont="1" applyAlignment="1">
      <alignment horizontal="center"/>
    </xf>
    <xf numFmtId="14" fontId="9" fillId="13" borderId="14" xfId="0" applyNumberFormat="1" applyFont="1" applyFill="1" applyBorder="1" applyAlignment="1">
      <alignment horizontal="center" vertical="center"/>
    </xf>
    <xf numFmtId="14" fontId="9" fillId="13" borderId="14" xfId="0" applyNumberFormat="1" applyFont="1" applyFill="1" applyBorder="1" applyAlignment="1">
      <alignment horizontal="center" vertical="center" wrapText="1"/>
    </xf>
    <xf numFmtId="44" fontId="0" fillId="0" borderId="0" xfId="0" applyNumberFormat="1"/>
    <xf numFmtId="0" fontId="33" fillId="0" borderId="42" xfId="0" applyFont="1" applyBorder="1"/>
    <xf numFmtId="44" fontId="0" fillId="0" borderId="42" xfId="4" applyFont="1" applyAlignment="1">
      <alignment horizontal="center" vertical="center"/>
    </xf>
    <xf numFmtId="2" fontId="0" fillId="0" borderId="45" xfId="0" applyNumberFormat="1" applyBorder="1" applyAlignment="1">
      <alignment horizontal="center" vertical="center"/>
    </xf>
    <xf numFmtId="0" fontId="62" fillId="0" borderId="59" xfId="0" applyFont="1" applyBorder="1" applyAlignment="1">
      <alignment horizontal="left" vertical="center"/>
    </xf>
    <xf numFmtId="44" fontId="0" fillId="0" borderId="60" xfId="0" applyNumberFormat="1" applyBorder="1" applyAlignment="1">
      <alignment horizontal="left" vertical="center"/>
    </xf>
    <xf numFmtId="0" fontId="0" fillId="0" borderId="61" xfId="0" applyBorder="1" applyAlignment="1">
      <alignment horizontal="left" vertical="center"/>
    </xf>
    <xf numFmtId="0" fontId="0" fillId="0" borderId="61" xfId="0" applyBorder="1"/>
    <xf numFmtId="44" fontId="63" fillId="0" borderId="62" xfId="2" applyFont="1" applyBorder="1"/>
    <xf numFmtId="44" fontId="64" fillId="0" borderId="62" xfId="0" applyNumberFormat="1" applyFont="1" applyBorder="1"/>
    <xf numFmtId="0" fontId="0" fillId="0" borderId="59" xfId="0" applyBorder="1"/>
    <xf numFmtId="0" fontId="0" fillId="0" borderId="60" xfId="0" applyBorder="1"/>
    <xf numFmtId="175" fontId="9" fillId="0" borderId="19" xfId="0" applyNumberFormat="1" applyFont="1" applyBorder="1"/>
    <xf numFmtId="175" fontId="10" fillId="2" borderId="19" xfId="0" applyNumberFormat="1" applyFont="1" applyFill="1" applyBorder="1"/>
    <xf numFmtId="175" fontId="12" fillId="17" borderId="63" xfId="0" applyNumberFormat="1" applyFont="1" applyFill="1" applyBorder="1"/>
    <xf numFmtId="175" fontId="12" fillId="17" borderId="64" xfId="0" applyNumberFormat="1" applyFont="1" applyFill="1" applyBorder="1"/>
    <xf numFmtId="0" fontId="40" fillId="0" borderId="14" xfId="0" applyFont="1" applyBorder="1" applyAlignment="1">
      <alignment horizontal="center" vertical="center"/>
    </xf>
    <xf numFmtId="10" fontId="66" fillId="0" borderId="24" xfId="0" applyNumberFormat="1" applyFont="1" applyBorder="1"/>
    <xf numFmtId="10" fontId="56" fillId="2" borderId="14" xfId="0" applyNumberFormat="1" applyFont="1" applyFill="1" applyBorder="1" applyAlignment="1">
      <alignment horizontal="center" vertical="center" wrapText="1"/>
    </xf>
    <xf numFmtId="0" fontId="28" fillId="0" borderId="0" xfId="0" applyFont="1" applyAlignment="1">
      <alignment horizontal="center" vertical="center"/>
    </xf>
    <xf numFmtId="10" fontId="0" fillId="0" borderId="42" xfId="0" applyNumberFormat="1" applyBorder="1" applyAlignment="1">
      <alignment wrapText="1"/>
    </xf>
    <xf numFmtId="44" fontId="67" fillId="0" borderId="42" xfId="2" applyFont="1" applyBorder="1" applyAlignment="1">
      <alignment wrapText="1"/>
    </xf>
    <xf numFmtId="10" fontId="0" fillId="0" borderId="0" xfId="0" applyNumberFormat="1"/>
    <xf numFmtId="0" fontId="69" fillId="0" borderId="65" xfId="0" applyFont="1" applyBorder="1" applyAlignment="1">
      <alignment horizontal="center" vertical="center" wrapText="1"/>
    </xf>
    <xf numFmtId="181" fontId="69" fillId="0" borderId="45" xfId="7" applyNumberFormat="1" applyFont="1" applyBorder="1" applyAlignment="1">
      <alignment horizontal="center" vertical="center"/>
    </xf>
    <xf numFmtId="7" fontId="69" fillId="0" borderId="45" xfId="2" applyNumberFormat="1" applyFont="1" applyBorder="1" applyAlignment="1">
      <alignment vertical="center"/>
    </xf>
    <xf numFmtId="9" fontId="69" fillId="0" borderId="45" xfId="8" applyFont="1" applyBorder="1" applyAlignment="1">
      <alignment vertical="center"/>
    </xf>
    <xf numFmtId="0" fontId="69" fillId="0" borderId="73" xfId="0" applyFont="1" applyBorder="1" applyAlignment="1">
      <alignment horizontal="center" vertical="center" wrapText="1"/>
    </xf>
    <xf numFmtId="187" fontId="75" fillId="17" borderId="45" xfId="10" applyNumberFormat="1" applyFont="1" applyFill="1" applyBorder="1" applyAlignment="1">
      <alignment horizontal="center" vertical="center"/>
    </xf>
    <xf numFmtId="0" fontId="71" fillId="0" borderId="45" xfId="6" applyFont="1" applyBorder="1" applyAlignment="1">
      <alignment horizontal="left" vertical="center"/>
    </xf>
    <xf numFmtId="9" fontId="69" fillId="0" borderId="45" xfId="7" applyNumberFormat="1" applyFont="1" applyBorder="1" applyAlignment="1">
      <alignment horizontal="center" vertical="center"/>
    </xf>
    <xf numFmtId="0" fontId="0" fillId="0" borderId="68" xfId="0" applyBorder="1" applyAlignment="1">
      <alignment horizontal="left" wrapText="1"/>
    </xf>
    <xf numFmtId="0" fontId="0" fillId="0" borderId="71" xfId="0" applyBorder="1" applyAlignment="1">
      <alignment wrapText="1"/>
    </xf>
    <xf numFmtId="0" fontId="0" fillId="0" borderId="72" xfId="0" applyBorder="1" applyAlignment="1">
      <alignment wrapText="1"/>
    </xf>
    <xf numFmtId="0" fontId="33" fillId="0" borderId="72" xfId="0" applyFont="1" applyBorder="1" applyAlignment="1">
      <alignment wrapText="1"/>
    </xf>
    <xf numFmtId="0" fontId="0" fillId="0" borderId="76" xfId="0" applyBorder="1" applyAlignment="1">
      <alignment wrapText="1"/>
    </xf>
    <xf numFmtId="187" fontId="75" fillId="17" borderId="72" xfId="10" applyNumberFormat="1" applyFont="1" applyFill="1" applyBorder="1" applyAlignment="1">
      <alignment horizontal="center" vertical="center"/>
    </xf>
    <xf numFmtId="178" fontId="0" fillId="0" borderId="69" xfId="0" applyNumberFormat="1" applyBorder="1" applyAlignment="1">
      <alignment horizontal="center" vertical="center"/>
    </xf>
    <xf numFmtId="0" fontId="76" fillId="0" borderId="80" xfId="9" applyFont="1" applyBorder="1"/>
    <xf numFmtId="0" fontId="76" fillId="0" borderId="81" xfId="9" applyFont="1" applyBorder="1"/>
    <xf numFmtId="0" fontId="76" fillId="0" borderId="81" xfId="9" applyFont="1" applyBorder="1" applyAlignment="1">
      <alignment horizontal="center"/>
    </xf>
    <xf numFmtId="0" fontId="0" fillId="0" borderId="81" xfId="0" applyBorder="1" applyAlignment="1">
      <alignment wrapText="1"/>
    </xf>
    <xf numFmtId="0" fontId="76" fillId="0" borderId="82" xfId="9" applyFont="1" applyBorder="1"/>
    <xf numFmtId="0" fontId="76" fillId="0" borderId="65" xfId="9" applyFont="1" applyBorder="1"/>
    <xf numFmtId="0" fontId="76" fillId="0" borderId="42" xfId="9" applyFont="1"/>
    <xf numFmtId="0" fontId="76" fillId="0" borderId="73" xfId="9" applyFont="1" applyBorder="1"/>
    <xf numFmtId="0" fontId="76" fillId="20" borderId="65" xfId="9" applyFont="1" applyFill="1" applyBorder="1"/>
    <xf numFmtId="0" fontId="35" fillId="0" borderId="65" xfId="0" applyFont="1" applyBorder="1" applyAlignment="1">
      <alignment horizontal="center" vertical="center" wrapText="1"/>
    </xf>
    <xf numFmtId="0" fontId="35" fillId="0" borderId="73" xfId="0" applyFont="1" applyBorder="1" applyAlignment="1">
      <alignment horizontal="center" vertical="center" wrapText="1"/>
    </xf>
    <xf numFmtId="0" fontId="36" fillId="3" borderId="91" xfId="0" applyFont="1" applyFill="1" applyBorder="1" applyAlignment="1">
      <alignment horizontal="center" vertical="center" wrapText="1"/>
    </xf>
    <xf numFmtId="0" fontId="2" fillId="0" borderId="92" xfId="0" applyFont="1" applyBorder="1" applyAlignment="1">
      <alignment horizontal="center" vertical="center" wrapText="1"/>
    </xf>
    <xf numFmtId="0" fontId="35" fillId="0" borderId="92" xfId="0" applyFont="1" applyBorder="1" applyAlignment="1">
      <alignment horizontal="center" vertical="center" wrapText="1"/>
    </xf>
    <xf numFmtId="0" fontId="2" fillId="0" borderId="91" xfId="0" applyFont="1" applyBorder="1" applyAlignment="1">
      <alignment horizontal="center" vertical="center" wrapText="1"/>
    </xf>
    <xf numFmtId="0" fontId="36" fillId="3" borderId="92" xfId="0" applyFont="1" applyFill="1" applyBorder="1" applyAlignment="1">
      <alignment horizontal="center" vertical="center" wrapText="1"/>
    </xf>
    <xf numFmtId="0" fontId="33" fillId="0" borderId="65" xfId="0" applyFont="1" applyBorder="1" applyAlignment="1">
      <alignment wrapText="1"/>
    </xf>
    <xf numFmtId="0" fontId="40" fillId="0" borderId="42" xfId="0" applyFont="1" applyBorder="1" applyAlignment="1">
      <alignment wrapText="1"/>
    </xf>
    <xf numFmtId="0" fontId="33" fillId="0" borderId="73" xfId="0" applyFont="1" applyBorder="1" applyAlignment="1">
      <alignment wrapText="1"/>
    </xf>
    <xf numFmtId="0" fontId="35" fillId="0" borderId="65" xfId="0" applyFont="1" applyBorder="1" applyAlignment="1">
      <alignment horizontal="left" vertical="center" wrapText="1"/>
    </xf>
    <xf numFmtId="0" fontId="35" fillId="0" borderId="42" xfId="0" applyFont="1" applyBorder="1" applyAlignment="1">
      <alignment horizontal="left" vertical="center" wrapText="1"/>
    </xf>
    <xf numFmtId="2" fontId="35" fillId="0" borderId="24" xfId="0" applyNumberFormat="1" applyFont="1" applyBorder="1" applyAlignment="1">
      <alignment horizontal="center" vertical="center" wrapText="1"/>
    </xf>
    <xf numFmtId="2" fontId="2" fillId="0" borderId="24" xfId="0" applyNumberFormat="1" applyFont="1" applyBorder="1" applyAlignment="1">
      <alignment horizontal="center" vertical="center" wrapText="1"/>
    </xf>
    <xf numFmtId="0" fontId="35" fillId="0" borderId="42" xfId="0" applyFont="1" applyBorder="1" applyAlignment="1">
      <alignment horizontal="center" wrapText="1"/>
    </xf>
    <xf numFmtId="0" fontId="35" fillId="0" borderId="91" xfId="0" applyFont="1" applyBorder="1" applyAlignment="1">
      <alignment horizontal="center" vertical="center" wrapText="1"/>
    </xf>
    <xf numFmtId="2" fontId="33" fillId="0" borderId="42" xfId="0" applyNumberFormat="1" applyFont="1" applyBorder="1" applyAlignment="1">
      <alignment wrapText="1"/>
    </xf>
    <xf numFmtId="0" fontId="0" fillId="0" borderId="65" xfId="0" applyBorder="1" applyAlignment="1">
      <alignment wrapText="1"/>
    </xf>
    <xf numFmtId="0" fontId="69" fillId="0" borderId="42" xfId="0" applyFont="1" applyBorder="1" applyAlignment="1">
      <alignment horizontal="center" vertical="center" wrapText="1"/>
    </xf>
    <xf numFmtId="0" fontId="33" fillId="0" borderId="83" xfId="0" applyFont="1" applyBorder="1" applyAlignment="1">
      <alignment wrapText="1"/>
    </xf>
    <xf numFmtId="0" fontId="33" fillId="0" borderId="84" xfId="0" applyFont="1" applyBorder="1" applyAlignment="1">
      <alignment wrapText="1"/>
    </xf>
    <xf numFmtId="0" fontId="0" fillId="0" borderId="84" xfId="0" applyBorder="1" applyAlignment="1">
      <alignment wrapText="1"/>
    </xf>
    <xf numFmtId="0" fontId="33" fillId="0" borderId="85" xfId="0" applyFont="1" applyBorder="1" applyAlignment="1">
      <alignment wrapText="1"/>
    </xf>
    <xf numFmtId="0" fontId="78" fillId="0" borderId="93" xfId="0" applyFont="1" applyBorder="1" applyAlignment="1">
      <alignment horizontal="left" vertical="center"/>
    </xf>
    <xf numFmtId="0" fontId="79" fillId="0" borderId="93" xfId="0" applyFont="1" applyBorder="1" applyAlignment="1">
      <alignment horizontal="left" vertical="center"/>
    </xf>
    <xf numFmtId="0" fontId="76" fillId="0" borderId="67" xfId="9" applyFont="1" applyBorder="1"/>
    <xf numFmtId="0" fontId="76" fillId="0" borderId="68" xfId="9" applyFont="1" applyBorder="1"/>
    <xf numFmtId="0" fontId="5" fillId="0" borderId="38" xfId="0" applyFont="1" applyBorder="1"/>
    <xf numFmtId="2" fontId="9" fillId="0" borderId="19" xfId="0" applyNumberFormat="1" applyFont="1" applyBorder="1" applyAlignment="1">
      <alignment horizontal="center" vertical="center"/>
    </xf>
    <xf numFmtId="0" fontId="5" fillId="0" borderId="36" xfId="0" applyFont="1" applyBorder="1"/>
    <xf numFmtId="168" fontId="9" fillId="0" borderId="21" xfId="0" applyNumberFormat="1" applyFont="1" applyBorder="1" applyAlignment="1">
      <alignment horizontal="center" vertical="center" wrapText="1"/>
    </xf>
    <xf numFmtId="0" fontId="9" fillId="0" borderId="45" xfId="0" applyFont="1" applyBorder="1" applyAlignment="1">
      <alignment horizontal="center" vertical="center"/>
    </xf>
    <xf numFmtId="0" fontId="2" fillId="0" borderId="94" xfId="0" applyFont="1" applyBorder="1" applyAlignment="1">
      <alignment horizontal="left" vertical="center"/>
    </xf>
    <xf numFmtId="0" fontId="9" fillId="0" borderId="95" xfId="0" applyFont="1" applyBorder="1" applyAlignment="1">
      <alignment horizontal="left" vertical="center"/>
    </xf>
    <xf numFmtId="168" fontId="4" fillId="0" borderId="38" xfId="0" applyNumberFormat="1" applyFont="1" applyBorder="1" applyAlignment="1">
      <alignment horizontal="right" vertical="center"/>
    </xf>
    <xf numFmtId="0" fontId="5" fillId="0" borderId="39" xfId="0" applyFont="1" applyBorder="1"/>
    <xf numFmtId="188" fontId="56" fillId="0" borderId="45" xfId="0" applyNumberFormat="1" applyFont="1" applyBorder="1" applyAlignment="1">
      <alignment horizontal="right" vertical="center"/>
    </xf>
    <xf numFmtId="9" fontId="5" fillId="0" borderId="45" xfId="0" applyNumberFormat="1" applyFont="1" applyBorder="1"/>
    <xf numFmtId="189" fontId="5" fillId="0" borderId="45" xfId="1" applyNumberFormat="1" applyFont="1" applyBorder="1"/>
    <xf numFmtId="0" fontId="5" fillId="0" borderId="45" xfId="0" applyFont="1" applyBorder="1" applyAlignment="1">
      <alignment horizontal="center"/>
    </xf>
    <xf numFmtId="1" fontId="9" fillId="0" borderId="21" xfId="0" applyNumberFormat="1" applyFont="1" applyBorder="1" applyAlignment="1">
      <alignment horizontal="center" vertical="center"/>
    </xf>
    <xf numFmtId="1" fontId="9" fillId="0" borderId="42" xfId="0" applyNumberFormat="1" applyFont="1" applyBorder="1" applyAlignment="1">
      <alignment horizontal="center" vertical="center"/>
    </xf>
    <xf numFmtId="168" fontId="9" fillId="0" borderId="42" xfId="0" applyNumberFormat="1" applyFont="1" applyBorder="1" applyAlignment="1">
      <alignment horizontal="right" vertical="center" wrapText="1"/>
    </xf>
    <xf numFmtId="168" fontId="9" fillId="0" borderId="19" xfId="0" applyNumberFormat="1" applyFont="1" applyBorder="1" applyAlignment="1">
      <alignment horizontal="center" vertical="center"/>
    </xf>
    <xf numFmtId="2" fontId="9" fillId="0" borderId="45" xfId="0" applyNumberFormat="1" applyFont="1" applyBorder="1" applyAlignment="1">
      <alignment horizontal="center" vertical="center"/>
    </xf>
    <xf numFmtId="168" fontId="2" fillId="0" borderId="45" xfId="0" applyNumberFormat="1" applyFont="1" applyBorder="1" applyAlignment="1">
      <alignment horizontal="center" vertical="center"/>
    </xf>
    <xf numFmtId="0" fontId="33" fillId="0" borderId="42" xfId="0" applyFont="1" applyBorder="1" applyAlignment="1">
      <alignment horizontal="center"/>
    </xf>
    <xf numFmtId="168" fontId="4" fillId="2" borderId="12" xfId="0" applyNumberFormat="1" applyFont="1" applyFill="1" applyBorder="1" applyAlignment="1">
      <alignment horizontal="center" vertical="center" wrapText="1"/>
    </xf>
    <xf numFmtId="0" fontId="5" fillId="0" borderId="13" xfId="0" applyFont="1" applyBorder="1"/>
    <xf numFmtId="168" fontId="4" fillId="2" borderId="1" xfId="0" applyNumberFormat="1" applyFont="1" applyFill="1" applyBorder="1" applyAlignment="1">
      <alignment horizontal="center" vertical="center" wrapText="1"/>
    </xf>
    <xf numFmtId="0" fontId="5" fillId="0" borderId="2" xfId="0" applyFont="1" applyBorder="1"/>
    <xf numFmtId="0" fontId="5" fillId="0" borderId="3" xfId="0" applyFont="1" applyBorder="1"/>
    <xf numFmtId="0" fontId="5" fillId="0" borderId="8" xfId="0" applyFont="1" applyBorder="1"/>
    <xf numFmtId="0" fontId="5" fillId="0" borderId="9" xfId="0" applyFont="1" applyBorder="1"/>
    <xf numFmtId="0" fontId="5" fillId="0" borderId="10" xfId="0" applyFont="1" applyBorder="1"/>
    <xf numFmtId="168" fontId="9" fillId="0" borderId="4" xfId="0" applyNumberFormat="1" applyFont="1" applyBorder="1" applyAlignment="1">
      <alignment horizontal="center" vertical="center" wrapText="1"/>
    </xf>
    <xf numFmtId="0" fontId="5" fillId="0" borderId="5" xfId="0" applyFont="1" applyBorder="1"/>
    <xf numFmtId="168" fontId="9" fillId="0" borderId="4" xfId="0" applyNumberFormat="1" applyFont="1" applyBorder="1" applyAlignment="1">
      <alignment horizontal="right" vertical="center" wrapText="1"/>
    </xf>
    <xf numFmtId="0" fontId="5" fillId="0" borderId="20" xfId="0" applyFont="1" applyBorder="1"/>
    <xf numFmtId="168" fontId="4" fillId="2" borderId="24" xfId="0" applyNumberFormat="1" applyFont="1" applyFill="1" applyBorder="1" applyAlignment="1">
      <alignment horizontal="right" vertical="center"/>
    </xf>
    <xf numFmtId="168" fontId="2" fillId="0" borderId="4" xfId="0" applyNumberFormat="1" applyFont="1" applyBorder="1" applyAlignment="1">
      <alignment horizontal="right" vertical="center" wrapText="1"/>
    </xf>
    <xf numFmtId="168" fontId="9" fillId="0" borderId="94" xfId="0" applyNumberFormat="1" applyFont="1" applyBorder="1" applyAlignment="1">
      <alignment horizontal="center" vertical="center" wrapText="1"/>
    </xf>
    <xf numFmtId="168" fontId="9" fillId="0" borderId="69" xfId="0" applyNumberFormat="1" applyFont="1" applyBorder="1" applyAlignment="1">
      <alignment horizontal="center" vertical="center" wrapText="1"/>
    </xf>
    <xf numFmtId="168" fontId="2" fillId="0" borderId="21" xfId="0" applyNumberFormat="1" applyFont="1" applyBorder="1" applyAlignment="1">
      <alignment horizontal="right" vertical="center" wrapText="1"/>
    </xf>
    <xf numFmtId="168" fontId="9" fillId="0" borderId="24" xfId="0" applyNumberFormat="1" applyFont="1" applyBorder="1" applyAlignment="1">
      <alignment horizontal="right" vertical="center" wrapText="1"/>
    </xf>
    <xf numFmtId="168" fontId="9" fillId="0" borderId="36" xfId="0" applyNumberFormat="1" applyFont="1" applyBorder="1" applyAlignment="1">
      <alignment horizontal="right" vertical="center" wrapText="1"/>
    </xf>
    <xf numFmtId="0" fontId="2" fillId="0" borderId="45" xfId="0" applyFont="1" applyBorder="1" applyAlignment="1">
      <alignment horizontal="left" vertical="center" wrapText="1"/>
    </xf>
    <xf numFmtId="0" fontId="9" fillId="0" borderId="96" xfId="0" applyFont="1" applyBorder="1" applyAlignment="1">
      <alignment horizontal="center" vertical="center"/>
    </xf>
    <xf numFmtId="0" fontId="5" fillId="0" borderId="38" xfId="0" applyFont="1" applyBorder="1"/>
    <xf numFmtId="0" fontId="35" fillId="0" borderId="23" xfId="0" applyFont="1" applyBorder="1" applyAlignment="1">
      <alignment horizontal="center" vertical="center"/>
    </xf>
    <xf numFmtId="168" fontId="4" fillId="2" borderId="4" xfId="0" applyNumberFormat="1" applyFont="1" applyFill="1" applyBorder="1" applyAlignment="1">
      <alignment horizontal="right" vertical="center"/>
    </xf>
    <xf numFmtId="168" fontId="15" fillId="2" borderId="24" xfId="0" applyNumberFormat="1" applyFont="1" applyFill="1" applyBorder="1" applyAlignment="1">
      <alignment horizontal="right" vertical="center"/>
    </xf>
    <xf numFmtId="0" fontId="82" fillId="0" borderId="20" xfId="0" applyFont="1" applyBorder="1"/>
    <xf numFmtId="0" fontId="82" fillId="0" borderId="5" xfId="0" applyFont="1" applyBorder="1"/>
    <xf numFmtId="168" fontId="9" fillId="0" borderId="37" xfId="0" applyNumberFormat="1" applyFont="1" applyBorder="1" applyAlignment="1">
      <alignment horizontal="center" vertical="center" wrapText="1"/>
    </xf>
    <xf numFmtId="0" fontId="5" fillId="0" borderId="39" xfId="0" applyFont="1" applyBorder="1"/>
    <xf numFmtId="168" fontId="4" fillId="2" borderId="28" xfId="0" applyNumberFormat="1" applyFont="1" applyFill="1" applyBorder="1" applyAlignment="1">
      <alignment horizontal="right" vertical="center"/>
    </xf>
    <xf numFmtId="0" fontId="5" fillId="0" borderId="43" xfId="0" applyFont="1" applyBorder="1"/>
    <xf numFmtId="2" fontId="9" fillId="0" borderId="4" xfId="0" applyNumberFormat="1" applyFont="1" applyBorder="1" applyAlignment="1">
      <alignment horizontal="center" vertical="center" wrapText="1"/>
    </xf>
    <xf numFmtId="168" fontId="2" fillId="0" borderId="21" xfId="12" applyNumberFormat="1" applyFont="1" applyBorder="1" applyAlignment="1">
      <alignment horizontal="center" vertical="center" wrapText="1"/>
    </xf>
    <xf numFmtId="0" fontId="5" fillId="0" borderId="36" xfId="12" applyFont="1" applyBorder="1"/>
    <xf numFmtId="168" fontId="4" fillId="2" borderId="4" xfId="0" applyNumberFormat="1" applyFont="1" applyFill="1" applyBorder="1" applyAlignment="1">
      <alignment horizontal="center" vertical="center"/>
    </xf>
    <xf numFmtId="168" fontId="35" fillId="0" borderId="4" xfId="0" applyNumberFormat="1" applyFont="1" applyBorder="1" applyAlignment="1">
      <alignment horizontal="right" vertical="center" wrapText="1"/>
    </xf>
    <xf numFmtId="0" fontId="12" fillId="0" borderId="45" xfId="0" applyFont="1" applyBorder="1" applyAlignment="1">
      <alignment horizontal="left" vertical="center"/>
    </xf>
    <xf numFmtId="0" fontId="12" fillId="0" borderId="94" xfId="0" applyFont="1" applyBorder="1" applyAlignment="1">
      <alignment horizontal="left" vertical="center"/>
    </xf>
    <xf numFmtId="0" fontId="2" fillId="0" borderId="94" xfId="0" applyFont="1" applyBorder="1" applyAlignment="1">
      <alignment horizontal="left" vertical="center"/>
    </xf>
    <xf numFmtId="0" fontId="9" fillId="0" borderId="95" xfId="0" applyFont="1" applyBorder="1" applyAlignment="1">
      <alignment horizontal="left" vertical="center"/>
    </xf>
    <xf numFmtId="0" fontId="9" fillId="0" borderId="94" xfId="0" applyFont="1" applyBorder="1" applyAlignment="1">
      <alignment horizontal="center" vertical="center"/>
    </xf>
    <xf numFmtId="0" fontId="9" fillId="0" borderId="95" xfId="0" applyFont="1" applyBorder="1" applyAlignment="1">
      <alignment horizontal="center" vertical="center"/>
    </xf>
    <xf numFmtId="44" fontId="5" fillId="0" borderId="45" xfId="2" applyFont="1" applyBorder="1" applyAlignment="1">
      <alignment horizontal="center"/>
    </xf>
    <xf numFmtId="168" fontId="9" fillId="0" borderId="24" xfId="0" applyNumberFormat="1" applyFont="1" applyBorder="1" applyAlignment="1">
      <alignment horizontal="center" vertical="center" wrapText="1"/>
    </xf>
    <xf numFmtId="168" fontId="9" fillId="0" borderId="36" xfId="0" applyNumberFormat="1" applyFont="1" applyBorder="1" applyAlignment="1">
      <alignment horizontal="center" vertical="center" wrapText="1"/>
    </xf>
    <xf numFmtId="168" fontId="12" fillId="0" borderId="24" xfId="0" applyNumberFormat="1" applyFont="1" applyBorder="1" applyAlignment="1">
      <alignment horizontal="center" vertical="center" wrapText="1"/>
    </xf>
    <xf numFmtId="168" fontId="12" fillId="0" borderId="36" xfId="0" applyNumberFormat="1" applyFont="1" applyBorder="1" applyAlignment="1">
      <alignment horizontal="center" vertical="center" wrapText="1"/>
    </xf>
    <xf numFmtId="188" fontId="30" fillId="0" borderId="50" xfId="0" applyNumberFormat="1" applyFont="1" applyBorder="1" applyAlignment="1">
      <alignment horizontal="center" vertical="center"/>
    </xf>
    <xf numFmtId="188" fontId="30" fillId="0" borderId="51" xfId="0" applyNumberFormat="1" applyFont="1" applyBorder="1" applyAlignment="1">
      <alignment horizontal="center" vertical="center"/>
    </xf>
    <xf numFmtId="0" fontId="5" fillId="0" borderId="20" xfId="0" applyFont="1" applyBorder="1" applyAlignment="1">
      <alignment horizontal="right"/>
    </xf>
    <xf numFmtId="0" fontId="5" fillId="0" borderId="5" xfId="0" applyFont="1" applyBorder="1" applyAlignment="1">
      <alignment horizontal="right"/>
    </xf>
    <xf numFmtId="168" fontId="4" fillId="2" borderId="43" xfId="0" applyNumberFormat="1" applyFont="1" applyFill="1" applyBorder="1" applyAlignment="1">
      <alignment horizontal="right" vertical="center"/>
    </xf>
    <xf numFmtId="0" fontId="5" fillId="0" borderId="29" xfId="0" applyFont="1" applyBorder="1"/>
    <xf numFmtId="2" fontId="9" fillId="0" borderId="4" xfId="0" applyNumberFormat="1" applyFont="1" applyBorder="1" applyAlignment="1">
      <alignment horizontal="right" vertical="center" wrapText="1"/>
    </xf>
    <xf numFmtId="168" fontId="12" fillId="0" borderId="4" xfId="0" applyNumberFormat="1" applyFont="1" applyBorder="1" applyAlignment="1">
      <alignment horizontal="center" vertical="center" wrapText="1"/>
    </xf>
    <xf numFmtId="0" fontId="53" fillId="0" borderId="5" xfId="0" applyFont="1" applyBorder="1"/>
    <xf numFmtId="1" fontId="9" fillId="0" borderId="4" xfId="0" applyNumberFormat="1" applyFont="1" applyBorder="1" applyAlignment="1">
      <alignment horizontal="left" vertical="center" wrapText="1"/>
    </xf>
    <xf numFmtId="168" fontId="4" fillId="2" borderId="12" xfId="0" applyNumberFormat="1" applyFont="1" applyFill="1" applyBorder="1" applyAlignment="1">
      <alignment horizontal="center" vertical="center"/>
    </xf>
    <xf numFmtId="1" fontId="2" fillId="0" borderId="4" xfId="0" applyNumberFormat="1" applyFont="1" applyBorder="1" applyAlignment="1">
      <alignment horizontal="left" vertical="center" wrapText="1"/>
    </xf>
    <xf numFmtId="0" fontId="4" fillId="2" borderId="1" xfId="0" applyFont="1" applyFill="1" applyBorder="1" applyAlignment="1">
      <alignment horizontal="center" vertical="center" wrapText="1"/>
    </xf>
    <xf numFmtId="0" fontId="5" fillId="0" borderId="6" xfId="0" applyFont="1" applyBorder="1"/>
    <xf numFmtId="0" fontId="0" fillId="0" borderId="0" xfId="0"/>
    <xf numFmtId="0" fontId="5" fillId="0" borderId="7" xfId="0" applyFont="1" applyBorder="1"/>
    <xf numFmtId="0" fontId="4" fillId="2" borderId="4" xfId="0" applyFont="1" applyFill="1" applyBorder="1" applyAlignment="1">
      <alignment horizontal="center" vertical="center"/>
    </xf>
    <xf numFmtId="164" fontId="6"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0" fontId="42" fillId="8" borderId="37" xfId="0" applyFont="1" applyFill="1" applyBorder="1" applyAlignment="1">
      <alignment horizontal="center" vertical="center"/>
    </xf>
    <xf numFmtId="0" fontId="42" fillId="8" borderId="38" xfId="0" applyFont="1" applyFill="1" applyBorder="1" applyAlignment="1">
      <alignment horizontal="center" vertical="center"/>
    </xf>
    <xf numFmtId="0" fontId="42" fillId="8" borderId="39" xfId="0" applyFont="1" applyFill="1" applyBorder="1" applyAlignment="1">
      <alignment horizontal="center" vertical="center"/>
    </xf>
    <xf numFmtId="0" fontId="42" fillId="8" borderId="28" xfId="0" applyFont="1" applyFill="1" applyBorder="1" applyAlignment="1">
      <alignment horizontal="center" vertical="center"/>
    </xf>
    <xf numFmtId="0" fontId="42" fillId="8" borderId="43" xfId="0" applyFont="1" applyFill="1" applyBorder="1" applyAlignment="1">
      <alignment horizontal="center" vertical="center"/>
    </xf>
    <xf numFmtId="0" fontId="42" fillId="8" borderId="29" xfId="0" applyFont="1" applyFill="1" applyBorder="1" applyAlignment="1">
      <alignment horizontal="center" vertical="center"/>
    </xf>
    <xf numFmtId="0" fontId="4" fillId="2" borderId="4" xfId="0" applyFont="1" applyFill="1" applyBorder="1" applyAlignment="1">
      <alignment horizontal="center" vertical="center" wrapText="1"/>
    </xf>
    <xf numFmtId="44" fontId="8" fillId="6" borderId="21" xfId="2" applyFont="1" applyFill="1" applyBorder="1" applyAlignment="1">
      <alignment horizontal="center" vertical="center" wrapText="1"/>
    </xf>
    <xf numFmtId="44" fontId="8" fillId="6" borderId="36" xfId="2" applyFont="1" applyFill="1" applyBorder="1" applyAlignment="1">
      <alignment horizontal="center" vertical="center" wrapText="1"/>
    </xf>
    <xf numFmtId="1" fontId="4" fillId="2" borderId="25" xfId="0" applyNumberFormat="1" applyFont="1" applyFill="1" applyBorder="1" applyAlignment="1">
      <alignment horizontal="center" vertical="center" wrapText="1"/>
    </xf>
    <xf numFmtId="0" fontId="5" fillId="0" borderId="26" xfId="0" applyFont="1" applyBorder="1"/>
    <xf numFmtId="0" fontId="2" fillId="0" borderId="4" xfId="0" applyFont="1" applyBorder="1" applyAlignment="1">
      <alignment horizontal="left"/>
    </xf>
    <xf numFmtId="0" fontId="30" fillId="0" borderId="20" xfId="0" applyFont="1" applyBorder="1"/>
    <xf numFmtId="0" fontId="30" fillId="0" borderId="5" xfId="0" applyFont="1" applyBorder="1"/>
    <xf numFmtId="0" fontId="35" fillId="0" borderId="4" xfId="0" applyFont="1" applyBorder="1" applyAlignment="1">
      <alignment horizontal="left"/>
    </xf>
    <xf numFmtId="44" fontId="33" fillId="0" borderId="45" xfId="2" applyFont="1" applyBorder="1" applyAlignment="1">
      <alignment horizontal="center"/>
    </xf>
    <xf numFmtId="0" fontId="31" fillId="2" borderId="38" xfId="0" applyFont="1" applyFill="1" applyBorder="1" applyAlignment="1">
      <alignment horizontal="center" vertical="center" wrapText="1"/>
    </xf>
    <xf numFmtId="0" fontId="31" fillId="2" borderId="39" xfId="0" applyFont="1" applyFill="1" applyBorder="1" applyAlignment="1">
      <alignment horizontal="center" vertical="center" wrapText="1"/>
    </xf>
    <xf numFmtId="0" fontId="31" fillId="2" borderId="45" xfId="0" applyFont="1" applyFill="1" applyBorder="1" applyAlignment="1">
      <alignment horizontal="left" vertical="center"/>
    </xf>
    <xf numFmtId="0" fontId="31" fillId="2" borderId="4" xfId="0" applyFont="1" applyFill="1" applyBorder="1" applyAlignment="1">
      <alignment horizontal="center" vertical="center"/>
    </xf>
    <xf numFmtId="1" fontId="35" fillId="0" borderId="4" xfId="0" applyNumberFormat="1" applyFont="1" applyBorder="1" applyAlignment="1">
      <alignment horizontal="center" vertical="center" wrapText="1"/>
    </xf>
    <xf numFmtId="0" fontId="31" fillId="2" borderId="44" xfId="0" applyFont="1" applyFill="1" applyBorder="1" applyAlignment="1">
      <alignment horizontal="center" vertical="center" wrapText="1"/>
    </xf>
    <xf numFmtId="0" fontId="31" fillId="2" borderId="42" xfId="0" applyFont="1" applyFill="1" applyBorder="1" applyAlignment="1">
      <alignment horizontal="center" vertical="center" wrapText="1"/>
    </xf>
    <xf numFmtId="0" fontId="41" fillId="2" borderId="4" xfId="0" applyFont="1" applyFill="1" applyBorder="1" applyAlignment="1">
      <alignment horizontal="right"/>
    </xf>
    <xf numFmtId="0" fontId="35" fillId="0" borderId="1" xfId="0" applyFont="1" applyBorder="1" applyAlignment="1">
      <alignment horizontal="center" vertical="center"/>
    </xf>
    <xf numFmtId="0" fontId="30" fillId="0" borderId="2" xfId="0" applyFont="1" applyBorder="1"/>
    <xf numFmtId="0" fontId="30" fillId="0" borderId="3" xfId="0" applyFont="1" applyBorder="1"/>
    <xf numFmtId="0" fontId="30" fillId="0" borderId="6" xfId="0" applyFont="1" applyBorder="1"/>
    <xf numFmtId="0" fontId="33" fillId="0" borderId="0" xfId="0" applyFont="1"/>
    <xf numFmtId="0" fontId="30" fillId="0" borderId="7" xfId="0" applyFont="1" applyBorder="1"/>
    <xf numFmtId="0" fontId="30" fillId="0" borderId="8" xfId="0" applyFont="1" applyBorder="1"/>
    <xf numFmtId="0" fontId="30" fillId="0" borderId="9" xfId="0" applyFont="1" applyBorder="1"/>
    <xf numFmtId="0" fontId="30" fillId="0" borderId="10" xfId="0" applyFont="1" applyBorder="1"/>
    <xf numFmtId="0" fontId="31" fillId="2" borderId="15" xfId="0" applyFont="1" applyFill="1" applyBorder="1" applyAlignment="1">
      <alignment horizontal="center"/>
    </xf>
    <xf numFmtId="0" fontId="30" fillId="0" borderId="16" xfId="0" applyFont="1" applyBorder="1"/>
    <xf numFmtId="0" fontId="41" fillId="2" borderId="17" xfId="0" applyFont="1" applyFill="1" applyBorder="1" applyAlignment="1">
      <alignment horizontal="right"/>
    </xf>
    <xf numFmtId="0" fontId="30" fillId="0" borderId="18" xfId="0" applyFont="1" applyBorder="1"/>
    <xf numFmtId="0" fontId="31" fillId="2" borderId="1" xfId="0" applyFont="1" applyFill="1" applyBorder="1" applyAlignment="1">
      <alignment horizontal="center" vertical="center" wrapText="1"/>
    </xf>
    <xf numFmtId="164" fontId="32" fillId="0" borderId="1" xfId="0" applyNumberFormat="1" applyFont="1" applyBorder="1" applyAlignment="1">
      <alignment horizontal="center" vertical="center" wrapText="1"/>
    </xf>
    <xf numFmtId="14" fontId="34" fillId="3" borderId="1" xfId="0" applyNumberFormat="1" applyFont="1" applyFill="1" applyBorder="1" applyAlignment="1">
      <alignment horizontal="center" vertical="center" wrapText="1"/>
    </xf>
    <xf numFmtId="14" fontId="30" fillId="0" borderId="3" xfId="0" applyNumberFormat="1" applyFont="1" applyBorder="1"/>
    <xf numFmtId="14" fontId="30" fillId="0" borderId="8" xfId="0" applyNumberFormat="1" applyFont="1" applyBorder="1"/>
    <xf numFmtId="14" fontId="30" fillId="0" borderId="10" xfId="0" applyNumberFormat="1" applyFont="1" applyBorder="1"/>
    <xf numFmtId="0" fontId="41" fillId="2" borderId="4" xfId="0" applyFont="1" applyFill="1" applyBorder="1" applyAlignment="1">
      <alignment horizontal="center"/>
    </xf>
    <xf numFmtId="0" fontId="31" fillId="2" borderId="28" xfId="0" applyFont="1" applyFill="1" applyBorder="1" applyAlignment="1">
      <alignment horizontal="center" vertical="center" wrapText="1"/>
    </xf>
    <xf numFmtId="0" fontId="31" fillId="2" borderId="43" xfId="0" applyFont="1" applyFill="1" applyBorder="1" applyAlignment="1">
      <alignment horizontal="center" vertical="center" wrapText="1"/>
    </xf>
    <xf numFmtId="0" fontId="31" fillId="2" borderId="28" xfId="0" applyFont="1" applyFill="1" applyBorder="1" applyAlignment="1">
      <alignment horizontal="center" vertical="center"/>
    </xf>
    <xf numFmtId="0" fontId="31" fillId="2" borderId="43" xfId="0" applyFont="1" applyFill="1" applyBorder="1" applyAlignment="1">
      <alignment horizontal="center" vertical="center"/>
    </xf>
    <xf numFmtId="0" fontId="31" fillId="2" borderId="21" xfId="0" applyFont="1" applyFill="1" applyBorder="1" applyAlignment="1">
      <alignment horizontal="center" wrapText="1"/>
    </xf>
    <xf numFmtId="0" fontId="45" fillId="0" borderId="24" xfId="0" applyFont="1" applyBorder="1" applyAlignment="1">
      <alignment wrapText="1"/>
    </xf>
    <xf numFmtId="0" fontId="45" fillId="0" borderId="36" xfId="0" applyFont="1" applyBorder="1" applyAlignment="1">
      <alignment wrapText="1"/>
    </xf>
    <xf numFmtId="167" fontId="35" fillId="0" borderId="21" xfId="0" applyNumberFormat="1" applyFont="1" applyBorder="1" applyAlignment="1">
      <alignment horizontal="center" wrapText="1"/>
    </xf>
    <xf numFmtId="0" fontId="31" fillId="2" borderId="21" xfId="0" applyFont="1" applyFill="1" applyBorder="1" applyAlignment="1">
      <alignment horizontal="left" vertical="center" wrapText="1"/>
    </xf>
    <xf numFmtId="0" fontId="31" fillId="2" borderId="24" xfId="0" applyFont="1" applyFill="1" applyBorder="1" applyAlignment="1">
      <alignment horizontal="left" vertical="center" wrapText="1"/>
    </xf>
    <xf numFmtId="0" fontId="31" fillId="2" borderId="36" xfId="0" applyFont="1" applyFill="1" applyBorder="1" applyAlignment="1">
      <alignment horizontal="left" vertical="center" wrapText="1"/>
    </xf>
    <xf numFmtId="164" fontId="36" fillId="5" borderId="4" xfId="0" applyNumberFormat="1" applyFont="1" applyFill="1" applyBorder="1" applyAlignment="1">
      <alignment horizontal="right" wrapText="1"/>
    </xf>
    <xf numFmtId="0" fontId="30" fillId="0" borderId="5" xfId="0" applyFont="1" applyBorder="1" applyAlignment="1">
      <alignment wrapText="1"/>
    </xf>
    <xf numFmtId="0" fontId="35" fillId="0" borderId="42" xfId="0" applyFont="1" applyBorder="1" applyAlignment="1">
      <alignment horizontal="center" vertical="center"/>
    </xf>
    <xf numFmtId="0" fontId="31" fillId="2" borderId="42" xfId="0" applyFont="1" applyFill="1" applyBorder="1" applyAlignment="1">
      <alignment horizontal="center" wrapText="1"/>
    </xf>
    <xf numFmtId="0" fontId="45" fillId="0" borderId="42" xfId="0" applyFont="1" applyBorder="1" applyAlignment="1">
      <alignment wrapText="1"/>
    </xf>
    <xf numFmtId="167" fontId="35" fillId="0" borderId="4" xfId="0" applyNumberFormat="1" applyFont="1" applyBorder="1" applyAlignment="1">
      <alignment horizontal="center" wrapText="1"/>
    </xf>
    <xf numFmtId="167" fontId="35" fillId="0" borderId="36" xfId="0" applyNumberFormat="1" applyFont="1" applyBorder="1" applyAlignment="1">
      <alignment horizontal="center" wrapText="1"/>
    </xf>
    <xf numFmtId="0" fontId="31" fillId="2" borderId="4" xfId="0" applyFont="1" applyFill="1" applyBorder="1" applyAlignment="1">
      <alignment horizontal="left" vertical="center" wrapText="1"/>
    </xf>
    <xf numFmtId="0" fontId="30" fillId="0" borderId="20" xfId="0" applyFont="1" applyBorder="1" applyAlignment="1">
      <alignment wrapText="1"/>
    </xf>
    <xf numFmtId="166" fontId="35" fillId="0" borderId="4" xfId="0" applyNumberFormat="1" applyFont="1" applyBorder="1" applyAlignment="1">
      <alignment horizontal="center" vertical="center" wrapText="1"/>
    </xf>
    <xf numFmtId="0" fontId="31" fillId="2" borderId="4" xfId="0" applyFont="1" applyFill="1" applyBorder="1" applyAlignment="1">
      <alignment horizontal="center" vertical="center" wrapText="1"/>
    </xf>
    <xf numFmtId="187" fontId="75" fillId="17" borderId="75" xfId="10" applyNumberFormat="1" applyFont="1" applyFill="1" applyBorder="1" applyAlignment="1">
      <alignment horizontal="center" vertical="center" wrapText="1"/>
    </xf>
    <xf numFmtId="187" fontId="75" fillId="17" borderId="67" xfId="10" applyNumberFormat="1" applyFont="1" applyFill="1" applyBorder="1" applyAlignment="1">
      <alignment horizontal="center" vertical="center" wrapText="1"/>
    </xf>
    <xf numFmtId="10" fontId="74" fillId="22" borderId="45" xfId="8" applyNumberFormat="1" applyFont="1" applyFill="1" applyBorder="1" applyAlignment="1">
      <alignment horizontal="center" vertical="center"/>
    </xf>
    <xf numFmtId="10" fontId="74" fillId="22" borderId="68" xfId="8" applyNumberFormat="1" applyFont="1" applyFill="1" applyBorder="1" applyAlignment="1">
      <alignment horizontal="center" vertical="center"/>
    </xf>
    <xf numFmtId="10" fontId="74" fillId="22" borderId="72" xfId="8" applyNumberFormat="1" applyFont="1" applyFill="1" applyBorder="1" applyAlignment="1">
      <alignment horizontal="center" vertical="center"/>
    </xf>
    <xf numFmtId="10" fontId="74" fillId="22" borderId="76" xfId="8" applyNumberFormat="1" applyFont="1" applyFill="1" applyBorder="1" applyAlignment="1">
      <alignment horizontal="center" vertical="center"/>
    </xf>
    <xf numFmtId="185" fontId="73" fillId="18" borderId="69" xfId="5" applyNumberFormat="1" applyFont="1" applyFill="1" applyBorder="1" applyAlignment="1">
      <alignment horizontal="center" vertical="center" wrapText="1"/>
    </xf>
    <xf numFmtId="185" fontId="73" fillId="18" borderId="68" xfId="5" applyNumberFormat="1" applyFont="1" applyFill="1" applyBorder="1" applyAlignment="1">
      <alignment horizontal="center" vertical="center" wrapText="1"/>
    </xf>
    <xf numFmtId="0" fontId="2" fillId="0" borderId="21" xfId="0" applyFont="1" applyBorder="1" applyAlignment="1">
      <alignment horizontal="left" vertical="center" wrapText="1"/>
    </xf>
    <xf numFmtId="0" fontId="30" fillId="0" borderId="24" xfId="0" applyFont="1" applyBorder="1" applyAlignment="1">
      <alignment wrapText="1"/>
    </xf>
    <xf numFmtId="0" fontId="30" fillId="0" borderId="36" xfId="0" applyFont="1" applyBorder="1" applyAlignment="1">
      <alignment wrapText="1"/>
    </xf>
    <xf numFmtId="166" fontId="35" fillId="0" borderId="21" xfId="0" applyNumberFormat="1" applyFont="1" applyBorder="1" applyAlignment="1">
      <alignment horizontal="center" vertical="center" wrapText="1"/>
    </xf>
    <xf numFmtId="166" fontId="35" fillId="0" borderId="88" xfId="0" applyNumberFormat="1" applyFont="1" applyBorder="1" applyAlignment="1">
      <alignment horizontal="center" vertical="center" wrapText="1"/>
    </xf>
    <xf numFmtId="0" fontId="36" fillId="3" borderId="45" xfId="0" applyFont="1" applyFill="1" applyBorder="1" applyAlignment="1">
      <alignment horizontal="left" vertical="center" wrapText="1"/>
    </xf>
    <xf numFmtId="0" fontId="30" fillId="0" borderId="45" xfId="0" applyFont="1" applyBorder="1" applyAlignment="1">
      <alignment wrapText="1"/>
    </xf>
    <xf numFmtId="0" fontId="30" fillId="0" borderId="68" xfId="0" applyFont="1" applyBorder="1" applyAlignment="1">
      <alignment wrapText="1"/>
    </xf>
    <xf numFmtId="0" fontId="35" fillId="0" borderId="21" xfId="0" applyFont="1" applyBorder="1" applyAlignment="1">
      <alignment horizontal="left" vertical="center" wrapText="1"/>
    </xf>
    <xf numFmtId="10" fontId="69" fillId="17" borderId="45" xfId="6" applyNumberFormat="1" applyFont="1" applyFill="1" applyBorder="1" applyAlignment="1">
      <alignment horizontal="right" vertical="center"/>
    </xf>
    <xf numFmtId="10" fontId="69" fillId="17" borderId="68" xfId="6" applyNumberFormat="1" applyFont="1" applyFill="1" applyBorder="1" applyAlignment="1">
      <alignment horizontal="right" vertical="center"/>
    </xf>
    <xf numFmtId="175" fontId="70" fillId="17" borderId="69" xfId="7" applyNumberFormat="1" applyFont="1" applyFill="1" applyBorder="1" applyAlignment="1">
      <alignment horizontal="center" vertical="center" wrapText="1"/>
    </xf>
    <xf numFmtId="175" fontId="70" fillId="17" borderId="68" xfId="7" applyNumberFormat="1" applyFont="1" applyFill="1" applyBorder="1" applyAlignment="1">
      <alignment horizontal="center" vertical="center" wrapText="1"/>
    </xf>
    <xf numFmtId="183" fontId="69" fillId="0" borderId="45" xfId="6" applyNumberFormat="1" applyFont="1" applyBorder="1" applyAlignment="1">
      <alignment horizontal="right" vertical="center"/>
    </xf>
    <xf numFmtId="183" fontId="69" fillId="0" borderId="68" xfId="6" applyNumberFormat="1" applyFont="1" applyBorder="1" applyAlignment="1">
      <alignment horizontal="right" vertical="center"/>
    </xf>
    <xf numFmtId="175" fontId="72" fillId="0" borderId="69" xfId="7" applyNumberFormat="1" applyFont="1" applyBorder="1" applyAlignment="1">
      <alignment horizontal="center" vertical="center" wrapText="1"/>
    </xf>
    <xf numFmtId="175" fontId="72" fillId="0" borderId="68" xfId="7" applyNumberFormat="1" applyFont="1" applyBorder="1" applyAlignment="1">
      <alignment horizontal="center" vertical="center" wrapText="1"/>
    </xf>
    <xf numFmtId="0" fontId="73" fillId="0" borderId="45" xfId="6" applyFont="1" applyBorder="1" applyAlignment="1">
      <alignment horizontal="center" vertical="center" wrapText="1"/>
    </xf>
    <xf numFmtId="0" fontId="73" fillId="0" borderId="68" xfId="6" applyFont="1" applyBorder="1" applyAlignment="1">
      <alignment horizontal="center" vertical="center" wrapText="1"/>
    </xf>
    <xf numFmtId="44" fontId="68" fillId="18" borderId="72" xfId="2" applyFont="1" applyFill="1" applyBorder="1" applyAlignment="1">
      <alignment horizontal="right" vertical="center" wrapText="1"/>
    </xf>
    <xf numFmtId="44" fontId="68" fillId="18" borderId="76" xfId="2" applyFont="1" applyFill="1" applyBorder="1" applyAlignment="1">
      <alignment horizontal="right" vertical="center" wrapText="1"/>
    </xf>
    <xf numFmtId="0" fontId="68" fillId="0" borderId="47" xfId="6" applyFont="1" applyBorder="1" applyAlignment="1">
      <alignment horizontal="center" vertical="center" wrapText="1"/>
    </xf>
    <xf numFmtId="0" fontId="68" fillId="0" borderId="74" xfId="6" applyFont="1" applyBorder="1" applyAlignment="1">
      <alignment horizontal="center" vertical="center" wrapText="1"/>
    </xf>
    <xf numFmtId="10" fontId="69" fillId="0" borderId="45" xfId="6" applyNumberFormat="1" applyFont="1" applyBorder="1" applyAlignment="1">
      <alignment horizontal="right" vertical="center"/>
    </xf>
    <xf numFmtId="10" fontId="69" fillId="0" borderId="68" xfId="6" applyNumberFormat="1" applyFont="1" applyBorder="1" applyAlignment="1">
      <alignment horizontal="right" vertical="center"/>
    </xf>
    <xf numFmtId="184" fontId="68" fillId="0" borderId="45" xfId="6" applyNumberFormat="1" applyFont="1" applyBorder="1" applyAlignment="1">
      <alignment horizontal="center" vertical="center"/>
    </xf>
    <xf numFmtId="184" fontId="68" fillId="0" borderId="68" xfId="6" applyNumberFormat="1" applyFont="1" applyBorder="1" applyAlignment="1">
      <alignment horizontal="center" vertical="center"/>
    </xf>
    <xf numFmtId="175" fontId="70" fillId="0" borderId="66" xfId="7" applyNumberFormat="1" applyFont="1" applyBorder="1" applyAlignment="1">
      <alignment horizontal="center" vertical="center" wrapText="1"/>
    </xf>
    <xf numFmtId="175" fontId="70" fillId="0" borderId="67" xfId="7" applyNumberFormat="1" applyFont="1" applyBorder="1" applyAlignment="1">
      <alignment horizontal="center" vertical="center" wrapText="1"/>
    </xf>
    <xf numFmtId="0" fontId="68" fillId="18" borderId="78" xfId="3" applyFont="1" applyFill="1" applyBorder="1" applyAlignment="1">
      <alignment horizontal="right" vertical="center" wrapText="1"/>
    </xf>
    <xf numFmtId="0" fontId="68" fillId="18" borderId="75" xfId="3" applyFont="1" applyFill="1" applyBorder="1" applyAlignment="1">
      <alignment horizontal="right" vertical="center" wrapText="1"/>
    </xf>
    <xf numFmtId="0" fontId="68" fillId="18" borderId="70" xfId="5" applyFont="1" applyFill="1" applyBorder="1" applyAlignment="1">
      <alignment horizontal="right" vertical="center" wrapText="1"/>
    </xf>
    <xf numFmtId="0" fontId="68" fillId="18" borderId="45" xfId="5" applyFont="1" applyFill="1" applyBorder="1" applyAlignment="1">
      <alignment horizontal="right" vertical="center" wrapText="1"/>
    </xf>
    <xf numFmtId="0" fontId="68" fillId="18" borderId="71" xfId="5" applyFont="1" applyFill="1" applyBorder="1" applyAlignment="1">
      <alignment horizontal="right" vertical="center" wrapText="1"/>
    </xf>
    <xf numFmtId="0" fontId="68" fillId="18" borderId="72" xfId="5" applyFont="1" applyFill="1" applyBorder="1" applyAlignment="1">
      <alignment horizontal="right" vertical="center" wrapText="1"/>
    </xf>
    <xf numFmtId="44" fontId="68" fillId="18" borderId="75" xfId="2" applyFont="1" applyFill="1" applyBorder="1" applyAlignment="1">
      <alignment horizontal="right" vertical="center" wrapText="1"/>
    </xf>
    <xf numFmtId="44" fontId="68" fillId="18" borderId="67" xfId="2" applyFont="1" applyFill="1" applyBorder="1" applyAlignment="1">
      <alignment horizontal="right" vertical="center" wrapText="1"/>
    </xf>
    <xf numFmtId="44" fontId="68" fillId="18" borderId="45" xfId="2" applyFont="1" applyFill="1" applyBorder="1" applyAlignment="1">
      <alignment horizontal="right" vertical="center" wrapText="1"/>
    </xf>
    <xf numFmtId="44" fontId="68" fillId="18" borderId="68" xfId="2" applyFont="1" applyFill="1" applyBorder="1" applyAlignment="1">
      <alignment horizontal="right" vertical="center" wrapText="1"/>
    </xf>
    <xf numFmtId="166" fontId="30" fillId="0" borderId="21" xfId="0" applyNumberFormat="1" applyFont="1" applyBorder="1" applyAlignment="1">
      <alignment horizontal="center" vertical="center" wrapText="1"/>
    </xf>
    <xf numFmtId="0" fontId="31" fillId="2" borderId="91" xfId="0" applyFont="1" applyFill="1" applyBorder="1" applyAlignment="1">
      <alignment horizontal="center" vertical="center" wrapText="1"/>
    </xf>
    <xf numFmtId="0" fontId="31" fillId="2" borderId="24" xfId="0" applyFont="1" applyFill="1" applyBorder="1" applyAlignment="1">
      <alignment horizontal="center" vertical="center" wrapText="1"/>
    </xf>
    <xf numFmtId="166" fontId="31" fillId="2" borderId="21" xfId="0" applyNumberFormat="1" applyFont="1" applyFill="1" applyBorder="1" applyAlignment="1">
      <alignment horizontal="center" vertical="center" wrapText="1"/>
    </xf>
    <xf numFmtId="0" fontId="30" fillId="0" borderId="88" xfId="0" applyFont="1" applyBorder="1" applyAlignment="1">
      <alignment wrapText="1"/>
    </xf>
    <xf numFmtId="164" fontId="36" fillId="3" borderId="21" xfId="0" applyNumberFormat="1" applyFont="1" applyFill="1" applyBorder="1" applyAlignment="1">
      <alignment horizontal="center" vertical="center" wrapText="1"/>
    </xf>
    <xf numFmtId="0" fontId="36" fillId="3" borderId="21" xfId="0" applyFont="1" applyFill="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wrapText="1"/>
    </xf>
    <xf numFmtId="0" fontId="2" fillId="0" borderId="39" xfId="0" applyFont="1" applyBorder="1" applyAlignment="1">
      <alignment wrapText="1"/>
    </xf>
    <xf numFmtId="0" fontId="2" fillId="0" borderId="24" xfId="0" applyFont="1" applyBorder="1" applyAlignment="1">
      <alignment wrapText="1"/>
    </xf>
    <xf numFmtId="0" fontId="2" fillId="0" borderId="36" xfId="0" applyFont="1" applyBorder="1" applyAlignment="1">
      <alignment wrapText="1"/>
    </xf>
    <xf numFmtId="166" fontId="35" fillId="0" borderId="37" xfId="0" applyNumberFormat="1" applyFont="1" applyBorder="1" applyAlignment="1">
      <alignment horizontal="center" vertical="center" wrapText="1"/>
    </xf>
    <xf numFmtId="0" fontId="30" fillId="0" borderId="39" xfId="0" applyFont="1" applyBorder="1" applyAlignment="1">
      <alignment wrapText="1"/>
    </xf>
    <xf numFmtId="166" fontId="35" fillId="0" borderId="89" xfId="0" applyNumberFormat="1" applyFont="1" applyBorder="1" applyAlignment="1">
      <alignment horizontal="center" vertical="center" wrapText="1"/>
    </xf>
    <xf numFmtId="166" fontId="35" fillId="0" borderId="28" xfId="0" applyNumberFormat="1" applyFont="1" applyBorder="1" applyAlignment="1">
      <alignment horizontal="center" vertical="center" wrapText="1"/>
    </xf>
    <xf numFmtId="166" fontId="35" fillId="0" borderId="90" xfId="0" applyNumberFormat="1" applyFont="1" applyBorder="1" applyAlignment="1">
      <alignment horizontal="center" vertical="center" wrapText="1"/>
    </xf>
    <xf numFmtId="0" fontId="30" fillId="0" borderId="29" xfId="0" applyFont="1" applyBorder="1" applyAlignment="1">
      <alignment wrapText="1"/>
    </xf>
    <xf numFmtId="0" fontId="35" fillId="0" borderId="28" xfId="0" applyFont="1" applyBorder="1" applyAlignment="1">
      <alignment horizontal="left" vertical="center" wrapText="1"/>
    </xf>
    <xf numFmtId="0" fontId="30" fillId="0" borderId="43" xfId="0" applyFont="1" applyBorder="1" applyAlignment="1">
      <alignment wrapText="1"/>
    </xf>
    <xf numFmtId="0" fontId="35" fillId="0" borderId="37" xfId="0" applyFont="1" applyBorder="1" applyAlignment="1">
      <alignment horizontal="left" vertical="center" wrapText="1"/>
    </xf>
    <xf numFmtId="0" fontId="30" fillId="0" borderId="38" xfId="0" applyFont="1" applyBorder="1" applyAlignment="1">
      <alignment wrapText="1"/>
    </xf>
    <xf numFmtId="0" fontId="80" fillId="23" borderId="80" xfId="0" applyFont="1" applyFill="1" applyBorder="1" applyAlignment="1">
      <alignment horizontal="center" vertical="center" wrapText="1"/>
    </xf>
    <xf numFmtId="0" fontId="80" fillId="23" borderId="81" xfId="0" applyFont="1" applyFill="1" applyBorder="1" applyAlignment="1">
      <alignment horizontal="center" vertical="center" wrapText="1"/>
    </xf>
    <xf numFmtId="0" fontId="81" fillId="24" borderId="81" xfId="0" applyFont="1" applyFill="1" applyBorder="1" applyAlignment="1">
      <alignment wrapText="1"/>
    </xf>
    <xf numFmtId="0" fontId="81" fillId="24" borderId="82" xfId="0" applyFont="1" applyFill="1" applyBorder="1" applyAlignment="1">
      <alignment wrapText="1"/>
    </xf>
    <xf numFmtId="0" fontId="81" fillId="24" borderId="65" xfId="0" applyFont="1" applyFill="1" applyBorder="1" applyAlignment="1">
      <alignment wrapText="1"/>
    </xf>
    <xf numFmtId="0" fontId="81" fillId="24" borderId="42" xfId="0" applyFont="1" applyFill="1" applyBorder="1" applyAlignment="1">
      <alignment wrapText="1"/>
    </xf>
    <xf numFmtId="0" fontId="81" fillId="24" borderId="73" xfId="0" applyFont="1" applyFill="1" applyBorder="1" applyAlignment="1">
      <alignment wrapText="1"/>
    </xf>
    <xf numFmtId="0" fontId="81" fillId="24" borderId="83" xfId="0" applyFont="1" applyFill="1" applyBorder="1" applyAlignment="1">
      <alignment wrapText="1"/>
    </xf>
    <xf numFmtId="0" fontId="81" fillId="24" borderId="84" xfId="0" applyFont="1" applyFill="1" applyBorder="1" applyAlignment="1">
      <alignment wrapText="1"/>
    </xf>
    <xf numFmtId="0" fontId="81" fillId="24" borderId="85" xfId="0" applyFont="1" applyFill="1" applyBorder="1" applyAlignment="1">
      <alignment wrapText="1"/>
    </xf>
    <xf numFmtId="165" fontId="34" fillId="3" borderId="38" xfId="0" applyNumberFormat="1" applyFont="1" applyFill="1" applyBorder="1" applyAlignment="1">
      <alignment horizontal="center" vertical="center" wrapText="1"/>
    </xf>
    <xf numFmtId="0" fontId="30" fillId="0" borderId="89" xfId="0" applyFont="1" applyBorder="1" applyAlignment="1">
      <alignment wrapText="1"/>
    </xf>
    <xf numFmtId="0" fontId="30" fillId="0" borderId="90" xfId="0" applyFont="1" applyBorder="1" applyAlignment="1">
      <alignment wrapText="1"/>
    </xf>
    <xf numFmtId="0" fontId="2" fillId="0" borderId="28" xfId="0" applyFont="1" applyBorder="1" applyAlignment="1">
      <alignment horizontal="left" vertical="center" wrapText="1"/>
    </xf>
    <xf numFmtId="0" fontId="2" fillId="0" borderId="43" xfId="0" applyFont="1" applyBorder="1" applyAlignment="1">
      <alignment wrapText="1"/>
    </xf>
    <xf numFmtId="0" fontId="2" fillId="0" borderId="29" xfId="0" applyFont="1" applyBorder="1" applyAlignment="1">
      <alignment wrapText="1"/>
    </xf>
    <xf numFmtId="0" fontId="3" fillId="0" borderId="21" xfId="0" applyFont="1" applyBorder="1" applyAlignment="1">
      <alignment horizontal="left" vertical="center" wrapText="1"/>
    </xf>
    <xf numFmtId="3" fontId="75" fillId="17" borderId="75" xfId="9" applyNumberFormat="1" applyFont="1" applyFill="1" applyBorder="1" applyAlignment="1">
      <alignment horizontal="center" vertical="center" wrapText="1"/>
    </xf>
    <xf numFmtId="3" fontId="75" fillId="17" borderId="45" xfId="9" applyNumberFormat="1" applyFont="1" applyFill="1" applyBorder="1" applyAlignment="1">
      <alignment horizontal="center" vertical="center" wrapText="1"/>
    </xf>
    <xf numFmtId="0" fontId="75" fillId="17" borderId="45" xfId="9" applyFont="1" applyFill="1" applyBorder="1" applyAlignment="1">
      <alignment horizontal="center" vertical="center" wrapText="1"/>
    </xf>
    <xf numFmtId="0" fontId="69" fillId="0" borderId="70" xfId="6" applyFont="1" applyBorder="1" applyAlignment="1">
      <alignment horizontal="center" vertical="center" wrapText="1"/>
    </xf>
    <xf numFmtId="0" fontId="69" fillId="0" borderId="45" xfId="6" applyFont="1" applyBorder="1" applyAlignment="1">
      <alignment horizontal="center" vertical="center" wrapText="1"/>
    </xf>
    <xf numFmtId="0" fontId="73" fillId="0" borderId="70" xfId="6" applyFont="1" applyBorder="1" applyAlignment="1">
      <alignment horizontal="left" vertical="center" wrapText="1"/>
    </xf>
    <xf numFmtId="0" fontId="73" fillId="0" borderId="45" xfId="6" applyFont="1" applyBorder="1" applyAlignment="1">
      <alignment horizontal="left" vertical="center" wrapText="1"/>
    </xf>
    <xf numFmtId="184" fontId="69" fillId="0" borderId="45" xfId="6" applyNumberFormat="1" applyFont="1" applyBorder="1" applyAlignment="1">
      <alignment horizontal="center" vertical="center"/>
    </xf>
    <xf numFmtId="184" fontId="69" fillId="0" borderId="68" xfId="6" applyNumberFormat="1" applyFont="1" applyBorder="1" applyAlignment="1">
      <alignment horizontal="center" vertical="center"/>
    </xf>
    <xf numFmtId="0" fontId="69" fillId="0" borderId="45" xfId="6" applyFont="1" applyBorder="1" applyAlignment="1">
      <alignment horizontal="left" vertical="center" wrapText="1"/>
    </xf>
    <xf numFmtId="0" fontId="69" fillId="0" borderId="68" xfId="6" applyFont="1" applyBorder="1" applyAlignment="1">
      <alignment horizontal="left" vertical="center" wrapText="1"/>
    </xf>
    <xf numFmtId="10" fontId="69" fillId="0" borderId="45" xfId="6" applyNumberFormat="1" applyFont="1" applyBorder="1" applyAlignment="1">
      <alignment horizontal="center" vertical="center"/>
    </xf>
    <xf numFmtId="10" fontId="69" fillId="0" borderId="68" xfId="6" applyNumberFormat="1" applyFont="1" applyBorder="1" applyAlignment="1">
      <alignment horizontal="center" vertical="center"/>
    </xf>
    <xf numFmtId="0" fontId="71" fillId="0" borderId="45" xfId="6" applyFont="1" applyBorder="1" applyAlignment="1">
      <alignment horizontal="left" vertical="center"/>
    </xf>
    <xf numFmtId="0" fontId="71" fillId="0" borderId="68" xfId="6" applyFont="1" applyBorder="1" applyAlignment="1">
      <alignment horizontal="left" vertical="center"/>
    </xf>
    <xf numFmtId="10" fontId="71" fillId="0" borderId="45" xfId="6" applyNumberFormat="1" applyFont="1" applyBorder="1" applyAlignment="1">
      <alignment horizontal="left" vertical="center"/>
    </xf>
    <xf numFmtId="10" fontId="71" fillId="0" borderId="68" xfId="6" applyNumberFormat="1" applyFont="1" applyBorder="1" applyAlignment="1">
      <alignment horizontal="left" vertical="center"/>
    </xf>
    <xf numFmtId="5" fontId="70" fillId="21" borderId="77" xfId="7" applyNumberFormat="1" applyFont="1" applyFill="1" applyBorder="1" applyAlignment="1">
      <alignment horizontal="center" vertical="center" wrapText="1"/>
    </xf>
    <xf numFmtId="5" fontId="70" fillId="21" borderId="76" xfId="7" applyNumberFormat="1" applyFont="1" applyFill="1" applyBorder="1" applyAlignment="1">
      <alignment horizontal="center" vertical="center" wrapText="1"/>
    </xf>
    <xf numFmtId="175" fontId="68" fillId="0" borderId="69" xfId="7" applyNumberFormat="1" applyFont="1" applyBorder="1" applyAlignment="1">
      <alignment horizontal="center" vertical="center" wrapText="1"/>
    </xf>
    <xf numFmtId="175" fontId="68" fillId="0" borderId="68" xfId="7" applyNumberFormat="1" applyFont="1" applyBorder="1" applyAlignment="1">
      <alignment horizontal="center" vertical="center" wrapText="1"/>
    </xf>
    <xf numFmtId="185" fontId="73" fillId="20" borderId="69" xfId="5" applyNumberFormat="1" applyFont="1" applyFill="1" applyBorder="1" applyAlignment="1">
      <alignment horizontal="center" vertical="center" wrapText="1"/>
    </xf>
    <xf numFmtId="185" fontId="73" fillId="20" borderId="68" xfId="5" applyNumberFormat="1" applyFont="1" applyFill="1" applyBorder="1" applyAlignment="1">
      <alignment horizontal="center" vertical="center" wrapText="1"/>
    </xf>
    <xf numFmtId="175" fontId="71" fillId="0" borderId="69" xfId="7" applyNumberFormat="1" applyFont="1" applyBorder="1" applyAlignment="1">
      <alignment horizontal="center" vertical="center" wrapText="1"/>
    </xf>
    <xf numFmtId="175" fontId="71" fillId="0" borderId="68" xfId="7" applyNumberFormat="1" applyFont="1" applyBorder="1" applyAlignment="1">
      <alignment horizontal="center" vertical="center" wrapText="1"/>
    </xf>
    <xf numFmtId="0" fontId="73" fillId="0" borderId="70" xfId="6" applyFont="1" applyBorder="1" applyAlignment="1">
      <alignment horizontal="left" wrapText="1"/>
    </xf>
    <xf numFmtId="0" fontId="73" fillId="0" borderId="45" xfId="6" applyFont="1" applyBorder="1" applyAlignment="1">
      <alignment horizontal="left" wrapText="1"/>
    </xf>
    <xf numFmtId="0" fontId="73" fillId="0" borderId="68" xfId="6" applyFont="1" applyBorder="1" applyAlignment="1">
      <alignment horizontal="left" wrapText="1"/>
    </xf>
    <xf numFmtId="3" fontId="75" fillId="17" borderId="72" xfId="9" applyNumberFormat="1" applyFont="1" applyFill="1" applyBorder="1" applyAlignment="1">
      <alignment horizontal="center" vertical="center" wrapText="1"/>
    </xf>
    <xf numFmtId="0" fontId="68" fillId="0" borderId="78" xfId="9" applyFont="1" applyBorder="1" applyAlignment="1">
      <alignment horizontal="center" vertical="center" wrapText="1"/>
    </xf>
    <xf numFmtId="0" fontId="68" fillId="0" borderId="75" xfId="9" applyFont="1" applyBorder="1" applyAlignment="1">
      <alignment horizontal="center" vertical="center" wrapText="1"/>
    </xf>
    <xf numFmtId="0" fontId="68" fillId="0" borderId="70" xfId="9" applyFont="1" applyBorder="1" applyAlignment="1">
      <alignment horizontal="center" vertical="center"/>
    </xf>
    <xf numFmtId="0" fontId="68" fillId="0" borderId="45" xfId="9" applyFont="1" applyBorder="1" applyAlignment="1">
      <alignment horizontal="center" vertical="center"/>
    </xf>
    <xf numFmtId="0" fontId="68" fillId="20" borderId="80" xfId="5" applyFont="1" applyFill="1" applyBorder="1" applyAlignment="1">
      <alignment horizontal="center" vertical="center" wrapText="1"/>
    </xf>
    <xf numFmtId="0" fontId="68" fillId="20" borderId="81" xfId="5" applyFont="1" applyFill="1" applyBorder="1" applyAlignment="1">
      <alignment horizontal="center" vertical="center" wrapText="1"/>
    </xf>
    <xf numFmtId="0" fontId="68" fillId="20" borderId="82" xfId="5" applyFont="1" applyFill="1" applyBorder="1" applyAlignment="1">
      <alignment horizontal="center" vertical="center" wrapText="1"/>
    </xf>
    <xf numFmtId="0" fontId="68" fillId="20" borderId="83" xfId="5" applyFont="1" applyFill="1" applyBorder="1" applyAlignment="1">
      <alignment horizontal="center" vertical="center" wrapText="1"/>
    </xf>
    <xf numFmtId="0" fontId="68" fillId="20" borderId="84" xfId="5" applyFont="1" applyFill="1" applyBorder="1" applyAlignment="1">
      <alignment horizontal="center" vertical="center" wrapText="1"/>
    </xf>
    <xf numFmtId="0" fontId="68" fillId="20" borderId="85" xfId="5" applyFont="1" applyFill="1" applyBorder="1" applyAlignment="1">
      <alignment horizontal="center" vertical="center" wrapText="1"/>
    </xf>
    <xf numFmtId="44" fontId="75" fillId="18" borderId="63" xfId="5" applyNumberFormat="1" applyFont="1" applyFill="1" applyBorder="1" applyAlignment="1">
      <alignment horizontal="center" vertical="center" wrapText="1"/>
    </xf>
    <xf numFmtId="0" fontId="75" fillId="18" borderId="64" xfId="5" applyFont="1" applyFill="1" applyBorder="1" applyAlignment="1">
      <alignment horizontal="center" vertical="center" wrapText="1"/>
    </xf>
    <xf numFmtId="0" fontId="74" fillId="17" borderId="70" xfId="0" applyFont="1" applyFill="1" applyBorder="1" applyAlignment="1">
      <alignment horizontal="center" vertical="center" wrapText="1"/>
    </xf>
    <xf numFmtId="0" fontId="74" fillId="17" borderId="45" xfId="0" applyFont="1" applyFill="1" applyBorder="1" applyAlignment="1">
      <alignment horizontal="center" vertical="center" wrapText="1"/>
    </xf>
    <xf numFmtId="0" fontId="74" fillId="17" borderId="71" xfId="0" applyFont="1" applyFill="1" applyBorder="1" applyAlignment="1">
      <alignment horizontal="center" vertical="center" wrapText="1"/>
    </xf>
    <xf numFmtId="0" fontId="74" fillId="17" borderId="72" xfId="0" applyFont="1" applyFill="1" applyBorder="1" applyAlignment="1">
      <alignment horizontal="center" vertical="center" wrapText="1"/>
    </xf>
    <xf numFmtId="0" fontId="68" fillId="0" borderId="79" xfId="6" applyFont="1" applyBorder="1" applyAlignment="1">
      <alignment horizontal="left" vertical="center" wrapText="1"/>
    </xf>
    <xf numFmtId="0" fontId="68" fillId="0" borderId="47" xfId="6" applyFont="1" applyBorder="1" applyAlignment="1">
      <alignment horizontal="left" vertical="center" wrapText="1"/>
    </xf>
    <xf numFmtId="0" fontId="69" fillId="0" borderId="70" xfId="6" applyFont="1" applyBorder="1" applyAlignment="1">
      <alignment horizontal="left" vertical="center" wrapText="1"/>
    </xf>
    <xf numFmtId="0" fontId="74" fillId="17" borderId="78" xfId="9" applyFont="1" applyFill="1" applyBorder="1" applyAlignment="1">
      <alignment horizontal="center" vertical="center" wrapText="1"/>
    </xf>
    <xf numFmtId="0" fontId="74" fillId="17" borderId="75" xfId="9" applyFont="1" applyFill="1" applyBorder="1" applyAlignment="1">
      <alignment horizontal="center" vertical="center" wrapText="1"/>
    </xf>
    <xf numFmtId="0" fontId="74" fillId="17" borderId="70" xfId="9" applyFont="1" applyFill="1" applyBorder="1" applyAlignment="1">
      <alignment horizontal="center" vertical="center" wrapText="1"/>
    </xf>
    <xf numFmtId="0" fontId="74" fillId="17" borderId="45" xfId="9" applyFont="1" applyFill="1" applyBorder="1" applyAlignment="1">
      <alignment horizontal="center" vertical="center" wrapText="1"/>
    </xf>
    <xf numFmtId="10" fontId="74" fillId="22" borderId="45" xfId="8" applyNumberFormat="1" applyFont="1" applyFill="1" applyBorder="1" applyAlignment="1">
      <alignment horizontal="center" vertical="center" wrapText="1"/>
    </xf>
    <xf numFmtId="10" fontId="74" fillId="22" borderId="68" xfId="8" applyNumberFormat="1" applyFont="1" applyFill="1" applyBorder="1" applyAlignment="1">
      <alignment horizontal="center" vertical="center" wrapText="1"/>
    </xf>
    <xf numFmtId="183" fontId="74" fillId="22" borderId="45" xfId="8" applyNumberFormat="1" applyFont="1" applyFill="1" applyBorder="1" applyAlignment="1">
      <alignment horizontal="center" vertical="center"/>
    </xf>
    <xf numFmtId="183" fontId="74" fillId="22" borderId="68" xfId="8" applyNumberFormat="1" applyFont="1" applyFill="1" applyBorder="1" applyAlignment="1">
      <alignment horizontal="center" vertical="center"/>
    </xf>
    <xf numFmtId="175" fontId="70" fillId="19" borderId="69" xfId="7" applyNumberFormat="1" applyFont="1" applyFill="1" applyBorder="1" applyAlignment="1">
      <alignment horizontal="center" vertical="center" wrapText="1"/>
    </xf>
    <xf numFmtId="175" fontId="70" fillId="19" borderId="68" xfId="7" applyNumberFormat="1" applyFont="1" applyFill="1" applyBorder="1" applyAlignment="1">
      <alignment horizontal="center" vertical="center" wrapText="1"/>
    </xf>
    <xf numFmtId="5" fontId="70" fillId="21" borderId="69" xfId="7" applyNumberFormat="1" applyFont="1" applyFill="1" applyBorder="1" applyAlignment="1">
      <alignment horizontal="center" vertical="center" wrapText="1"/>
    </xf>
    <xf numFmtId="5" fontId="70" fillId="21" borderId="68" xfId="7" applyNumberFormat="1" applyFont="1" applyFill="1" applyBorder="1" applyAlignment="1">
      <alignment horizontal="center" vertical="center" wrapText="1"/>
    </xf>
    <xf numFmtId="0" fontId="77" fillId="0" borderId="86" xfId="9" applyFont="1" applyBorder="1" applyAlignment="1">
      <alignment horizontal="center" wrapText="1"/>
    </xf>
    <xf numFmtId="0" fontId="68" fillId="20" borderId="78" xfId="5" applyFont="1" applyFill="1" applyBorder="1" applyAlignment="1">
      <alignment horizontal="center" vertical="center" wrapText="1"/>
    </xf>
    <xf numFmtId="0" fontId="68" fillId="20" borderId="71" xfId="5" applyFont="1" applyFill="1" applyBorder="1" applyAlignment="1">
      <alignment horizontal="center" vertical="center" wrapText="1"/>
    </xf>
    <xf numFmtId="0" fontId="68" fillId="20" borderId="55" xfId="5" applyFont="1" applyFill="1" applyBorder="1" applyAlignment="1">
      <alignment horizontal="center" vertical="center" wrapText="1"/>
    </xf>
    <xf numFmtId="0" fontId="68" fillId="20" borderId="87" xfId="5" applyFont="1" applyFill="1" applyBorder="1" applyAlignment="1">
      <alignment horizontal="center" vertical="center" wrapText="1"/>
    </xf>
    <xf numFmtId="0" fontId="68" fillId="20" borderId="57" xfId="5" applyFont="1" applyFill="1" applyBorder="1" applyAlignment="1">
      <alignment horizontal="center" vertical="center" wrapText="1"/>
    </xf>
    <xf numFmtId="0" fontId="68" fillId="20" borderId="77" xfId="5" applyFont="1" applyFill="1" applyBorder="1" applyAlignment="1">
      <alignment horizontal="center" vertical="center" wrapText="1"/>
    </xf>
    <xf numFmtId="4" fontId="68" fillId="20" borderId="42" xfId="5" applyNumberFormat="1" applyFont="1" applyFill="1" applyAlignment="1">
      <alignment horizontal="center" vertical="center" wrapText="1"/>
    </xf>
    <xf numFmtId="4" fontId="68" fillId="20" borderId="73" xfId="5" applyNumberFormat="1" applyFont="1" applyFill="1" applyBorder="1" applyAlignment="1">
      <alignment horizontal="center" vertical="center" wrapText="1"/>
    </xf>
    <xf numFmtId="4" fontId="68" fillId="20" borderId="65" xfId="5" applyNumberFormat="1" applyFont="1" applyFill="1" applyBorder="1" applyAlignment="1">
      <alignment horizontal="center" vertical="center" wrapText="1"/>
    </xf>
    <xf numFmtId="4" fontId="68" fillId="20" borderId="83" xfId="5" applyNumberFormat="1" applyFont="1" applyFill="1" applyBorder="1" applyAlignment="1">
      <alignment horizontal="center" vertical="center" wrapText="1"/>
    </xf>
    <xf numFmtId="4" fontId="68" fillId="20" borderId="85" xfId="5" applyNumberFormat="1" applyFont="1" applyFill="1" applyBorder="1" applyAlignment="1">
      <alignment horizontal="center" vertical="center" wrapText="1"/>
    </xf>
    <xf numFmtId="0" fontId="68" fillId="0" borderId="78" xfId="11" applyFont="1" applyBorder="1" applyAlignment="1">
      <alignment horizontal="center" vertical="center" wrapText="1"/>
    </xf>
    <xf numFmtId="0" fontId="68" fillId="0" borderId="67" xfId="11" applyFont="1" applyBorder="1" applyAlignment="1">
      <alignment horizontal="center" vertical="center" wrapText="1"/>
    </xf>
    <xf numFmtId="0" fontId="68" fillId="0" borderId="71" xfId="11" applyFont="1" applyBorder="1" applyAlignment="1">
      <alignment horizontal="center" vertical="center" wrapText="1"/>
    </xf>
    <xf numFmtId="0" fontId="68" fillId="0" borderId="76" xfId="11" applyFont="1" applyBorder="1" applyAlignment="1">
      <alignment horizontal="center" vertical="center" wrapText="1"/>
    </xf>
    <xf numFmtId="0" fontId="68" fillId="18" borderId="71" xfId="5" applyFont="1" applyFill="1" applyBorder="1" applyAlignment="1">
      <alignment horizontal="center" vertical="center"/>
    </xf>
    <xf numFmtId="0" fontId="68" fillId="18" borderId="58" xfId="5" applyFont="1" applyFill="1" applyBorder="1" applyAlignment="1">
      <alignment horizontal="center" vertical="center"/>
    </xf>
    <xf numFmtId="0" fontId="68" fillId="18" borderId="72" xfId="5" applyFont="1" applyFill="1" applyBorder="1" applyAlignment="1">
      <alignment horizontal="center" vertical="center"/>
    </xf>
    <xf numFmtId="0" fontId="68" fillId="18" borderId="76" xfId="5" applyFont="1" applyFill="1" applyBorder="1" applyAlignment="1">
      <alignment horizontal="center" vertical="center"/>
    </xf>
    <xf numFmtId="0" fontId="71" fillId="17" borderId="70" xfId="9" applyFont="1" applyFill="1" applyBorder="1" applyAlignment="1">
      <alignment horizontal="center" vertical="center" wrapText="1"/>
    </xf>
    <xf numFmtId="0" fontId="71" fillId="17" borderId="45" xfId="9" applyFont="1" applyFill="1" applyBorder="1" applyAlignment="1">
      <alignment horizontal="center" vertical="center" wrapText="1"/>
    </xf>
    <xf numFmtId="0" fontId="71" fillId="17" borderId="68" xfId="9" applyFont="1" applyFill="1" applyBorder="1" applyAlignment="1">
      <alignment horizontal="center" vertical="center" wrapText="1"/>
    </xf>
    <xf numFmtId="0" fontId="71" fillId="22" borderId="70" xfId="9" applyFont="1" applyFill="1" applyBorder="1" applyAlignment="1">
      <alignment horizontal="center" vertical="center" wrapText="1"/>
    </xf>
    <xf numFmtId="0" fontId="71" fillId="22" borderId="45" xfId="9" applyFont="1" applyFill="1" applyBorder="1" applyAlignment="1">
      <alignment horizontal="center" vertical="center" wrapText="1"/>
    </xf>
    <xf numFmtId="0" fontId="71" fillId="22" borderId="68" xfId="9" applyFont="1" applyFill="1" applyBorder="1" applyAlignment="1">
      <alignment horizontal="center" vertical="center" wrapText="1"/>
    </xf>
    <xf numFmtId="0" fontId="9" fillId="0" borderId="4" xfId="0" applyFont="1" applyBorder="1" applyAlignment="1">
      <alignment horizontal="center"/>
    </xf>
    <xf numFmtId="175" fontId="9" fillId="0" borderId="4" xfId="0" applyNumberFormat="1" applyFont="1" applyBorder="1" applyAlignment="1">
      <alignment horizontal="center" vertical="center"/>
    </xf>
    <xf numFmtId="0" fontId="12" fillId="3" borderId="4" xfId="0" applyFont="1" applyFill="1" applyBorder="1" applyAlignment="1">
      <alignment horizontal="center"/>
    </xf>
    <xf numFmtId="0" fontId="13" fillId="0" borderId="4" xfId="0" applyFont="1" applyBorder="1" applyAlignment="1">
      <alignment horizontal="left"/>
    </xf>
    <xf numFmtId="2" fontId="9" fillId="0" borderId="4" xfId="0" applyNumberFormat="1" applyFont="1" applyBorder="1" applyAlignment="1">
      <alignment horizontal="center" vertical="center"/>
    </xf>
    <xf numFmtId="0" fontId="12" fillId="3" borderId="4" xfId="0" applyFont="1" applyFill="1" applyBorder="1" applyAlignment="1">
      <alignment horizontal="left"/>
    </xf>
    <xf numFmtId="175" fontId="12" fillId="3" borderId="4" xfId="0" applyNumberFormat="1" applyFont="1" applyFill="1" applyBorder="1" applyAlignment="1">
      <alignment horizontal="center"/>
    </xf>
    <xf numFmtId="0" fontId="31" fillId="2" borderId="1" xfId="0" applyFont="1" applyFill="1" applyBorder="1" applyAlignment="1">
      <alignment horizontal="left" vertical="top" wrapText="1"/>
    </xf>
    <xf numFmtId="0" fontId="13" fillId="0" borderId="4" xfId="0" applyFont="1" applyBorder="1" applyAlignment="1">
      <alignment horizontal="left" wrapText="1"/>
    </xf>
    <xf numFmtId="175" fontId="2" fillId="0" borderId="4" xfId="0" applyNumberFormat="1" applyFont="1" applyBorder="1" applyAlignment="1">
      <alignment horizontal="center" vertical="center"/>
    </xf>
    <xf numFmtId="0" fontId="13" fillId="0" borderId="5" xfId="0" applyFont="1" applyBorder="1"/>
    <xf numFmtId="9" fontId="9" fillId="0" borderId="4" xfId="0" applyNumberFormat="1" applyFont="1" applyBorder="1" applyAlignment="1">
      <alignment horizontal="center" vertical="center"/>
    </xf>
    <xf numFmtId="177" fontId="9" fillId="0" borderId="4" xfId="0" applyNumberFormat="1" applyFont="1" applyBorder="1" applyAlignment="1">
      <alignment horizontal="center" vertical="center"/>
    </xf>
    <xf numFmtId="0" fontId="35" fillId="0" borderId="21" xfId="0" applyFont="1" applyBorder="1" applyAlignment="1">
      <alignment horizontal="center"/>
    </xf>
    <xf numFmtId="0" fontId="45" fillId="0" borderId="24" xfId="0" applyFont="1" applyBorder="1"/>
    <xf numFmtId="0" fontId="45" fillId="0" borderId="36" xfId="0" applyFont="1" applyBorder="1"/>
    <xf numFmtId="175" fontId="35" fillId="0" borderId="21" xfId="0" applyNumberFormat="1" applyFont="1" applyBorder="1" applyAlignment="1">
      <alignment horizontal="center" vertical="center"/>
    </xf>
    <xf numFmtId="0" fontId="36" fillId="3" borderId="21" xfId="0" applyFont="1" applyFill="1" applyBorder="1" applyAlignment="1">
      <alignment horizontal="center"/>
    </xf>
    <xf numFmtId="0" fontId="44" fillId="0" borderId="21" xfId="0" applyFont="1" applyBorder="1" applyAlignment="1">
      <alignment horizontal="left"/>
    </xf>
    <xf numFmtId="2" fontId="35" fillId="0" borderId="21" xfId="0" applyNumberFormat="1" applyFont="1" applyBorder="1" applyAlignment="1">
      <alignment horizontal="center" vertical="center"/>
    </xf>
    <xf numFmtId="0" fontId="36" fillId="3" borderId="21" xfId="0" applyFont="1" applyFill="1" applyBorder="1" applyAlignment="1">
      <alignment horizontal="left"/>
    </xf>
    <xf numFmtId="175" fontId="36" fillId="3" borderId="21" xfId="0" applyNumberFormat="1" applyFont="1" applyFill="1" applyBorder="1" applyAlignment="1">
      <alignment horizontal="center"/>
    </xf>
    <xf numFmtId="0" fontId="44" fillId="0" borderId="21" xfId="0" applyFont="1" applyBorder="1" applyAlignment="1">
      <alignment horizontal="left" wrapText="1"/>
    </xf>
    <xf numFmtId="9" fontId="35" fillId="0" borderId="21" xfId="0" applyNumberFormat="1" applyFont="1" applyBorder="1" applyAlignment="1">
      <alignment horizontal="center" vertical="center"/>
    </xf>
    <xf numFmtId="0" fontId="31" fillId="2" borderId="37" xfId="0" applyFont="1" applyFill="1" applyBorder="1" applyAlignment="1">
      <alignment horizontal="left" vertical="top"/>
    </xf>
    <xf numFmtId="0" fontId="45" fillId="0" borderId="38" xfId="0" applyFont="1" applyBorder="1"/>
    <xf numFmtId="0" fontId="45" fillId="0" borderId="39" xfId="0" applyFont="1" applyBorder="1"/>
    <xf numFmtId="0" fontId="45" fillId="0" borderId="28" xfId="0" applyFont="1" applyBorder="1"/>
    <xf numFmtId="0" fontId="45" fillId="0" borderId="43" xfId="0" applyFont="1" applyBorder="1"/>
    <xf numFmtId="0" fontId="45" fillId="0" borderId="29" xfId="0" applyFont="1" applyBorder="1"/>
    <xf numFmtId="178" fontId="35" fillId="0" borderId="21" xfId="0" applyNumberFormat="1" applyFont="1" applyBorder="1" applyAlignment="1">
      <alignment horizontal="center" vertical="center"/>
    </xf>
    <xf numFmtId="0" fontId="31" fillId="2" borderId="37" xfId="0" applyFont="1" applyFill="1" applyBorder="1" applyAlignment="1">
      <alignment horizontal="left" vertical="top" wrapText="1"/>
    </xf>
    <xf numFmtId="0" fontId="45" fillId="0" borderId="38" xfId="0" applyFont="1" applyBorder="1" applyAlignment="1">
      <alignment wrapText="1"/>
    </xf>
    <xf numFmtId="0" fontId="45" fillId="0" borderId="39" xfId="0" applyFont="1" applyBorder="1" applyAlignment="1">
      <alignment wrapText="1"/>
    </xf>
    <xf numFmtId="0" fontId="45" fillId="0" borderId="28" xfId="0" applyFont="1" applyBorder="1" applyAlignment="1">
      <alignment wrapText="1"/>
    </xf>
    <xf numFmtId="0" fontId="45" fillId="0" borderId="43" xfId="0" applyFont="1" applyBorder="1" applyAlignment="1">
      <alignment wrapText="1"/>
    </xf>
    <xf numFmtId="0" fontId="45" fillId="0" borderId="29" xfId="0" applyFont="1" applyBorder="1" applyAlignment="1">
      <alignment wrapText="1"/>
    </xf>
    <xf numFmtId="177" fontId="35" fillId="0" borderId="21" xfId="0" applyNumberFormat="1" applyFont="1" applyBorder="1" applyAlignment="1">
      <alignment horizontal="center" vertical="center"/>
    </xf>
    <xf numFmtId="175" fontId="9" fillId="0" borderId="21" xfId="0" applyNumberFormat="1" applyFont="1" applyBorder="1" applyAlignment="1">
      <alignment horizontal="center" vertical="center"/>
    </xf>
    <xf numFmtId="175" fontId="9" fillId="0" borderId="36" xfId="0" applyNumberFormat="1" applyFont="1" applyBorder="1" applyAlignment="1">
      <alignment horizontal="center" vertical="center"/>
    </xf>
    <xf numFmtId="2" fontId="9" fillId="0" borderId="21" xfId="0" applyNumberFormat="1" applyFont="1" applyBorder="1" applyAlignment="1">
      <alignment horizontal="center" vertical="center"/>
    </xf>
    <xf numFmtId="2" fontId="9" fillId="0" borderId="36" xfId="0" applyNumberFormat="1" applyFont="1" applyBorder="1" applyAlignment="1">
      <alignment horizontal="center" vertical="center"/>
    </xf>
    <xf numFmtId="0" fontId="12" fillId="3" borderId="21" xfId="0" applyFont="1" applyFill="1" applyBorder="1" applyAlignment="1">
      <alignment horizontal="center"/>
    </xf>
    <xf numFmtId="0" fontId="12" fillId="3" borderId="36" xfId="0" applyFont="1" applyFill="1" applyBorder="1" applyAlignment="1">
      <alignment horizontal="center"/>
    </xf>
    <xf numFmtId="175" fontId="12" fillId="3" borderId="21" xfId="0" applyNumberFormat="1" applyFont="1" applyFill="1" applyBorder="1" applyAlignment="1">
      <alignment horizontal="center"/>
    </xf>
    <xf numFmtId="175" fontId="12" fillId="3" borderId="36" xfId="0" applyNumberFormat="1" applyFont="1" applyFill="1" applyBorder="1" applyAlignment="1">
      <alignment horizontal="center"/>
    </xf>
    <xf numFmtId="0" fontId="13" fillId="0" borderId="21" xfId="0" applyFont="1" applyBorder="1" applyAlignment="1">
      <alignment horizontal="left"/>
    </xf>
    <xf numFmtId="0" fontId="13" fillId="0" borderId="24" xfId="0" applyFont="1" applyBorder="1" applyAlignment="1">
      <alignment horizontal="left"/>
    </xf>
    <xf numFmtId="0" fontId="13" fillId="0" borderId="36" xfId="0" applyFont="1" applyBorder="1" applyAlignment="1">
      <alignment horizontal="left"/>
    </xf>
    <xf numFmtId="0" fontId="12" fillId="3" borderId="24" xfId="0" applyFont="1" applyFill="1" applyBorder="1" applyAlignment="1">
      <alignment horizontal="center"/>
    </xf>
    <xf numFmtId="0" fontId="12" fillId="3" borderId="21" xfId="0" applyFont="1" applyFill="1" applyBorder="1" applyAlignment="1">
      <alignment horizontal="left"/>
    </xf>
    <xf numFmtId="0" fontId="12" fillId="3" borderId="24" xfId="0" applyFont="1" applyFill="1" applyBorder="1" applyAlignment="1">
      <alignment horizontal="left"/>
    </xf>
    <xf numFmtId="0" fontId="12" fillId="3" borderId="36" xfId="0" applyFont="1" applyFill="1" applyBorder="1" applyAlignment="1">
      <alignment horizontal="left"/>
    </xf>
    <xf numFmtId="0" fontId="4" fillId="2" borderId="37" xfId="0" applyFont="1" applyFill="1" applyBorder="1" applyAlignment="1">
      <alignment horizontal="left" vertical="top"/>
    </xf>
    <xf numFmtId="0" fontId="4" fillId="2" borderId="38" xfId="0" applyFont="1" applyFill="1" applyBorder="1" applyAlignment="1">
      <alignment horizontal="left" vertical="top"/>
    </xf>
    <xf numFmtId="0" fontId="4" fillId="2" borderId="39" xfId="0" applyFont="1" applyFill="1" applyBorder="1" applyAlignment="1">
      <alignment horizontal="left" vertical="top"/>
    </xf>
    <xf numFmtId="0" fontId="4" fillId="2" borderId="28" xfId="0" applyFont="1" applyFill="1" applyBorder="1" applyAlignment="1">
      <alignment horizontal="left" vertical="top"/>
    </xf>
    <xf numFmtId="0" fontId="4" fillId="2" borderId="43" xfId="0" applyFont="1" applyFill="1" applyBorder="1" applyAlignment="1">
      <alignment horizontal="left" vertical="top"/>
    </xf>
    <xf numFmtId="0" fontId="4" fillId="2" borderId="29" xfId="0" applyFont="1" applyFill="1" applyBorder="1" applyAlignment="1">
      <alignment horizontal="left" vertical="top"/>
    </xf>
    <xf numFmtId="0" fontId="9" fillId="0" borderId="21" xfId="0" applyFont="1" applyBorder="1" applyAlignment="1">
      <alignment horizontal="center"/>
    </xf>
    <xf numFmtId="0" fontId="9" fillId="0" borderId="24" xfId="0" applyFont="1" applyBorder="1" applyAlignment="1">
      <alignment horizontal="center"/>
    </xf>
    <xf numFmtId="0" fontId="9" fillId="0" borderId="36" xfId="0" applyFont="1" applyBorder="1" applyAlignment="1">
      <alignment horizontal="center"/>
    </xf>
    <xf numFmtId="9" fontId="9" fillId="0" borderId="21" xfId="0" applyNumberFormat="1" applyFont="1" applyBorder="1" applyAlignment="1">
      <alignment horizontal="center" vertical="center"/>
    </xf>
    <xf numFmtId="9" fontId="9" fillId="0" borderId="36" xfId="0" applyNumberFormat="1" applyFont="1" applyBorder="1" applyAlignment="1">
      <alignment horizontal="center" vertical="center"/>
    </xf>
    <xf numFmtId="0" fontId="13" fillId="0" borderId="21" xfId="0" applyFont="1" applyBorder="1" applyAlignment="1">
      <alignment horizontal="left" wrapText="1"/>
    </xf>
    <xf numFmtId="0" fontId="13" fillId="0" borderId="24" xfId="0" applyFont="1" applyBorder="1" applyAlignment="1">
      <alignment horizontal="left" wrapText="1"/>
    </xf>
    <xf numFmtId="0" fontId="13" fillId="0" borderId="36" xfId="0" applyFont="1" applyBorder="1" applyAlignment="1">
      <alignment horizontal="left" wrapText="1"/>
    </xf>
    <xf numFmtId="0" fontId="31" fillId="2" borderId="1" xfId="0" applyFont="1" applyFill="1" applyBorder="1" applyAlignment="1">
      <alignment horizontal="lef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31" fillId="2" borderId="1" xfId="0" applyFont="1" applyFill="1" applyBorder="1" applyAlignment="1">
      <alignment horizontal="left" vertical="top"/>
    </xf>
    <xf numFmtId="0" fontId="4" fillId="2" borderId="1" xfId="0" applyFont="1" applyFill="1" applyBorder="1" applyAlignment="1">
      <alignment horizontal="left" vertical="top" wrapText="1"/>
    </xf>
    <xf numFmtId="178" fontId="9" fillId="0" borderId="4" xfId="0" applyNumberFormat="1" applyFont="1" applyBorder="1" applyAlignment="1">
      <alignment horizontal="center" vertical="center"/>
    </xf>
    <xf numFmtId="0" fontId="4" fillId="2" borderId="1" xfId="0" applyFont="1" applyFill="1" applyBorder="1" applyAlignment="1">
      <alignment horizontal="left" vertical="top"/>
    </xf>
    <xf numFmtId="0" fontId="44" fillId="0" borderId="4" xfId="0" applyFont="1" applyBorder="1" applyAlignment="1">
      <alignment horizontal="left" wrapText="1"/>
    </xf>
    <xf numFmtId="0" fontId="44" fillId="0" borderId="4" xfId="0" applyFont="1" applyBorder="1" applyAlignment="1">
      <alignment horizontal="left"/>
    </xf>
    <xf numFmtId="178" fontId="9" fillId="0" borderId="21" xfId="0" applyNumberFormat="1" applyFont="1" applyBorder="1" applyAlignment="1">
      <alignment horizontal="center" vertical="center"/>
    </xf>
    <xf numFmtId="178" fontId="9" fillId="0" borderId="36" xfId="0" applyNumberFormat="1" applyFont="1" applyBorder="1" applyAlignment="1">
      <alignment horizontal="center" vertical="center"/>
    </xf>
    <xf numFmtId="177" fontId="9" fillId="0" borderId="21" xfId="0" applyNumberFormat="1" applyFont="1" applyBorder="1" applyAlignment="1">
      <alignment horizontal="center" vertical="center"/>
    </xf>
    <xf numFmtId="177" fontId="9" fillId="0" borderId="36" xfId="0" applyNumberFormat="1" applyFont="1" applyBorder="1" applyAlignment="1">
      <alignment horizontal="center" vertical="center"/>
    </xf>
    <xf numFmtId="10" fontId="9" fillId="0" borderId="4" xfId="0" applyNumberFormat="1" applyFont="1" applyBorder="1" applyAlignment="1">
      <alignment horizontal="center" vertical="center"/>
    </xf>
    <xf numFmtId="175" fontId="30" fillId="0" borderId="4" xfId="0" applyNumberFormat="1" applyFont="1" applyBorder="1" applyAlignment="1">
      <alignment horizontal="center" vertical="center"/>
    </xf>
    <xf numFmtId="175" fontId="40" fillId="0" borderId="4" xfId="0" applyNumberFormat="1" applyFont="1" applyBorder="1" applyAlignment="1">
      <alignment horizontal="center" vertical="center"/>
    </xf>
    <xf numFmtId="0" fontId="65" fillId="0" borderId="5" xfId="0" applyFont="1" applyBorder="1"/>
    <xf numFmtId="177" fontId="2" fillId="0" borderId="4" xfId="0" applyNumberFormat="1" applyFont="1" applyBorder="1" applyAlignment="1">
      <alignment horizontal="center" vertical="center"/>
    </xf>
    <xf numFmtId="2" fontId="2" fillId="0" borderId="4" xfId="0" applyNumberFormat="1" applyFont="1" applyBorder="1" applyAlignment="1">
      <alignment horizontal="center" vertical="center"/>
    </xf>
    <xf numFmtId="1" fontId="9" fillId="0" borderId="4" xfId="0" applyNumberFormat="1" applyFont="1" applyBorder="1" applyAlignment="1">
      <alignment horizontal="center" vertical="center"/>
    </xf>
    <xf numFmtId="0" fontId="5" fillId="0" borderId="4" xfId="0" applyFont="1" applyBorder="1" applyAlignment="1">
      <alignment horizontal="left"/>
    </xf>
    <xf numFmtId="0" fontId="13" fillId="0" borderId="20" xfId="0" applyFont="1" applyBorder="1"/>
    <xf numFmtId="0" fontId="35" fillId="13" borderId="21" xfId="0" applyFont="1" applyFill="1" applyBorder="1" applyAlignment="1">
      <alignment horizontal="left" vertical="center" wrapText="1"/>
    </xf>
    <xf numFmtId="0" fontId="35" fillId="13" borderId="24" xfId="0" applyFont="1" applyFill="1" applyBorder="1" applyAlignment="1">
      <alignment horizontal="left" vertical="center" wrapText="1"/>
    </xf>
    <xf numFmtId="0" fontId="35" fillId="13" borderId="36" xfId="0" applyFont="1" applyFill="1" applyBorder="1" applyAlignment="1">
      <alignment horizontal="left" vertical="center" wrapText="1"/>
    </xf>
    <xf numFmtId="164" fontId="9" fillId="0" borderId="21" xfId="0" applyNumberFormat="1" applyFont="1" applyBorder="1" applyAlignment="1">
      <alignment horizontal="center" vertical="center" wrapText="1"/>
    </xf>
    <xf numFmtId="164" fontId="9" fillId="0" borderId="36" xfId="0" applyNumberFormat="1" applyFont="1" applyBorder="1" applyAlignment="1">
      <alignment horizontal="center" vertical="center" wrapText="1"/>
    </xf>
    <xf numFmtId="164" fontId="9" fillId="0" borderId="21" xfId="0" applyNumberFormat="1" applyFont="1" applyBorder="1" applyAlignment="1">
      <alignment horizontal="center" vertical="center"/>
    </xf>
    <xf numFmtId="164" fontId="9" fillId="0" borderId="36" xfId="0" applyNumberFormat="1" applyFont="1" applyBorder="1" applyAlignment="1">
      <alignment horizontal="center" vertical="center"/>
    </xf>
    <xf numFmtId="0" fontId="9" fillId="0" borderId="21" xfId="0" applyFont="1" applyBorder="1" applyAlignment="1">
      <alignment horizontal="left" vertical="center" wrapText="1"/>
    </xf>
    <xf numFmtId="0" fontId="9" fillId="0" borderId="24" xfId="0" applyFont="1" applyBorder="1" applyAlignment="1">
      <alignment horizontal="left" vertical="center" wrapText="1"/>
    </xf>
    <xf numFmtId="0" fontId="9" fillId="0" borderId="36" xfId="0" applyFont="1" applyBorder="1" applyAlignment="1">
      <alignment horizontal="left" vertical="center" wrapText="1"/>
    </xf>
    <xf numFmtId="164" fontId="35" fillId="15" borderId="21" xfId="0" applyNumberFormat="1" applyFont="1" applyFill="1" applyBorder="1" applyAlignment="1">
      <alignment horizontal="center" vertical="center"/>
    </xf>
    <xf numFmtId="164" fontId="9" fillId="15" borderId="36" xfId="0" applyNumberFormat="1" applyFont="1" applyFill="1" applyBorder="1" applyAlignment="1">
      <alignment horizontal="center" vertical="center"/>
    </xf>
    <xf numFmtId="0" fontId="9" fillId="17" borderId="21" xfId="0" applyFont="1" applyFill="1" applyBorder="1" applyAlignment="1">
      <alignment horizontal="left" vertical="center" wrapText="1"/>
    </xf>
    <xf numFmtId="0" fontId="9" fillId="17" borderId="24" xfId="0" applyFont="1" applyFill="1" applyBorder="1" applyAlignment="1">
      <alignment horizontal="left" vertical="center" wrapText="1"/>
    </xf>
    <xf numFmtId="0" fontId="9" fillId="17" borderId="36" xfId="0" applyFont="1" applyFill="1" applyBorder="1" applyAlignment="1">
      <alignment horizontal="left" vertical="center" wrapText="1"/>
    </xf>
    <xf numFmtId="164" fontId="35" fillId="0" borderId="21" xfId="0" applyNumberFormat="1" applyFont="1" applyBorder="1" applyAlignment="1">
      <alignment horizontal="center" vertical="center" wrapText="1"/>
    </xf>
    <xf numFmtId="164" fontId="9" fillId="15" borderId="21" xfId="0" applyNumberFormat="1" applyFont="1" applyFill="1" applyBorder="1" applyAlignment="1">
      <alignment horizontal="center" vertical="center"/>
    </xf>
    <xf numFmtId="0" fontId="2" fillId="17" borderId="21" xfId="0" applyFont="1" applyFill="1" applyBorder="1" applyAlignment="1">
      <alignment horizontal="left" vertical="center" wrapText="1"/>
    </xf>
    <xf numFmtId="164" fontId="40" fillId="0" borderId="21" xfId="0" applyNumberFormat="1" applyFont="1" applyBorder="1" applyAlignment="1">
      <alignment horizontal="center" vertical="center" wrapText="1"/>
    </xf>
    <xf numFmtId="164" fontId="40" fillId="0" borderId="36" xfId="0" applyNumberFormat="1" applyFont="1" applyBorder="1" applyAlignment="1">
      <alignment horizontal="center" vertical="center" wrapText="1"/>
    </xf>
    <xf numFmtId="164" fontId="2" fillId="15" borderId="21" xfId="0" applyNumberFormat="1" applyFont="1" applyFill="1" applyBorder="1" applyAlignment="1">
      <alignment horizontal="center" vertical="center"/>
    </xf>
    <xf numFmtId="164" fontId="9" fillId="17" borderId="21" xfId="0" applyNumberFormat="1" applyFont="1" applyFill="1" applyBorder="1" applyAlignment="1">
      <alignment horizontal="center" vertical="center" wrapText="1"/>
    </xf>
    <xf numFmtId="164" fontId="9" fillId="17" borderId="36" xfId="0" applyNumberFormat="1" applyFont="1" applyFill="1" applyBorder="1" applyAlignment="1">
      <alignment horizontal="center" vertical="center" wrapText="1"/>
    </xf>
    <xf numFmtId="0" fontId="9" fillId="17" borderId="21" xfId="0" applyFont="1" applyFill="1" applyBorder="1" applyAlignment="1">
      <alignment horizontal="left" vertical="center"/>
    </xf>
    <xf numFmtId="0" fontId="9" fillId="17" borderId="24" xfId="0" applyFont="1" applyFill="1" applyBorder="1" applyAlignment="1">
      <alignment horizontal="left" vertical="center"/>
    </xf>
    <xf numFmtId="0" fontId="9" fillId="17" borderId="36" xfId="0" applyFont="1" applyFill="1" applyBorder="1" applyAlignment="1">
      <alignment horizontal="left" vertical="center"/>
    </xf>
    <xf numFmtId="164" fontId="9" fillId="12" borderId="21" xfId="0" applyNumberFormat="1" applyFont="1" applyFill="1" applyBorder="1" applyAlignment="1">
      <alignment horizontal="center" vertical="center"/>
    </xf>
    <xf numFmtId="164" fontId="9" fillId="12" borderId="36" xfId="0" applyNumberFormat="1" applyFont="1" applyFill="1" applyBorder="1" applyAlignment="1">
      <alignment horizontal="center" vertical="center"/>
    </xf>
    <xf numFmtId="164" fontId="35" fillId="15" borderId="36" xfId="0" applyNumberFormat="1" applyFont="1" applyFill="1" applyBorder="1" applyAlignment="1">
      <alignment horizontal="center" vertical="center"/>
    </xf>
    <xf numFmtId="0" fontId="9" fillId="0" borderId="21" xfId="0" applyFont="1" applyBorder="1" applyAlignment="1">
      <alignment horizontal="left" vertical="center"/>
    </xf>
    <xf numFmtId="0" fontId="9" fillId="0" borderId="24" xfId="0" applyFont="1" applyBorder="1" applyAlignment="1">
      <alignment horizontal="left" vertical="center"/>
    </xf>
    <xf numFmtId="0" fontId="9" fillId="0" borderId="36" xfId="0" applyFont="1" applyBorder="1" applyAlignment="1">
      <alignment horizontal="left" vertical="center"/>
    </xf>
    <xf numFmtId="0" fontId="9" fillId="13" borderId="21" xfId="0" applyFont="1" applyFill="1" applyBorder="1" applyAlignment="1">
      <alignment horizontal="left" vertical="center"/>
    </xf>
    <xf numFmtId="0" fontId="9" fillId="13" borderId="24" xfId="0" applyFont="1" applyFill="1" applyBorder="1" applyAlignment="1">
      <alignment horizontal="left" vertical="center"/>
    </xf>
    <xf numFmtId="0" fontId="9" fillId="13" borderId="36" xfId="0" applyFont="1" applyFill="1" applyBorder="1" applyAlignment="1">
      <alignment horizontal="left" vertical="center"/>
    </xf>
    <xf numFmtId="164" fontId="9" fillId="0" borderId="4" xfId="0" applyNumberFormat="1" applyFont="1" applyBorder="1" applyAlignment="1">
      <alignment horizontal="center" vertical="center"/>
    </xf>
    <xf numFmtId="165" fontId="7" fillId="3" borderId="1" xfId="0" applyNumberFormat="1"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35" fillId="13" borderId="21" xfId="0" applyFont="1" applyFill="1" applyBorder="1" applyAlignment="1">
      <alignment horizontal="left" vertical="center"/>
    </xf>
    <xf numFmtId="0" fontId="35" fillId="13" borderId="24" xfId="0" applyFont="1" applyFill="1" applyBorder="1" applyAlignment="1">
      <alignment horizontal="left" vertical="center"/>
    </xf>
    <xf numFmtId="0" fontId="35" fillId="13" borderId="36" xfId="0" applyFont="1" applyFill="1" applyBorder="1" applyAlignment="1">
      <alignment horizontal="left" vertical="center"/>
    </xf>
    <xf numFmtId="0" fontId="30" fillId="13" borderId="21" xfId="0" applyFont="1" applyFill="1" applyBorder="1" applyAlignment="1">
      <alignment horizontal="left" vertical="center"/>
    </xf>
    <xf numFmtId="0" fontId="30" fillId="13" borderId="24" xfId="0" applyFont="1" applyFill="1" applyBorder="1" applyAlignment="1">
      <alignment horizontal="left" vertical="center"/>
    </xf>
    <xf numFmtId="0" fontId="30" fillId="13" borderId="36" xfId="0" applyFont="1" applyFill="1" applyBorder="1" applyAlignment="1">
      <alignment horizontal="left" vertical="center"/>
    </xf>
    <xf numFmtId="0" fontId="4" fillId="2" borderId="17" xfId="0" applyFont="1" applyFill="1" applyBorder="1" applyAlignment="1">
      <alignment horizontal="center"/>
    </xf>
    <xf numFmtId="0" fontId="5" fillId="0" borderId="18" xfId="0" applyFont="1" applyBorder="1"/>
    <xf numFmtId="0" fontId="4" fillId="2" borderId="25" xfId="0" applyFont="1" applyFill="1" applyBorder="1" applyAlignment="1">
      <alignment horizontal="center"/>
    </xf>
    <xf numFmtId="0" fontId="31" fillId="2" borderId="25" xfId="0" applyFont="1" applyFill="1" applyBorder="1" applyAlignment="1">
      <alignment horizontal="center"/>
    </xf>
    <xf numFmtId="164" fontId="35" fillId="0" borderId="21" xfId="0" applyNumberFormat="1" applyFont="1" applyBorder="1" applyAlignment="1">
      <alignment horizontal="center" vertical="center"/>
    </xf>
    <xf numFmtId="164" fontId="35" fillId="0" borderId="36" xfId="0" applyNumberFormat="1" applyFont="1" applyBorder="1" applyAlignment="1">
      <alignment horizontal="center" vertical="center"/>
    </xf>
    <xf numFmtId="0" fontId="35" fillId="0" borderId="24" xfId="0" applyFont="1" applyBorder="1" applyAlignment="1">
      <alignment horizontal="left" vertical="center" wrapText="1"/>
    </xf>
    <xf numFmtId="0" fontId="35" fillId="0" borderId="36" xfId="0" applyFont="1" applyBorder="1" applyAlignment="1">
      <alignment horizontal="left" vertical="center" wrapText="1"/>
    </xf>
    <xf numFmtId="168" fontId="9" fillId="0" borderId="4" xfId="0" applyNumberFormat="1" applyFont="1" applyBorder="1" applyAlignment="1">
      <alignment horizontal="center" vertical="center"/>
    </xf>
    <xf numFmtId="4" fontId="9" fillId="0" borderId="4" xfId="0" applyNumberFormat="1" applyFont="1" applyBorder="1" applyAlignment="1">
      <alignment horizontal="left" vertical="top" wrapText="1"/>
    </xf>
    <xf numFmtId="4" fontId="4" fillId="2" borderId="31" xfId="0" applyNumberFormat="1" applyFont="1" applyFill="1" applyBorder="1" applyAlignment="1">
      <alignment horizontal="center" vertical="center" wrapText="1"/>
    </xf>
    <xf numFmtId="0" fontId="5" fillId="0" borderId="32" xfId="0" applyFont="1" applyBorder="1"/>
    <xf numFmtId="4" fontId="4" fillId="2" borderId="4" xfId="0" applyNumberFormat="1" applyFont="1" applyFill="1" applyBorder="1" applyAlignment="1">
      <alignment horizontal="center" vertical="center" wrapText="1"/>
    </xf>
    <xf numFmtId="4" fontId="9" fillId="0" borderId="4" xfId="0" applyNumberFormat="1" applyFont="1" applyBorder="1" applyAlignment="1">
      <alignment vertical="center" wrapText="1"/>
    </xf>
    <xf numFmtId="4" fontId="4" fillId="2" borderId="28" xfId="0" applyNumberFormat="1" applyFont="1" applyFill="1" applyBorder="1" applyAlignment="1">
      <alignment horizontal="center" vertical="center" wrapText="1"/>
    </xf>
    <xf numFmtId="4" fontId="35" fillId="0" borderId="4" xfId="0" applyNumberFormat="1" applyFont="1" applyBorder="1" applyAlignment="1">
      <alignment horizontal="left" vertical="top" wrapText="1"/>
    </xf>
    <xf numFmtId="2" fontId="6" fillId="0" borderId="12" xfId="0" applyNumberFormat="1" applyFont="1" applyBorder="1" applyAlignment="1">
      <alignment horizontal="center" vertical="center" wrapText="1"/>
    </xf>
    <xf numFmtId="0" fontId="4" fillId="2" borderId="4" xfId="0" applyFont="1" applyFill="1" applyBorder="1" applyAlignment="1">
      <alignment horizontal="center"/>
    </xf>
    <xf numFmtId="0" fontId="36" fillId="8" borderId="37" xfId="0" applyFont="1" applyFill="1" applyBorder="1" applyAlignment="1">
      <alignment horizontal="center" vertical="center"/>
    </xf>
    <xf numFmtId="0" fontId="36" fillId="8" borderId="38" xfId="0" applyFont="1" applyFill="1" applyBorder="1" applyAlignment="1">
      <alignment horizontal="center" vertical="center"/>
    </xf>
    <xf numFmtId="0" fontId="36" fillId="8" borderId="39" xfId="0" applyFont="1" applyFill="1" applyBorder="1" applyAlignment="1">
      <alignment horizontal="center" vertical="center"/>
    </xf>
    <xf numFmtId="0" fontId="36" fillId="8" borderId="28" xfId="0" applyFont="1" applyFill="1" applyBorder="1" applyAlignment="1">
      <alignment horizontal="center" vertical="center"/>
    </xf>
    <xf numFmtId="0" fontId="36" fillId="8" borderId="43" xfId="0" applyFont="1" applyFill="1" applyBorder="1" applyAlignment="1">
      <alignment horizontal="center" vertical="center"/>
    </xf>
    <xf numFmtId="0" fontId="36" fillId="8" borderId="29" xfId="0" applyFont="1" applyFill="1" applyBorder="1" applyAlignment="1">
      <alignment horizontal="center" vertical="center"/>
    </xf>
    <xf numFmtId="0" fontId="15" fillId="2" borderId="1" xfId="0" applyFont="1" applyFill="1" applyBorder="1" applyAlignment="1">
      <alignment horizontal="center" vertical="center" wrapText="1"/>
    </xf>
    <xf numFmtId="171" fontId="9" fillId="0" borderId="4" xfId="0" applyNumberFormat="1" applyFont="1" applyBorder="1" applyAlignment="1">
      <alignment horizontal="center" wrapText="1"/>
    </xf>
    <xf numFmtId="4" fontId="9" fillId="0" borderId="4" xfId="0" applyNumberFormat="1" applyFont="1" applyBorder="1" applyAlignment="1">
      <alignment horizontal="left" vertical="center" wrapText="1"/>
    </xf>
    <xf numFmtId="10" fontId="12" fillId="0" borderId="4" xfId="0" applyNumberFormat="1" applyFont="1" applyBorder="1" applyAlignment="1">
      <alignment horizontal="center"/>
    </xf>
    <xf numFmtId="173" fontId="9" fillId="6" borderId="4" xfId="0" applyNumberFormat="1" applyFont="1" applyFill="1" applyBorder="1" applyAlignment="1">
      <alignment horizontal="right" vertical="center" wrapText="1"/>
    </xf>
    <xf numFmtId="0" fontId="9" fillId="6" borderId="1" xfId="0" applyFont="1" applyFill="1" applyBorder="1" applyAlignment="1">
      <alignment horizontal="center" vertical="center" wrapText="1"/>
    </xf>
    <xf numFmtId="0" fontId="4" fillId="2" borderId="4" xfId="0" applyFont="1" applyFill="1" applyBorder="1" applyAlignment="1">
      <alignment horizontal="right" vertical="center" wrapText="1"/>
    </xf>
    <xf numFmtId="0" fontId="4" fillId="2" borderId="11" xfId="0" applyFont="1" applyFill="1" applyBorder="1" applyAlignment="1">
      <alignment horizontal="center" vertical="center" wrapText="1"/>
    </xf>
    <xf numFmtId="0" fontId="5" fillId="0" borderId="35" xfId="0" applyFont="1" applyBorder="1"/>
    <xf numFmtId="168" fontId="4" fillId="2" borderId="17"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172" fontId="12" fillId="6" borderId="4" xfId="0" applyNumberFormat="1" applyFont="1" applyFill="1" applyBorder="1" applyAlignment="1">
      <alignment horizontal="center" vertical="center" wrapText="1"/>
    </xf>
    <xf numFmtId="0" fontId="9" fillId="6" borderId="4"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5" fillId="0" borderId="34" xfId="0" applyFont="1" applyBorder="1"/>
    <xf numFmtId="0" fontId="4" fillId="2" borderId="25" xfId="0" applyFont="1" applyFill="1" applyBorder="1" applyAlignment="1">
      <alignment horizontal="center" vertical="center" wrapText="1"/>
    </xf>
    <xf numFmtId="0" fontId="31" fillId="2" borderId="37" xfId="0" applyFont="1" applyFill="1" applyBorder="1" applyAlignment="1">
      <alignment horizontal="center" vertical="center" wrapText="1"/>
    </xf>
    <xf numFmtId="0" fontId="31" fillId="2" borderId="21" xfId="0" applyFont="1" applyFill="1" applyBorder="1" applyAlignment="1">
      <alignment horizontal="center" vertical="center"/>
    </xf>
    <xf numFmtId="14" fontId="33" fillId="3" borderId="37" xfId="0" applyNumberFormat="1" applyFont="1" applyFill="1" applyBorder="1" applyAlignment="1">
      <alignment horizontal="center" vertical="center" wrapText="1"/>
    </xf>
    <xf numFmtId="168" fontId="31" fillId="2" borderId="21" xfId="0" applyNumberFormat="1" applyFont="1" applyFill="1" applyBorder="1" applyAlignment="1">
      <alignment vertical="center"/>
    </xf>
    <xf numFmtId="168" fontId="31" fillId="2" borderId="21" xfId="0" applyNumberFormat="1" applyFont="1" applyFill="1" applyBorder="1" applyAlignment="1">
      <alignment horizontal="right" vertical="center"/>
    </xf>
    <xf numFmtId="168" fontId="35" fillId="0" borderId="21" xfId="0" applyNumberFormat="1" applyFont="1" applyBorder="1" applyAlignment="1">
      <alignment horizontal="right" vertical="center" wrapText="1"/>
    </xf>
    <xf numFmtId="168" fontId="35" fillId="0" borderId="21" xfId="0" applyNumberFormat="1" applyFont="1" applyBorder="1" applyAlignment="1">
      <alignment horizontal="center" vertical="center" wrapText="1"/>
    </xf>
    <xf numFmtId="168" fontId="31" fillId="2" borderId="21" xfId="0" applyNumberFormat="1" applyFont="1" applyFill="1" applyBorder="1" applyAlignment="1">
      <alignment horizontal="center" vertical="center"/>
    </xf>
    <xf numFmtId="168" fontId="31" fillId="2" borderId="19" xfId="0" applyNumberFormat="1" applyFont="1" applyFill="1" applyBorder="1" applyAlignment="1">
      <alignment horizontal="center" vertical="center" wrapText="1"/>
    </xf>
    <xf numFmtId="0" fontId="45" fillId="0" borderId="30" xfId="0" applyFont="1" applyBorder="1"/>
    <xf numFmtId="168" fontId="31" fillId="2" borderId="37" xfId="0" applyNumberFormat="1" applyFont="1" applyFill="1" applyBorder="1" applyAlignment="1">
      <alignment horizontal="center" vertical="center" wrapText="1"/>
    </xf>
    <xf numFmtId="168" fontId="36" fillId="0" borderId="37" xfId="0" applyNumberFormat="1" applyFont="1" applyBorder="1" applyAlignment="1">
      <alignment horizontal="center" vertical="center"/>
    </xf>
    <xf numFmtId="0" fontId="36" fillId="0" borderId="39" xfId="0" applyFont="1" applyBorder="1" applyAlignment="1">
      <alignment horizontal="center" vertical="center"/>
    </xf>
    <xf numFmtId="0" fontId="36" fillId="0" borderId="44" xfId="0" applyFont="1" applyBorder="1" applyAlignment="1">
      <alignment horizontal="center" vertical="center"/>
    </xf>
    <xf numFmtId="0" fontId="36" fillId="0" borderId="34" xfId="0" applyFont="1" applyBorder="1" applyAlignment="1">
      <alignment horizontal="center" vertical="center"/>
    </xf>
    <xf numFmtId="0" fontId="36" fillId="0" borderId="28" xfId="0" applyFont="1" applyBorder="1" applyAlignment="1">
      <alignment horizontal="center" vertical="center"/>
    </xf>
    <xf numFmtId="0" fontId="36" fillId="0" borderId="29" xfId="0" applyFont="1" applyBorder="1" applyAlignment="1">
      <alignment horizontal="center" vertical="center"/>
    </xf>
    <xf numFmtId="168" fontId="35" fillId="0" borderId="36" xfId="0" applyNumberFormat="1" applyFont="1" applyBorder="1" applyAlignment="1">
      <alignment horizontal="center" vertical="center" wrapText="1"/>
    </xf>
    <xf numFmtId="2" fontId="35" fillId="0" borderId="21" xfId="0" applyNumberFormat="1" applyFont="1" applyBorder="1" applyAlignment="1">
      <alignment horizontal="center" vertical="center" wrapText="1"/>
    </xf>
    <xf numFmtId="168" fontId="36" fillId="0" borderId="21" xfId="0" applyNumberFormat="1" applyFont="1" applyBorder="1" applyAlignment="1">
      <alignment horizontal="center" vertical="center" wrapText="1"/>
    </xf>
    <xf numFmtId="2" fontId="35" fillId="0" borderId="21" xfId="0" applyNumberFormat="1" applyFont="1" applyBorder="1" applyAlignment="1">
      <alignment horizontal="right" vertical="center" wrapText="1"/>
    </xf>
    <xf numFmtId="1" fontId="35" fillId="0" borderId="21" xfId="0" applyNumberFormat="1" applyFont="1" applyBorder="1" applyAlignment="1">
      <alignment horizontal="left" vertical="center" wrapText="1"/>
    </xf>
    <xf numFmtId="0" fontId="42" fillId="11" borderId="37" xfId="0" applyFont="1" applyFill="1" applyBorder="1" applyAlignment="1">
      <alignment horizontal="center" vertical="center"/>
    </xf>
    <xf numFmtId="1" fontId="31" fillId="2" borderId="44" xfId="0" applyNumberFormat="1" applyFont="1" applyFill="1" applyBorder="1" applyAlignment="1">
      <alignment horizontal="center" vertical="center" wrapText="1"/>
    </xf>
    <xf numFmtId="0" fontId="45" fillId="0" borderId="42" xfId="0" applyFont="1" applyBorder="1"/>
    <xf numFmtId="168" fontId="31" fillId="2" borderId="19" xfId="0" applyNumberFormat="1" applyFont="1" applyFill="1" applyBorder="1" applyAlignment="1">
      <alignment horizontal="center" vertical="center"/>
    </xf>
    <xf numFmtId="168" fontId="31" fillId="2" borderId="24" xfId="0" applyNumberFormat="1" applyFont="1" applyFill="1" applyBorder="1" applyAlignment="1">
      <alignment horizontal="center" vertical="center"/>
    </xf>
    <xf numFmtId="168" fontId="35" fillId="0" borderId="21" xfId="0" applyNumberFormat="1" applyFont="1" applyBorder="1" applyAlignment="1">
      <alignment horizontal="center" vertical="center"/>
    </xf>
    <xf numFmtId="166" fontId="35" fillId="0" borderId="21" xfId="3" applyNumberFormat="1" applyFont="1" applyBorder="1" applyAlignment="1">
      <alignment vertical="center" wrapText="1"/>
    </xf>
    <xf numFmtId="166" fontId="35" fillId="0" borderId="36" xfId="3" applyNumberFormat="1" applyFont="1" applyBorder="1" applyAlignment="1">
      <alignment vertical="center" wrapText="1"/>
    </xf>
    <xf numFmtId="49" fontId="35" fillId="0" borderId="21" xfId="0" applyNumberFormat="1" applyFont="1" applyBorder="1" applyAlignment="1">
      <alignment horizontal="right" vertical="center" wrapText="1"/>
    </xf>
    <xf numFmtId="49" fontId="45" fillId="0" borderId="24" xfId="0" applyNumberFormat="1" applyFont="1" applyBorder="1"/>
    <xf numFmtId="49" fontId="45" fillId="0" borderId="36" xfId="0" applyNumberFormat="1" applyFont="1" applyBorder="1"/>
    <xf numFmtId="49" fontId="45" fillId="0" borderId="24" xfId="0" applyNumberFormat="1" applyFont="1" applyBorder="1" applyAlignment="1">
      <alignment wrapText="1"/>
    </xf>
    <xf numFmtId="49" fontId="45" fillId="0" borderId="36" xfId="0" applyNumberFormat="1" applyFont="1" applyBorder="1" applyAlignment="1">
      <alignment wrapText="1"/>
    </xf>
    <xf numFmtId="168" fontId="35" fillId="0" borderId="0" xfId="0" applyNumberFormat="1" applyFont="1" applyAlignment="1">
      <alignment horizontal="left" vertical="center" wrapText="1"/>
    </xf>
    <xf numFmtId="0" fontId="45" fillId="0" borderId="44" xfId="0" applyFont="1" applyBorder="1"/>
    <xf numFmtId="0" fontId="45" fillId="0" borderId="34" xfId="0" applyFont="1" applyBorder="1"/>
    <xf numFmtId="164" fontId="32" fillId="5" borderId="37" xfId="0" applyNumberFormat="1" applyFont="1" applyFill="1" applyBorder="1" applyAlignment="1">
      <alignment horizontal="center" vertical="center" wrapText="1"/>
    </xf>
    <xf numFmtId="14" fontId="52" fillId="3" borderId="37" xfId="0" applyNumberFormat="1" applyFont="1" applyFill="1" applyBorder="1" applyAlignment="1">
      <alignment horizontal="center" vertical="center" wrapText="1"/>
    </xf>
    <xf numFmtId="0" fontId="44" fillId="9" borderId="38" xfId="0" applyFont="1" applyFill="1" applyBorder="1"/>
    <xf numFmtId="0" fontId="44" fillId="9" borderId="39" xfId="0" applyFont="1" applyFill="1" applyBorder="1"/>
    <xf numFmtId="0" fontId="44" fillId="9" borderId="28" xfId="0" applyFont="1" applyFill="1" applyBorder="1"/>
    <xf numFmtId="0" fontId="44" fillId="9" borderId="43" xfId="0" applyFont="1" applyFill="1" applyBorder="1"/>
    <xf numFmtId="0" fontId="44" fillId="9" borderId="29" xfId="0" applyFont="1" applyFill="1" applyBorder="1"/>
    <xf numFmtId="168" fontId="31" fillId="2" borderId="24" xfId="0" applyNumberFormat="1" applyFont="1" applyFill="1" applyBorder="1" applyAlignment="1">
      <alignment horizontal="right" vertical="center"/>
    </xf>
    <xf numFmtId="168" fontId="40" fillId="0" borderId="21" xfId="0" applyNumberFormat="1" applyFont="1" applyBorder="1" applyAlignment="1">
      <alignment horizontal="center" vertical="center"/>
    </xf>
    <xf numFmtId="0" fontId="65" fillId="0" borderId="36" xfId="0" applyFont="1" applyBorder="1"/>
    <xf numFmtId="166" fontId="33" fillId="0" borderId="21" xfId="3" applyNumberFormat="1" applyFont="1" applyBorder="1" applyAlignment="1">
      <alignment horizontal="center" vertical="center" wrapText="1"/>
    </xf>
    <xf numFmtId="166" fontId="33" fillId="0" borderId="36" xfId="3" applyNumberFormat="1" applyFont="1" applyBorder="1" applyAlignment="1">
      <alignment horizontal="center" vertical="center" wrapText="1"/>
    </xf>
    <xf numFmtId="0" fontId="35" fillId="0" borderId="0" xfId="0" applyFont="1" applyAlignment="1">
      <alignment horizontal="left" vertical="center"/>
    </xf>
    <xf numFmtId="168" fontId="31" fillId="2" borderId="21" xfId="0" applyNumberFormat="1" applyFont="1" applyFill="1" applyBorder="1" applyAlignment="1">
      <alignment horizontal="left" vertical="center"/>
    </xf>
    <xf numFmtId="168" fontId="31" fillId="2" borderId="24" xfId="0" applyNumberFormat="1" applyFont="1" applyFill="1" applyBorder="1" applyAlignment="1">
      <alignment horizontal="left" vertical="center"/>
    </xf>
    <xf numFmtId="0" fontId="33" fillId="0" borderId="21" xfId="3" applyFont="1" applyBorder="1" applyAlignment="1">
      <alignment horizontal="right" vertical="center" wrapText="1"/>
    </xf>
    <xf numFmtId="0" fontId="33" fillId="0" borderId="24" xfId="3" applyFont="1" applyBorder="1" applyAlignment="1">
      <alignment horizontal="right" vertical="center" wrapText="1"/>
    </xf>
    <xf numFmtId="0" fontId="33" fillId="0" borderId="36" xfId="3" applyFont="1" applyBorder="1" applyAlignment="1">
      <alignment horizontal="right" vertical="center" wrapText="1"/>
    </xf>
    <xf numFmtId="168" fontId="31" fillId="2" borderId="36" xfId="0" applyNumberFormat="1" applyFont="1" applyFill="1" applyBorder="1" applyAlignment="1">
      <alignment horizontal="right" vertical="center"/>
    </xf>
    <xf numFmtId="0" fontId="9" fillId="0" borderId="4" xfId="0" applyFont="1" applyBorder="1" applyAlignment="1">
      <alignment horizontal="left" vertical="center" wrapText="1"/>
    </xf>
    <xf numFmtId="0" fontId="5" fillId="0" borderId="20" xfId="0" applyFont="1" applyBorder="1" applyAlignment="1">
      <alignment wrapText="1"/>
    </xf>
    <xf numFmtId="0" fontId="5" fillId="0" borderId="5" xfId="0" applyFont="1" applyBorder="1" applyAlignment="1">
      <alignment wrapText="1"/>
    </xf>
    <xf numFmtId="0" fontId="14" fillId="2" borderId="1" xfId="0" applyFont="1" applyFill="1" applyBorder="1" applyAlignment="1">
      <alignment horizontal="center" vertical="center"/>
    </xf>
    <xf numFmtId="0" fontId="2" fillId="0" borderId="4" xfId="0" applyFont="1" applyBorder="1" applyAlignment="1">
      <alignment horizontal="left" vertical="center" wrapText="1"/>
    </xf>
    <xf numFmtId="171" fontId="9" fillId="0" borderId="4" xfId="0" applyNumberFormat="1" applyFont="1" applyBorder="1" applyAlignment="1">
      <alignment horizontal="center"/>
    </xf>
    <xf numFmtId="0" fontId="9" fillId="0" borderId="4" xfId="0" applyFont="1" applyBorder="1" applyAlignment="1">
      <alignment horizontal="left"/>
    </xf>
    <xf numFmtId="171" fontId="9" fillId="0" borderId="4" xfId="0" applyNumberFormat="1" applyFont="1" applyBorder="1" applyAlignment="1">
      <alignment horizontal="center" vertical="center"/>
    </xf>
    <xf numFmtId="0" fontId="4" fillId="2" borderId="17" xfId="0" applyFont="1" applyFill="1" applyBorder="1" applyAlignment="1">
      <alignment horizontal="center" vertical="center"/>
    </xf>
    <xf numFmtId="10" fontId="40" fillId="0" borderId="4" xfId="0" applyNumberFormat="1" applyFont="1" applyBorder="1" applyAlignment="1">
      <alignment horizontal="center" vertical="center"/>
    </xf>
    <xf numFmtId="0" fontId="35" fillId="13" borderId="21" xfId="0" applyFont="1" applyFill="1" applyBorder="1" applyAlignment="1">
      <alignment horizontal="left"/>
    </xf>
    <xf numFmtId="0" fontId="45" fillId="13" borderId="24" xfId="0" applyFont="1" applyFill="1" applyBorder="1"/>
    <xf numFmtId="0" fontId="45" fillId="13" borderId="36" xfId="0" applyFont="1" applyFill="1" applyBorder="1"/>
    <xf numFmtId="164" fontId="35" fillId="0" borderId="21" xfId="0" applyNumberFormat="1" applyFont="1" applyBorder="1" applyAlignment="1">
      <alignment horizontal="center"/>
    </xf>
    <xf numFmtId="0" fontId="4" fillId="2" borderId="21" xfId="0" applyFont="1" applyFill="1" applyBorder="1" applyAlignment="1">
      <alignment horizontal="center" vertical="center"/>
    </xf>
    <xf numFmtId="0" fontId="4" fillId="2" borderId="36" xfId="0" applyFont="1" applyFill="1" applyBorder="1" applyAlignment="1">
      <alignment horizontal="center" vertical="center"/>
    </xf>
    <xf numFmtId="0" fontId="31" fillId="2" borderId="17" xfId="0" applyFont="1" applyFill="1" applyBorder="1" applyAlignment="1">
      <alignment horizontal="center"/>
    </xf>
    <xf numFmtId="0" fontId="9" fillId="13" borderId="21" xfId="0" applyFont="1" applyFill="1" applyBorder="1" applyAlignment="1">
      <alignment horizontal="left" vertical="center" wrapText="1"/>
    </xf>
    <xf numFmtId="0" fontId="9" fillId="13" borderId="24" xfId="0" applyFont="1" applyFill="1" applyBorder="1" applyAlignment="1">
      <alignment horizontal="left" vertical="center" wrapText="1"/>
    </xf>
    <xf numFmtId="0" fontId="9" fillId="13" borderId="36" xfId="0" applyFont="1" applyFill="1" applyBorder="1" applyAlignment="1">
      <alignment horizontal="left" vertical="center" wrapText="1"/>
    </xf>
    <xf numFmtId="165" fontId="7" fillId="3" borderId="37" xfId="0" applyNumberFormat="1" applyFont="1" applyFill="1" applyBorder="1" applyAlignment="1">
      <alignment horizontal="center" vertical="center" wrapText="1"/>
    </xf>
    <xf numFmtId="165" fontId="7" fillId="3" borderId="39" xfId="0" applyNumberFormat="1" applyFont="1" applyFill="1" applyBorder="1" applyAlignment="1">
      <alignment horizontal="center" vertical="center" wrapText="1"/>
    </xf>
    <xf numFmtId="165" fontId="7" fillId="3" borderId="28" xfId="0" applyNumberFormat="1" applyFont="1" applyFill="1" applyBorder="1" applyAlignment="1">
      <alignment horizontal="center" vertical="center" wrapText="1"/>
    </xf>
    <xf numFmtId="165" fontId="7" fillId="3" borderId="29" xfId="0" applyNumberFormat="1" applyFont="1" applyFill="1" applyBorder="1" applyAlignment="1">
      <alignment horizontal="center" vertical="center" wrapText="1"/>
    </xf>
    <xf numFmtId="0" fontId="2" fillId="0" borderId="23" xfId="0" applyFont="1" applyBorder="1" applyAlignment="1">
      <alignment horizontal="center" vertical="center"/>
    </xf>
    <xf numFmtId="0" fontId="29" fillId="2" borderId="1" xfId="0" applyFont="1" applyFill="1" applyBorder="1" applyAlignment="1">
      <alignment horizontal="center" vertical="center" wrapText="1"/>
    </xf>
    <xf numFmtId="165" fontId="34" fillId="3"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xf>
    <xf numFmtId="0" fontId="31" fillId="2" borderId="12" xfId="0" applyFont="1" applyFill="1" applyBorder="1" applyAlignment="1">
      <alignment horizontal="center" vertical="center"/>
    </xf>
    <xf numFmtId="0" fontId="30" fillId="0" borderId="13" xfId="0" applyFont="1" applyBorder="1"/>
    <xf numFmtId="0" fontId="31" fillId="2" borderId="45" xfId="0" applyFont="1" applyFill="1" applyBorder="1" applyAlignment="1">
      <alignment horizontal="center" vertical="center"/>
    </xf>
    <xf numFmtId="0" fontId="30" fillId="0" borderId="45" xfId="0" applyFont="1" applyBorder="1"/>
    <xf numFmtId="0" fontId="39" fillId="2" borderId="1" xfId="0" applyFont="1" applyFill="1" applyBorder="1" applyAlignment="1">
      <alignment horizontal="left" vertical="center"/>
    </xf>
    <xf numFmtId="0" fontId="30" fillId="0" borderId="44" xfId="0" applyFont="1" applyBorder="1"/>
    <xf numFmtId="0" fontId="30" fillId="0" borderId="42" xfId="0" applyFont="1" applyBorder="1"/>
    <xf numFmtId="0" fontId="30" fillId="0" borderId="34" xfId="0" applyFont="1" applyBorder="1"/>
    <xf numFmtId="178" fontId="36" fillId="0" borderId="12" xfId="0" applyNumberFormat="1" applyFont="1" applyBorder="1" applyAlignment="1">
      <alignment horizontal="center" vertical="center"/>
    </xf>
    <xf numFmtId="178" fontId="2" fillId="0" borderId="45" xfId="0" applyNumberFormat="1" applyFont="1" applyBorder="1" applyAlignment="1">
      <alignment horizontal="center" vertical="center" wrapText="1"/>
    </xf>
    <xf numFmtId="178" fontId="30" fillId="0" borderId="45" xfId="0" applyNumberFormat="1" applyFont="1" applyBorder="1" applyAlignment="1">
      <alignment wrapText="1"/>
    </xf>
    <xf numFmtId="0" fontId="31" fillId="2" borderId="51" xfId="0" applyFont="1" applyFill="1" applyBorder="1" applyAlignment="1">
      <alignment horizontal="left" vertical="center"/>
    </xf>
    <xf numFmtId="0" fontId="31" fillId="2" borderId="52" xfId="0" applyFont="1" applyFill="1" applyBorder="1" applyAlignment="1">
      <alignment horizontal="left" vertical="center"/>
    </xf>
    <xf numFmtId="0" fontId="31" fillId="2" borderId="42" xfId="0" applyFont="1" applyFill="1" applyBorder="1" applyAlignment="1">
      <alignment horizontal="left" vertical="center"/>
    </xf>
    <xf numFmtId="0" fontId="31" fillId="2" borderId="54" xfId="0" applyFont="1" applyFill="1" applyBorder="1" applyAlignment="1">
      <alignment horizontal="left" vertical="center"/>
    </xf>
    <xf numFmtId="0" fontId="31" fillId="2" borderId="45" xfId="0" applyFont="1" applyFill="1" applyBorder="1" applyAlignment="1">
      <alignment horizontal="center" vertical="center" wrapText="1"/>
    </xf>
    <xf numFmtId="178" fontId="2" fillId="0" borderId="4" xfId="0" applyNumberFormat="1" applyFont="1" applyBorder="1" applyAlignment="1">
      <alignment horizontal="center" vertical="center"/>
    </xf>
    <xf numFmtId="2" fontId="2" fillId="0" borderId="45" xfId="0" applyNumberFormat="1" applyFont="1" applyBorder="1" applyAlignment="1">
      <alignment horizontal="center" vertical="center" wrapText="1"/>
    </xf>
    <xf numFmtId="2" fontId="30" fillId="0" borderId="45" xfId="0" applyNumberFormat="1" applyFont="1" applyBorder="1" applyAlignment="1">
      <alignment wrapText="1"/>
    </xf>
    <xf numFmtId="0" fontId="31" fillId="2" borderId="44" xfId="0" applyFont="1" applyFill="1" applyBorder="1" applyAlignment="1">
      <alignment horizontal="center" vertical="center"/>
    </xf>
    <xf numFmtId="0" fontId="2" fillId="0" borderId="45" xfId="0" applyFont="1" applyBorder="1" applyAlignment="1">
      <alignment wrapText="1"/>
    </xf>
    <xf numFmtId="0" fontId="36" fillId="3" borderId="28" xfId="0" applyFont="1" applyFill="1" applyBorder="1" applyAlignment="1">
      <alignment horizontal="left" vertical="center"/>
    </xf>
    <xf numFmtId="0" fontId="30" fillId="0" borderId="43" xfId="0" applyFont="1" applyBorder="1"/>
    <xf numFmtId="0" fontId="30" fillId="0" borderId="29" xfId="0" applyFont="1" applyBorder="1"/>
    <xf numFmtId="44" fontId="30" fillId="0" borderId="58" xfId="2" applyFont="1" applyBorder="1" applyAlignment="1">
      <alignment horizontal="center" vertical="center"/>
    </xf>
    <xf numFmtId="44" fontId="30" fillId="0" borderId="47" xfId="2" applyFont="1" applyBorder="1" applyAlignment="1">
      <alignment horizontal="center" vertical="center"/>
    </xf>
    <xf numFmtId="169" fontId="2" fillId="0" borderId="58" xfId="0" applyNumberFormat="1" applyFont="1" applyBorder="1" applyAlignment="1">
      <alignment horizontal="center" vertical="center"/>
    </xf>
    <xf numFmtId="169" fontId="2" fillId="0" borderId="47" xfId="0" applyNumberFormat="1" applyFont="1" applyBorder="1" applyAlignment="1">
      <alignment horizontal="center" vertical="center"/>
    </xf>
    <xf numFmtId="178" fontId="33" fillId="0" borderId="58" xfId="0" applyNumberFormat="1" applyFont="1" applyBorder="1" applyAlignment="1">
      <alignment horizontal="center" vertical="center"/>
    </xf>
    <xf numFmtId="178" fontId="33" fillId="0" borderId="47" xfId="0" applyNumberFormat="1" applyFont="1" applyBorder="1" applyAlignment="1">
      <alignment horizontal="center" vertical="center"/>
    </xf>
    <xf numFmtId="0" fontId="31" fillId="2" borderId="50" xfId="0" applyFont="1" applyFill="1" applyBorder="1" applyAlignment="1">
      <alignment horizontal="left" vertical="center"/>
    </xf>
    <xf numFmtId="0" fontId="31" fillId="2" borderId="55" xfId="0" applyFont="1" applyFill="1" applyBorder="1" applyAlignment="1">
      <alignment horizontal="left" vertical="center"/>
    </xf>
    <xf numFmtId="0" fontId="31" fillId="2" borderId="56" xfId="0" applyFont="1" applyFill="1" applyBorder="1" applyAlignment="1">
      <alignment horizontal="left" vertical="center"/>
    </xf>
    <xf numFmtId="0" fontId="31" fillId="2" borderId="57" xfId="0" applyFont="1" applyFill="1" applyBorder="1" applyAlignment="1">
      <alignment horizontal="left" vertical="center"/>
    </xf>
    <xf numFmtId="0" fontId="31" fillId="2" borderId="51" xfId="0" applyFont="1" applyFill="1" applyBorder="1" applyAlignment="1">
      <alignment horizontal="left" vertical="center" wrapText="1"/>
    </xf>
    <xf numFmtId="0" fontId="31" fillId="2" borderId="52" xfId="0" applyFont="1" applyFill="1" applyBorder="1" applyAlignment="1">
      <alignment horizontal="left" vertical="center" wrapText="1"/>
    </xf>
    <xf numFmtId="0" fontId="31" fillId="2" borderId="42" xfId="0" applyFont="1" applyFill="1" applyBorder="1" applyAlignment="1">
      <alignment horizontal="left" vertical="center" wrapText="1"/>
    </xf>
    <xf numFmtId="0" fontId="31" fillId="2" borderId="54" xfId="0" applyFont="1" applyFill="1" applyBorder="1" applyAlignment="1">
      <alignment horizontal="left" vertical="center" wrapText="1"/>
    </xf>
    <xf numFmtId="44" fontId="30" fillId="0" borderId="45" xfId="2" applyFont="1" applyBorder="1" applyAlignment="1">
      <alignment horizontal="center" vertical="center"/>
    </xf>
    <xf numFmtId="169" fontId="2" fillId="0" borderId="58" xfId="0" quotePrefix="1" applyNumberFormat="1" applyFont="1" applyBorder="1" applyAlignment="1">
      <alignment horizontal="center" vertical="center"/>
    </xf>
    <xf numFmtId="169" fontId="36" fillId="0" borderId="58" xfId="0" applyNumberFormat="1" applyFont="1" applyBorder="1" applyAlignment="1">
      <alignment horizontal="center" vertical="center"/>
    </xf>
    <xf numFmtId="169" fontId="36" fillId="0" borderId="47" xfId="0" applyNumberFormat="1" applyFont="1" applyBorder="1" applyAlignment="1">
      <alignment horizontal="center" vertical="center"/>
    </xf>
    <xf numFmtId="0" fontId="60" fillId="0" borderId="45" xfId="0" applyFont="1" applyBorder="1" applyAlignment="1">
      <alignment horizontal="center"/>
    </xf>
    <xf numFmtId="0" fontId="35" fillId="0" borderId="12" xfId="0" applyFont="1" applyBorder="1" applyAlignment="1">
      <alignment horizontal="center" vertical="center"/>
    </xf>
    <xf numFmtId="0" fontId="5" fillId="0" borderId="41" xfId="0" applyFont="1" applyBorder="1"/>
    <xf numFmtId="2" fontId="9" fillId="0" borderId="12" xfId="0" applyNumberFormat="1" applyFont="1" applyBorder="1" applyAlignment="1">
      <alignment horizontal="center" vertical="center"/>
    </xf>
    <xf numFmtId="0" fontId="35" fillId="0" borderId="1" xfId="0" applyFont="1" applyBorder="1" applyAlignment="1">
      <alignment horizontal="center" vertical="center" wrapText="1"/>
    </xf>
    <xf numFmtId="0" fontId="9" fillId="0" borderId="12" xfId="0" applyFont="1" applyBorder="1" applyAlignment="1">
      <alignment horizontal="center" vertical="center"/>
    </xf>
    <xf numFmtId="0" fontId="39" fillId="2" borderId="40" xfId="0" applyFont="1" applyFill="1" applyBorder="1" applyAlignment="1">
      <alignment horizontal="center" vertical="center"/>
    </xf>
    <xf numFmtId="0" fontId="5" fillId="0" borderId="22" xfId="0" applyFont="1" applyBorder="1"/>
    <xf numFmtId="0" fontId="4" fillId="2" borderId="28" xfId="0" applyFont="1" applyFill="1" applyBorder="1" applyAlignment="1">
      <alignment horizontal="center" vertical="center"/>
    </xf>
    <xf numFmtId="2" fontId="44" fillId="0" borderId="1" xfId="0" applyNumberFormat="1" applyFont="1" applyBorder="1" applyAlignment="1">
      <alignment horizontal="center" vertical="center"/>
    </xf>
    <xf numFmtId="0" fontId="22" fillId="2" borderId="40" xfId="0" applyFont="1" applyFill="1" applyBorder="1" applyAlignment="1">
      <alignment horizontal="center" vertical="center"/>
    </xf>
    <xf numFmtId="2" fontId="13" fillId="0" borderId="12" xfId="0" applyNumberFormat="1" applyFont="1" applyBorder="1" applyAlignment="1">
      <alignment horizontal="center" vertical="center"/>
    </xf>
    <xf numFmtId="2" fontId="13"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2" fontId="23" fillId="0" borderId="1" xfId="0" applyNumberFormat="1" applyFont="1" applyBorder="1" applyAlignment="1">
      <alignment horizontal="center" vertical="center"/>
    </xf>
    <xf numFmtId="2" fontId="12" fillId="0" borderId="12" xfId="0" applyNumberFormat="1" applyFont="1" applyBorder="1" applyAlignment="1">
      <alignment horizontal="center" vertical="center"/>
    </xf>
    <xf numFmtId="0" fontId="4" fillId="2" borderId="4" xfId="0" applyFont="1" applyFill="1" applyBorder="1" applyAlignment="1">
      <alignment horizontal="left"/>
    </xf>
    <xf numFmtId="2" fontId="12" fillId="0" borderId="12" xfId="0" applyNumberFormat="1" applyFont="1" applyBorder="1" applyAlignment="1">
      <alignment horizontal="center" vertical="center" wrapText="1"/>
    </xf>
    <xf numFmtId="0" fontId="9" fillId="0" borderId="1" xfId="0" applyFont="1" applyBorder="1" applyAlignment="1">
      <alignment horizontal="center"/>
    </xf>
    <xf numFmtId="0" fontId="12" fillId="0" borderId="12" xfId="0" applyFont="1" applyBorder="1" applyAlignment="1">
      <alignment horizontal="center" vertical="center"/>
    </xf>
    <xf numFmtId="2" fontId="12" fillId="0" borderId="1" xfId="0" applyNumberFormat="1" applyFont="1" applyBorder="1" applyAlignment="1">
      <alignment horizontal="center" vertical="center"/>
    </xf>
    <xf numFmtId="2" fontId="9" fillId="0" borderId="4" xfId="0" applyNumberFormat="1" applyFont="1" applyBorder="1" applyAlignment="1">
      <alignment horizontal="center"/>
    </xf>
    <xf numFmtId="0" fontId="5" fillId="0" borderId="16" xfId="0" applyFont="1" applyBorder="1"/>
    <xf numFmtId="0" fontId="12" fillId="0" borderId="4" xfId="0" applyFont="1" applyBorder="1" applyAlignment="1">
      <alignment horizontal="center"/>
    </xf>
    <xf numFmtId="0" fontId="2" fillId="0" borderId="1" xfId="0" applyFont="1" applyBorder="1" applyAlignment="1">
      <alignment horizontal="center" vertical="center" wrapText="1"/>
    </xf>
    <xf numFmtId="0" fontId="31" fillId="2" borderId="21" xfId="0" applyFont="1" applyFill="1" applyBorder="1" applyAlignment="1">
      <alignment horizontal="center" vertical="center" wrapText="1"/>
    </xf>
    <xf numFmtId="0" fontId="30" fillId="0" borderId="36" xfId="0" applyFont="1" applyBorder="1"/>
    <xf numFmtId="2" fontId="21" fillId="0" borderId="1" xfId="0" applyNumberFormat="1" applyFont="1" applyBorder="1" applyAlignment="1">
      <alignment horizontal="center" vertical="center"/>
    </xf>
    <xf numFmtId="0" fontId="33" fillId="0" borderId="45" xfId="0" applyFont="1" applyBorder="1" applyAlignment="1">
      <alignment horizontal="center"/>
    </xf>
    <xf numFmtId="0" fontId="5" fillId="0" borderId="45" xfId="0" applyFont="1" applyBorder="1"/>
    <xf numFmtId="0" fontId="4" fillId="2" borderId="46"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5" xfId="0" applyFont="1" applyFill="1" applyBorder="1" applyAlignment="1">
      <alignment horizontal="center"/>
    </xf>
    <xf numFmtId="0" fontId="24" fillId="2" borderId="40" xfId="0" applyFont="1" applyFill="1" applyBorder="1" applyAlignment="1">
      <alignment horizontal="center" vertical="center"/>
    </xf>
    <xf numFmtId="0" fontId="35" fillId="0" borderId="4" xfId="0" applyFont="1" applyBorder="1" applyAlignment="1">
      <alignment horizontal="left" vertical="center"/>
    </xf>
    <xf numFmtId="0" fontId="31" fillId="2" borderId="46" xfId="0" applyFont="1" applyFill="1" applyBorder="1" applyAlignment="1">
      <alignment horizontal="center" vertical="center" wrapText="1"/>
    </xf>
    <xf numFmtId="0" fontId="31" fillId="2" borderId="47" xfId="0" applyFont="1" applyFill="1" applyBorder="1" applyAlignment="1">
      <alignment horizontal="center" vertical="center" wrapText="1"/>
    </xf>
    <xf numFmtId="0" fontId="30" fillId="0" borderId="45" xfId="0" applyFont="1" applyBorder="1" applyAlignment="1">
      <alignment horizontal="center"/>
    </xf>
    <xf numFmtId="0" fontId="9" fillId="0" borderId="42" xfId="0" applyFont="1" applyBorder="1" applyAlignment="1">
      <alignment horizontal="left" vertical="center"/>
    </xf>
    <xf numFmtId="0" fontId="5" fillId="0" borderId="42" xfId="0" applyFont="1" applyBorder="1"/>
    <xf numFmtId="0" fontId="9" fillId="0" borderId="4" xfId="0" applyFont="1" applyBorder="1" applyAlignment="1">
      <alignment horizontal="left" vertical="center"/>
    </xf>
    <xf numFmtId="0" fontId="31" fillId="2" borderId="45" xfId="0" applyFont="1" applyFill="1" applyBorder="1" applyAlignment="1">
      <alignment horizontal="center"/>
    </xf>
    <xf numFmtId="0" fontId="55" fillId="0" borderId="0" xfId="0" applyFont="1" applyAlignment="1">
      <alignment horizontal="center"/>
    </xf>
    <xf numFmtId="0" fontId="39" fillId="2" borderId="42" xfId="3" applyFont="1" applyFill="1" applyAlignment="1">
      <alignment horizontal="center" vertical="center"/>
    </xf>
    <xf numFmtId="0" fontId="45" fillId="0" borderId="42" xfId="3" applyFont="1"/>
    <xf numFmtId="0" fontId="31" fillId="2" borderId="45" xfId="3" applyFont="1" applyFill="1" applyBorder="1" applyAlignment="1">
      <alignment horizontal="center" vertical="center"/>
    </xf>
    <xf numFmtId="0" fontId="33" fillId="0" borderId="50" xfId="3" applyFont="1" applyBorder="1" applyAlignment="1">
      <alignment horizontal="center"/>
    </xf>
    <xf numFmtId="0" fontId="33" fillId="0" borderId="51" xfId="3" applyFont="1" applyBorder="1" applyAlignment="1">
      <alignment horizontal="center"/>
    </xf>
    <xf numFmtId="0" fontId="33" fillId="0" borderId="52" xfId="3" applyFont="1" applyBorder="1" applyAlignment="1">
      <alignment horizontal="center"/>
    </xf>
    <xf numFmtId="0" fontId="33" fillId="0" borderId="53" xfId="3" applyFont="1" applyBorder="1" applyAlignment="1">
      <alignment horizontal="center"/>
    </xf>
    <xf numFmtId="0" fontId="33" fillId="0" borderId="42" xfId="3" applyFont="1" applyAlignment="1">
      <alignment horizontal="center"/>
    </xf>
    <xf numFmtId="0" fontId="33" fillId="0" borderId="54" xfId="3" applyFont="1" applyBorder="1" applyAlignment="1">
      <alignment horizontal="center"/>
    </xf>
    <xf numFmtId="0" fontId="33" fillId="0" borderId="55" xfId="3" applyFont="1" applyBorder="1" applyAlignment="1">
      <alignment horizontal="center"/>
    </xf>
    <xf numFmtId="0" fontId="33" fillId="0" borderId="56" xfId="3" applyFont="1" applyBorder="1" applyAlignment="1">
      <alignment horizontal="center"/>
    </xf>
    <xf numFmtId="0" fontId="33" fillId="0" borderId="57" xfId="3" applyFont="1" applyBorder="1" applyAlignment="1">
      <alignment horizontal="center"/>
    </xf>
    <xf numFmtId="0" fontId="30" fillId="0" borderId="50" xfId="3" applyFont="1" applyBorder="1" applyAlignment="1">
      <alignment horizontal="center"/>
    </xf>
    <xf numFmtId="0" fontId="30" fillId="0" borderId="51" xfId="3" applyFont="1" applyBorder="1" applyAlignment="1">
      <alignment horizontal="center"/>
    </xf>
    <xf numFmtId="0" fontId="30" fillId="0" borderId="52" xfId="3" applyFont="1" applyBorder="1" applyAlignment="1">
      <alignment horizontal="center"/>
    </xf>
    <xf numFmtId="0" fontId="30" fillId="0" borderId="53" xfId="3" applyFont="1" applyBorder="1" applyAlignment="1">
      <alignment horizontal="center"/>
    </xf>
    <xf numFmtId="0" fontId="30" fillId="0" borderId="42" xfId="3" applyFont="1" applyAlignment="1">
      <alignment horizontal="center"/>
    </xf>
    <xf numFmtId="0" fontId="30" fillId="0" borderId="54" xfId="3" applyFont="1" applyBorder="1" applyAlignment="1">
      <alignment horizontal="center"/>
    </xf>
    <xf numFmtId="0" fontId="30" fillId="0" borderId="55" xfId="3" applyFont="1" applyBorder="1" applyAlignment="1">
      <alignment horizontal="center"/>
    </xf>
    <xf numFmtId="0" fontId="30" fillId="0" borderId="56" xfId="3" applyFont="1" applyBorder="1" applyAlignment="1">
      <alignment horizontal="center"/>
    </xf>
    <xf numFmtId="0" fontId="30" fillId="0" borderId="57" xfId="3" applyFont="1" applyBorder="1" applyAlignment="1">
      <alignment horizontal="center"/>
    </xf>
    <xf numFmtId="166" fontId="48" fillId="0" borderId="45" xfId="3" applyNumberFormat="1" applyFont="1" applyBorder="1" applyAlignment="1">
      <alignment horizontal="center" vertical="center"/>
    </xf>
    <xf numFmtId="0" fontId="58" fillId="0" borderId="45" xfId="3" applyFont="1" applyBorder="1"/>
    <xf numFmtId="0" fontId="48" fillId="0" borderId="45" xfId="3" applyFont="1" applyBorder="1" applyAlignment="1">
      <alignment horizontal="left"/>
    </xf>
    <xf numFmtId="0" fontId="57" fillId="2" borderId="45" xfId="3" applyFont="1" applyFill="1" applyBorder="1" applyAlignment="1">
      <alignment horizontal="center" vertical="center"/>
    </xf>
    <xf numFmtId="0" fontId="57" fillId="2" borderId="45" xfId="3" applyFont="1" applyFill="1" applyBorder="1" applyAlignment="1">
      <alignment horizontal="center"/>
    </xf>
    <xf numFmtId="0" fontId="4" fillId="2" borderId="24" xfId="0" applyFont="1" applyFill="1" applyBorder="1" applyAlignment="1">
      <alignment horizontal="center" vertical="center"/>
    </xf>
    <xf numFmtId="2" fontId="9" fillId="0" borderId="37" xfId="0" applyNumberFormat="1" applyFont="1" applyBorder="1" applyAlignment="1">
      <alignment horizontal="center" vertical="center"/>
    </xf>
    <xf numFmtId="2" fontId="9" fillId="0" borderId="38" xfId="0" applyNumberFormat="1" applyFont="1" applyBorder="1" applyAlignment="1">
      <alignment horizontal="center" vertical="center"/>
    </xf>
    <xf numFmtId="2" fontId="9" fillId="0" borderId="39" xfId="0" applyNumberFormat="1" applyFont="1" applyBorder="1" applyAlignment="1">
      <alignment horizontal="center" vertical="center"/>
    </xf>
    <xf numFmtId="2" fontId="9" fillId="0" borderId="44" xfId="0" applyNumberFormat="1" applyFont="1" applyBorder="1" applyAlignment="1">
      <alignment horizontal="center" vertical="center"/>
    </xf>
    <xf numFmtId="2" fontId="9" fillId="0" borderId="42" xfId="0" applyNumberFormat="1" applyFont="1" applyBorder="1" applyAlignment="1">
      <alignment horizontal="center" vertical="center"/>
    </xf>
    <xf numFmtId="2" fontId="9" fillId="0" borderId="34" xfId="0" applyNumberFormat="1" applyFont="1" applyBorder="1" applyAlignment="1">
      <alignment horizontal="center" vertical="center"/>
    </xf>
    <xf numFmtId="2" fontId="9" fillId="0" borderId="28" xfId="0" applyNumberFormat="1" applyFont="1" applyBorder="1" applyAlignment="1">
      <alignment horizontal="center" vertical="center"/>
    </xf>
    <xf numFmtId="2" fontId="9" fillId="0" borderId="43" xfId="0" applyNumberFormat="1" applyFont="1" applyBorder="1" applyAlignment="1">
      <alignment horizontal="center" vertical="center"/>
    </xf>
    <xf numFmtId="2" fontId="9" fillId="0" borderId="29" xfId="0" applyNumberFormat="1" applyFont="1" applyBorder="1" applyAlignment="1">
      <alignment horizontal="center" vertical="center"/>
    </xf>
    <xf numFmtId="0" fontId="22" fillId="2" borderId="37" xfId="0" applyFont="1" applyFill="1" applyBorder="1" applyAlignment="1">
      <alignment horizontal="center" vertical="center"/>
    </xf>
    <xf numFmtId="0" fontId="22" fillId="2" borderId="38" xfId="0" applyFont="1" applyFill="1" applyBorder="1" applyAlignment="1">
      <alignment horizontal="center" vertical="center"/>
    </xf>
    <xf numFmtId="0" fontId="22" fillId="2" borderId="28" xfId="0" applyFont="1" applyFill="1" applyBorder="1" applyAlignment="1">
      <alignment horizontal="center" vertical="center"/>
    </xf>
    <xf numFmtId="0" fontId="22" fillId="2" borderId="43"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9" fillId="0" borderId="19" xfId="0" applyFont="1" applyBorder="1" applyAlignment="1">
      <alignment horizontal="center" vertical="center"/>
    </xf>
    <xf numFmtId="0" fontId="9" fillId="0" borderId="41" xfId="0" applyFont="1" applyBorder="1" applyAlignment="1">
      <alignment horizontal="center" vertical="center"/>
    </xf>
    <xf numFmtId="0" fontId="9" fillId="0" borderId="30" xfId="0" applyFont="1" applyBorder="1" applyAlignment="1">
      <alignment horizontal="center" vertical="center"/>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29" xfId="0" applyFont="1" applyBorder="1" applyAlignment="1">
      <alignment horizontal="center" vertical="center" wrapText="1"/>
    </xf>
    <xf numFmtId="2" fontId="9" fillId="0" borderId="19" xfId="0" applyNumberFormat="1" applyFont="1" applyBorder="1" applyAlignment="1">
      <alignment horizontal="center" vertical="center"/>
    </xf>
    <xf numFmtId="2" fontId="9" fillId="0" borderId="41" xfId="0" applyNumberFormat="1" applyFont="1" applyBorder="1" applyAlignment="1">
      <alignment horizontal="center" vertical="center"/>
    </xf>
    <xf numFmtId="2" fontId="9" fillId="0" borderId="30" xfId="0" applyNumberFormat="1" applyFont="1" applyBorder="1" applyAlignment="1">
      <alignment horizontal="center" vertical="center"/>
    </xf>
    <xf numFmtId="0" fontId="4" fillId="2" borderId="29" xfId="0" applyFont="1" applyFill="1" applyBorder="1" applyAlignment="1">
      <alignment horizontal="center" vertical="center"/>
    </xf>
    <xf numFmtId="2" fontId="9" fillId="0" borderId="1" xfId="0" applyNumberFormat="1" applyFont="1" applyBorder="1" applyAlignment="1">
      <alignment horizontal="center" vertical="center"/>
    </xf>
    <xf numFmtId="177" fontId="9" fillId="0" borderId="12" xfId="0" applyNumberFormat="1" applyFont="1" applyBorder="1" applyAlignment="1">
      <alignment horizontal="center" vertical="center"/>
    </xf>
    <xf numFmtId="0" fontId="22"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2" fillId="0" borderId="37" xfId="0" applyFont="1" applyBorder="1" applyAlignment="1">
      <alignment horizontal="center" vertical="center" wrapText="1"/>
    </xf>
    <xf numFmtId="0" fontId="2" fillId="0" borderId="19" xfId="0" applyFont="1" applyBorder="1" applyAlignment="1">
      <alignment horizontal="center" vertical="center"/>
    </xf>
    <xf numFmtId="0" fontId="45" fillId="0" borderId="41" xfId="0" applyFont="1" applyBorder="1"/>
    <xf numFmtId="2" fontId="2" fillId="0" borderId="19" xfId="0" applyNumberFormat="1" applyFont="1" applyBorder="1" applyAlignment="1">
      <alignment horizontal="center" vertical="center"/>
    </xf>
    <xf numFmtId="2" fontId="36" fillId="0" borderId="37" xfId="0" applyNumberFormat="1" applyFont="1" applyBorder="1" applyAlignment="1">
      <alignment horizontal="center" vertical="center"/>
    </xf>
    <xf numFmtId="2" fontId="2" fillId="0" borderId="37" xfId="0" applyNumberFormat="1" applyFont="1" applyBorder="1" applyAlignment="1">
      <alignment horizontal="center" vertical="center"/>
    </xf>
    <xf numFmtId="0" fontId="39" fillId="2" borderId="37" xfId="0" applyFont="1" applyFill="1" applyBorder="1" applyAlignment="1">
      <alignment horizontal="center" vertical="center"/>
    </xf>
    <xf numFmtId="1" fontId="31" fillId="2" borderId="21" xfId="0" applyNumberFormat="1" applyFont="1" applyFill="1" applyBorder="1" applyAlignment="1">
      <alignment horizontal="right" vertical="center" wrapText="1"/>
    </xf>
    <xf numFmtId="1" fontId="31" fillId="2" borderId="24" xfId="0" applyNumberFormat="1" applyFont="1" applyFill="1" applyBorder="1" applyAlignment="1">
      <alignment horizontal="right" vertical="center" wrapText="1"/>
    </xf>
    <xf numFmtId="0" fontId="35" fillId="0" borderId="0" xfId="0" applyFont="1" applyAlignment="1">
      <alignment horizontal="center"/>
    </xf>
    <xf numFmtId="1" fontId="31" fillId="2" borderId="21" xfId="0" applyNumberFormat="1" applyFont="1" applyFill="1" applyBorder="1" applyAlignment="1">
      <alignment horizontal="center" vertical="center" wrapText="1"/>
    </xf>
    <xf numFmtId="1" fontId="31" fillId="2" borderId="24" xfId="0" applyNumberFormat="1" applyFont="1" applyFill="1" applyBorder="1" applyAlignment="1">
      <alignment horizontal="center" vertical="center" wrapText="1"/>
    </xf>
    <xf numFmtId="1" fontId="31" fillId="2" borderId="36" xfId="0" applyNumberFormat="1" applyFont="1" applyFill="1" applyBorder="1" applyAlignment="1">
      <alignment horizontal="center" vertical="center" wrapText="1"/>
    </xf>
    <xf numFmtId="2" fontId="31" fillId="2" borderId="4" xfId="0" applyNumberFormat="1" applyFont="1" applyFill="1" applyBorder="1" applyAlignment="1">
      <alignment horizontal="center" vertical="center" wrapText="1"/>
    </xf>
    <xf numFmtId="2" fontId="31" fillId="2" borderId="21" xfId="0" applyNumberFormat="1" applyFont="1" applyFill="1" applyBorder="1" applyAlignment="1">
      <alignment horizontal="center" vertical="center" wrapText="1"/>
    </xf>
    <xf numFmtId="2" fontId="31" fillId="2" borderId="36" xfId="0" applyNumberFormat="1" applyFont="1" applyFill="1" applyBorder="1" applyAlignment="1">
      <alignment horizontal="center" vertical="center" wrapText="1"/>
    </xf>
    <xf numFmtId="2" fontId="31" fillId="0" borderId="48" xfId="0" applyNumberFormat="1" applyFont="1" applyBorder="1" applyAlignment="1">
      <alignment horizontal="center" vertical="center" wrapText="1"/>
    </xf>
    <xf numFmtId="2" fontId="31" fillId="0" borderId="49" xfId="0" applyNumberFormat="1" applyFont="1" applyBorder="1" applyAlignment="1">
      <alignment horizontal="center" vertical="center" wrapText="1"/>
    </xf>
    <xf numFmtId="0" fontId="35" fillId="0" borderId="42" xfId="0" applyFont="1" applyBorder="1" applyAlignment="1">
      <alignment horizontal="center" vertical="center" wrapText="1"/>
    </xf>
    <xf numFmtId="0" fontId="35" fillId="0" borderId="4" xfId="0" applyFont="1" applyBorder="1" applyAlignment="1">
      <alignment horizontal="center" vertical="center" wrapText="1"/>
    </xf>
    <xf numFmtId="0" fontId="30" fillId="0" borderId="22" xfId="0" applyFont="1" applyBorder="1"/>
    <xf numFmtId="0" fontId="30" fillId="0" borderId="35" xfId="0" applyFont="1" applyBorder="1"/>
    <xf numFmtId="0" fontId="35" fillId="7" borderId="4" xfId="0" applyFont="1" applyFill="1" applyBorder="1" applyAlignment="1">
      <alignment horizontal="center" wrapText="1"/>
    </xf>
  </cellXfs>
  <cellStyles count="17">
    <cellStyle name="Millares_FORMULARIO 4 - M-OFERENTE PPTA ECONOMICA" xfId="10" xr:uid="{7AFB1AB6-DF9A-41F2-BBAC-620A2130BE24}"/>
    <cellStyle name="Moneda" xfId="2" builtinId="4"/>
    <cellStyle name="Moneda 2" xfId="4" xr:uid="{5BAAC498-1738-4A8B-B307-7178B90E54AF}"/>
    <cellStyle name="Moneda 2 2" xfId="16" xr:uid="{7D74366F-A0BC-41A8-94CD-FF59A8CA89BB}"/>
    <cellStyle name="Moneda 2 2 2 2 2" xfId="7" xr:uid="{74E6DA4B-D74D-4FF9-9F16-8B574ADF9310}"/>
    <cellStyle name="Moneda 3" xfId="14" xr:uid="{41D94783-A198-410A-AB37-3233D245744B}"/>
    <cellStyle name="Normal" xfId="0" builtinId="0"/>
    <cellStyle name="Normal 2" xfId="3" xr:uid="{00000000-0005-0000-0000-000002000000}"/>
    <cellStyle name="Normal 2 10 2 2" xfId="5" xr:uid="{7E2D741C-EC5A-491B-8D2D-3B84ED2C723F}"/>
    <cellStyle name="Normal 2 10 3" xfId="11" xr:uid="{E7B71AF2-FEE3-4552-9D14-18E6ECD42786}"/>
    <cellStyle name="Normal 2 2" xfId="15" xr:uid="{33827E06-B86B-4F00-8FB1-5DBABF82B444}"/>
    <cellStyle name="Normal 3" xfId="12" xr:uid="{55F038CB-9816-4C23-8167-C34E6EB7D7F4}"/>
    <cellStyle name="Normal 3 11" xfId="9" xr:uid="{4CA687CB-BE89-4284-A859-AC2701A21636}"/>
    <cellStyle name="Normal 3 2 2" xfId="6" xr:uid="{3ECEE926-3603-4997-B51C-E708FAD4946B}"/>
    <cellStyle name="Porcentaje" xfId="1" builtinId="5"/>
    <cellStyle name="Porcentaje 2" xfId="8" xr:uid="{D6EE08B6-B8C5-4684-9B3C-22E430378283}"/>
    <cellStyle name="Porcentaje 3" xfId="13" xr:uid="{FD94CF25-FC00-4F1C-B359-3FD34E913EBD}"/>
  </cellStyles>
  <dxfs count="355">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D8D8D8"/>
          <bgColor rgb="FFD8D8D8"/>
        </patternFill>
      </fill>
    </dxf>
    <dxf>
      <fill>
        <patternFill patternType="solid">
          <fgColor rgb="FFFFC000"/>
          <bgColor rgb="FFFFC000"/>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92D050"/>
          <bgColor rgb="FF92D050"/>
        </patternFill>
      </fill>
    </dxf>
    <dxf>
      <fill>
        <patternFill patternType="solid">
          <fgColor rgb="FF00B050"/>
          <bgColor rgb="FF00B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00B050"/>
          <bgColor rgb="FF00B050"/>
        </patternFill>
      </fill>
    </dxf>
    <dxf>
      <fill>
        <patternFill patternType="solid">
          <fgColor rgb="FF00B050"/>
          <bgColor rgb="FF00B050"/>
        </patternFill>
      </fill>
    </dxf>
    <dxf>
      <fill>
        <patternFill patternType="solid">
          <fgColor rgb="FF92D050"/>
          <bgColor rgb="FF92D050"/>
        </patternFill>
      </fill>
    </dxf>
    <dxf>
      <fill>
        <patternFill patternType="solid">
          <fgColor rgb="FF92D050"/>
          <bgColor rgb="FF92D050"/>
        </patternFill>
      </fill>
    </dxf>
    <dxf>
      <fill>
        <patternFill patternType="solid">
          <fgColor rgb="FF00B050"/>
          <bgColor rgb="FF00B05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image" Target="../media/image28.png"/><Relationship Id="rId39" Type="http://schemas.openxmlformats.org/officeDocument/2006/relationships/image" Target="../media/image41.png"/><Relationship Id="rId21" Type="http://schemas.openxmlformats.org/officeDocument/2006/relationships/image" Target="../media/image23.png"/><Relationship Id="rId34" Type="http://schemas.openxmlformats.org/officeDocument/2006/relationships/image" Target="../media/image36.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27.png"/><Relationship Id="rId33" Type="http://schemas.openxmlformats.org/officeDocument/2006/relationships/image" Target="../media/image35.png"/><Relationship Id="rId38" Type="http://schemas.openxmlformats.org/officeDocument/2006/relationships/image" Target="../media/image40.png"/><Relationship Id="rId2" Type="http://schemas.openxmlformats.org/officeDocument/2006/relationships/image" Target="../media/image4.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31.png"/><Relationship Id="rId1" Type="http://schemas.openxmlformats.org/officeDocument/2006/relationships/image" Target="../media/image2.png"/><Relationship Id="rId6" Type="http://schemas.openxmlformats.org/officeDocument/2006/relationships/image" Target="../media/image8.png"/><Relationship Id="rId11" Type="http://schemas.openxmlformats.org/officeDocument/2006/relationships/image" Target="../media/image13.png"/><Relationship Id="rId24" Type="http://schemas.openxmlformats.org/officeDocument/2006/relationships/image" Target="../media/image26.png"/><Relationship Id="rId32" Type="http://schemas.openxmlformats.org/officeDocument/2006/relationships/image" Target="../media/image34.png"/><Relationship Id="rId37" Type="http://schemas.openxmlformats.org/officeDocument/2006/relationships/image" Target="../media/image39.png"/><Relationship Id="rId40" Type="http://schemas.openxmlformats.org/officeDocument/2006/relationships/image" Target="../media/image3.png"/><Relationship Id="rId5" Type="http://schemas.openxmlformats.org/officeDocument/2006/relationships/image" Target="../media/image7.png"/><Relationship Id="rId15" Type="http://schemas.openxmlformats.org/officeDocument/2006/relationships/image" Target="../media/image17.png"/><Relationship Id="rId23" Type="http://schemas.openxmlformats.org/officeDocument/2006/relationships/image" Target="../media/image25.png"/><Relationship Id="rId28" Type="http://schemas.openxmlformats.org/officeDocument/2006/relationships/image" Target="../media/image30.png"/><Relationship Id="rId36" Type="http://schemas.openxmlformats.org/officeDocument/2006/relationships/image" Target="../media/image38.png"/><Relationship Id="rId10" Type="http://schemas.openxmlformats.org/officeDocument/2006/relationships/image" Target="../media/image12.png"/><Relationship Id="rId19" Type="http://schemas.openxmlformats.org/officeDocument/2006/relationships/image" Target="../media/image21.png"/><Relationship Id="rId31" Type="http://schemas.openxmlformats.org/officeDocument/2006/relationships/image" Target="../media/image33.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image" Target="../media/image24.png"/><Relationship Id="rId27" Type="http://schemas.openxmlformats.org/officeDocument/2006/relationships/image" Target="../media/image29.png"/><Relationship Id="rId30" Type="http://schemas.openxmlformats.org/officeDocument/2006/relationships/image" Target="../media/image32.png"/><Relationship Id="rId35" Type="http://schemas.openxmlformats.org/officeDocument/2006/relationships/image" Target="../media/image37.png"/><Relationship Id="rId8" Type="http://schemas.openxmlformats.org/officeDocument/2006/relationships/image" Target="../media/image10.png"/><Relationship Id="rId3" Type="http://schemas.openxmlformats.org/officeDocument/2006/relationships/image" Target="../media/image5.png"/></Relationships>
</file>

<file path=xl/drawings/_rels/drawing1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2.png"/></Relationships>
</file>

<file path=xl/drawings/_rels/drawing18.xml.rels><?xml version="1.0" encoding="UTF-8" standalone="yes"?>
<Relationships xmlns="http://schemas.openxmlformats.org/package/2006/relationships"><Relationship Id="rId13" Type="http://schemas.openxmlformats.org/officeDocument/2006/relationships/image" Target="../media/image54.png"/><Relationship Id="rId18" Type="http://schemas.openxmlformats.org/officeDocument/2006/relationships/image" Target="../media/image59.png"/><Relationship Id="rId26" Type="http://schemas.openxmlformats.org/officeDocument/2006/relationships/image" Target="../media/image67.png"/><Relationship Id="rId39" Type="http://schemas.openxmlformats.org/officeDocument/2006/relationships/image" Target="../media/image80.png"/><Relationship Id="rId21" Type="http://schemas.openxmlformats.org/officeDocument/2006/relationships/image" Target="../media/image62.png"/><Relationship Id="rId34" Type="http://schemas.openxmlformats.org/officeDocument/2006/relationships/image" Target="../media/image75.png"/><Relationship Id="rId42" Type="http://schemas.openxmlformats.org/officeDocument/2006/relationships/image" Target="../media/image83.png"/><Relationship Id="rId7" Type="http://schemas.openxmlformats.org/officeDocument/2006/relationships/image" Target="../media/image48.png"/><Relationship Id="rId2" Type="http://schemas.openxmlformats.org/officeDocument/2006/relationships/image" Target="../media/image32.png"/><Relationship Id="rId16" Type="http://schemas.openxmlformats.org/officeDocument/2006/relationships/image" Target="../media/image57.png"/><Relationship Id="rId29" Type="http://schemas.openxmlformats.org/officeDocument/2006/relationships/image" Target="../media/image70.png"/><Relationship Id="rId1" Type="http://schemas.openxmlformats.org/officeDocument/2006/relationships/image" Target="../media/image43.png"/><Relationship Id="rId6" Type="http://schemas.openxmlformats.org/officeDocument/2006/relationships/image" Target="../media/image47.png"/><Relationship Id="rId11" Type="http://schemas.openxmlformats.org/officeDocument/2006/relationships/image" Target="../media/image52.png"/><Relationship Id="rId24" Type="http://schemas.openxmlformats.org/officeDocument/2006/relationships/image" Target="../media/image65.png"/><Relationship Id="rId32" Type="http://schemas.openxmlformats.org/officeDocument/2006/relationships/image" Target="../media/image73.png"/><Relationship Id="rId37" Type="http://schemas.openxmlformats.org/officeDocument/2006/relationships/image" Target="../media/image78.png"/><Relationship Id="rId40" Type="http://schemas.openxmlformats.org/officeDocument/2006/relationships/image" Target="../media/image81.png"/><Relationship Id="rId45" Type="http://schemas.openxmlformats.org/officeDocument/2006/relationships/image" Target="../media/image3.png"/><Relationship Id="rId5" Type="http://schemas.openxmlformats.org/officeDocument/2006/relationships/image" Target="../media/image46.png"/><Relationship Id="rId15" Type="http://schemas.openxmlformats.org/officeDocument/2006/relationships/image" Target="../media/image56.png"/><Relationship Id="rId23" Type="http://schemas.openxmlformats.org/officeDocument/2006/relationships/image" Target="../media/image64.png"/><Relationship Id="rId28" Type="http://schemas.openxmlformats.org/officeDocument/2006/relationships/image" Target="../media/image69.png"/><Relationship Id="rId36" Type="http://schemas.openxmlformats.org/officeDocument/2006/relationships/image" Target="../media/image77.png"/><Relationship Id="rId10" Type="http://schemas.openxmlformats.org/officeDocument/2006/relationships/image" Target="../media/image51.png"/><Relationship Id="rId19" Type="http://schemas.openxmlformats.org/officeDocument/2006/relationships/image" Target="../media/image60.png"/><Relationship Id="rId31" Type="http://schemas.openxmlformats.org/officeDocument/2006/relationships/image" Target="../media/image72.png"/><Relationship Id="rId44" Type="http://schemas.openxmlformats.org/officeDocument/2006/relationships/image" Target="../media/image85.png"/><Relationship Id="rId4" Type="http://schemas.openxmlformats.org/officeDocument/2006/relationships/image" Target="../media/image45.png"/><Relationship Id="rId9" Type="http://schemas.openxmlformats.org/officeDocument/2006/relationships/image" Target="../media/image50.png"/><Relationship Id="rId14" Type="http://schemas.openxmlformats.org/officeDocument/2006/relationships/image" Target="../media/image55.png"/><Relationship Id="rId22" Type="http://schemas.openxmlformats.org/officeDocument/2006/relationships/image" Target="../media/image63.png"/><Relationship Id="rId27" Type="http://schemas.openxmlformats.org/officeDocument/2006/relationships/image" Target="../media/image68.png"/><Relationship Id="rId30" Type="http://schemas.openxmlformats.org/officeDocument/2006/relationships/image" Target="../media/image71.png"/><Relationship Id="rId35" Type="http://schemas.openxmlformats.org/officeDocument/2006/relationships/image" Target="../media/image76.png"/><Relationship Id="rId43" Type="http://schemas.openxmlformats.org/officeDocument/2006/relationships/image" Target="../media/image84.png"/><Relationship Id="rId8" Type="http://schemas.openxmlformats.org/officeDocument/2006/relationships/image" Target="../media/image49.png"/><Relationship Id="rId3" Type="http://schemas.openxmlformats.org/officeDocument/2006/relationships/image" Target="../media/image44.png"/><Relationship Id="rId12" Type="http://schemas.openxmlformats.org/officeDocument/2006/relationships/image" Target="../media/image53.png"/><Relationship Id="rId17" Type="http://schemas.openxmlformats.org/officeDocument/2006/relationships/image" Target="../media/image58.png"/><Relationship Id="rId25" Type="http://schemas.openxmlformats.org/officeDocument/2006/relationships/image" Target="../media/image66.png"/><Relationship Id="rId33" Type="http://schemas.openxmlformats.org/officeDocument/2006/relationships/image" Target="../media/image74.png"/><Relationship Id="rId38" Type="http://schemas.openxmlformats.org/officeDocument/2006/relationships/image" Target="../media/image79.png"/><Relationship Id="rId20" Type="http://schemas.openxmlformats.org/officeDocument/2006/relationships/image" Target="../media/image61.png"/><Relationship Id="rId41" Type="http://schemas.openxmlformats.org/officeDocument/2006/relationships/image" Target="../media/image82.png"/></Relationships>
</file>

<file path=xl/drawings/_rels/drawing19.xml.rels><?xml version="1.0" encoding="UTF-8" standalone="yes"?>
<Relationships xmlns="http://schemas.openxmlformats.org/package/2006/relationships"><Relationship Id="rId8" Type="http://schemas.openxmlformats.org/officeDocument/2006/relationships/image" Target="../media/image93.png"/><Relationship Id="rId13" Type="http://schemas.openxmlformats.org/officeDocument/2006/relationships/image" Target="../media/image98.png"/><Relationship Id="rId3" Type="http://schemas.openxmlformats.org/officeDocument/2006/relationships/image" Target="../media/image88.png"/><Relationship Id="rId7" Type="http://schemas.openxmlformats.org/officeDocument/2006/relationships/image" Target="../media/image92.png"/><Relationship Id="rId12" Type="http://schemas.openxmlformats.org/officeDocument/2006/relationships/image" Target="../media/image97.png"/><Relationship Id="rId2" Type="http://schemas.openxmlformats.org/officeDocument/2006/relationships/image" Target="../media/image87.png"/><Relationship Id="rId1" Type="http://schemas.openxmlformats.org/officeDocument/2006/relationships/image" Target="../media/image86.png"/><Relationship Id="rId6" Type="http://schemas.openxmlformats.org/officeDocument/2006/relationships/image" Target="../media/image91.png"/><Relationship Id="rId11" Type="http://schemas.openxmlformats.org/officeDocument/2006/relationships/image" Target="../media/image96.png"/><Relationship Id="rId5" Type="http://schemas.openxmlformats.org/officeDocument/2006/relationships/image" Target="../media/image90.png"/><Relationship Id="rId10" Type="http://schemas.openxmlformats.org/officeDocument/2006/relationships/image" Target="../media/image95.png"/><Relationship Id="rId4" Type="http://schemas.openxmlformats.org/officeDocument/2006/relationships/image" Target="../media/image89.png"/><Relationship Id="rId9" Type="http://schemas.openxmlformats.org/officeDocument/2006/relationships/image" Target="../media/image94.png"/><Relationship Id="rId1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45720</xdr:colOff>
      <xdr:row>5</xdr:row>
      <xdr:rowOff>45720</xdr:rowOff>
    </xdr:from>
    <xdr:to>
      <xdr:col>12</xdr:col>
      <xdr:colOff>723900</xdr:colOff>
      <xdr:row>23</xdr:row>
      <xdr:rowOff>114300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539740" y="883920"/>
          <a:ext cx="4602480" cy="3086100"/>
        </a:xfrm>
        <a:prstGeom prst="rect">
          <a:avLst/>
        </a:prstGeom>
      </xdr:spPr>
    </xdr:pic>
    <xdr:clientData/>
  </xdr:twoCellAnchor>
  <xdr:oneCellAnchor>
    <xdr:from>
      <xdr:col>0</xdr:col>
      <xdr:colOff>198120</xdr:colOff>
      <xdr:row>5</xdr:row>
      <xdr:rowOff>129540</xdr:rowOff>
    </xdr:from>
    <xdr:ext cx="4320000" cy="2880000"/>
    <xdr:pic>
      <xdr:nvPicPr>
        <xdr:cNvPr id="5" name="image4.png" descr="Recorte de pantalla">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2" cstate="print"/>
        <a:stretch>
          <a:fillRect/>
        </a:stretch>
      </xdr:blipFill>
      <xdr:spPr>
        <a:xfrm>
          <a:off x="198120" y="967740"/>
          <a:ext cx="4320000" cy="2880000"/>
        </a:xfrm>
        <a:prstGeom prst="rect">
          <a:avLst/>
        </a:prstGeom>
        <a:noFill/>
      </xdr:spPr>
    </xdr:pic>
    <xdr:clientData fLocksWithSheet="0"/>
  </xdr:oneCellAnchor>
  <xdr:twoCellAnchor>
    <xdr:from>
      <xdr:col>4</xdr:col>
      <xdr:colOff>412376</xdr:colOff>
      <xdr:row>56</xdr:row>
      <xdr:rowOff>89647</xdr:rowOff>
    </xdr:from>
    <xdr:to>
      <xdr:col>8</xdr:col>
      <xdr:colOff>351419</xdr:colOff>
      <xdr:row>58</xdr:row>
      <xdr:rowOff>137747</xdr:rowOff>
    </xdr:to>
    <xdr:pic>
      <xdr:nvPicPr>
        <xdr:cNvPr id="4" name="image13.png">
          <a:extLst>
            <a:ext uri="{FF2B5EF4-FFF2-40B4-BE49-F238E27FC236}">
              <a16:creationId xmlns:a16="http://schemas.microsoft.com/office/drawing/2014/main" id="{00000000-0008-0000-0000-000004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01270" y="10452847"/>
          <a:ext cx="3094620" cy="397724"/>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9</xdr:col>
      <xdr:colOff>412376</xdr:colOff>
      <xdr:row>2540</xdr:row>
      <xdr:rowOff>89647</xdr:rowOff>
    </xdr:from>
    <xdr:to>
      <xdr:col>13</xdr:col>
      <xdr:colOff>351419</xdr:colOff>
      <xdr:row>2542</xdr:row>
      <xdr:rowOff>137747</xdr:rowOff>
    </xdr:to>
    <xdr:pic>
      <xdr:nvPicPr>
        <xdr:cNvPr id="2" name="image13.png">
          <a:extLst>
            <a:ext uri="{FF2B5EF4-FFF2-40B4-BE49-F238E27FC236}">
              <a16:creationId xmlns:a16="http://schemas.microsoft.com/office/drawing/2014/main" id="{00000000-0008-0000-0B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7176" y="1165680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3.xml><?xml version="1.0" encoding="utf-8"?>
<xdr:wsDr xmlns:xdr="http://schemas.openxmlformats.org/drawingml/2006/spreadsheetDrawing" xmlns:a="http://schemas.openxmlformats.org/drawingml/2006/main">
  <xdr:twoCellAnchor>
    <xdr:from>
      <xdr:col>9</xdr:col>
      <xdr:colOff>412376</xdr:colOff>
      <xdr:row>109</xdr:row>
      <xdr:rowOff>89647</xdr:rowOff>
    </xdr:from>
    <xdr:to>
      <xdr:col>13</xdr:col>
      <xdr:colOff>351419</xdr:colOff>
      <xdr:row>111</xdr:row>
      <xdr:rowOff>137747</xdr:rowOff>
    </xdr:to>
    <xdr:pic>
      <xdr:nvPicPr>
        <xdr:cNvPr id="2" name="image13.png">
          <a:extLst>
            <a:ext uri="{FF2B5EF4-FFF2-40B4-BE49-F238E27FC236}">
              <a16:creationId xmlns:a16="http://schemas.microsoft.com/office/drawing/2014/main" id="{00000000-0008-0000-0D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376" y="425016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4.xml><?xml version="1.0" encoding="utf-8"?>
<xdr:wsDr xmlns:xdr="http://schemas.openxmlformats.org/drawingml/2006/spreadsheetDrawing" xmlns:a="http://schemas.openxmlformats.org/drawingml/2006/main">
  <xdr:twoCellAnchor>
    <xdr:from>
      <xdr:col>10</xdr:col>
      <xdr:colOff>412376</xdr:colOff>
      <xdr:row>57</xdr:row>
      <xdr:rowOff>89647</xdr:rowOff>
    </xdr:from>
    <xdr:to>
      <xdr:col>14</xdr:col>
      <xdr:colOff>351419</xdr:colOff>
      <xdr:row>59</xdr:row>
      <xdr:rowOff>137747</xdr:rowOff>
    </xdr:to>
    <xdr:pic>
      <xdr:nvPicPr>
        <xdr:cNvPr id="2" name="image13.png">
          <a:extLst>
            <a:ext uri="{FF2B5EF4-FFF2-40B4-BE49-F238E27FC236}">
              <a16:creationId xmlns:a16="http://schemas.microsoft.com/office/drawing/2014/main" id="{00000000-0008-0000-02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7176" y="611706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5.xml><?xml version="1.0" encoding="utf-8"?>
<xdr:wsDr xmlns:xdr="http://schemas.openxmlformats.org/drawingml/2006/spreadsheetDrawing" xmlns:a="http://schemas.openxmlformats.org/drawingml/2006/main">
  <xdr:oneCellAnchor>
    <xdr:from>
      <xdr:col>7</xdr:col>
      <xdr:colOff>600075</xdr:colOff>
      <xdr:row>7</xdr:row>
      <xdr:rowOff>0</xdr:rowOff>
    </xdr:from>
    <xdr:ext cx="219075" cy="304800"/>
    <xdr:sp macro="" textlink="">
      <xdr:nvSpPr>
        <xdr:cNvPr id="2" name="Shape 4">
          <a:extLst>
            <a:ext uri="{FF2B5EF4-FFF2-40B4-BE49-F238E27FC236}">
              <a16:creationId xmlns:a16="http://schemas.microsoft.com/office/drawing/2014/main" id="{00000000-0008-0000-0300-000002000000}"/>
            </a:ext>
          </a:extLst>
        </xdr:cNvPr>
        <xdr:cNvSpPr txBox="1"/>
      </xdr:nvSpPr>
      <xdr:spPr>
        <a:xfrm>
          <a:off x="5467350" y="113347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xdr:from>
      <xdr:col>10</xdr:col>
      <xdr:colOff>412376</xdr:colOff>
      <xdr:row>34</xdr:row>
      <xdr:rowOff>89647</xdr:rowOff>
    </xdr:from>
    <xdr:to>
      <xdr:col>14</xdr:col>
      <xdr:colOff>351419</xdr:colOff>
      <xdr:row>36</xdr:row>
      <xdr:rowOff>137747</xdr:rowOff>
    </xdr:to>
    <xdr:pic>
      <xdr:nvPicPr>
        <xdr:cNvPr id="3" name="image13.png">
          <a:extLst>
            <a:ext uri="{FF2B5EF4-FFF2-40B4-BE49-F238E27FC236}">
              <a16:creationId xmlns:a16="http://schemas.microsoft.com/office/drawing/2014/main" id="{00000000-0008-0000-03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2296" y="1232736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6.xml><?xml version="1.0" encoding="utf-8"?>
<xdr:wsDr xmlns:xdr="http://schemas.openxmlformats.org/drawingml/2006/spreadsheetDrawing" xmlns:a="http://schemas.openxmlformats.org/drawingml/2006/main">
  <xdr:twoCellAnchor>
    <xdr:from>
      <xdr:col>4</xdr:col>
      <xdr:colOff>412376</xdr:colOff>
      <xdr:row>73</xdr:row>
      <xdr:rowOff>89647</xdr:rowOff>
    </xdr:from>
    <xdr:to>
      <xdr:col>8</xdr:col>
      <xdr:colOff>351419</xdr:colOff>
      <xdr:row>75</xdr:row>
      <xdr:rowOff>137747</xdr:rowOff>
    </xdr:to>
    <xdr:pic>
      <xdr:nvPicPr>
        <xdr:cNvPr id="2" name="image13.png">
          <a:extLst>
            <a:ext uri="{FF2B5EF4-FFF2-40B4-BE49-F238E27FC236}">
              <a16:creationId xmlns:a16="http://schemas.microsoft.com/office/drawing/2014/main" id="{00000000-0008-0000-04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74776" y="327480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7.xml><?xml version="1.0" encoding="utf-8"?>
<xdr:wsDr xmlns:xdr="http://schemas.openxmlformats.org/drawingml/2006/spreadsheetDrawing" xmlns:a="http://schemas.openxmlformats.org/drawingml/2006/main">
  <xdr:oneCellAnchor>
    <xdr:from>
      <xdr:col>10</xdr:col>
      <xdr:colOff>590550</xdr:colOff>
      <xdr:row>5</xdr:row>
      <xdr:rowOff>0</xdr:rowOff>
    </xdr:from>
    <xdr:ext cx="228600" cy="314325"/>
    <xdr:sp macro="" textlink="">
      <xdr:nvSpPr>
        <xdr:cNvPr id="2" name="Shape 7">
          <a:extLst>
            <a:ext uri="{FF2B5EF4-FFF2-40B4-BE49-F238E27FC236}">
              <a16:creationId xmlns:a16="http://schemas.microsoft.com/office/drawing/2014/main" id="{00000000-0008-0000-0500-000002000000}"/>
            </a:ext>
          </a:extLst>
        </xdr:cNvPr>
        <xdr:cNvSpPr txBox="1"/>
      </xdr:nvSpPr>
      <xdr:spPr>
        <a:xfrm>
          <a:off x="75438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590550</xdr:colOff>
      <xdr:row>5</xdr:row>
      <xdr:rowOff>0</xdr:rowOff>
    </xdr:from>
    <xdr:ext cx="228600" cy="314325"/>
    <xdr:sp macro="" textlink="">
      <xdr:nvSpPr>
        <xdr:cNvPr id="3" name="Shape 7">
          <a:extLst>
            <a:ext uri="{FF2B5EF4-FFF2-40B4-BE49-F238E27FC236}">
              <a16:creationId xmlns:a16="http://schemas.microsoft.com/office/drawing/2014/main" id="{00000000-0008-0000-0500-000003000000}"/>
            </a:ext>
          </a:extLst>
        </xdr:cNvPr>
        <xdr:cNvSpPr txBox="1"/>
      </xdr:nvSpPr>
      <xdr:spPr>
        <a:xfrm>
          <a:off x="19812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590550</xdr:colOff>
      <xdr:row>5</xdr:row>
      <xdr:rowOff>0</xdr:rowOff>
    </xdr:from>
    <xdr:ext cx="228600" cy="314325"/>
    <xdr:sp macro="" textlink="">
      <xdr:nvSpPr>
        <xdr:cNvPr id="4" name="Shape 7">
          <a:extLst>
            <a:ext uri="{FF2B5EF4-FFF2-40B4-BE49-F238E27FC236}">
              <a16:creationId xmlns:a16="http://schemas.microsoft.com/office/drawing/2014/main" id="{00000000-0008-0000-0500-000004000000}"/>
            </a:ext>
          </a:extLst>
        </xdr:cNvPr>
        <xdr:cNvSpPr txBox="1"/>
      </xdr:nvSpPr>
      <xdr:spPr>
        <a:xfrm>
          <a:off x="1981200"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590550</xdr:colOff>
      <xdr:row>5</xdr:row>
      <xdr:rowOff>0</xdr:rowOff>
    </xdr:from>
    <xdr:ext cx="228600" cy="314325"/>
    <xdr:sp macro="" textlink="">
      <xdr:nvSpPr>
        <xdr:cNvPr id="5" name="Shape 7">
          <a:extLst>
            <a:ext uri="{FF2B5EF4-FFF2-40B4-BE49-F238E27FC236}">
              <a16:creationId xmlns:a16="http://schemas.microsoft.com/office/drawing/2014/main" id="{00000000-0008-0000-0500-000005000000}"/>
            </a:ext>
          </a:extLst>
        </xdr:cNvPr>
        <xdr:cNvSpPr txBox="1"/>
      </xdr:nvSpPr>
      <xdr:spPr>
        <a:xfrm>
          <a:off x="6848475" y="809625"/>
          <a:ext cx="228600" cy="3143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xdr:from>
      <xdr:col>5</xdr:col>
      <xdr:colOff>412376</xdr:colOff>
      <xdr:row>19</xdr:row>
      <xdr:rowOff>89647</xdr:rowOff>
    </xdr:from>
    <xdr:to>
      <xdr:col>9</xdr:col>
      <xdr:colOff>351419</xdr:colOff>
      <xdr:row>21</xdr:row>
      <xdr:rowOff>137747</xdr:rowOff>
    </xdr:to>
    <xdr:pic>
      <xdr:nvPicPr>
        <xdr:cNvPr id="6" name="image13.png">
          <a:extLst>
            <a:ext uri="{FF2B5EF4-FFF2-40B4-BE49-F238E27FC236}">
              <a16:creationId xmlns:a16="http://schemas.microsoft.com/office/drawing/2014/main" id="{00000000-0008-0000-0500-00000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9816" y="644472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8.xml><?xml version="1.0" encoding="utf-8"?>
<xdr:wsDr xmlns:xdr="http://schemas.openxmlformats.org/drawingml/2006/spreadsheetDrawing" xmlns:a="http://schemas.openxmlformats.org/drawingml/2006/main">
  <xdr:twoCellAnchor>
    <xdr:from>
      <xdr:col>3</xdr:col>
      <xdr:colOff>412376</xdr:colOff>
      <xdr:row>38</xdr:row>
      <xdr:rowOff>89647</xdr:rowOff>
    </xdr:from>
    <xdr:to>
      <xdr:col>7</xdr:col>
      <xdr:colOff>351419</xdr:colOff>
      <xdr:row>40</xdr:row>
      <xdr:rowOff>137747</xdr:rowOff>
    </xdr:to>
    <xdr:pic>
      <xdr:nvPicPr>
        <xdr:cNvPr id="3" name="image13.png">
          <a:extLst>
            <a:ext uri="{FF2B5EF4-FFF2-40B4-BE49-F238E27FC236}">
              <a16:creationId xmlns:a16="http://schemas.microsoft.com/office/drawing/2014/main" id="{00000000-0008-0000-06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4856" y="863928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9.xml><?xml version="1.0" encoding="utf-8"?>
<xdr:wsDr xmlns:xdr="http://schemas.openxmlformats.org/drawingml/2006/spreadsheetDrawing" xmlns:a="http://schemas.openxmlformats.org/drawingml/2006/main">
  <xdr:oneCellAnchor>
    <xdr:from>
      <xdr:col>7</xdr:col>
      <xdr:colOff>600075</xdr:colOff>
      <xdr:row>7</xdr:row>
      <xdr:rowOff>0</xdr:rowOff>
    </xdr:from>
    <xdr:ext cx="219075" cy="304800"/>
    <xdr:sp macro="" textlink="">
      <xdr:nvSpPr>
        <xdr:cNvPr id="2" name="Shape 3">
          <a:extLst>
            <a:ext uri="{FF2B5EF4-FFF2-40B4-BE49-F238E27FC236}">
              <a16:creationId xmlns:a16="http://schemas.microsoft.com/office/drawing/2014/main" id="{00000000-0008-0000-0700-000002000000}"/>
            </a:ext>
          </a:extLst>
        </xdr:cNvPr>
        <xdr:cNvSpPr txBox="1"/>
      </xdr:nvSpPr>
      <xdr:spPr>
        <a:xfrm>
          <a:off x="5934075" y="115252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xdr:from>
      <xdr:col>1</xdr:col>
      <xdr:colOff>412376</xdr:colOff>
      <xdr:row>51</xdr:row>
      <xdr:rowOff>89647</xdr:rowOff>
    </xdr:from>
    <xdr:to>
      <xdr:col>5</xdr:col>
      <xdr:colOff>351419</xdr:colOff>
      <xdr:row>53</xdr:row>
      <xdr:rowOff>137747</xdr:rowOff>
    </xdr:to>
    <xdr:pic>
      <xdr:nvPicPr>
        <xdr:cNvPr id="3" name="image13.png">
          <a:extLst>
            <a:ext uri="{FF2B5EF4-FFF2-40B4-BE49-F238E27FC236}">
              <a16:creationId xmlns:a16="http://schemas.microsoft.com/office/drawing/2014/main" id="{00000000-0008-0000-07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4856" y="813636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0.xml><?xml version="1.0" encoding="utf-8"?>
<xdr:wsDr xmlns:xdr="http://schemas.openxmlformats.org/drawingml/2006/spreadsheetDrawing" xmlns:a="http://schemas.openxmlformats.org/drawingml/2006/main">
  <xdr:oneCellAnchor>
    <xdr:from>
      <xdr:col>7</xdr:col>
      <xdr:colOff>600075</xdr:colOff>
      <xdr:row>7</xdr:row>
      <xdr:rowOff>0</xdr:rowOff>
    </xdr:from>
    <xdr:ext cx="219075" cy="304800"/>
    <xdr:sp macro="" textlink="">
      <xdr:nvSpPr>
        <xdr:cNvPr id="2" name="Shape 3">
          <a:extLst>
            <a:ext uri="{FF2B5EF4-FFF2-40B4-BE49-F238E27FC236}">
              <a16:creationId xmlns:a16="http://schemas.microsoft.com/office/drawing/2014/main" id="{00000000-0008-0000-0800-000002000000}"/>
            </a:ext>
          </a:extLst>
        </xdr:cNvPr>
        <xdr:cNvSpPr txBox="1"/>
      </xdr:nvSpPr>
      <xdr:spPr>
        <a:xfrm>
          <a:off x="5934075" y="115252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xdr:from>
      <xdr:col>1</xdr:col>
      <xdr:colOff>412376</xdr:colOff>
      <xdr:row>48</xdr:row>
      <xdr:rowOff>89647</xdr:rowOff>
    </xdr:from>
    <xdr:to>
      <xdr:col>5</xdr:col>
      <xdr:colOff>351419</xdr:colOff>
      <xdr:row>50</xdr:row>
      <xdr:rowOff>137747</xdr:rowOff>
    </xdr:to>
    <xdr:pic>
      <xdr:nvPicPr>
        <xdr:cNvPr id="3" name="image13.png">
          <a:extLst>
            <a:ext uri="{FF2B5EF4-FFF2-40B4-BE49-F238E27FC236}">
              <a16:creationId xmlns:a16="http://schemas.microsoft.com/office/drawing/2014/main" id="{00000000-0008-0000-08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4856" y="8136367"/>
          <a:ext cx="310896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1.xml><?xml version="1.0" encoding="utf-8"?>
<xdr:wsDr xmlns:xdr="http://schemas.openxmlformats.org/drawingml/2006/spreadsheetDrawing" xmlns:a="http://schemas.openxmlformats.org/drawingml/2006/main">
  <xdr:oneCellAnchor>
    <xdr:from>
      <xdr:col>7</xdr:col>
      <xdr:colOff>600075</xdr:colOff>
      <xdr:row>7</xdr:row>
      <xdr:rowOff>0</xdr:rowOff>
    </xdr:from>
    <xdr:ext cx="219075" cy="304800"/>
    <xdr:sp macro="" textlink="">
      <xdr:nvSpPr>
        <xdr:cNvPr id="2" name="Shape 3">
          <a:extLst>
            <a:ext uri="{FF2B5EF4-FFF2-40B4-BE49-F238E27FC236}">
              <a16:creationId xmlns:a16="http://schemas.microsoft.com/office/drawing/2014/main" id="{00000000-0008-0000-0900-000002000000}"/>
            </a:ext>
          </a:extLst>
        </xdr:cNvPr>
        <xdr:cNvSpPr txBox="1"/>
      </xdr:nvSpPr>
      <xdr:spPr>
        <a:xfrm>
          <a:off x="5934075" y="1152525"/>
          <a:ext cx="219075" cy="3048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twoCellAnchor>
    <xdr:from>
      <xdr:col>1</xdr:col>
      <xdr:colOff>412376</xdr:colOff>
      <xdr:row>48</xdr:row>
      <xdr:rowOff>89647</xdr:rowOff>
    </xdr:from>
    <xdr:to>
      <xdr:col>5</xdr:col>
      <xdr:colOff>351419</xdr:colOff>
      <xdr:row>50</xdr:row>
      <xdr:rowOff>137747</xdr:rowOff>
    </xdr:to>
    <xdr:pic>
      <xdr:nvPicPr>
        <xdr:cNvPr id="3" name="image13.png">
          <a:extLst>
            <a:ext uri="{FF2B5EF4-FFF2-40B4-BE49-F238E27FC236}">
              <a16:creationId xmlns:a16="http://schemas.microsoft.com/office/drawing/2014/main" id="{00000000-0008-0000-09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11196" y="40727107"/>
          <a:ext cx="2804163" cy="44434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2.xml><?xml version="1.0" encoding="utf-8"?>
<xdr:wsDr xmlns:xdr="http://schemas.openxmlformats.org/drawingml/2006/spreadsheetDrawing" xmlns:a="http://schemas.openxmlformats.org/drawingml/2006/main">
  <xdr:twoCellAnchor>
    <xdr:from>
      <xdr:col>8</xdr:col>
      <xdr:colOff>412376</xdr:colOff>
      <xdr:row>83</xdr:row>
      <xdr:rowOff>89647</xdr:rowOff>
    </xdr:from>
    <xdr:to>
      <xdr:col>12</xdr:col>
      <xdr:colOff>351419</xdr:colOff>
      <xdr:row>85</xdr:row>
      <xdr:rowOff>137747</xdr:rowOff>
    </xdr:to>
    <xdr:pic>
      <xdr:nvPicPr>
        <xdr:cNvPr id="2" name="image13.png">
          <a:extLst>
            <a:ext uri="{FF2B5EF4-FFF2-40B4-BE49-F238E27FC236}">
              <a16:creationId xmlns:a16="http://schemas.microsoft.com/office/drawing/2014/main" id="{00000000-0008-0000-0A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216" y="517906747"/>
          <a:ext cx="3192783" cy="4291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3.xml><?xml version="1.0" encoding="utf-8"?>
<xdr:wsDr xmlns:xdr="http://schemas.openxmlformats.org/drawingml/2006/spreadsheetDrawing" xmlns:a="http://schemas.openxmlformats.org/drawingml/2006/main">
  <xdr:twoCellAnchor>
    <xdr:from>
      <xdr:col>10</xdr:col>
      <xdr:colOff>412376</xdr:colOff>
      <xdr:row>69</xdr:row>
      <xdr:rowOff>89647</xdr:rowOff>
    </xdr:from>
    <xdr:to>
      <xdr:col>14</xdr:col>
      <xdr:colOff>351419</xdr:colOff>
      <xdr:row>71</xdr:row>
      <xdr:rowOff>137747</xdr:rowOff>
    </xdr:to>
    <xdr:pic>
      <xdr:nvPicPr>
        <xdr:cNvPr id="2" name="image13.png">
          <a:extLst>
            <a:ext uri="{FF2B5EF4-FFF2-40B4-BE49-F238E27FC236}">
              <a16:creationId xmlns:a16="http://schemas.microsoft.com/office/drawing/2014/main" id="{00000000-0008-0000-0C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376" y="24808927"/>
          <a:ext cx="2880363" cy="44434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4.xml><?xml version="1.0" encoding="utf-8"?>
<xdr:wsDr xmlns:xdr="http://schemas.openxmlformats.org/drawingml/2006/spreadsheetDrawing" xmlns:a="http://schemas.openxmlformats.org/drawingml/2006/main">
  <xdr:twoCellAnchor>
    <xdr:from>
      <xdr:col>6</xdr:col>
      <xdr:colOff>412376</xdr:colOff>
      <xdr:row>24</xdr:row>
      <xdr:rowOff>89647</xdr:rowOff>
    </xdr:from>
    <xdr:to>
      <xdr:col>10</xdr:col>
      <xdr:colOff>351419</xdr:colOff>
      <xdr:row>26</xdr:row>
      <xdr:rowOff>137747</xdr:rowOff>
    </xdr:to>
    <xdr:pic>
      <xdr:nvPicPr>
        <xdr:cNvPr id="2" name="image13.png">
          <a:extLst>
            <a:ext uri="{FF2B5EF4-FFF2-40B4-BE49-F238E27FC236}">
              <a16:creationId xmlns:a16="http://schemas.microsoft.com/office/drawing/2014/main" id="{00000000-0008-0000-0E00-00000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376" y="36894247"/>
          <a:ext cx="2804163" cy="36814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5.xml><?xml version="1.0" encoding="utf-8"?>
<xdr:wsDr xmlns:xdr="http://schemas.openxmlformats.org/drawingml/2006/spreadsheetDrawing" xmlns:a="http://schemas.openxmlformats.org/drawingml/2006/main">
  <xdr:oneCellAnchor>
    <xdr:from>
      <xdr:col>16</xdr:col>
      <xdr:colOff>66675</xdr:colOff>
      <xdr:row>4</xdr:row>
      <xdr:rowOff>0</xdr:rowOff>
    </xdr:from>
    <xdr:ext cx="647700" cy="285750"/>
    <xdr:sp macro="" textlink="">
      <xdr:nvSpPr>
        <xdr:cNvPr id="9" name="Shape 9">
          <a:hlinkClick xmlns:r="http://schemas.openxmlformats.org/officeDocument/2006/relationships" r:id="rId1"/>
          <a:extLst>
            <a:ext uri="{FF2B5EF4-FFF2-40B4-BE49-F238E27FC236}">
              <a16:creationId xmlns:a16="http://schemas.microsoft.com/office/drawing/2014/main" id="{00000000-0008-0000-0F00-000009000000}"/>
            </a:ext>
          </a:extLst>
        </xdr:cNvPr>
        <xdr:cNvSpPr/>
      </xdr:nvSpPr>
      <xdr:spPr>
        <a:xfrm flipH="1">
          <a:off x="5026913" y="3641888"/>
          <a:ext cx="638175" cy="276225"/>
        </a:xfrm>
        <a:prstGeom prst="roundRect">
          <a:avLst>
            <a:gd name="adj" fmla="val 16667"/>
          </a:avLst>
        </a:prstGeom>
        <a:solidFill>
          <a:srgbClr val="00B050"/>
        </a:solidFill>
        <a:ln w="9525" cap="flat" cmpd="sng">
          <a:solidFill>
            <a:srgbClr val="000000"/>
          </a:solidFill>
          <a:prstDash val="solid"/>
          <a:round/>
          <a:headEnd type="none" w="sm" len="sm"/>
          <a:tailEnd type="none" w="sm" len="sm"/>
        </a:ln>
      </xdr:spPr>
      <xdr:txBody>
        <a:bodyPr spcFirstLastPara="1" wrap="square" lIns="18275" tIns="0" rIns="0" bIns="0" anchor="ctr" anchorCtr="0">
          <a:noAutofit/>
        </a:bodyPr>
        <a:lstStyle/>
        <a:p>
          <a:pPr marL="0" lvl="0" indent="0" algn="ctr" rtl="0">
            <a:spcBef>
              <a:spcPts val="0"/>
            </a:spcBef>
            <a:spcAft>
              <a:spcPts val="0"/>
            </a:spcAft>
            <a:buClr>
              <a:schemeClr val="lt1"/>
            </a:buClr>
            <a:buSzPts val="1000"/>
            <a:buFont typeface="Century Gothic"/>
            <a:buNone/>
          </a:pPr>
          <a:r>
            <a:rPr lang="en-US" sz="1000">
              <a:solidFill>
                <a:schemeClr val="lt1"/>
              </a:solidFill>
              <a:latin typeface="Century Gothic"/>
              <a:ea typeface="Century Gothic"/>
              <a:cs typeface="Century Gothic"/>
              <a:sym typeface="Century Gothic"/>
            </a:rPr>
            <a:t>INICIO</a:t>
          </a:r>
          <a:endParaRPr sz="1400"/>
        </a:p>
      </xdr:txBody>
    </xdr:sp>
    <xdr:clientData fLocksWithSheet="0"/>
  </xdr:oneCellAnchor>
  <xdr:twoCellAnchor>
    <xdr:from>
      <xdr:col>0</xdr:col>
      <xdr:colOff>412376</xdr:colOff>
      <xdr:row>209</xdr:row>
      <xdr:rowOff>89647</xdr:rowOff>
    </xdr:from>
    <xdr:to>
      <xdr:col>4</xdr:col>
      <xdr:colOff>351419</xdr:colOff>
      <xdr:row>211</xdr:row>
      <xdr:rowOff>137747</xdr:rowOff>
    </xdr:to>
    <xdr:pic>
      <xdr:nvPicPr>
        <xdr:cNvPr id="3" name="image13.png">
          <a:extLst>
            <a:ext uri="{FF2B5EF4-FFF2-40B4-BE49-F238E27FC236}">
              <a16:creationId xmlns:a16="http://schemas.microsoft.com/office/drawing/2014/main" id="{00000000-0008-0000-0F00-000003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14016" y="41999647"/>
          <a:ext cx="310134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6.xml><?xml version="1.0" encoding="utf-8"?>
<xdr:wsDr xmlns:xdr="http://schemas.openxmlformats.org/drawingml/2006/spreadsheetDrawing" xmlns:a="http://schemas.openxmlformats.org/drawingml/2006/main">
  <xdr:oneCellAnchor>
    <xdr:from>
      <xdr:col>9</xdr:col>
      <xdr:colOff>200025</xdr:colOff>
      <xdr:row>131</xdr:row>
      <xdr:rowOff>38100</xdr:rowOff>
    </xdr:from>
    <xdr:ext cx="1971675" cy="1428750"/>
    <xdr:pic>
      <xdr:nvPicPr>
        <xdr:cNvPr id="37" name="image4.png" descr="Recorte de pantalla">
          <a:extLst>
            <a:ext uri="{FF2B5EF4-FFF2-40B4-BE49-F238E27FC236}">
              <a16:creationId xmlns:a16="http://schemas.microsoft.com/office/drawing/2014/main" id="{00000000-0008-0000-1000-00002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95250</xdr:colOff>
      <xdr:row>245</xdr:row>
      <xdr:rowOff>47625</xdr:rowOff>
    </xdr:from>
    <xdr:ext cx="2095500" cy="1019175"/>
    <xdr:pic>
      <xdr:nvPicPr>
        <xdr:cNvPr id="38" name="image33.png" descr="Recorte de pantalla">
          <a:extLst>
            <a:ext uri="{FF2B5EF4-FFF2-40B4-BE49-F238E27FC236}">
              <a16:creationId xmlns:a16="http://schemas.microsoft.com/office/drawing/2014/main" id="{00000000-0008-0000-1000-00002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133350</xdr:colOff>
      <xdr:row>278</xdr:row>
      <xdr:rowOff>123825</xdr:rowOff>
    </xdr:from>
    <xdr:ext cx="2095500" cy="981075"/>
    <xdr:pic>
      <xdr:nvPicPr>
        <xdr:cNvPr id="39" name="image39.png" descr="Recorte de pantalla">
          <a:extLst>
            <a:ext uri="{FF2B5EF4-FFF2-40B4-BE49-F238E27FC236}">
              <a16:creationId xmlns:a16="http://schemas.microsoft.com/office/drawing/2014/main" id="{00000000-0008-0000-1000-000027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238125</xdr:colOff>
      <xdr:row>299</xdr:row>
      <xdr:rowOff>114300</xdr:rowOff>
    </xdr:from>
    <xdr:ext cx="1914525" cy="1238250"/>
    <xdr:pic>
      <xdr:nvPicPr>
        <xdr:cNvPr id="40" name="image47.png" descr="Recorte de pantalla">
          <a:extLst>
            <a:ext uri="{FF2B5EF4-FFF2-40B4-BE49-F238E27FC236}">
              <a16:creationId xmlns:a16="http://schemas.microsoft.com/office/drawing/2014/main" id="{00000000-0008-0000-1000-00002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171450</xdr:colOff>
      <xdr:row>289</xdr:row>
      <xdr:rowOff>0</xdr:rowOff>
    </xdr:from>
    <xdr:ext cx="1914525" cy="1190625"/>
    <xdr:pic>
      <xdr:nvPicPr>
        <xdr:cNvPr id="41" name="image32.png" descr="Recorte de pantalla">
          <a:extLst>
            <a:ext uri="{FF2B5EF4-FFF2-40B4-BE49-F238E27FC236}">
              <a16:creationId xmlns:a16="http://schemas.microsoft.com/office/drawing/2014/main" id="{00000000-0008-0000-1000-00002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9</xdr:col>
      <xdr:colOff>123825</xdr:colOff>
      <xdr:row>212</xdr:row>
      <xdr:rowOff>28575</xdr:rowOff>
    </xdr:from>
    <xdr:ext cx="2095500" cy="1028700"/>
    <xdr:pic>
      <xdr:nvPicPr>
        <xdr:cNvPr id="42" name="image40.png" descr="Recorte de pantalla">
          <a:extLst>
            <a:ext uri="{FF2B5EF4-FFF2-40B4-BE49-F238E27FC236}">
              <a16:creationId xmlns:a16="http://schemas.microsoft.com/office/drawing/2014/main" id="{00000000-0008-0000-1000-00002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9</xdr:col>
      <xdr:colOff>161925</xdr:colOff>
      <xdr:row>234</xdr:row>
      <xdr:rowOff>76200</xdr:rowOff>
    </xdr:from>
    <xdr:ext cx="2095500" cy="990600"/>
    <xdr:pic>
      <xdr:nvPicPr>
        <xdr:cNvPr id="43" name="image34.png" descr="Recorte de pantalla">
          <a:extLst>
            <a:ext uri="{FF2B5EF4-FFF2-40B4-BE49-F238E27FC236}">
              <a16:creationId xmlns:a16="http://schemas.microsoft.com/office/drawing/2014/main" id="{00000000-0008-0000-1000-00002B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9</xdr:col>
      <xdr:colOff>28575</xdr:colOff>
      <xdr:row>224</xdr:row>
      <xdr:rowOff>85725</xdr:rowOff>
    </xdr:from>
    <xdr:ext cx="2247900" cy="819150"/>
    <xdr:pic>
      <xdr:nvPicPr>
        <xdr:cNvPr id="44" name="image38.png" descr="Recorte de pantalla">
          <a:extLst>
            <a:ext uri="{FF2B5EF4-FFF2-40B4-BE49-F238E27FC236}">
              <a16:creationId xmlns:a16="http://schemas.microsoft.com/office/drawing/2014/main" id="{00000000-0008-0000-1000-00002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9</xdr:col>
      <xdr:colOff>104775</xdr:colOff>
      <xdr:row>344</xdr:row>
      <xdr:rowOff>161925</xdr:rowOff>
    </xdr:from>
    <xdr:ext cx="2095500" cy="904875"/>
    <xdr:pic>
      <xdr:nvPicPr>
        <xdr:cNvPr id="45" name="image41.png" descr="Recorte de pantalla">
          <a:extLst>
            <a:ext uri="{FF2B5EF4-FFF2-40B4-BE49-F238E27FC236}">
              <a16:creationId xmlns:a16="http://schemas.microsoft.com/office/drawing/2014/main" id="{00000000-0008-0000-1000-00002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9</xdr:col>
      <xdr:colOff>85725</xdr:colOff>
      <xdr:row>356</xdr:row>
      <xdr:rowOff>104775</xdr:rowOff>
    </xdr:from>
    <xdr:ext cx="2095500" cy="771525"/>
    <xdr:pic>
      <xdr:nvPicPr>
        <xdr:cNvPr id="46" name="image35.png" descr="Recorte de pantalla">
          <a:extLst>
            <a:ext uri="{FF2B5EF4-FFF2-40B4-BE49-F238E27FC236}">
              <a16:creationId xmlns:a16="http://schemas.microsoft.com/office/drawing/2014/main" id="{00000000-0008-0000-1000-00002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9</xdr:col>
      <xdr:colOff>85725</xdr:colOff>
      <xdr:row>367</xdr:row>
      <xdr:rowOff>38100</xdr:rowOff>
    </xdr:from>
    <xdr:ext cx="2095500" cy="866775"/>
    <xdr:pic>
      <xdr:nvPicPr>
        <xdr:cNvPr id="47" name="image46.png" descr="Recorte de pantalla">
          <a:extLst>
            <a:ext uri="{FF2B5EF4-FFF2-40B4-BE49-F238E27FC236}">
              <a16:creationId xmlns:a16="http://schemas.microsoft.com/office/drawing/2014/main" id="{00000000-0008-0000-1000-00002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9</xdr:col>
      <xdr:colOff>161925</xdr:colOff>
      <xdr:row>377</xdr:row>
      <xdr:rowOff>66675</xdr:rowOff>
    </xdr:from>
    <xdr:ext cx="2095500" cy="1038225"/>
    <xdr:pic>
      <xdr:nvPicPr>
        <xdr:cNvPr id="48" name="image45.png" descr="Recorte de pantalla">
          <a:extLst>
            <a:ext uri="{FF2B5EF4-FFF2-40B4-BE49-F238E27FC236}">
              <a16:creationId xmlns:a16="http://schemas.microsoft.com/office/drawing/2014/main" id="{00000000-0008-0000-1000-000030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9</xdr:col>
      <xdr:colOff>123825</xdr:colOff>
      <xdr:row>389</xdr:row>
      <xdr:rowOff>0</xdr:rowOff>
    </xdr:from>
    <xdr:ext cx="2095500" cy="828675"/>
    <xdr:pic>
      <xdr:nvPicPr>
        <xdr:cNvPr id="49" name="image43.png" descr="Recorte de pantalla">
          <a:extLst>
            <a:ext uri="{FF2B5EF4-FFF2-40B4-BE49-F238E27FC236}">
              <a16:creationId xmlns:a16="http://schemas.microsoft.com/office/drawing/2014/main" id="{00000000-0008-0000-1000-000031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9</xdr:col>
      <xdr:colOff>171450</xdr:colOff>
      <xdr:row>399</xdr:row>
      <xdr:rowOff>114300</xdr:rowOff>
    </xdr:from>
    <xdr:ext cx="2095500" cy="1009650"/>
    <xdr:pic>
      <xdr:nvPicPr>
        <xdr:cNvPr id="50" name="image37.png" descr="Recorte de pantalla">
          <a:extLst>
            <a:ext uri="{FF2B5EF4-FFF2-40B4-BE49-F238E27FC236}">
              <a16:creationId xmlns:a16="http://schemas.microsoft.com/office/drawing/2014/main" id="{00000000-0008-0000-1000-000032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9</xdr:col>
      <xdr:colOff>114300</xdr:colOff>
      <xdr:row>410</xdr:row>
      <xdr:rowOff>9525</xdr:rowOff>
    </xdr:from>
    <xdr:ext cx="2095500" cy="1133475"/>
    <xdr:pic>
      <xdr:nvPicPr>
        <xdr:cNvPr id="51" name="image42.png" descr="Recorte de pantalla">
          <a:extLst>
            <a:ext uri="{FF2B5EF4-FFF2-40B4-BE49-F238E27FC236}">
              <a16:creationId xmlns:a16="http://schemas.microsoft.com/office/drawing/2014/main" id="{00000000-0008-0000-1000-000033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9</xdr:col>
      <xdr:colOff>104775</xdr:colOff>
      <xdr:row>421</xdr:row>
      <xdr:rowOff>95250</xdr:rowOff>
    </xdr:from>
    <xdr:ext cx="2095500" cy="1009650"/>
    <xdr:pic>
      <xdr:nvPicPr>
        <xdr:cNvPr id="52" name="image55.png" descr="Recorte de pantalla">
          <a:extLst>
            <a:ext uri="{FF2B5EF4-FFF2-40B4-BE49-F238E27FC236}">
              <a16:creationId xmlns:a16="http://schemas.microsoft.com/office/drawing/2014/main" id="{00000000-0008-0000-1000-000034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9</xdr:col>
      <xdr:colOff>142875</xdr:colOff>
      <xdr:row>443</xdr:row>
      <xdr:rowOff>19050</xdr:rowOff>
    </xdr:from>
    <xdr:ext cx="2095500" cy="1095375"/>
    <xdr:pic>
      <xdr:nvPicPr>
        <xdr:cNvPr id="53" name="image44.png" descr="Recorte de pantalla">
          <a:extLst>
            <a:ext uri="{FF2B5EF4-FFF2-40B4-BE49-F238E27FC236}">
              <a16:creationId xmlns:a16="http://schemas.microsoft.com/office/drawing/2014/main" id="{00000000-0008-0000-1000-000035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9</xdr:col>
      <xdr:colOff>228600</xdr:colOff>
      <xdr:row>453</xdr:row>
      <xdr:rowOff>38100</xdr:rowOff>
    </xdr:from>
    <xdr:ext cx="1914525" cy="1400175"/>
    <xdr:pic>
      <xdr:nvPicPr>
        <xdr:cNvPr id="54" name="image48.png" descr="Recorte de pantalla">
          <a:extLst>
            <a:ext uri="{FF2B5EF4-FFF2-40B4-BE49-F238E27FC236}">
              <a16:creationId xmlns:a16="http://schemas.microsoft.com/office/drawing/2014/main" id="{00000000-0008-0000-1000-000036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9</xdr:col>
      <xdr:colOff>180975</xdr:colOff>
      <xdr:row>464</xdr:row>
      <xdr:rowOff>38100</xdr:rowOff>
    </xdr:from>
    <xdr:ext cx="1933575" cy="1400175"/>
    <xdr:pic>
      <xdr:nvPicPr>
        <xdr:cNvPr id="55" name="image50.png" descr="Recorte de pantalla">
          <a:extLst>
            <a:ext uri="{FF2B5EF4-FFF2-40B4-BE49-F238E27FC236}">
              <a16:creationId xmlns:a16="http://schemas.microsoft.com/office/drawing/2014/main" id="{00000000-0008-0000-1000-000037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9</xdr:col>
      <xdr:colOff>85725</xdr:colOff>
      <xdr:row>432</xdr:row>
      <xdr:rowOff>104775</xdr:rowOff>
    </xdr:from>
    <xdr:ext cx="2095500" cy="1019175"/>
    <xdr:pic>
      <xdr:nvPicPr>
        <xdr:cNvPr id="56" name="image51.png" descr="Recorte de pantalla">
          <a:extLst>
            <a:ext uri="{FF2B5EF4-FFF2-40B4-BE49-F238E27FC236}">
              <a16:creationId xmlns:a16="http://schemas.microsoft.com/office/drawing/2014/main" id="{00000000-0008-0000-1000-000038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9</xdr:col>
      <xdr:colOff>419100</xdr:colOff>
      <xdr:row>475</xdr:row>
      <xdr:rowOff>47625</xdr:rowOff>
    </xdr:from>
    <xdr:ext cx="1562100" cy="1400175"/>
    <xdr:pic>
      <xdr:nvPicPr>
        <xdr:cNvPr id="57" name="image84.png" descr="Recorte de pantalla">
          <a:extLst>
            <a:ext uri="{FF2B5EF4-FFF2-40B4-BE49-F238E27FC236}">
              <a16:creationId xmlns:a16="http://schemas.microsoft.com/office/drawing/2014/main" id="{00000000-0008-0000-1000-000039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9</xdr:col>
      <xdr:colOff>95250</xdr:colOff>
      <xdr:row>256</xdr:row>
      <xdr:rowOff>142875</xdr:rowOff>
    </xdr:from>
    <xdr:ext cx="2095500" cy="876300"/>
    <xdr:pic>
      <xdr:nvPicPr>
        <xdr:cNvPr id="58" name="image63.png" descr="Recorte de pantalla">
          <a:extLst>
            <a:ext uri="{FF2B5EF4-FFF2-40B4-BE49-F238E27FC236}">
              <a16:creationId xmlns:a16="http://schemas.microsoft.com/office/drawing/2014/main" id="{00000000-0008-0000-1000-00003A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9</xdr:col>
      <xdr:colOff>66675</xdr:colOff>
      <xdr:row>267</xdr:row>
      <xdr:rowOff>104775</xdr:rowOff>
    </xdr:from>
    <xdr:ext cx="2095500" cy="876300"/>
    <xdr:pic>
      <xdr:nvPicPr>
        <xdr:cNvPr id="59" name="image53.png" descr="Recorte de pantalla">
          <a:extLst>
            <a:ext uri="{FF2B5EF4-FFF2-40B4-BE49-F238E27FC236}">
              <a16:creationId xmlns:a16="http://schemas.microsoft.com/office/drawing/2014/main" id="{00000000-0008-0000-1000-00003B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0</xdr:col>
      <xdr:colOff>552450</xdr:colOff>
      <xdr:row>524</xdr:row>
      <xdr:rowOff>161925</xdr:rowOff>
    </xdr:from>
    <xdr:ext cx="1123950" cy="1438275"/>
    <xdr:pic>
      <xdr:nvPicPr>
        <xdr:cNvPr id="60" name="image103.png" descr="Recorte de pantalla">
          <a:extLst>
            <a:ext uri="{FF2B5EF4-FFF2-40B4-BE49-F238E27FC236}">
              <a16:creationId xmlns:a16="http://schemas.microsoft.com/office/drawing/2014/main" id="{00000000-0008-0000-1000-00003C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6</xdr:col>
      <xdr:colOff>276225</xdr:colOff>
      <xdr:row>525</xdr:row>
      <xdr:rowOff>0</xdr:rowOff>
    </xdr:from>
    <xdr:ext cx="1733550" cy="1514475"/>
    <xdr:pic>
      <xdr:nvPicPr>
        <xdr:cNvPr id="61" name="image56.png" descr="Recorte de pantalla">
          <a:extLst>
            <a:ext uri="{FF2B5EF4-FFF2-40B4-BE49-F238E27FC236}">
              <a16:creationId xmlns:a16="http://schemas.microsoft.com/office/drawing/2014/main" id="{00000000-0008-0000-1000-00003D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0</xdr:col>
      <xdr:colOff>342900</xdr:colOff>
      <xdr:row>540</xdr:row>
      <xdr:rowOff>57150</xdr:rowOff>
    </xdr:from>
    <xdr:ext cx="1733550" cy="1647825"/>
    <xdr:pic>
      <xdr:nvPicPr>
        <xdr:cNvPr id="62" name="image60.png" descr="Recorte de pantalla">
          <a:extLst>
            <a:ext uri="{FF2B5EF4-FFF2-40B4-BE49-F238E27FC236}">
              <a16:creationId xmlns:a16="http://schemas.microsoft.com/office/drawing/2014/main" id="{00000000-0008-0000-1000-00003E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9</xdr:col>
      <xdr:colOff>85725</xdr:colOff>
      <xdr:row>143</xdr:row>
      <xdr:rowOff>142875</xdr:rowOff>
    </xdr:from>
    <xdr:ext cx="2190750" cy="742950"/>
    <xdr:pic>
      <xdr:nvPicPr>
        <xdr:cNvPr id="94" name="image86.png" descr="Recorte de pantalla">
          <a:extLst>
            <a:ext uri="{FF2B5EF4-FFF2-40B4-BE49-F238E27FC236}">
              <a16:creationId xmlns:a16="http://schemas.microsoft.com/office/drawing/2014/main" id="{00000000-0008-0000-1000-00005E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9</xdr:col>
      <xdr:colOff>114300</xdr:colOff>
      <xdr:row>181</xdr:row>
      <xdr:rowOff>104775</xdr:rowOff>
    </xdr:from>
    <xdr:ext cx="2028825" cy="742950"/>
    <xdr:pic>
      <xdr:nvPicPr>
        <xdr:cNvPr id="95" name="image86.png" descr="Recorte de pantalla">
          <a:extLst>
            <a:ext uri="{FF2B5EF4-FFF2-40B4-BE49-F238E27FC236}">
              <a16:creationId xmlns:a16="http://schemas.microsoft.com/office/drawing/2014/main" id="{00000000-0008-0000-1000-00005F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9</xdr:col>
      <xdr:colOff>104775</xdr:colOff>
      <xdr:row>509</xdr:row>
      <xdr:rowOff>9525</xdr:rowOff>
    </xdr:from>
    <xdr:ext cx="2190750" cy="1133475"/>
    <xdr:pic>
      <xdr:nvPicPr>
        <xdr:cNvPr id="100" name="image97.png" descr="Recorte de pantalla">
          <a:extLst>
            <a:ext uri="{FF2B5EF4-FFF2-40B4-BE49-F238E27FC236}">
              <a16:creationId xmlns:a16="http://schemas.microsoft.com/office/drawing/2014/main" id="{00000000-0008-0000-1000-000064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9</xdr:col>
      <xdr:colOff>85725</xdr:colOff>
      <xdr:row>497</xdr:row>
      <xdr:rowOff>114300</xdr:rowOff>
    </xdr:from>
    <xdr:ext cx="2190750" cy="1219200"/>
    <xdr:pic>
      <xdr:nvPicPr>
        <xdr:cNvPr id="101" name="image101.png" descr="Recorte de pantalla">
          <a:extLst>
            <a:ext uri="{FF2B5EF4-FFF2-40B4-BE49-F238E27FC236}">
              <a16:creationId xmlns:a16="http://schemas.microsoft.com/office/drawing/2014/main" id="{00000000-0008-0000-1000-000065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9</xdr:col>
      <xdr:colOff>495300</xdr:colOff>
      <xdr:row>486</xdr:row>
      <xdr:rowOff>104775</xdr:rowOff>
    </xdr:from>
    <xdr:ext cx="1343025" cy="1285875"/>
    <xdr:pic>
      <xdr:nvPicPr>
        <xdr:cNvPr id="102" name="image107.png">
          <a:extLst>
            <a:ext uri="{FF2B5EF4-FFF2-40B4-BE49-F238E27FC236}">
              <a16:creationId xmlns:a16="http://schemas.microsoft.com/office/drawing/2014/main" id="{00000000-0008-0000-1000-000066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9</xdr:col>
      <xdr:colOff>47625</xdr:colOff>
      <xdr:row>153</xdr:row>
      <xdr:rowOff>76200</xdr:rowOff>
    </xdr:from>
    <xdr:ext cx="2200275" cy="1247775"/>
    <xdr:pic>
      <xdr:nvPicPr>
        <xdr:cNvPr id="124" name="image112.png" descr="Recorte de pantalla">
          <a:extLst>
            <a:ext uri="{FF2B5EF4-FFF2-40B4-BE49-F238E27FC236}">
              <a16:creationId xmlns:a16="http://schemas.microsoft.com/office/drawing/2014/main" id="{00000000-0008-0000-1000-00007C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9</xdr:col>
      <xdr:colOff>114300</xdr:colOff>
      <xdr:row>171</xdr:row>
      <xdr:rowOff>47625</xdr:rowOff>
    </xdr:from>
    <xdr:ext cx="2057400" cy="1114425"/>
    <xdr:pic>
      <xdr:nvPicPr>
        <xdr:cNvPr id="125" name="image112.png" descr="Recorte de pantalla">
          <a:extLst>
            <a:ext uri="{FF2B5EF4-FFF2-40B4-BE49-F238E27FC236}">
              <a16:creationId xmlns:a16="http://schemas.microsoft.com/office/drawing/2014/main" id="{00000000-0008-0000-1000-00007D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9</xdr:col>
      <xdr:colOff>66675</xdr:colOff>
      <xdr:row>189</xdr:row>
      <xdr:rowOff>104775</xdr:rowOff>
    </xdr:from>
    <xdr:ext cx="2114550" cy="1219200"/>
    <xdr:pic>
      <xdr:nvPicPr>
        <xdr:cNvPr id="126" name="image115.png" descr="Recorte de pantalla">
          <a:extLst>
            <a:ext uri="{FF2B5EF4-FFF2-40B4-BE49-F238E27FC236}">
              <a16:creationId xmlns:a16="http://schemas.microsoft.com/office/drawing/2014/main" id="{00000000-0008-0000-1000-00007E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9</xdr:col>
      <xdr:colOff>114300</xdr:colOff>
      <xdr:row>200</xdr:row>
      <xdr:rowOff>47625</xdr:rowOff>
    </xdr:from>
    <xdr:ext cx="2105025" cy="1276350"/>
    <xdr:pic>
      <xdr:nvPicPr>
        <xdr:cNvPr id="127" name="image117.png" descr="Recorte de pantalla">
          <a:extLst>
            <a:ext uri="{FF2B5EF4-FFF2-40B4-BE49-F238E27FC236}">
              <a16:creationId xmlns:a16="http://schemas.microsoft.com/office/drawing/2014/main" id="{00000000-0008-0000-1000-00007F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twoCellAnchor editAs="oneCell">
    <xdr:from>
      <xdr:col>9</xdr:col>
      <xdr:colOff>129540</xdr:colOff>
      <xdr:row>8</xdr:row>
      <xdr:rowOff>30480</xdr:rowOff>
    </xdr:from>
    <xdr:to>
      <xdr:col>11</xdr:col>
      <xdr:colOff>719820</xdr:colOff>
      <xdr:row>14</xdr:row>
      <xdr:rowOff>114329</xdr:rowOff>
    </xdr:to>
    <xdr:pic>
      <xdr:nvPicPr>
        <xdr:cNvPr id="137" name="Imagen 136">
          <a:extLst>
            <a:ext uri="{FF2B5EF4-FFF2-40B4-BE49-F238E27FC236}">
              <a16:creationId xmlns:a16="http://schemas.microsoft.com/office/drawing/2014/main" id="{00000000-0008-0000-1000-000089000000}"/>
            </a:ext>
          </a:extLst>
        </xdr:cNvPr>
        <xdr:cNvPicPr>
          <a:picLocks noChangeAspect="1"/>
        </xdr:cNvPicPr>
      </xdr:nvPicPr>
      <xdr:blipFill>
        <a:blip xmlns:r="http://schemas.openxmlformats.org/officeDocument/2006/relationships" r:embed="rId34"/>
        <a:stretch>
          <a:fillRect/>
        </a:stretch>
      </xdr:blipFill>
      <xdr:spPr>
        <a:xfrm>
          <a:off x="7193280" y="1310640"/>
          <a:ext cx="2160000" cy="1043969"/>
        </a:xfrm>
        <a:prstGeom prst="rect">
          <a:avLst/>
        </a:prstGeom>
      </xdr:spPr>
    </xdr:pic>
    <xdr:clientData/>
  </xdr:twoCellAnchor>
  <xdr:twoCellAnchor editAs="oneCell">
    <xdr:from>
      <xdr:col>9</xdr:col>
      <xdr:colOff>129540</xdr:colOff>
      <xdr:row>19</xdr:row>
      <xdr:rowOff>22860</xdr:rowOff>
    </xdr:from>
    <xdr:to>
      <xdr:col>11</xdr:col>
      <xdr:colOff>719820</xdr:colOff>
      <xdr:row>25</xdr:row>
      <xdr:rowOff>38910</xdr:rowOff>
    </xdr:to>
    <xdr:pic>
      <xdr:nvPicPr>
        <xdr:cNvPr id="138" name="Imagen 137">
          <a:extLst>
            <a:ext uri="{FF2B5EF4-FFF2-40B4-BE49-F238E27FC236}">
              <a16:creationId xmlns:a16="http://schemas.microsoft.com/office/drawing/2014/main" id="{00000000-0008-0000-1000-00008A000000}"/>
            </a:ext>
          </a:extLst>
        </xdr:cNvPr>
        <xdr:cNvPicPr>
          <a:picLocks noChangeAspect="1"/>
        </xdr:cNvPicPr>
      </xdr:nvPicPr>
      <xdr:blipFill>
        <a:blip xmlns:r="http://schemas.openxmlformats.org/officeDocument/2006/relationships" r:embed="rId35"/>
        <a:stretch>
          <a:fillRect/>
        </a:stretch>
      </xdr:blipFill>
      <xdr:spPr>
        <a:xfrm>
          <a:off x="7193280" y="3063240"/>
          <a:ext cx="2160000" cy="976170"/>
        </a:xfrm>
        <a:prstGeom prst="rect">
          <a:avLst/>
        </a:prstGeom>
      </xdr:spPr>
    </xdr:pic>
    <xdr:clientData/>
  </xdr:twoCellAnchor>
  <xdr:twoCellAnchor editAs="oneCell">
    <xdr:from>
      <xdr:col>9</xdr:col>
      <xdr:colOff>106680</xdr:colOff>
      <xdr:row>29</xdr:row>
      <xdr:rowOff>30480</xdr:rowOff>
    </xdr:from>
    <xdr:to>
      <xdr:col>11</xdr:col>
      <xdr:colOff>696960</xdr:colOff>
      <xdr:row>37</xdr:row>
      <xdr:rowOff>125482</xdr:rowOff>
    </xdr:to>
    <xdr:pic>
      <xdr:nvPicPr>
        <xdr:cNvPr id="139" name="Imagen 138">
          <a:extLst>
            <a:ext uri="{FF2B5EF4-FFF2-40B4-BE49-F238E27FC236}">
              <a16:creationId xmlns:a16="http://schemas.microsoft.com/office/drawing/2014/main" id="{00000000-0008-0000-1000-00008B000000}"/>
            </a:ext>
          </a:extLst>
        </xdr:cNvPr>
        <xdr:cNvPicPr>
          <a:picLocks noChangeAspect="1"/>
        </xdr:cNvPicPr>
      </xdr:nvPicPr>
      <xdr:blipFill>
        <a:blip xmlns:r="http://schemas.openxmlformats.org/officeDocument/2006/relationships" r:embed="rId36"/>
        <a:stretch>
          <a:fillRect/>
        </a:stretch>
      </xdr:blipFill>
      <xdr:spPr>
        <a:xfrm>
          <a:off x="7170420" y="4671060"/>
          <a:ext cx="2160000" cy="1375162"/>
        </a:xfrm>
        <a:prstGeom prst="rect">
          <a:avLst/>
        </a:prstGeom>
      </xdr:spPr>
    </xdr:pic>
    <xdr:clientData/>
  </xdr:twoCellAnchor>
  <xdr:twoCellAnchor editAs="oneCell">
    <xdr:from>
      <xdr:col>9</xdr:col>
      <xdr:colOff>114300</xdr:colOff>
      <xdr:row>40</xdr:row>
      <xdr:rowOff>38100</xdr:rowOff>
    </xdr:from>
    <xdr:to>
      <xdr:col>11</xdr:col>
      <xdr:colOff>704580</xdr:colOff>
      <xdr:row>48</xdr:row>
      <xdr:rowOff>113496</xdr:rowOff>
    </xdr:to>
    <xdr:pic>
      <xdr:nvPicPr>
        <xdr:cNvPr id="140" name="Imagen 139">
          <a:extLst>
            <a:ext uri="{FF2B5EF4-FFF2-40B4-BE49-F238E27FC236}">
              <a16:creationId xmlns:a16="http://schemas.microsoft.com/office/drawing/2014/main" id="{00000000-0008-0000-1000-00008C000000}"/>
            </a:ext>
          </a:extLst>
        </xdr:cNvPr>
        <xdr:cNvPicPr>
          <a:picLocks noChangeAspect="1"/>
        </xdr:cNvPicPr>
      </xdr:nvPicPr>
      <xdr:blipFill>
        <a:blip xmlns:r="http://schemas.openxmlformats.org/officeDocument/2006/relationships" r:embed="rId37"/>
        <a:stretch>
          <a:fillRect/>
        </a:stretch>
      </xdr:blipFill>
      <xdr:spPr>
        <a:xfrm>
          <a:off x="7178040" y="6438900"/>
          <a:ext cx="2160000" cy="1355556"/>
        </a:xfrm>
        <a:prstGeom prst="rect">
          <a:avLst/>
        </a:prstGeom>
      </xdr:spPr>
    </xdr:pic>
    <xdr:clientData/>
  </xdr:twoCellAnchor>
  <xdr:oneCellAnchor>
    <xdr:from>
      <xdr:col>9</xdr:col>
      <xdr:colOff>106680</xdr:colOff>
      <xdr:row>51</xdr:row>
      <xdr:rowOff>38100</xdr:rowOff>
    </xdr:from>
    <xdr:ext cx="2160000" cy="1357283"/>
    <xdr:pic>
      <xdr:nvPicPr>
        <xdr:cNvPr id="141" name="Imagen 140">
          <a:extLst>
            <a:ext uri="{FF2B5EF4-FFF2-40B4-BE49-F238E27FC236}">
              <a16:creationId xmlns:a16="http://schemas.microsoft.com/office/drawing/2014/main" id="{00000000-0008-0000-1000-00008D000000}"/>
            </a:ext>
          </a:extLst>
        </xdr:cNvPr>
        <xdr:cNvPicPr>
          <a:picLocks noChangeAspect="1"/>
        </xdr:cNvPicPr>
      </xdr:nvPicPr>
      <xdr:blipFill>
        <a:blip xmlns:r="http://schemas.openxmlformats.org/officeDocument/2006/relationships" r:embed="rId38"/>
        <a:stretch>
          <a:fillRect/>
        </a:stretch>
      </xdr:blipFill>
      <xdr:spPr>
        <a:xfrm>
          <a:off x="7170420" y="8199120"/>
          <a:ext cx="2160000" cy="1357283"/>
        </a:xfrm>
        <a:prstGeom prst="rect">
          <a:avLst/>
        </a:prstGeom>
      </xdr:spPr>
    </xdr:pic>
    <xdr:clientData/>
  </xdr:oneCellAnchor>
  <xdr:twoCellAnchor editAs="oneCell">
    <xdr:from>
      <xdr:col>9</xdr:col>
      <xdr:colOff>106680</xdr:colOff>
      <xdr:row>62</xdr:row>
      <xdr:rowOff>137160</xdr:rowOff>
    </xdr:from>
    <xdr:to>
      <xdr:col>11</xdr:col>
      <xdr:colOff>696960</xdr:colOff>
      <xdr:row>70</xdr:row>
      <xdr:rowOff>21375</xdr:rowOff>
    </xdr:to>
    <xdr:pic>
      <xdr:nvPicPr>
        <xdr:cNvPr id="142" name="Imagen 141">
          <a:extLst>
            <a:ext uri="{FF2B5EF4-FFF2-40B4-BE49-F238E27FC236}">
              <a16:creationId xmlns:a16="http://schemas.microsoft.com/office/drawing/2014/main" id="{00000000-0008-0000-1000-00008E000000}"/>
            </a:ext>
          </a:extLst>
        </xdr:cNvPr>
        <xdr:cNvPicPr>
          <a:picLocks noChangeAspect="1"/>
        </xdr:cNvPicPr>
      </xdr:nvPicPr>
      <xdr:blipFill>
        <a:blip xmlns:r="http://schemas.openxmlformats.org/officeDocument/2006/relationships" r:embed="rId39"/>
        <a:stretch>
          <a:fillRect/>
        </a:stretch>
      </xdr:blipFill>
      <xdr:spPr>
        <a:xfrm>
          <a:off x="7170420" y="10058400"/>
          <a:ext cx="2160000" cy="1164375"/>
        </a:xfrm>
        <a:prstGeom prst="rect">
          <a:avLst/>
        </a:prstGeom>
      </xdr:spPr>
    </xdr:pic>
    <xdr:clientData/>
  </xdr:twoCellAnchor>
  <xdr:twoCellAnchor>
    <xdr:from>
      <xdr:col>4</xdr:col>
      <xdr:colOff>412376</xdr:colOff>
      <xdr:row>610</xdr:row>
      <xdr:rowOff>89647</xdr:rowOff>
    </xdr:from>
    <xdr:to>
      <xdr:col>8</xdr:col>
      <xdr:colOff>351419</xdr:colOff>
      <xdr:row>612</xdr:row>
      <xdr:rowOff>137747</xdr:rowOff>
    </xdr:to>
    <xdr:pic>
      <xdr:nvPicPr>
        <xdr:cNvPr id="63" name="image13.png">
          <a:extLst>
            <a:ext uri="{FF2B5EF4-FFF2-40B4-BE49-F238E27FC236}">
              <a16:creationId xmlns:a16="http://schemas.microsoft.com/office/drawing/2014/main" id="{00000000-0008-0000-1000-00003F000000}"/>
            </a:ext>
          </a:extLst>
        </xdr:cNvPr>
        <xdr:cNvPicPr>
          <a:picLocks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5914016" y="41999647"/>
          <a:ext cx="310134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577649</xdr:colOff>
      <xdr:row>2</xdr:row>
      <xdr:rowOff>68035</xdr:rowOff>
    </xdr:from>
    <xdr:to>
      <xdr:col>6</xdr:col>
      <xdr:colOff>415292</xdr:colOff>
      <xdr:row>20</xdr:row>
      <xdr:rowOff>82463</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rot="16200000">
          <a:off x="1101578" y="-125435"/>
          <a:ext cx="2988561" cy="4036419"/>
        </a:xfrm>
        <a:prstGeom prst="rect">
          <a:avLst/>
        </a:prstGeom>
      </xdr:spPr>
    </xdr:pic>
    <xdr:clientData/>
  </xdr:twoCellAnchor>
  <xdr:twoCellAnchor>
    <xdr:from>
      <xdr:col>0</xdr:col>
      <xdr:colOff>412376</xdr:colOff>
      <xdr:row>220</xdr:row>
      <xdr:rowOff>89647</xdr:rowOff>
    </xdr:from>
    <xdr:to>
      <xdr:col>4</xdr:col>
      <xdr:colOff>351419</xdr:colOff>
      <xdr:row>222</xdr:row>
      <xdr:rowOff>137747</xdr:rowOff>
    </xdr:to>
    <xdr:pic>
      <xdr:nvPicPr>
        <xdr:cNvPr id="3" name="image13.png">
          <a:extLst>
            <a:ext uri="{FF2B5EF4-FFF2-40B4-BE49-F238E27FC236}">
              <a16:creationId xmlns:a16="http://schemas.microsoft.com/office/drawing/2014/main" id="{00000000-0008-0000-1100-000003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06396" y="101565187"/>
          <a:ext cx="3078483" cy="4291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8.xml><?xml version="1.0" encoding="utf-8"?>
<xdr:wsDr xmlns:xdr="http://schemas.openxmlformats.org/drawingml/2006/spreadsheetDrawing" xmlns:a="http://schemas.openxmlformats.org/drawingml/2006/main">
  <xdr:oneCellAnchor>
    <xdr:from>
      <xdr:col>9</xdr:col>
      <xdr:colOff>76200</xdr:colOff>
      <xdr:row>100</xdr:row>
      <xdr:rowOff>161925</xdr:rowOff>
    </xdr:from>
    <xdr:ext cx="2114550" cy="628650"/>
    <xdr:pic>
      <xdr:nvPicPr>
        <xdr:cNvPr id="2" name="image202.png">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581025</xdr:colOff>
      <xdr:row>32</xdr:row>
      <xdr:rowOff>38100</xdr:rowOff>
    </xdr:from>
    <xdr:ext cx="1343025" cy="1362075"/>
    <xdr:pic>
      <xdr:nvPicPr>
        <xdr:cNvPr id="3" name="image107.png">
          <a:extLst>
            <a:ext uri="{FF2B5EF4-FFF2-40B4-BE49-F238E27FC236}">
              <a16:creationId xmlns:a16="http://schemas.microsoft.com/office/drawing/2014/main" id="{00000000-0008-0000-1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28575</xdr:colOff>
      <xdr:row>44</xdr:row>
      <xdr:rowOff>47625</xdr:rowOff>
    </xdr:from>
    <xdr:ext cx="2152650" cy="981075"/>
    <xdr:pic>
      <xdr:nvPicPr>
        <xdr:cNvPr id="4" name="image205.png">
          <a:extLst>
            <a:ext uri="{FF2B5EF4-FFF2-40B4-BE49-F238E27FC236}">
              <a16:creationId xmlns:a16="http://schemas.microsoft.com/office/drawing/2014/main" id="{00000000-0008-0000-1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295275</xdr:colOff>
      <xdr:row>66</xdr:row>
      <xdr:rowOff>38100</xdr:rowOff>
    </xdr:from>
    <xdr:ext cx="1628775" cy="1362075"/>
    <xdr:pic>
      <xdr:nvPicPr>
        <xdr:cNvPr id="5" name="image196.png">
          <a:extLst>
            <a:ext uri="{FF2B5EF4-FFF2-40B4-BE49-F238E27FC236}">
              <a16:creationId xmlns:a16="http://schemas.microsoft.com/office/drawing/2014/main" id="{00000000-0008-0000-1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276225</xdr:colOff>
      <xdr:row>55</xdr:row>
      <xdr:rowOff>28575</xdr:rowOff>
    </xdr:from>
    <xdr:ext cx="1790700" cy="1362075"/>
    <xdr:pic>
      <xdr:nvPicPr>
        <xdr:cNvPr id="6" name="image194.png">
          <a:extLst>
            <a:ext uri="{FF2B5EF4-FFF2-40B4-BE49-F238E27FC236}">
              <a16:creationId xmlns:a16="http://schemas.microsoft.com/office/drawing/2014/main" id="{00000000-0008-0000-1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9</xdr:col>
      <xdr:colOff>600075</xdr:colOff>
      <xdr:row>103</xdr:row>
      <xdr:rowOff>57150</xdr:rowOff>
    </xdr:from>
    <xdr:ext cx="352425" cy="171450"/>
    <xdr:pic>
      <xdr:nvPicPr>
        <xdr:cNvPr id="7" name="image191.png">
          <a:extLst>
            <a:ext uri="{FF2B5EF4-FFF2-40B4-BE49-F238E27FC236}">
              <a16:creationId xmlns:a16="http://schemas.microsoft.com/office/drawing/2014/main" id="{00000000-0008-0000-12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9</xdr:col>
      <xdr:colOff>419100</xdr:colOff>
      <xdr:row>88</xdr:row>
      <xdr:rowOff>28575</xdr:rowOff>
    </xdr:from>
    <xdr:ext cx="1381125" cy="1362075"/>
    <xdr:pic>
      <xdr:nvPicPr>
        <xdr:cNvPr id="8" name="image107.png">
          <a:extLst>
            <a:ext uri="{FF2B5EF4-FFF2-40B4-BE49-F238E27FC236}">
              <a16:creationId xmlns:a16="http://schemas.microsoft.com/office/drawing/2014/main" id="{00000000-0008-0000-12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47625</xdr:colOff>
      <xdr:row>78</xdr:row>
      <xdr:rowOff>114300</xdr:rowOff>
    </xdr:from>
    <xdr:ext cx="2114550" cy="628650"/>
    <xdr:pic>
      <xdr:nvPicPr>
        <xdr:cNvPr id="9" name="image202.png">
          <a:extLst>
            <a:ext uri="{FF2B5EF4-FFF2-40B4-BE49-F238E27FC236}">
              <a16:creationId xmlns:a16="http://schemas.microsoft.com/office/drawing/2014/main" id="{00000000-0008-0000-12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57150</xdr:colOff>
      <xdr:row>81</xdr:row>
      <xdr:rowOff>0</xdr:rowOff>
    </xdr:from>
    <xdr:ext cx="352425" cy="190500"/>
    <xdr:pic>
      <xdr:nvPicPr>
        <xdr:cNvPr id="10" name="image192.png">
          <a:extLst>
            <a:ext uri="{FF2B5EF4-FFF2-40B4-BE49-F238E27FC236}">
              <a16:creationId xmlns:a16="http://schemas.microsoft.com/office/drawing/2014/main" id="{00000000-0008-0000-1200-00000A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9</xdr:col>
      <xdr:colOff>257175</xdr:colOff>
      <xdr:row>113</xdr:row>
      <xdr:rowOff>38100</xdr:rowOff>
    </xdr:from>
    <xdr:ext cx="1828800" cy="1371600"/>
    <xdr:pic>
      <xdr:nvPicPr>
        <xdr:cNvPr id="50" name="image223.png" descr="Recorte de pantalla">
          <a:extLst>
            <a:ext uri="{FF2B5EF4-FFF2-40B4-BE49-F238E27FC236}">
              <a16:creationId xmlns:a16="http://schemas.microsoft.com/office/drawing/2014/main" id="{00000000-0008-0000-1200-000032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9</xdr:col>
      <xdr:colOff>419100</xdr:colOff>
      <xdr:row>124</xdr:row>
      <xdr:rowOff>57150</xdr:rowOff>
    </xdr:from>
    <xdr:ext cx="1485900" cy="1304925"/>
    <xdr:pic>
      <xdr:nvPicPr>
        <xdr:cNvPr id="51" name="image227.png" descr="Recorte de pantalla">
          <a:extLst>
            <a:ext uri="{FF2B5EF4-FFF2-40B4-BE49-F238E27FC236}">
              <a16:creationId xmlns:a16="http://schemas.microsoft.com/office/drawing/2014/main" id="{00000000-0008-0000-1200-000033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9</xdr:col>
      <xdr:colOff>428625</xdr:colOff>
      <xdr:row>135</xdr:row>
      <xdr:rowOff>95250</xdr:rowOff>
    </xdr:from>
    <xdr:ext cx="1485900" cy="1257300"/>
    <xdr:pic>
      <xdr:nvPicPr>
        <xdr:cNvPr id="52" name="image231.png" descr="Recorte de pantalla">
          <a:extLst>
            <a:ext uri="{FF2B5EF4-FFF2-40B4-BE49-F238E27FC236}">
              <a16:creationId xmlns:a16="http://schemas.microsoft.com/office/drawing/2014/main" id="{00000000-0008-0000-1200-000034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9</xdr:col>
      <xdr:colOff>419100</xdr:colOff>
      <xdr:row>147</xdr:row>
      <xdr:rowOff>0</xdr:rowOff>
    </xdr:from>
    <xdr:ext cx="1485900" cy="1152525"/>
    <xdr:pic>
      <xdr:nvPicPr>
        <xdr:cNvPr id="53" name="image236.png" descr="Recorte de pantalla">
          <a:extLst>
            <a:ext uri="{FF2B5EF4-FFF2-40B4-BE49-F238E27FC236}">
              <a16:creationId xmlns:a16="http://schemas.microsoft.com/office/drawing/2014/main" id="{00000000-0008-0000-1200-000035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9</xdr:col>
      <xdr:colOff>85725</xdr:colOff>
      <xdr:row>157</xdr:row>
      <xdr:rowOff>152400</xdr:rowOff>
    </xdr:from>
    <xdr:ext cx="2190750" cy="1200150"/>
    <xdr:pic>
      <xdr:nvPicPr>
        <xdr:cNvPr id="54" name="image232.png" descr="Recorte de pantalla">
          <a:extLst>
            <a:ext uri="{FF2B5EF4-FFF2-40B4-BE49-F238E27FC236}">
              <a16:creationId xmlns:a16="http://schemas.microsoft.com/office/drawing/2014/main" id="{00000000-0008-0000-1200-000036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9</xdr:col>
      <xdr:colOff>76200</xdr:colOff>
      <xdr:row>169</xdr:row>
      <xdr:rowOff>133350</xdr:rowOff>
    </xdr:from>
    <xdr:ext cx="2190750" cy="800100"/>
    <xdr:pic>
      <xdr:nvPicPr>
        <xdr:cNvPr id="55" name="image239.png" descr="Recorte de pantalla">
          <a:extLst>
            <a:ext uri="{FF2B5EF4-FFF2-40B4-BE49-F238E27FC236}">
              <a16:creationId xmlns:a16="http://schemas.microsoft.com/office/drawing/2014/main" id="{00000000-0008-0000-1200-000037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9</xdr:col>
      <xdr:colOff>333375</xdr:colOff>
      <xdr:row>179</xdr:row>
      <xdr:rowOff>76200</xdr:rowOff>
    </xdr:from>
    <xdr:ext cx="1657350" cy="1333500"/>
    <xdr:pic>
      <xdr:nvPicPr>
        <xdr:cNvPr id="56" name="image233.png" descr="Recorte de pantalla">
          <a:extLst>
            <a:ext uri="{FF2B5EF4-FFF2-40B4-BE49-F238E27FC236}">
              <a16:creationId xmlns:a16="http://schemas.microsoft.com/office/drawing/2014/main" id="{00000000-0008-0000-1200-000038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9</xdr:col>
      <xdr:colOff>476250</xdr:colOff>
      <xdr:row>190</xdr:row>
      <xdr:rowOff>19050</xdr:rowOff>
    </xdr:from>
    <xdr:ext cx="1485900" cy="1371600"/>
    <xdr:pic>
      <xdr:nvPicPr>
        <xdr:cNvPr id="57" name="image234.png" descr="Recorte de pantalla">
          <a:extLst>
            <a:ext uri="{FF2B5EF4-FFF2-40B4-BE49-F238E27FC236}">
              <a16:creationId xmlns:a16="http://schemas.microsoft.com/office/drawing/2014/main" id="{00000000-0008-0000-1200-000039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9</xdr:col>
      <xdr:colOff>257175</xdr:colOff>
      <xdr:row>201</xdr:row>
      <xdr:rowOff>95250</xdr:rowOff>
    </xdr:from>
    <xdr:ext cx="1828800" cy="1266825"/>
    <xdr:pic>
      <xdr:nvPicPr>
        <xdr:cNvPr id="58" name="image246.png" descr="Recorte de pantalla">
          <a:extLst>
            <a:ext uri="{FF2B5EF4-FFF2-40B4-BE49-F238E27FC236}">
              <a16:creationId xmlns:a16="http://schemas.microsoft.com/office/drawing/2014/main" id="{00000000-0008-0000-1200-00003A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9</xdr:col>
      <xdr:colOff>161925</xdr:colOff>
      <xdr:row>215</xdr:row>
      <xdr:rowOff>85725</xdr:rowOff>
    </xdr:from>
    <xdr:ext cx="1828800" cy="1314450"/>
    <xdr:pic>
      <xdr:nvPicPr>
        <xdr:cNvPr id="61" name="image263.png" descr="Recorte de pantalla">
          <a:extLst>
            <a:ext uri="{FF2B5EF4-FFF2-40B4-BE49-F238E27FC236}">
              <a16:creationId xmlns:a16="http://schemas.microsoft.com/office/drawing/2014/main" id="{00000000-0008-0000-1200-00003D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9</xdr:col>
      <xdr:colOff>247650</xdr:colOff>
      <xdr:row>226</xdr:row>
      <xdr:rowOff>28575</xdr:rowOff>
    </xdr:from>
    <xdr:ext cx="1828800" cy="1409700"/>
    <xdr:pic>
      <xdr:nvPicPr>
        <xdr:cNvPr id="62" name="image235.png" descr="Recorte de pantalla">
          <a:extLst>
            <a:ext uri="{FF2B5EF4-FFF2-40B4-BE49-F238E27FC236}">
              <a16:creationId xmlns:a16="http://schemas.microsoft.com/office/drawing/2014/main" id="{00000000-0008-0000-1200-00003E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9</xdr:col>
      <xdr:colOff>180975</xdr:colOff>
      <xdr:row>237</xdr:row>
      <xdr:rowOff>38100</xdr:rowOff>
    </xdr:from>
    <xdr:ext cx="1828800" cy="1400175"/>
    <xdr:pic>
      <xdr:nvPicPr>
        <xdr:cNvPr id="63" name="image238.png" descr="Recorte de pantalla">
          <a:extLst>
            <a:ext uri="{FF2B5EF4-FFF2-40B4-BE49-F238E27FC236}">
              <a16:creationId xmlns:a16="http://schemas.microsoft.com/office/drawing/2014/main" id="{00000000-0008-0000-1200-00003F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9</xdr:col>
      <xdr:colOff>228600</xdr:colOff>
      <xdr:row>270</xdr:row>
      <xdr:rowOff>28575</xdr:rowOff>
    </xdr:from>
    <xdr:ext cx="1828800" cy="1390650"/>
    <xdr:pic>
      <xdr:nvPicPr>
        <xdr:cNvPr id="64" name="image242.png" descr="Recorte de pantalla">
          <a:extLst>
            <a:ext uri="{FF2B5EF4-FFF2-40B4-BE49-F238E27FC236}">
              <a16:creationId xmlns:a16="http://schemas.microsoft.com/office/drawing/2014/main" id="{00000000-0008-0000-1200-000040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9</xdr:col>
      <xdr:colOff>200025</xdr:colOff>
      <xdr:row>249</xdr:row>
      <xdr:rowOff>0</xdr:rowOff>
    </xdr:from>
    <xdr:ext cx="1828800" cy="1028700"/>
    <xdr:pic>
      <xdr:nvPicPr>
        <xdr:cNvPr id="65" name="image245.png" descr="Recorte de pantalla">
          <a:extLst>
            <a:ext uri="{FF2B5EF4-FFF2-40B4-BE49-F238E27FC236}">
              <a16:creationId xmlns:a16="http://schemas.microsoft.com/office/drawing/2014/main" id="{00000000-0008-0000-1200-000041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9</xdr:col>
      <xdr:colOff>104775</xdr:colOff>
      <xdr:row>281</xdr:row>
      <xdr:rowOff>47625</xdr:rowOff>
    </xdr:from>
    <xdr:ext cx="2190750" cy="1381125"/>
    <xdr:pic>
      <xdr:nvPicPr>
        <xdr:cNvPr id="66" name="image237.png" descr="Recorte de pantalla">
          <a:extLst>
            <a:ext uri="{FF2B5EF4-FFF2-40B4-BE49-F238E27FC236}">
              <a16:creationId xmlns:a16="http://schemas.microsoft.com/office/drawing/2014/main" id="{00000000-0008-0000-1200-000042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9</xdr:col>
      <xdr:colOff>104775</xdr:colOff>
      <xdr:row>292</xdr:row>
      <xdr:rowOff>47625</xdr:rowOff>
    </xdr:from>
    <xdr:ext cx="2190750" cy="1314450"/>
    <xdr:pic>
      <xdr:nvPicPr>
        <xdr:cNvPr id="67" name="image240.png" descr="Recorte de pantalla">
          <a:extLst>
            <a:ext uri="{FF2B5EF4-FFF2-40B4-BE49-F238E27FC236}">
              <a16:creationId xmlns:a16="http://schemas.microsoft.com/office/drawing/2014/main" id="{00000000-0008-0000-1200-000043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9</xdr:col>
      <xdr:colOff>276225</xdr:colOff>
      <xdr:row>303</xdr:row>
      <xdr:rowOff>114300</xdr:rowOff>
    </xdr:from>
    <xdr:ext cx="1828800" cy="1219200"/>
    <xdr:pic>
      <xdr:nvPicPr>
        <xdr:cNvPr id="68" name="image241.png" descr="Recorte de pantalla">
          <a:extLst>
            <a:ext uri="{FF2B5EF4-FFF2-40B4-BE49-F238E27FC236}">
              <a16:creationId xmlns:a16="http://schemas.microsoft.com/office/drawing/2014/main" id="{00000000-0008-0000-1200-000044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9</xdr:col>
      <xdr:colOff>104775</xdr:colOff>
      <xdr:row>351</xdr:row>
      <xdr:rowOff>152400</xdr:rowOff>
    </xdr:from>
    <xdr:ext cx="2190750" cy="1095375"/>
    <xdr:pic>
      <xdr:nvPicPr>
        <xdr:cNvPr id="69" name="image253.png" descr="Recorte de pantalla">
          <a:extLst>
            <a:ext uri="{FF2B5EF4-FFF2-40B4-BE49-F238E27FC236}">
              <a16:creationId xmlns:a16="http://schemas.microsoft.com/office/drawing/2014/main" id="{00000000-0008-0000-1200-000045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9</xdr:col>
      <xdr:colOff>76200</xdr:colOff>
      <xdr:row>396</xdr:row>
      <xdr:rowOff>0</xdr:rowOff>
    </xdr:from>
    <xdr:ext cx="2190750" cy="1133475"/>
    <xdr:pic>
      <xdr:nvPicPr>
        <xdr:cNvPr id="70" name="image244.png" descr="Recorte de pantalla">
          <a:extLst>
            <a:ext uri="{FF2B5EF4-FFF2-40B4-BE49-F238E27FC236}">
              <a16:creationId xmlns:a16="http://schemas.microsoft.com/office/drawing/2014/main" id="{00000000-0008-0000-1200-000046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9</xdr:col>
      <xdr:colOff>95250</xdr:colOff>
      <xdr:row>362</xdr:row>
      <xdr:rowOff>114300</xdr:rowOff>
    </xdr:from>
    <xdr:ext cx="2190750" cy="1209675"/>
    <xdr:pic>
      <xdr:nvPicPr>
        <xdr:cNvPr id="71" name="image243.png" descr="Recorte de pantalla">
          <a:extLst>
            <a:ext uri="{FF2B5EF4-FFF2-40B4-BE49-F238E27FC236}">
              <a16:creationId xmlns:a16="http://schemas.microsoft.com/office/drawing/2014/main" id="{00000000-0008-0000-1200-000047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9</xdr:col>
      <xdr:colOff>314325</xdr:colOff>
      <xdr:row>373</xdr:row>
      <xdr:rowOff>85725</xdr:rowOff>
    </xdr:from>
    <xdr:ext cx="1828800" cy="1295400"/>
    <xdr:pic>
      <xdr:nvPicPr>
        <xdr:cNvPr id="72" name="image248.png" descr="Recorte de pantalla">
          <a:extLst>
            <a:ext uri="{FF2B5EF4-FFF2-40B4-BE49-F238E27FC236}">
              <a16:creationId xmlns:a16="http://schemas.microsoft.com/office/drawing/2014/main" id="{00000000-0008-0000-1200-000048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9</xdr:col>
      <xdr:colOff>295275</xdr:colOff>
      <xdr:row>384</xdr:row>
      <xdr:rowOff>57150</xdr:rowOff>
    </xdr:from>
    <xdr:ext cx="1771650" cy="1362075"/>
    <xdr:pic>
      <xdr:nvPicPr>
        <xdr:cNvPr id="73" name="image249.png" descr="Recorte de pantalla">
          <a:extLst>
            <a:ext uri="{FF2B5EF4-FFF2-40B4-BE49-F238E27FC236}">
              <a16:creationId xmlns:a16="http://schemas.microsoft.com/office/drawing/2014/main" id="{00000000-0008-0000-1200-000049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9</xdr:col>
      <xdr:colOff>104775</xdr:colOff>
      <xdr:row>340</xdr:row>
      <xdr:rowOff>38100</xdr:rowOff>
    </xdr:from>
    <xdr:ext cx="2152650" cy="1390650"/>
    <xdr:pic>
      <xdr:nvPicPr>
        <xdr:cNvPr id="74" name="image240.png" descr="Recorte de pantalla">
          <a:extLst>
            <a:ext uri="{FF2B5EF4-FFF2-40B4-BE49-F238E27FC236}">
              <a16:creationId xmlns:a16="http://schemas.microsoft.com/office/drawing/2014/main" id="{00000000-0008-0000-1200-00004A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9</xdr:col>
      <xdr:colOff>85725</xdr:colOff>
      <xdr:row>329</xdr:row>
      <xdr:rowOff>38100</xdr:rowOff>
    </xdr:from>
    <xdr:ext cx="2152650" cy="1362075"/>
    <xdr:pic>
      <xdr:nvPicPr>
        <xdr:cNvPr id="75" name="image240.png" descr="Recorte de pantalla">
          <a:extLst>
            <a:ext uri="{FF2B5EF4-FFF2-40B4-BE49-F238E27FC236}">
              <a16:creationId xmlns:a16="http://schemas.microsoft.com/office/drawing/2014/main" id="{00000000-0008-0000-1200-00004B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twoCellAnchor editAs="oneCell">
    <xdr:from>
      <xdr:col>7</xdr:col>
      <xdr:colOff>455752</xdr:colOff>
      <xdr:row>7</xdr:row>
      <xdr:rowOff>104775</xdr:rowOff>
    </xdr:from>
    <xdr:to>
      <xdr:col>9</xdr:col>
      <xdr:colOff>190822</xdr:colOff>
      <xdr:row>21</xdr:row>
      <xdr:rowOff>95827</xdr:rowOff>
    </xdr:to>
    <xdr:pic>
      <xdr:nvPicPr>
        <xdr:cNvPr id="88" name="Imagen 87">
          <a:extLst>
            <a:ext uri="{FF2B5EF4-FFF2-40B4-BE49-F238E27FC236}">
              <a16:creationId xmlns:a16="http://schemas.microsoft.com/office/drawing/2014/main" id="{00000000-0008-0000-1200-000058000000}"/>
            </a:ext>
          </a:extLst>
        </xdr:cNvPr>
        <xdr:cNvPicPr>
          <a:picLocks noChangeAspect="1"/>
        </xdr:cNvPicPr>
      </xdr:nvPicPr>
      <xdr:blipFill>
        <a:blip xmlns:r="http://schemas.openxmlformats.org/officeDocument/2006/relationships" r:embed="rId30"/>
        <a:stretch>
          <a:fillRect/>
        </a:stretch>
      </xdr:blipFill>
      <xdr:spPr>
        <a:xfrm>
          <a:off x="5789752" y="1419225"/>
          <a:ext cx="1259070" cy="2258002"/>
        </a:xfrm>
        <a:prstGeom prst="rect">
          <a:avLst/>
        </a:prstGeom>
      </xdr:spPr>
    </xdr:pic>
    <xdr:clientData/>
  </xdr:twoCellAnchor>
  <xdr:oneCellAnchor>
    <xdr:from>
      <xdr:col>0</xdr:col>
      <xdr:colOff>92765</xdr:colOff>
      <xdr:row>417</xdr:row>
      <xdr:rowOff>106429</xdr:rowOff>
    </xdr:from>
    <xdr:ext cx="3750365" cy="1762125"/>
    <xdr:pic>
      <xdr:nvPicPr>
        <xdr:cNvPr id="39" name="image333.png">
          <a:extLst>
            <a:ext uri="{FF2B5EF4-FFF2-40B4-BE49-F238E27FC236}">
              <a16:creationId xmlns:a16="http://schemas.microsoft.com/office/drawing/2014/main" id="{00000000-0008-0000-1200-000027000000}"/>
            </a:ext>
          </a:extLst>
        </xdr:cNvPr>
        <xdr:cNvPicPr preferRelativeResize="0"/>
      </xdr:nvPicPr>
      <xdr:blipFill>
        <a:blip xmlns:r="http://schemas.openxmlformats.org/officeDocument/2006/relationships" r:embed="rId31" cstate="print"/>
        <a:stretch>
          <a:fillRect/>
        </a:stretch>
      </xdr:blipFill>
      <xdr:spPr>
        <a:xfrm>
          <a:off x="92765" y="2400049"/>
          <a:ext cx="3750365" cy="1762125"/>
        </a:xfrm>
        <a:prstGeom prst="rect">
          <a:avLst/>
        </a:prstGeom>
        <a:noFill/>
      </xdr:spPr>
    </xdr:pic>
    <xdr:clientData fLocksWithSheet="0"/>
  </xdr:oneCellAnchor>
  <xdr:oneCellAnchor>
    <xdr:from>
      <xdr:col>7</xdr:col>
      <xdr:colOff>72887</xdr:colOff>
      <xdr:row>418</xdr:row>
      <xdr:rowOff>4971</xdr:rowOff>
    </xdr:from>
    <xdr:ext cx="3849757" cy="1609725"/>
    <xdr:pic>
      <xdr:nvPicPr>
        <xdr:cNvPr id="40" name="image355.png">
          <a:extLst>
            <a:ext uri="{FF2B5EF4-FFF2-40B4-BE49-F238E27FC236}">
              <a16:creationId xmlns:a16="http://schemas.microsoft.com/office/drawing/2014/main" id="{00000000-0008-0000-1200-000028000000}"/>
            </a:ext>
          </a:extLst>
        </xdr:cNvPr>
        <xdr:cNvPicPr preferRelativeResize="0"/>
      </xdr:nvPicPr>
      <xdr:blipFill>
        <a:blip xmlns:r="http://schemas.openxmlformats.org/officeDocument/2006/relationships" r:embed="rId32" cstate="print"/>
        <a:stretch>
          <a:fillRect/>
        </a:stretch>
      </xdr:blipFill>
      <xdr:spPr>
        <a:xfrm>
          <a:off x="5620247" y="2496711"/>
          <a:ext cx="3849757" cy="1609725"/>
        </a:xfrm>
        <a:prstGeom prst="rect">
          <a:avLst/>
        </a:prstGeom>
        <a:noFill/>
      </xdr:spPr>
    </xdr:pic>
    <xdr:clientData fLocksWithSheet="0"/>
  </xdr:oneCellAnchor>
  <xdr:oneCellAnchor>
    <xdr:from>
      <xdr:col>5</xdr:col>
      <xdr:colOff>159441</xdr:colOff>
      <xdr:row>418</xdr:row>
      <xdr:rowOff>79513</xdr:rowOff>
    </xdr:from>
    <xdr:ext cx="1344681" cy="1416740"/>
    <xdr:pic>
      <xdr:nvPicPr>
        <xdr:cNvPr id="41" name="image326.png">
          <a:extLst>
            <a:ext uri="{FF2B5EF4-FFF2-40B4-BE49-F238E27FC236}">
              <a16:creationId xmlns:a16="http://schemas.microsoft.com/office/drawing/2014/main" id="{00000000-0008-0000-1200-000029000000}"/>
            </a:ext>
          </a:extLst>
        </xdr:cNvPr>
        <xdr:cNvPicPr preferRelativeResize="0"/>
      </xdr:nvPicPr>
      <xdr:blipFill>
        <a:blip xmlns:r="http://schemas.openxmlformats.org/officeDocument/2006/relationships" r:embed="rId33" cstate="print"/>
        <a:stretch>
          <a:fillRect/>
        </a:stretch>
      </xdr:blipFill>
      <xdr:spPr>
        <a:xfrm>
          <a:off x="4121841" y="2571253"/>
          <a:ext cx="1344681" cy="1416740"/>
        </a:xfrm>
        <a:prstGeom prst="rect">
          <a:avLst/>
        </a:prstGeom>
        <a:noFill/>
      </xdr:spPr>
    </xdr:pic>
    <xdr:clientData fLocksWithSheet="0"/>
  </xdr:oneCellAnchor>
  <xdr:oneCellAnchor>
    <xdr:from>
      <xdr:col>9</xdr:col>
      <xdr:colOff>419100</xdr:colOff>
      <xdr:row>453</xdr:row>
      <xdr:rowOff>9525</xdr:rowOff>
    </xdr:from>
    <xdr:ext cx="1514475" cy="1362075"/>
    <xdr:pic>
      <xdr:nvPicPr>
        <xdr:cNvPr id="42" name="image252.png" descr="Recorte de pantalla">
          <a:extLst>
            <a:ext uri="{FF2B5EF4-FFF2-40B4-BE49-F238E27FC236}">
              <a16:creationId xmlns:a16="http://schemas.microsoft.com/office/drawing/2014/main" id="{00000000-0008-0000-1200-00002A000000}"/>
            </a:ext>
          </a:extLst>
        </xdr:cNvPr>
        <xdr:cNvPicPr preferRelativeResize="0"/>
      </xdr:nvPicPr>
      <xdr:blipFill>
        <a:blip xmlns:r="http://schemas.openxmlformats.org/officeDocument/2006/relationships" r:embed="rId34" cstate="print"/>
        <a:stretch>
          <a:fillRect/>
        </a:stretch>
      </xdr:blipFill>
      <xdr:spPr>
        <a:xfrm>
          <a:off x="7482840" y="103519605"/>
          <a:ext cx="1514475" cy="1362075"/>
        </a:xfrm>
        <a:prstGeom prst="rect">
          <a:avLst/>
        </a:prstGeom>
        <a:noFill/>
      </xdr:spPr>
    </xdr:pic>
    <xdr:clientData fLocksWithSheet="0"/>
  </xdr:oneCellAnchor>
  <xdr:oneCellAnchor>
    <xdr:from>
      <xdr:col>9</xdr:col>
      <xdr:colOff>47625</xdr:colOff>
      <xdr:row>464</xdr:row>
      <xdr:rowOff>133350</xdr:rowOff>
    </xdr:from>
    <xdr:ext cx="2190750" cy="1266825"/>
    <xdr:pic>
      <xdr:nvPicPr>
        <xdr:cNvPr id="43" name="image250.png" descr="Recorte de pantalla">
          <a:extLst>
            <a:ext uri="{FF2B5EF4-FFF2-40B4-BE49-F238E27FC236}">
              <a16:creationId xmlns:a16="http://schemas.microsoft.com/office/drawing/2014/main" id="{00000000-0008-0000-1200-00002B000000}"/>
            </a:ext>
          </a:extLst>
        </xdr:cNvPr>
        <xdr:cNvPicPr preferRelativeResize="0"/>
      </xdr:nvPicPr>
      <xdr:blipFill>
        <a:blip xmlns:r="http://schemas.openxmlformats.org/officeDocument/2006/relationships" r:embed="rId35" cstate="print"/>
        <a:stretch>
          <a:fillRect/>
        </a:stretch>
      </xdr:blipFill>
      <xdr:spPr>
        <a:xfrm>
          <a:off x="7111365" y="105738930"/>
          <a:ext cx="2190750" cy="1266825"/>
        </a:xfrm>
        <a:prstGeom prst="rect">
          <a:avLst/>
        </a:prstGeom>
        <a:noFill/>
      </xdr:spPr>
    </xdr:pic>
    <xdr:clientData fLocksWithSheet="0"/>
  </xdr:oneCellAnchor>
  <xdr:oneCellAnchor>
    <xdr:from>
      <xdr:col>9</xdr:col>
      <xdr:colOff>133350</xdr:colOff>
      <xdr:row>475</xdr:row>
      <xdr:rowOff>133350</xdr:rowOff>
    </xdr:from>
    <xdr:ext cx="2190750" cy="1247775"/>
    <xdr:pic>
      <xdr:nvPicPr>
        <xdr:cNvPr id="44" name="image251.png" descr="Recorte de pantalla">
          <a:extLst>
            <a:ext uri="{FF2B5EF4-FFF2-40B4-BE49-F238E27FC236}">
              <a16:creationId xmlns:a16="http://schemas.microsoft.com/office/drawing/2014/main" id="{00000000-0008-0000-1200-00002C000000}"/>
            </a:ext>
          </a:extLst>
        </xdr:cNvPr>
        <xdr:cNvPicPr preferRelativeResize="0"/>
      </xdr:nvPicPr>
      <xdr:blipFill>
        <a:blip xmlns:r="http://schemas.openxmlformats.org/officeDocument/2006/relationships" r:embed="rId36" cstate="print"/>
        <a:stretch>
          <a:fillRect/>
        </a:stretch>
      </xdr:blipFill>
      <xdr:spPr>
        <a:xfrm>
          <a:off x="7197090" y="107834430"/>
          <a:ext cx="2190750" cy="1247775"/>
        </a:xfrm>
        <a:prstGeom prst="rect">
          <a:avLst/>
        </a:prstGeom>
        <a:noFill/>
      </xdr:spPr>
    </xdr:pic>
    <xdr:clientData fLocksWithSheet="0"/>
  </xdr:oneCellAnchor>
  <xdr:oneCellAnchor>
    <xdr:from>
      <xdr:col>9</xdr:col>
      <xdr:colOff>95250</xdr:colOff>
      <xdr:row>508</xdr:row>
      <xdr:rowOff>161925</xdr:rowOff>
    </xdr:from>
    <xdr:ext cx="2190750" cy="1181100"/>
    <xdr:pic>
      <xdr:nvPicPr>
        <xdr:cNvPr id="45" name="image254.png" descr="Recorte de pantalla">
          <a:extLst>
            <a:ext uri="{FF2B5EF4-FFF2-40B4-BE49-F238E27FC236}">
              <a16:creationId xmlns:a16="http://schemas.microsoft.com/office/drawing/2014/main" id="{00000000-0008-0000-1200-00002D000000}"/>
            </a:ext>
          </a:extLst>
        </xdr:cNvPr>
        <xdr:cNvPicPr preferRelativeResize="0"/>
      </xdr:nvPicPr>
      <xdr:blipFill>
        <a:blip xmlns:r="http://schemas.openxmlformats.org/officeDocument/2006/relationships" r:embed="rId37" cstate="print"/>
        <a:stretch>
          <a:fillRect/>
        </a:stretch>
      </xdr:blipFill>
      <xdr:spPr>
        <a:xfrm>
          <a:off x="7158990" y="114149505"/>
          <a:ext cx="2190750" cy="1181100"/>
        </a:xfrm>
        <a:prstGeom prst="rect">
          <a:avLst/>
        </a:prstGeom>
        <a:noFill/>
      </xdr:spPr>
    </xdr:pic>
    <xdr:clientData fLocksWithSheet="0"/>
  </xdr:oneCellAnchor>
  <xdr:oneCellAnchor>
    <xdr:from>
      <xdr:col>9</xdr:col>
      <xdr:colOff>76200</xdr:colOff>
      <xdr:row>520</xdr:row>
      <xdr:rowOff>28575</xdr:rowOff>
    </xdr:from>
    <xdr:ext cx="2190750" cy="1104900"/>
    <xdr:pic>
      <xdr:nvPicPr>
        <xdr:cNvPr id="46" name="image261.png" descr="Recorte de pantalla">
          <a:extLst>
            <a:ext uri="{FF2B5EF4-FFF2-40B4-BE49-F238E27FC236}">
              <a16:creationId xmlns:a16="http://schemas.microsoft.com/office/drawing/2014/main" id="{00000000-0008-0000-1200-00002E000000}"/>
            </a:ext>
          </a:extLst>
        </xdr:cNvPr>
        <xdr:cNvPicPr preferRelativeResize="0"/>
      </xdr:nvPicPr>
      <xdr:blipFill>
        <a:blip xmlns:r="http://schemas.openxmlformats.org/officeDocument/2006/relationships" r:embed="rId38" cstate="print"/>
        <a:stretch>
          <a:fillRect/>
        </a:stretch>
      </xdr:blipFill>
      <xdr:spPr>
        <a:xfrm>
          <a:off x="7139940" y="116302155"/>
          <a:ext cx="2190750" cy="1104900"/>
        </a:xfrm>
        <a:prstGeom prst="rect">
          <a:avLst/>
        </a:prstGeom>
        <a:noFill/>
      </xdr:spPr>
    </xdr:pic>
    <xdr:clientData fLocksWithSheet="0"/>
  </xdr:oneCellAnchor>
  <xdr:oneCellAnchor>
    <xdr:from>
      <xdr:col>9</xdr:col>
      <xdr:colOff>85725</xdr:colOff>
      <xdr:row>530</xdr:row>
      <xdr:rowOff>142875</xdr:rowOff>
    </xdr:from>
    <xdr:ext cx="2190750" cy="1190625"/>
    <xdr:pic>
      <xdr:nvPicPr>
        <xdr:cNvPr id="47" name="image256.png" descr="Recorte de pantalla">
          <a:extLst>
            <a:ext uri="{FF2B5EF4-FFF2-40B4-BE49-F238E27FC236}">
              <a16:creationId xmlns:a16="http://schemas.microsoft.com/office/drawing/2014/main" id="{00000000-0008-0000-1200-00002F000000}"/>
            </a:ext>
          </a:extLst>
        </xdr:cNvPr>
        <xdr:cNvPicPr preferRelativeResize="0"/>
      </xdr:nvPicPr>
      <xdr:blipFill>
        <a:blip xmlns:r="http://schemas.openxmlformats.org/officeDocument/2006/relationships" r:embed="rId39" cstate="print"/>
        <a:stretch>
          <a:fillRect/>
        </a:stretch>
      </xdr:blipFill>
      <xdr:spPr>
        <a:xfrm>
          <a:off x="7149465" y="118321455"/>
          <a:ext cx="2190750" cy="1190625"/>
        </a:xfrm>
        <a:prstGeom prst="rect">
          <a:avLst/>
        </a:prstGeom>
        <a:noFill/>
      </xdr:spPr>
    </xdr:pic>
    <xdr:clientData fLocksWithSheet="0"/>
  </xdr:oneCellAnchor>
  <xdr:oneCellAnchor>
    <xdr:from>
      <xdr:col>9</xdr:col>
      <xdr:colOff>266700</xdr:colOff>
      <xdr:row>541</xdr:row>
      <xdr:rowOff>66675</xdr:rowOff>
    </xdr:from>
    <xdr:ext cx="1771650" cy="1362075"/>
    <xdr:pic>
      <xdr:nvPicPr>
        <xdr:cNvPr id="48" name="image259.png" descr="Recorte de pantalla">
          <a:extLst>
            <a:ext uri="{FF2B5EF4-FFF2-40B4-BE49-F238E27FC236}">
              <a16:creationId xmlns:a16="http://schemas.microsoft.com/office/drawing/2014/main" id="{00000000-0008-0000-1200-000030000000}"/>
            </a:ext>
          </a:extLst>
        </xdr:cNvPr>
        <xdr:cNvPicPr preferRelativeResize="0"/>
      </xdr:nvPicPr>
      <xdr:blipFill>
        <a:blip xmlns:r="http://schemas.openxmlformats.org/officeDocument/2006/relationships" r:embed="rId40" cstate="print"/>
        <a:stretch>
          <a:fillRect/>
        </a:stretch>
      </xdr:blipFill>
      <xdr:spPr>
        <a:xfrm>
          <a:off x="7330440" y="120340755"/>
          <a:ext cx="1771650" cy="1362075"/>
        </a:xfrm>
        <a:prstGeom prst="rect">
          <a:avLst/>
        </a:prstGeom>
        <a:noFill/>
      </xdr:spPr>
    </xdr:pic>
    <xdr:clientData fLocksWithSheet="0"/>
  </xdr:oneCellAnchor>
  <xdr:oneCellAnchor>
    <xdr:from>
      <xdr:col>9</xdr:col>
      <xdr:colOff>76200</xdr:colOff>
      <xdr:row>555</xdr:row>
      <xdr:rowOff>152400</xdr:rowOff>
    </xdr:from>
    <xdr:ext cx="2190750" cy="485775"/>
    <xdr:pic>
      <xdr:nvPicPr>
        <xdr:cNvPr id="49" name="image258.png" descr="Recorte de pantalla">
          <a:extLst>
            <a:ext uri="{FF2B5EF4-FFF2-40B4-BE49-F238E27FC236}">
              <a16:creationId xmlns:a16="http://schemas.microsoft.com/office/drawing/2014/main" id="{00000000-0008-0000-1200-000031000000}"/>
            </a:ext>
          </a:extLst>
        </xdr:cNvPr>
        <xdr:cNvPicPr preferRelativeResize="0"/>
      </xdr:nvPicPr>
      <xdr:blipFill>
        <a:blip xmlns:r="http://schemas.openxmlformats.org/officeDocument/2006/relationships" r:embed="rId41" cstate="print"/>
        <a:stretch>
          <a:fillRect/>
        </a:stretch>
      </xdr:blipFill>
      <xdr:spPr>
        <a:xfrm>
          <a:off x="7139940" y="123093480"/>
          <a:ext cx="2190750" cy="485775"/>
        </a:xfrm>
        <a:prstGeom prst="rect">
          <a:avLst/>
        </a:prstGeom>
        <a:noFill/>
      </xdr:spPr>
    </xdr:pic>
    <xdr:clientData fLocksWithSheet="0"/>
  </xdr:oneCellAnchor>
  <xdr:oneCellAnchor>
    <xdr:from>
      <xdr:col>9</xdr:col>
      <xdr:colOff>123825</xdr:colOff>
      <xdr:row>563</xdr:row>
      <xdr:rowOff>142875</xdr:rowOff>
    </xdr:from>
    <xdr:ext cx="2190750" cy="1219200"/>
    <xdr:pic>
      <xdr:nvPicPr>
        <xdr:cNvPr id="59" name="image255.png" descr="Recorte de pantalla">
          <a:extLst>
            <a:ext uri="{FF2B5EF4-FFF2-40B4-BE49-F238E27FC236}">
              <a16:creationId xmlns:a16="http://schemas.microsoft.com/office/drawing/2014/main" id="{00000000-0008-0000-1200-00003B000000}"/>
            </a:ext>
          </a:extLst>
        </xdr:cNvPr>
        <xdr:cNvPicPr preferRelativeResize="0"/>
      </xdr:nvPicPr>
      <xdr:blipFill>
        <a:blip xmlns:r="http://schemas.openxmlformats.org/officeDocument/2006/relationships" r:embed="rId42" cstate="print"/>
        <a:stretch>
          <a:fillRect/>
        </a:stretch>
      </xdr:blipFill>
      <xdr:spPr>
        <a:xfrm>
          <a:off x="7187565" y="124607955"/>
          <a:ext cx="2190750" cy="1219200"/>
        </a:xfrm>
        <a:prstGeom prst="rect">
          <a:avLst/>
        </a:prstGeom>
        <a:noFill/>
      </xdr:spPr>
    </xdr:pic>
    <xdr:clientData fLocksWithSheet="0"/>
  </xdr:oneCellAnchor>
  <xdr:oneCellAnchor>
    <xdr:from>
      <xdr:col>9</xdr:col>
      <xdr:colOff>104775</xdr:colOff>
      <xdr:row>574</xdr:row>
      <xdr:rowOff>47625</xdr:rowOff>
    </xdr:from>
    <xdr:ext cx="2190750" cy="1314450"/>
    <xdr:pic>
      <xdr:nvPicPr>
        <xdr:cNvPr id="60" name="image257.png" descr="Recorte de pantalla">
          <a:extLst>
            <a:ext uri="{FF2B5EF4-FFF2-40B4-BE49-F238E27FC236}">
              <a16:creationId xmlns:a16="http://schemas.microsoft.com/office/drawing/2014/main" id="{00000000-0008-0000-1200-00003C000000}"/>
            </a:ext>
          </a:extLst>
        </xdr:cNvPr>
        <xdr:cNvPicPr preferRelativeResize="0"/>
      </xdr:nvPicPr>
      <xdr:blipFill>
        <a:blip xmlns:r="http://schemas.openxmlformats.org/officeDocument/2006/relationships" r:embed="rId43" cstate="print"/>
        <a:stretch>
          <a:fillRect/>
        </a:stretch>
      </xdr:blipFill>
      <xdr:spPr>
        <a:xfrm>
          <a:off x="7168515" y="126608205"/>
          <a:ext cx="2190750" cy="1314450"/>
        </a:xfrm>
        <a:prstGeom prst="rect">
          <a:avLst/>
        </a:prstGeom>
        <a:noFill/>
      </xdr:spPr>
    </xdr:pic>
    <xdr:clientData fLocksWithSheet="0"/>
  </xdr:oneCellAnchor>
  <xdr:oneCellAnchor>
    <xdr:from>
      <xdr:col>9</xdr:col>
      <xdr:colOff>114300</xdr:colOff>
      <xdr:row>585</xdr:row>
      <xdr:rowOff>114300</xdr:rowOff>
    </xdr:from>
    <xdr:ext cx="2190750" cy="1190625"/>
    <xdr:pic>
      <xdr:nvPicPr>
        <xdr:cNvPr id="76" name="image260.png" descr="Recorte de pantalla">
          <a:extLst>
            <a:ext uri="{FF2B5EF4-FFF2-40B4-BE49-F238E27FC236}">
              <a16:creationId xmlns:a16="http://schemas.microsoft.com/office/drawing/2014/main" id="{00000000-0008-0000-1200-00004C000000}"/>
            </a:ext>
          </a:extLst>
        </xdr:cNvPr>
        <xdr:cNvPicPr preferRelativeResize="0"/>
      </xdr:nvPicPr>
      <xdr:blipFill>
        <a:blip xmlns:r="http://schemas.openxmlformats.org/officeDocument/2006/relationships" r:embed="rId44" cstate="print"/>
        <a:stretch>
          <a:fillRect/>
        </a:stretch>
      </xdr:blipFill>
      <xdr:spPr>
        <a:xfrm>
          <a:off x="7178040" y="128770380"/>
          <a:ext cx="2190750" cy="1190625"/>
        </a:xfrm>
        <a:prstGeom prst="rect">
          <a:avLst/>
        </a:prstGeom>
        <a:noFill/>
      </xdr:spPr>
    </xdr:pic>
    <xdr:clientData fLocksWithSheet="0"/>
  </xdr:oneCellAnchor>
  <xdr:twoCellAnchor>
    <xdr:from>
      <xdr:col>7</xdr:col>
      <xdr:colOff>412376</xdr:colOff>
      <xdr:row>595</xdr:row>
      <xdr:rowOff>89647</xdr:rowOff>
    </xdr:from>
    <xdr:to>
      <xdr:col>11</xdr:col>
      <xdr:colOff>351419</xdr:colOff>
      <xdr:row>597</xdr:row>
      <xdr:rowOff>137747</xdr:rowOff>
    </xdr:to>
    <xdr:pic>
      <xdr:nvPicPr>
        <xdr:cNvPr id="77" name="image13.png">
          <a:extLst>
            <a:ext uri="{FF2B5EF4-FFF2-40B4-BE49-F238E27FC236}">
              <a16:creationId xmlns:a16="http://schemas.microsoft.com/office/drawing/2014/main" id="{00000000-0008-0000-1200-00004D000000}"/>
            </a:ext>
          </a:extLst>
        </xdr:cNvPr>
        <xdr:cNvPicPr>
          <a:picLocks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5914016" y="41999647"/>
          <a:ext cx="310134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19.xml><?xml version="1.0" encoding="utf-8"?>
<xdr:wsDr xmlns:xdr="http://schemas.openxmlformats.org/drawingml/2006/spreadsheetDrawing" xmlns:a="http://schemas.openxmlformats.org/drawingml/2006/main">
  <xdr:oneCellAnchor>
    <xdr:from>
      <xdr:col>0</xdr:col>
      <xdr:colOff>0</xdr:colOff>
      <xdr:row>49</xdr:row>
      <xdr:rowOff>57150</xdr:rowOff>
    </xdr:from>
    <xdr:ext cx="1447800" cy="1352550"/>
    <xdr:pic>
      <xdr:nvPicPr>
        <xdr:cNvPr id="2" name="image271.png" descr="Recorte de pantalla">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xfrm>
          <a:off x="104775" y="8667750"/>
          <a:ext cx="1447800" cy="1352550"/>
        </a:xfrm>
        <a:prstGeom prst="rect">
          <a:avLst/>
        </a:prstGeom>
        <a:noFill/>
      </xdr:spPr>
    </xdr:pic>
    <xdr:clientData fLocksWithSheet="0"/>
  </xdr:oneCellAnchor>
  <xdr:oneCellAnchor>
    <xdr:from>
      <xdr:col>0</xdr:col>
      <xdr:colOff>0</xdr:colOff>
      <xdr:row>49</xdr:row>
      <xdr:rowOff>9525</xdr:rowOff>
    </xdr:from>
    <xdr:ext cx="1152525" cy="1390650"/>
    <xdr:pic>
      <xdr:nvPicPr>
        <xdr:cNvPr id="3" name="image275.png" descr="Recorte de pantalla">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2" cstate="print"/>
        <a:stretch>
          <a:fillRect/>
        </a:stretch>
      </xdr:blipFill>
      <xdr:spPr>
        <a:xfrm>
          <a:off x="2371725" y="8620125"/>
          <a:ext cx="1152525" cy="1390650"/>
        </a:xfrm>
        <a:prstGeom prst="rect">
          <a:avLst/>
        </a:prstGeom>
        <a:noFill/>
      </xdr:spPr>
    </xdr:pic>
    <xdr:clientData fLocksWithSheet="0"/>
  </xdr:oneCellAnchor>
  <xdr:oneCellAnchor>
    <xdr:from>
      <xdr:col>0</xdr:col>
      <xdr:colOff>0</xdr:colOff>
      <xdr:row>49</xdr:row>
      <xdr:rowOff>28575</xdr:rowOff>
    </xdr:from>
    <xdr:ext cx="1343025" cy="1390650"/>
    <xdr:pic>
      <xdr:nvPicPr>
        <xdr:cNvPr id="4" name="image269.png" descr="Recorte de pantalla">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3" cstate="print"/>
        <a:stretch>
          <a:fillRect/>
        </a:stretch>
      </xdr:blipFill>
      <xdr:spPr>
        <a:xfrm>
          <a:off x="4667250" y="8639175"/>
          <a:ext cx="1343025" cy="1390650"/>
        </a:xfrm>
        <a:prstGeom prst="rect">
          <a:avLst/>
        </a:prstGeom>
        <a:noFill/>
      </xdr:spPr>
    </xdr:pic>
    <xdr:clientData fLocksWithSheet="0"/>
  </xdr:oneCellAnchor>
  <xdr:oneCellAnchor>
    <xdr:from>
      <xdr:col>0</xdr:col>
      <xdr:colOff>0</xdr:colOff>
      <xdr:row>49</xdr:row>
      <xdr:rowOff>19050</xdr:rowOff>
    </xdr:from>
    <xdr:ext cx="1219200" cy="1390650"/>
    <xdr:pic>
      <xdr:nvPicPr>
        <xdr:cNvPr id="5" name="image274.png" descr="Recorte de pantalla">
          <a:extLst>
            <a:ext uri="{FF2B5EF4-FFF2-40B4-BE49-F238E27FC236}">
              <a16:creationId xmlns:a16="http://schemas.microsoft.com/office/drawing/2014/main" id="{00000000-0008-0000-1300-000005000000}"/>
            </a:ext>
          </a:extLst>
        </xdr:cNvPr>
        <xdr:cNvPicPr preferRelativeResize="0"/>
      </xdr:nvPicPr>
      <xdr:blipFill>
        <a:blip xmlns:r="http://schemas.openxmlformats.org/officeDocument/2006/relationships" r:embed="rId4" cstate="print"/>
        <a:stretch>
          <a:fillRect/>
        </a:stretch>
      </xdr:blipFill>
      <xdr:spPr>
        <a:xfrm>
          <a:off x="6934200" y="8629650"/>
          <a:ext cx="1219200" cy="1390650"/>
        </a:xfrm>
        <a:prstGeom prst="rect">
          <a:avLst/>
        </a:prstGeom>
        <a:noFill/>
      </xdr:spPr>
    </xdr:pic>
    <xdr:clientData fLocksWithSheet="0"/>
  </xdr:oneCellAnchor>
  <xdr:oneCellAnchor>
    <xdr:from>
      <xdr:col>0</xdr:col>
      <xdr:colOff>0</xdr:colOff>
      <xdr:row>61</xdr:row>
      <xdr:rowOff>19050</xdr:rowOff>
    </xdr:from>
    <xdr:ext cx="1209675" cy="1390650"/>
    <xdr:pic>
      <xdr:nvPicPr>
        <xdr:cNvPr id="6" name="image266.png" descr="Recorte de pantalla">
          <a:extLst>
            <a:ext uri="{FF2B5EF4-FFF2-40B4-BE49-F238E27FC236}">
              <a16:creationId xmlns:a16="http://schemas.microsoft.com/office/drawing/2014/main" id="{00000000-0008-0000-1300-000006000000}"/>
            </a:ext>
          </a:extLst>
        </xdr:cNvPr>
        <xdr:cNvPicPr preferRelativeResize="0"/>
      </xdr:nvPicPr>
      <xdr:blipFill>
        <a:blip xmlns:r="http://schemas.openxmlformats.org/officeDocument/2006/relationships" r:embed="rId5" cstate="print"/>
        <a:stretch>
          <a:fillRect/>
        </a:stretch>
      </xdr:blipFill>
      <xdr:spPr>
        <a:xfrm>
          <a:off x="190500" y="10572750"/>
          <a:ext cx="1209675" cy="1390650"/>
        </a:xfrm>
        <a:prstGeom prst="rect">
          <a:avLst/>
        </a:prstGeom>
        <a:noFill/>
      </xdr:spPr>
    </xdr:pic>
    <xdr:clientData fLocksWithSheet="0"/>
  </xdr:oneCellAnchor>
  <xdr:oneCellAnchor>
    <xdr:from>
      <xdr:col>0</xdr:col>
      <xdr:colOff>0</xdr:colOff>
      <xdr:row>61</xdr:row>
      <xdr:rowOff>28575</xdr:rowOff>
    </xdr:from>
    <xdr:ext cx="1162050" cy="1390650"/>
    <xdr:pic>
      <xdr:nvPicPr>
        <xdr:cNvPr id="7" name="image267.png" descr="Recorte de pantalla">
          <a:extLst>
            <a:ext uri="{FF2B5EF4-FFF2-40B4-BE49-F238E27FC236}">
              <a16:creationId xmlns:a16="http://schemas.microsoft.com/office/drawing/2014/main" id="{00000000-0008-0000-1300-000007000000}"/>
            </a:ext>
          </a:extLst>
        </xdr:cNvPr>
        <xdr:cNvPicPr preferRelativeResize="0"/>
      </xdr:nvPicPr>
      <xdr:blipFill>
        <a:blip xmlns:r="http://schemas.openxmlformats.org/officeDocument/2006/relationships" r:embed="rId6" cstate="print"/>
        <a:stretch>
          <a:fillRect/>
        </a:stretch>
      </xdr:blipFill>
      <xdr:spPr>
        <a:xfrm>
          <a:off x="2362200" y="10582275"/>
          <a:ext cx="1162050" cy="1390650"/>
        </a:xfrm>
        <a:prstGeom prst="rect">
          <a:avLst/>
        </a:prstGeom>
        <a:noFill/>
      </xdr:spPr>
    </xdr:pic>
    <xdr:clientData fLocksWithSheet="0"/>
  </xdr:oneCellAnchor>
  <xdr:oneCellAnchor>
    <xdr:from>
      <xdr:col>0</xdr:col>
      <xdr:colOff>0</xdr:colOff>
      <xdr:row>61</xdr:row>
      <xdr:rowOff>28575</xdr:rowOff>
    </xdr:from>
    <xdr:ext cx="1257300" cy="1390650"/>
    <xdr:pic>
      <xdr:nvPicPr>
        <xdr:cNvPr id="8" name="image273.png" descr="Recorte de pantalla">
          <a:extLst>
            <a:ext uri="{FF2B5EF4-FFF2-40B4-BE49-F238E27FC236}">
              <a16:creationId xmlns:a16="http://schemas.microsoft.com/office/drawing/2014/main" id="{00000000-0008-0000-1300-000008000000}"/>
            </a:ext>
          </a:extLst>
        </xdr:cNvPr>
        <xdr:cNvPicPr preferRelativeResize="0"/>
      </xdr:nvPicPr>
      <xdr:blipFill>
        <a:blip xmlns:r="http://schemas.openxmlformats.org/officeDocument/2006/relationships" r:embed="rId7" cstate="print"/>
        <a:stretch>
          <a:fillRect/>
        </a:stretch>
      </xdr:blipFill>
      <xdr:spPr>
        <a:xfrm>
          <a:off x="4724400" y="10582275"/>
          <a:ext cx="1257300" cy="1390650"/>
        </a:xfrm>
        <a:prstGeom prst="rect">
          <a:avLst/>
        </a:prstGeom>
        <a:noFill/>
      </xdr:spPr>
    </xdr:pic>
    <xdr:clientData fLocksWithSheet="0"/>
  </xdr:oneCellAnchor>
  <xdr:oneCellAnchor>
    <xdr:from>
      <xdr:col>0</xdr:col>
      <xdr:colOff>0</xdr:colOff>
      <xdr:row>61</xdr:row>
      <xdr:rowOff>38100</xdr:rowOff>
    </xdr:from>
    <xdr:ext cx="1143000" cy="1390650"/>
    <xdr:pic>
      <xdr:nvPicPr>
        <xdr:cNvPr id="9" name="image265.png" descr="Recorte de pantalla">
          <a:extLst>
            <a:ext uri="{FF2B5EF4-FFF2-40B4-BE49-F238E27FC236}">
              <a16:creationId xmlns:a16="http://schemas.microsoft.com/office/drawing/2014/main" id="{00000000-0008-0000-1300-000009000000}"/>
            </a:ext>
          </a:extLst>
        </xdr:cNvPr>
        <xdr:cNvPicPr preferRelativeResize="0"/>
      </xdr:nvPicPr>
      <xdr:blipFill>
        <a:blip xmlns:r="http://schemas.openxmlformats.org/officeDocument/2006/relationships" r:embed="rId8" cstate="print"/>
        <a:stretch>
          <a:fillRect/>
        </a:stretch>
      </xdr:blipFill>
      <xdr:spPr>
        <a:xfrm>
          <a:off x="6896100" y="10591800"/>
          <a:ext cx="1143000" cy="1390650"/>
        </a:xfrm>
        <a:prstGeom prst="rect">
          <a:avLst/>
        </a:prstGeom>
        <a:noFill/>
      </xdr:spPr>
    </xdr:pic>
    <xdr:clientData fLocksWithSheet="0"/>
  </xdr:oneCellAnchor>
  <xdr:oneCellAnchor>
    <xdr:from>
      <xdr:col>0</xdr:col>
      <xdr:colOff>0</xdr:colOff>
      <xdr:row>73</xdr:row>
      <xdr:rowOff>114300</xdr:rowOff>
    </xdr:from>
    <xdr:ext cx="1095375" cy="1390650"/>
    <xdr:pic>
      <xdr:nvPicPr>
        <xdr:cNvPr id="10" name="image270.png" descr="Recorte de pantalla">
          <a:extLst>
            <a:ext uri="{FF2B5EF4-FFF2-40B4-BE49-F238E27FC236}">
              <a16:creationId xmlns:a16="http://schemas.microsoft.com/office/drawing/2014/main" id="{00000000-0008-0000-1300-00000A000000}"/>
            </a:ext>
          </a:extLst>
        </xdr:cNvPr>
        <xdr:cNvPicPr preferRelativeResize="0"/>
      </xdr:nvPicPr>
      <xdr:blipFill>
        <a:blip xmlns:r="http://schemas.openxmlformats.org/officeDocument/2006/relationships" r:embed="rId9" cstate="print"/>
        <a:stretch>
          <a:fillRect/>
        </a:stretch>
      </xdr:blipFill>
      <xdr:spPr>
        <a:xfrm>
          <a:off x="133350" y="12611100"/>
          <a:ext cx="1095375" cy="1390650"/>
        </a:xfrm>
        <a:prstGeom prst="rect">
          <a:avLst/>
        </a:prstGeom>
        <a:noFill/>
      </xdr:spPr>
    </xdr:pic>
    <xdr:clientData fLocksWithSheet="0"/>
  </xdr:oneCellAnchor>
  <xdr:oneCellAnchor>
    <xdr:from>
      <xdr:col>0</xdr:col>
      <xdr:colOff>0</xdr:colOff>
      <xdr:row>73</xdr:row>
      <xdr:rowOff>47625</xdr:rowOff>
    </xdr:from>
    <xdr:ext cx="1114425" cy="1390650"/>
    <xdr:pic>
      <xdr:nvPicPr>
        <xdr:cNvPr id="11" name="image268.png" descr="Recorte de pantalla">
          <a:extLst>
            <a:ext uri="{FF2B5EF4-FFF2-40B4-BE49-F238E27FC236}">
              <a16:creationId xmlns:a16="http://schemas.microsoft.com/office/drawing/2014/main" id="{00000000-0008-0000-1300-00000B000000}"/>
            </a:ext>
          </a:extLst>
        </xdr:cNvPr>
        <xdr:cNvPicPr preferRelativeResize="0"/>
      </xdr:nvPicPr>
      <xdr:blipFill>
        <a:blip xmlns:r="http://schemas.openxmlformats.org/officeDocument/2006/relationships" r:embed="rId10" cstate="print"/>
        <a:stretch>
          <a:fillRect/>
        </a:stretch>
      </xdr:blipFill>
      <xdr:spPr>
        <a:xfrm>
          <a:off x="2390775" y="12544425"/>
          <a:ext cx="1114425" cy="1390650"/>
        </a:xfrm>
        <a:prstGeom prst="rect">
          <a:avLst/>
        </a:prstGeom>
        <a:noFill/>
      </xdr:spPr>
    </xdr:pic>
    <xdr:clientData fLocksWithSheet="0"/>
  </xdr:oneCellAnchor>
  <xdr:oneCellAnchor>
    <xdr:from>
      <xdr:col>0</xdr:col>
      <xdr:colOff>0</xdr:colOff>
      <xdr:row>73</xdr:row>
      <xdr:rowOff>66675</xdr:rowOff>
    </xdr:from>
    <xdr:ext cx="1228725" cy="1381125"/>
    <xdr:pic>
      <xdr:nvPicPr>
        <xdr:cNvPr id="12" name="image272.png" descr="Recorte de pantalla">
          <a:extLst>
            <a:ext uri="{FF2B5EF4-FFF2-40B4-BE49-F238E27FC236}">
              <a16:creationId xmlns:a16="http://schemas.microsoft.com/office/drawing/2014/main" id="{00000000-0008-0000-1300-00000C000000}"/>
            </a:ext>
          </a:extLst>
        </xdr:cNvPr>
        <xdr:cNvPicPr preferRelativeResize="0"/>
      </xdr:nvPicPr>
      <xdr:blipFill>
        <a:blip xmlns:r="http://schemas.openxmlformats.org/officeDocument/2006/relationships" r:embed="rId11" cstate="print"/>
        <a:stretch>
          <a:fillRect/>
        </a:stretch>
      </xdr:blipFill>
      <xdr:spPr>
        <a:xfrm>
          <a:off x="4686300" y="12563475"/>
          <a:ext cx="1228725" cy="1381125"/>
        </a:xfrm>
        <a:prstGeom prst="rect">
          <a:avLst/>
        </a:prstGeom>
        <a:noFill/>
      </xdr:spPr>
    </xdr:pic>
    <xdr:clientData fLocksWithSheet="0"/>
  </xdr:oneCellAnchor>
  <xdr:oneCellAnchor>
    <xdr:from>
      <xdr:col>0</xdr:col>
      <xdr:colOff>0</xdr:colOff>
      <xdr:row>73</xdr:row>
      <xdr:rowOff>28575</xdr:rowOff>
    </xdr:from>
    <xdr:ext cx="1343025" cy="1390650"/>
    <xdr:pic>
      <xdr:nvPicPr>
        <xdr:cNvPr id="13" name="image264.png" descr="Recorte de pantalla">
          <a:extLst>
            <a:ext uri="{FF2B5EF4-FFF2-40B4-BE49-F238E27FC236}">
              <a16:creationId xmlns:a16="http://schemas.microsoft.com/office/drawing/2014/main" id="{00000000-0008-0000-1300-00000D000000}"/>
            </a:ext>
          </a:extLst>
        </xdr:cNvPr>
        <xdr:cNvPicPr preferRelativeResize="0"/>
      </xdr:nvPicPr>
      <xdr:blipFill>
        <a:blip xmlns:r="http://schemas.openxmlformats.org/officeDocument/2006/relationships" r:embed="rId12" cstate="print"/>
        <a:stretch>
          <a:fillRect/>
        </a:stretch>
      </xdr:blipFill>
      <xdr:spPr>
        <a:xfrm>
          <a:off x="6867525" y="12525375"/>
          <a:ext cx="1343025" cy="1390650"/>
        </a:xfrm>
        <a:prstGeom prst="rect">
          <a:avLst/>
        </a:prstGeom>
        <a:noFill/>
      </xdr:spPr>
    </xdr:pic>
    <xdr:clientData fLocksWithSheet="0"/>
  </xdr:oneCellAnchor>
  <xdr:oneCellAnchor>
    <xdr:from>
      <xdr:col>0</xdr:col>
      <xdr:colOff>104775</xdr:colOff>
      <xdr:row>49</xdr:row>
      <xdr:rowOff>57150</xdr:rowOff>
    </xdr:from>
    <xdr:ext cx="1447800" cy="1352550"/>
    <xdr:pic>
      <xdr:nvPicPr>
        <xdr:cNvPr id="15" name="image271.png" descr="Recorte de pantalla">
          <a:extLst>
            <a:ext uri="{FF2B5EF4-FFF2-40B4-BE49-F238E27FC236}">
              <a16:creationId xmlns:a16="http://schemas.microsoft.com/office/drawing/2014/main" id="{00000000-0008-0000-1300-00000F000000}"/>
            </a:ext>
          </a:extLst>
        </xdr:cNvPr>
        <xdr:cNvPicPr preferRelativeResize="0"/>
      </xdr:nvPicPr>
      <xdr:blipFill>
        <a:blip xmlns:r="http://schemas.openxmlformats.org/officeDocument/2006/relationships" r:embed="rId1" cstate="print"/>
        <a:stretch>
          <a:fillRect/>
        </a:stretch>
      </xdr:blipFill>
      <xdr:spPr>
        <a:xfrm>
          <a:off x="104775" y="8667750"/>
          <a:ext cx="1447800" cy="1352550"/>
        </a:xfrm>
        <a:prstGeom prst="rect">
          <a:avLst/>
        </a:prstGeom>
        <a:noFill/>
      </xdr:spPr>
    </xdr:pic>
    <xdr:clientData fLocksWithSheet="0"/>
  </xdr:oneCellAnchor>
  <xdr:oneCellAnchor>
    <xdr:from>
      <xdr:col>3</xdr:col>
      <xdr:colOff>200025</xdr:colOff>
      <xdr:row>49</xdr:row>
      <xdr:rowOff>9525</xdr:rowOff>
    </xdr:from>
    <xdr:ext cx="1152525" cy="1390650"/>
    <xdr:pic>
      <xdr:nvPicPr>
        <xdr:cNvPr id="16" name="image275.png" descr="Recorte de pantalla">
          <a:extLst>
            <a:ext uri="{FF2B5EF4-FFF2-40B4-BE49-F238E27FC236}">
              <a16:creationId xmlns:a16="http://schemas.microsoft.com/office/drawing/2014/main" id="{00000000-0008-0000-1300-000010000000}"/>
            </a:ext>
          </a:extLst>
        </xdr:cNvPr>
        <xdr:cNvPicPr preferRelativeResize="0"/>
      </xdr:nvPicPr>
      <xdr:blipFill>
        <a:blip xmlns:r="http://schemas.openxmlformats.org/officeDocument/2006/relationships" r:embed="rId2" cstate="print"/>
        <a:stretch>
          <a:fillRect/>
        </a:stretch>
      </xdr:blipFill>
      <xdr:spPr>
        <a:xfrm>
          <a:off x="2371725" y="8620125"/>
          <a:ext cx="1152525" cy="1390650"/>
        </a:xfrm>
        <a:prstGeom prst="rect">
          <a:avLst/>
        </a:prstGeom>
        <a:noFill/>
      </xdr:spPr>
    </xdr:pic>
    <xdr:clientData fLocksWithSheet="0"/>
  </xdr:oneCellAnchor>
  <xdr:oneCellAnchor>
    <xdr:from>
      <xdr:col>6</xdr:col>
      <xdr:colOff>314325</xdr:colOff>
      <xdr:row>49</xdr:row>
      <xdr:rowOff>28575</xdr:rowOff>
    </xdr:from>
    <xdr:ext cx="1343025" cy="1390650"/>
    <xdr:pic>
      <xdr:nvPicPr>
        <xdr:cNvPr id="17" name="image269.png" descr="Recorte de pantalla">
          <a:extLst>
            <a:ext uri="{FF2B5EF4-FFF2-40B4-BE49-F238E27FC236}">
              <a16:creationId xmlns:a16="http://schemas.microsoft.com/office/drawing/2014/main" id="{00000000-0008-0000-1300-000011000000}"/>
            </a:ext>
          </a:extLst>
        </xdr:cNvPr>
        <xdr:cNvPicPr preferRelativeResize="0"/>
      </xdr:nvPicPr>
      <xdr:blipFill>
        <a:blip xmlns:r="http://schemas.openxmlformats.org/officeDocument/2006/relationships" r:embed="rId3" cstate="print"/>
        <a:stretch>
          <a:fillRect/>
        </a:stretch>
      </xdr:blipFill>
      <xdr:spPr>
        <a:xfrm>
          <a:off x="4667250" y="8639175"/>
          <a:ext cx="1343025" cy="1390650"/>
        </a:xfrm>
        <a:prstGeom prst="rect">
          <a:avLst/>
        </a:prstGeom>
        <a:noFill/>
      </xdr:spPr>
    </xdr:pic>
    <xdr:clientData fLocksWithSheet="0"/>
  </xdr:oneCellAnchor>
  <xdr:oneCellAnchor>
    <xdr:from>
      <xdr:col>9</xdr:col>
      <xdr:colOff>133350</xdr:colOff>
      <xdr:row>49</xdr:row>
      <xdr:rowOff>19050</xdr:rowOff>
    </xdr:from>
    <xdr:ext cx="1219200" cy="1390650"/>
    <xdr:pic>
      <xdr:nvPicPr>
        <xdr:cNvPr id="18" name="image274.png" descr="Recorte de pantalla">
          <a:extLst>
            <a:ext uri="{FF2B5EF4-FFF2-40B4-BE49-F238E27FC236}">
              <a16:creationId xmlns:a16="http://schemas.microsoft.com/office/drawing/2014/main" id="{00000000-0008-0000-1300-000012000000}"/>
            </a:ext>
          </a:extLst>
        </xdr:cNvPr>
        <xdr:cNvPicPr preferRelativeResize="0"/>
      </xdr:nvPicPr>
      <xdr:blipFill>
        <a:blip xmlns:r="http://schemas.openxmlformats.org/officeDocument/2006/relationships" r:embed="rId4" cstate="print"/>
        <a:stretch>
          <a:fillRect/>
        </a:stretch>
      </xdr:blipFill>
      <xdr:spPr>
        <a:xfrm>
          <a:off x="6934200" y="8629650"/>
          <a:ext cx="1219200" cy="1390650"/>
        </a:xfrm>
        <a:prstGeom prst="rect">
          <a:avLst/>
        </a:prstGeom>
        <a:noFill/>
      </xdr:spPr>
    </xdr:pic>
    <xdr:clientData fLocksWithSheet="0"/>
  </xdr:oneCellAnchor>
  <xdr:oneCellAnchor>
    <xdr:from>
      <xdr:col>0</xdr:col>
      <xdr:colOff>190500</xdr:colOff>
      <xdr:row>61</xdr:row>
      <xdr:rowOff>19050</xdr:rowOff>
    </xdr:from>
    <xdr:ext cx="1209675" cy="1390650"/>
    <xdr:pic>
      <xdr:nvPicPr>
        <xdr:cNvPr id="19" name="image266.png" descr="Recorte de pantalla">
          <a:extLst>
            <a:ext uri="{FF2B5EF4-FFF2-40B4-BE49-F238E27FC236}">
              <a16:creationId xmlns:a16="http://schemas.microsoft.com/office/drawing/2014/main" id="{00000000-0008-0000-1300-000013000000}"/>
            </a:ext>
          </a:extLst>
        </xdr:cNvPr>
        <xdr:cNvPicPr preferRelativeResize="0"/>
      </xdr:nvPicPr>
      <xdr:blipFill>
        <a:blip xmlns:r="http://schemas.openxmlformats.org/officeDocument/2006/relationships" r:embed="rId5" cstate="print"/>
        <a:stretch>
          <a:fillRect/>
        </a:stretch>
      </xdr:blipFill>
      <xdr:spPr>
        <a:xfrm>
          <a:off x="190500" y="10572750"/>
          <a:ext cx="1209675" cy="1390650"/>
        </a:xfrm>
        <a:prstGeom prst="rect">
          <a:avLst/>
        </a:prstGeom>
        <a:noFill/>
      </xdr:spPr>
    </xdr:pic>
    <xdr:clientData fLocksWithSheet="0"/>
  </xdr:oneCellAnchor>
  <xdr:oneCellAnchor>
    <xdr:from>
      <xdr:col>3</xdr:col>
      <xdr:colOff>190500</xdr:colOff>
      <xdr:row>61</xdr:row>
      <xdr:rowOff>28575</xdr:rowOff>
    </xdr:from>
    <xdr:ext cx="1162050" cy="1390650"/>
    <xdr:pic>
      <xdr:nvPicPr>
        <xdr:cNvPr id="20" name="image267.png" descr="Recorte de pantalla">
          <a:extLst>
            <a:ext uri="{FF2B5EF4-FFF2-40B4-BE49-F238E27FC236}">
              <a16:creationId xmlns:a16="http://schemas.microsoft.com/office/drawing/2014/main" id="{00000000-0008-0000-1300-000014000000}"/>
            </a:ext>
          </a:extLst>
        </xdr:cNvPr>
        <xdr:cNvPicPr preferRelativeResize="0"/>
      </xdr:nvPicPr>
      <xdr:blipFill>
        <a:blip xmlns:r="http://schemas.openxmlformats.org/officeDocument/2006/relationships" r:embed="rId6" cstate="print"/>
        <a:stretch>
          <a:fillRect/>
        </a:stretch>
      </xdr:blipFill>
      <xdr:spPr>
        <a:xfrm>
          <a:off x="2362200" y="10582275"/>
          <a:ext cx="1162050" cy="1390650"/>
        </a:xfrm>
        <a:prstGeom prst="rect">
          <a:avLst/>
        </a:prstGeom>
        <a:noFill/>
      </xdr:spPr>
    </xdr:pic>
    <xdr:clientData fLocksWithSheet="0"/>
  </xdr:oneCellAnchor>
  <xdr:oneCellAnchor>
    <xdr:from>
      <xdr:col>6</xdr:col>
      <xdr:colOff>371475</xdr:colOff>
      <xdr:row>61</xdr:row>
      <xdr:rowOff>28575</xdr:rowOff>
    </xdr:from>
    <xdr:ext cx="1257300" cy="1390650"/>
    <xdr:pic>
      <xdr:nvPicPr>
        <xdr:cNvPr id="21" name="image273.png" descr="Recorte de pantalla">
          <a:extLst>
            <a:ext uri="{FF2B5EF4-FFF2-40B4-BE49-F238E27FC236}">
              <a16:creationId xmlns:a16="http://schemas.microsoft.com/office/drawing/2014/main" id="{00000000-0008-0000-1300-000015000000}"/>
            </a:ext>
          </a:extLst>
        </xdr:cNvPr>
        <xdr:cNvPicPr preferRelativeResize="0"/>
      </xdr:nvPicPr>
      <xdr:blipFill>
        <a:blip xmlns:r="http://schemas.openxmlformats.org/officeDocument/2006/relationships" r:embed="rId7" cstate="print"/>
        <a:stretch>
          <a:fillRect/>
        </a:stretch>
      </xdr:blipFill>
      <xdr:spPr>
        <a:xfrm>
          <a:off x="4724400" y="10582275"/>
          <a:ext cx="1257300" cy="1390650"/>
        </a:xfrm>
        <a:prstGeom prst="rect">
          <a:avLst/>
        </a:prstGeom>
        <a:noFill/>
      </xdr:spPr>
    </xdr:pic>
    <xdr:clientData fLocksWithSheet="0"/>
  </xdr:oneCellAnchor>
  <xdr:oneCellAnchor>
    <xdr:from>
      <xdr:col>9</xdr:col>
      <xdr:colOff>95250</xdr:colOff>
      <xdr:row>61</xdr:row>
      <xdr:rowOff>38100</xdr:rowOff>
    </xdr:from>
    <xdr:ext cx="1143000" cy="1390650"/>
    <xdr:pic>
      <xdr:nvPicPr>
        <xdr:cNvPr id="22" name="image265.png" descr="Recorte de pantalla">
          <a:extLst>
            <a:ext uri="{FF2B5EF4-FFF2-40B4-BE49-F238E27FC236}">
              <a16:creationId xmlns:a16="http://schemas.microsoft.com/office/drawing/2014/main" id="{00000000-0008-0000-1300-000016000000}"/>
            </a:ext>
          </a:extLst>
        </xdr:cNvPr>
        <xdr:cNvPicPr preferRelativeResize="0"/>
      </xdr:nvPicPr>
      <xdr:blipFill>
        <a:blip xmlns:r="http://schemas.openxmlformats.org/officeDocument/2006/relationships" r:embed="rId8" cstate="print"/>
        <a:stretch>
          <a:fillRect/>
        </a:stretch>
      </xdr:blipFill>
      <xdr:spPr>
        <a:xfrm>
          <a:off x="6896100" y="10591800"/>
          <a:ext cx="1143000" cy="1390650"/>
        </a:xfrm>
        <a:prstGeom prst="rect">
          <a:avLst/>
        </a:prstGeom>
        <a:noFill/>
      </xdr:spPr>
    </xdr:pic>
    <xdr:clientData fLocksWithSheet="0"/>
  </xdr:oneCellAnchor>
  <xdr:oneCellAnchor>
    <xdr:from>
      <xdr:col>0</xdr:col>
      <xdr:colOff>133350</xdr:colOff>
      <xdr:row>73</xdr:row>
      <xdr:rowOff>114300</xdr:rowOff>
    </xdr:from>
    <xdr:ext cx="1095375" cy="1390650"/>
    <xdr:pic>
      <xdr:nvPicPr>
        <xdr:cNvPr id="23" name="image270.png" descr="Recorte de pantalla">
          <a:extLst>
            <a:ext uri="{FF2B5EF4-FFF2-40B4-BE49-F238E27FC236}">
              <a16:creationId xmlns:a16="http://schemas.microsoft.com/office/drawing/2014/main" id="{00000000-0008-0000-1300-000017000000}"/>
            </a:ext>
          </a:extLst>
        </xdr:cNvPr>
        <xdr:cNvPicPr preferRelativeResize="0"/>
      </xdr:nvPicPr>
      <xdr:blipFill>
        <a:blip xmlns:r="http://schemas.openxmlformats.org/officeDocument/2006/relationships" r:embed="rId9" cstate="print"/>
        <a:stretch>
          <a:fillRect/>
        </a:stretch>
      </xdr:blipFill>
      <xdr:spPr>
        <a:xfrm>
          <a:off x="133350" y="12611100"/>
          <a:ext cx="1095375" cy="1390650"/>
        </a:xfrm>
        <a:prstGeom prst="rect">
          <a:avLst/>
        </a:prstGeom>
        <a:noFill/>
      </xdr:spPr>
    </xdr:pic>
    <xdr:clientData fLocksWithSheet="0"/>
  </xdr:oneCellAnchor>
  <xdr:oneCellAnchor>
    <xdr:from>
      <xdr:col>3</xdr:col>
      <xdr:colOff>219075</xdr:colOff>
      <xdr:row>73</xdr:row>
      <xdr:rowOff>47625</xdr:rowOff>
    </xdr:from>
    <xdr:ext cx="1114425" cy="1390650"/>
    <xdr:pic>
      <xdr:nvPicPr>
        <xdr:cNvPr id="24" name="image268.png" descr="Recorte de pantalla">
          <a:extLst>
            <a:ext uri="{FF2B5EF4-FFF2-40B4-BE49-F238E27FC236}">
              <a16:creationId xmlns:a16="http://schemas.microsoft.com/office/drawing/2014/main" id="{00000000-0008-0000-1300-000018000000}"/>
            </a:ext>
          </a:extLst>
        </xdr:cNvPr>
        <xdr:cNvPicPr preferRelativeResize="0"/>
      </xdr:nvPicPr>
      <xdr:blipFill>
        <a:blip xmlns:r="http://schemas.openxmlformats.org/officeDocument/2006/relationships" r:embed="rId10" cstate="print"/>
        <a:stretch>
          <a:fillRect/>
        </a:stretch>
      </xdr:blipFill>
      <xdr:spPr>
        <a:xfrm>
          <a:off x="2390775" y="12544425"/>
          <a:ext cx="1114425" cy="1390650"/>
        </a:xfrm>
        <a:prstGeom prst="rect">
          <a:avLst/>
        </a:prstGeom>
        <a:noFill/>
      </xdr:spPr>
    </xdr:pic>
    <xdr:clientData fLocksWithSheet="0"/>
  </xdr:oneCellAnchor>
  <xdr:oneCellAnchor>
    <xdr:from>
      <xdr:col>6</xdr:col>
      <xdr:colOff>333375</xdr:colOff>
      <xdr:row>73</xdr:row>
      <xdr:rowOff>66675</xdr:rowOff>
    </xdr:from>
    <xdr:ext cx="1228725" cy="1381125"/>
    <xdr:pic>
      <xdr:nvPicPr>
        <xdr:cNvPr id="25" name="image272.png" descr="Recorte de pantalla">
          <a:extLst>
            <a:ext uri="{FF2B5EF4-FFF2-40B4-BE49-F238E27FC236}">
              <a16:creationId xmlns:a16="http://schemas.microsoft.com/office/drawing/2014/main" id="{00000000-0008-0000-1300-000019000000}"/>
            </a:ext>
          </a:extLst>
        </xdr:cNvPr>
        <xdr:cNvPicPr preferRelativeResize="0"/>
      </xdr:nvPicPr>
      <xdr:blipFill>
        <a:blip xmlns:r="http://schemas.openxmlformats.org/officeDocument/2006/relationships" r:embed="rId11" cstate="print"/>
        <a:stretch>
          <a:fillRect/>
        </a:stretch>
      </xdr:blipFill>
      <xdr:spPr>
        <a:xfrm>
          <a:off x="4686300" y="12563475"/>
          <a:ext cx="1228725" cy="1381125"/>
        </a:xfrm>
        <a:prstGeom prst="rect">
          <a:avLst/>
        </a:prstGeom>
        <a:noFill/>
      </xdr:spPr>
    </xdr:pic>
    <xdr:clientData fLocksWithSheet="0"/>
  </xdr:oneCellAnchor>
  <xdr:oneCellAnchor>
    <xdr:from>
      <xdr:col>9</xdr:col>
      <xdr:colOff>66675</xdr:colOff>
      <xdr:row>73</xdr:row>
      <xdr:rowOff>28575</xdr:rowOff>
    </xdr:from>
    <xdr:ext cx="1343025" cy="1390650"/>
    <xdr:pic>
      <xdr:nvPicPr>
        <xdr:cNvPr id="26" name="image264.png" descr="Recorte de pantalla">
          <a:extLst>
            <a:ext uri="{FF2B5EF4-FFF2-40B4-BE49-F238E27FC236}">
              <a16:creationId xmlns:a16="http://schemas.microsoft.com/office/drawing/2014/main" id="{00000000-0008-0000-1300-00001A000000}"/>
            </a:ext>
          </a:extLst>
        </xdr:cNvPr>
        <xdr:cNvPicPr preferRelativeResize="0"/>
      </xdr:nvPicPr>
      <xdr:blipFill>
        <a:blip xmlns:r="http://schemas.openxmlformats.org/officeDocument/2006/relationships" r:embed="rId12" cstate="print"/>
        <a:stretch>
          <a:fillRect/>
        </a:stretch>
      </xdr:blipFill>
      <xdr:spPr>
        <a:xfrm>
          <a:off x="6867525" y="12525375"/>
          <a:ext cx="1343025" cy="1390650"/>
        </a:xfrm>
        <a:prstGeom prst="rect">
          <a:avLst/>
        </a:prstGeom>
        <a:noFill/>
      </xdr:spPr>
    </xdr:pic>
    <xdr:clientData fLocksWithSheet="0"/>
  </xdr:oneCellAnchor>
  <xdr:oneCellAnchor>
    <xdr:from>
      <xdr:col>0</xdr:col>
      <xdr:colOff>104775</xdr:colOff>
      <xdr:row>49</xdr:row>
      <xdr:rowOff>57150</xdr:rowOff>
    </xdr:from>
    <xdr:ext cx="1447800" cy="1352550"/>
    <xdr:pic>
      <xdr:nvPicPr>
        <xdr:cNvPr id="28" name="image271.png" descr="Recorte de pantalla">
          <a:extLst>
            <a:ext uri="{FF2B5EF4-FFF2-40B4-BE49-F238E27FC236}">
              <a16:creationId xmlns:a16="http://schemas.microsoft.com/office/drawing/2014/main" id="{00000000-0008-0000-1300-00001C000000}"/>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04775" y="8667750"/>
          <a:ext cx="1447800" cy="135255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oneCellAnchor>
  <xdr:twoCellAnchor>
    <xdr:from>
      <xdr:col>7</xdr:col>
      <xdr:colOff>412376</xdr:colOff>
      <xdr:row>168</xdr:row>
      <xdr:rowOff>89647</xdr:rowOff>
    </xdr:from>
    <xdr:to>
      <xdr:col>11</xdr:col>
      <xdr:colOff>351419</xdr:colOff>
      <xdr:row>170</xdr:row>
      <xdr:rowOff>137747</xdr:rowOff>
    </xdr:to>
    <xdr:pic>
      <xdr:nvPicPr>
        <xdr:cNvPr id="27" name="image13.png">
          <a:extLst>
            <a:ext uri="{FF2B5EF4-FFF2-40B4-BE49-F238E27FC236}">
              <a16:creationId xmlns:a16="http://schemas.microsoft.com/office/drawing/2014/main" id="{00000000-0008-0000-1300-00001B000000}"/>
            </a:ext>
          </a:extLst>
        </xdr:cNvPr>
        <xdr:cNvPicPr>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914016" y="43005487"/>
          <a:ext cx="3101343" cy="3910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1"/>
  <sheetViews>
    <sheetView view="pageBreakPreview" topLeftCell="A31" zoomScaleNormal="100" zoomScaleSheetLayoutView="100" workbookViewId="0">
      <selection activeCell="M32" sqref="M32"/>
    </sheetView>
  </sheetViews>
  <sheetFormatPr baseColWidth="10" defaultColWidth="11.5703125" defaultRowHeight="13.5" x14ac:dyDescent="0.25"/>
  <cols>
    <col min="1" max="13" width="11.42578125" style="132" customWidth="1"/>
    <col min="14" max="14" width="16.5703125" style="132" bestFit="1" customWidth="1"/>
    <col min="15" max="15" width="11.42578125" style="132" customWidth="1"/>
    <col min="16" max="16384" width="11.5703125" style="132"/>
  </cols>
  <sheetData>
    <row r="1" spans="1:13" x14ac:dyDescent="0.25">
      <c r="A1" s="510" t="s">
        <v>1124</v>
      </c>
      <c r="B1" s="498"/>
      <c r="C1" s="498"/>
      <c r="D1" s="498"/>
      <c r="E1" s="498"/>
      <c r="F1" s="498"/>
      <c r="G1" s="498"/>
      <c r="H1" s="499"/>
      <c r="I1" s="492" t="s">
        <v>0</v>
      </c>
      <c r="J1" s="486"/>
      <c r="K1" s="511" t="e">
        <f>'01'!#REF!</f>
        <v>#REF!</v>
      </c>
      <c r="L1" s="498"/>
      <c r="M1" s="499"/>
    </row>
    <row r="2" spans="1:13" x14ac:dyDescent="0.25">
      <c r="A2" s="500"/>
      <c r="B2" s="501"/>
      <c r="C2" s="501"/>
      <c r="D2" s="501"/>
      <c r="E2" s="501"/>
      <c r="F2" s="501"/>
      <c r="G2" s="501"/>
      <c r="H2" s="502"/>
      <c r="I2" s="512">
        <v>45972</v>
      </c>
      <c r="J2" s="513"/>
      <c r="K2" s="500"/>
      <c r="L2" s="501"/>
      <c r="M2" s="502"/>
    </row>
    <row r="3" spans="1:13" x14ac:dyDescent="0.25">
      <c r="A3" s="503"/>
      <c r="B3" s="504"/>
      <c r="C3" s="504"/>
      <c r="D3" s="504"/>
      <c r="E3" s="504"/>
      <c r="F3" s="504"/>
      <c r="G3" s="504"/>
      <c r="H3" s="505"/>
      <c r="I3" s="514"/>
      <c r="J3" s="515"/>
      <c r="K3" s="503"/>
      <c r="L3" s="504"/>
      <c r="M3" s="505"/>
    </row>
    <row r="5" spans="1:13" ht="13.15" customHeight="1" x14ac:dyDescent="0.25">
      <c r="A5" s="519" t="s">
        <v>1837</v>
      </c>
      <c r="B5" s="520"/>
      <c r="C5" s="520"/>
      <c r="D5" s="520"/>
      <c r="E5" s="520"/>
      <c r="F5" s="520"/>
      <c r="H5" s="492" t="s">
        <v>1125</v>
      </c>
      <c r="I5" s="485"/>
      <c r="J5" s="485"/>
      <c r="K5" s="486"/>
      <c r="L5" s="106" t="s">
        <v>22</v>
      </c>
      <c r="M5" s="180">
        <v>40</v>
      </c>
    </row>
    <row r="6" spans="1:13" x14ac:dyDescent="0.25">
      <c r="A6" s="497"/>
      <c r="B6" s="498"/>
      <c r="C6" s="498"/>
      <c r="D6" s="498"/>
      <c r="E6" s="498"/>
      <c r="F6" s="499"/>
      <c r="H6" s="497"/>
      <c r="I6" s="498"/>
      <c r="J6" s="498"/>
      <c r="K6" s="498"/>
      <c r="L6" s="498"/>
      <c r="M6" s="499"/>
    </row>
    <row r="7" spans="1:13" x14ac:dyDescent="0.25">
      <c r="A7" s="500"/>
      <c r="B7" s="501"/>
      <c r="C7" s="501"/>
      <c r="D7" s="501"/>
      <c r="E7" s="501"/>
      <c r="F7" s="502"/>
      <c r="H7" s="500"/>
      <c r="I7" s="501"/>
      <c r="J7" s="501"/>
      <c r="K7" s="501"/>
      <c r="L7" s="501"/>
      <c r="M7" s="502"/>
    </row>
    <row r="8" spans="1:13" x14ac:dyDescent="0.25">
      <c r="A8" s="500"/>
      <c r="B8" s="501"/>
      <c r="C8" s="501"/>
      <c r="D8" s="501"/>
      <c r="E8" s="501"/>
      <c r="F8" s="502"/>
      <c r="H8" s="500"/>
      <c r="I8" s="501"/>
      <c r="J8" s="501"/>
      <c r="K8" s="501"/>
      <c r="L8" s="501"/>
      <c r="M8" s="502"/>
    </row>
    <row r="9" spans="1:13" x14ac:dyDescent="0.25">
      <c r="A9" s="500"/>
      <c r="B9" s="501"/>
      <c r="C9" s="501"/>
      <c r="D9" s="501"/>
      <c r="E9" s="501"/>
      <c r="F9" s="502"/>
      <c r="H9" s="500"/>
      <c r="I9" s="501"/>
      <c r="J9" s="501"/>
      <c r="K9" s="501"/>
      <c r="L9" s="501"/>
      <c r="M9" s="502"/>
    </row>
    <row r="10" spans="1:13" x14ac:dyDescent="0.25">
      <c r="A10" s="500"/>
      <c r="B10" s="501"/>
      <c r="C10" s="501"/>
      <c r="D10" s="501"/>
      <c r="E10" s="501"/>
      <c r="F10" s="502"/>
      <c r="H10" s="500"/>
      <c r="I10" s="501"/>
      <c r="J10" s="501"/>
      <c r="K10" s="501"/>
      <c r="L10" s="501"/>
      <c r="M10" s="502"/>
    </row>
    <row r="11" spans="1:13" x14ac:dyDescent="0.25">
      <c r="A11" s="500"/>
      <c r="B11" s="501"/>
      <c r="C11" s="501"/>
      <c r="D11" s="501"/>
      <c r="E11" s="501"/>
      <c r="F11" s="502"/>
      <c r="H11" s="500"/>
      <c r="I11" s="501"/>
      <c r="J11" s="501"/>
      <c r="K11" s="501"/>
      <c r="L11" s="501"/>
      <c r="M11" s="502"/>
    </row>
    <row r="12" spans="1:13" x14ac:dyDescent="0.25">
      <c r="A12" s="500"/>
      <c r="B12" s="501"/>
      <c r="C12" s="501"/>
      <c r="D12" s="501"/>
      <c r="E12" s="501"/>
      <c r="F12" s="502"/>
      <c r="H12" s="500"/>
      <c r="I12" s="501"/>
      <c r="J12" s="501"/>
      <c r="K12" s="501"/>
      <c r="L12" s="501"/>
      <c r="M12" s="502"/>
    </row>
    <row r="13" spans="1:13" x14ac:dyDescent="0.25">
      <c r="A13" s="500"/>
      <c r="B13" s="501"/>
      <c r="C13" s="501"/>
      <c r="D13" s="501"/>
      <c r="E13" s="501"/>
      <c r="F13" s="502"/>
      <c r="H13" s="500"/>
      <c r="I13" s="501"/>
      <c r="J13" s="501"/>
      <c r="K13" s="501"/>
      <c r="L13" s="501"/>
      <c r="M13" s="502"/>
    </row>
    <row r="14" spans="1:13" x14ac:dyDescent="0.25">
      <c r="A14" s="500"/>
      <c r="B14" s="501"/>
      <c r="C14" s="501"/>
      <c r="D14" s="501"/>
      <c r="E14" s="501"/>
      <c r="F14" s="502"/>
      <c r="H14" s="500"/>
      <c r="I14" s="501"/>
      <c r="J14" s="501"/>
      <c r="K14" s="501"/>
      <c r="L14" s="501"/>
      <c r="M14" s="502"/>
    </row>
    <row r="15" spans="1:13" x14ac:dyDescent="0.25">
      <c r="A15" s="500"/>
      <c r="B15" s="501"/>
      <c r="C15" s="501"/>
      <c r="D15" s="501"/>
      <c r="E15" s="501"/>
      <c r="F15" s="502"/>
      <c r="H15" s="500"/>
      <c r="I15" s="501"/>
      <c r="J15" s="501"/>
      <c r="K15" s="501"/>
      <c r="L15" s="501"/>
      <c r="M15" s="502"/>
    </row>
    <row r="16" spans="1:13" x14ac:dyDescent="0.25">
      <c r="A16" s="500"/>
      <c r="B16" s="501"/>
      <c r="C16" s="501"/>
      <c r="D16" s="501"/>
      <c r="E16" s="501"/>
      <c r="F16" s="502"/>
      <c r="H16" s="500"/>
      <c r="I16" s="501"/>
      <c r="J16" s="501"/>
      <c r="K16" s="501"/>
      <c r="L16" s="501"/>
      <c r="M16" s="502"/>
    </row>
    <row r="17" spans="1:14" x14ac:dyDescent="0.25">
      <c r="A17" s="500"/>
      <c r="B17" s="501"/>
      <c r="C17" s="501"/>
      <c r="D17" s="501"/>
      <c r="E17" s="501"/>
      <c r="F17" s="502"/>
      <c r="H17" s="500"/>
      <c r="I17" s="501"/>
      <c r="J17" s="501"/>
      <c r="K17" s="501"/>
      <c r="L17" s="501"/>
      <c r="M17" s="502"/>
    </row>
    <row r="18" spans="1:14" x14ac:dyDescent="0.25">
      <c r="A18" s="500"/>
      <c r="B18" s="501"/>
      <c r="C18" s="501"/>
      <c r="D18" s="501"/>
      <c r="E18" s="501"/>
      <c r="F18" s="502"/>
      <c r="H18" s="500"/>
      <c r="I18" s="501"/>
      <c r="J18" s="501"/>
      <c r="K18" s="501"/>
      <c r="L18" s="501"/>
      <c r="M18" s="502"/>
    </row>
    <row r="19" spans="1:14" x14ac:dyDescent="0.25">
      <c r="A19" s="500"/>
      <c r="B19" s="501"/>
      <c r="C19" s="501"/>
      <c r="D19" s="501"/>
      <c r="E19" s="501"/>
      <c r="F19" s="502"/>
      <c r="H19" s="500"/>
      <c r="I19" s="501"/>
      <c r="J19" s="501"/>
      <c r="K19" s="501"/>
      <c r="L19" s="501"/>
      <c r="M19" s="502"/>
    </row>
    <row r="20" spans="1:14" x14ac:dyDescent="0.25">
      <c r="A20" s="500"/>
      <c r="B20" s="501"/>
      <c r="C20" s="501"/>
      <c r="D20" s="501"/>
      <c r="E20" s="501"/>
      <c r="F20" s="502"/>
      <c r="H20" s="500"/>
      <c r="I20" s="501"/>
      <c r="J20" s="501"/>
      <c r="K20" s="501"/>
      <c r="L20" s="501"/>
      <c r="M20" s="502"/>
    </row>
    <row r="21" spans="1:14" x14ac:dyDescent="0.25">
      <c r="A21" s="500"/>
      <c r="B21" s="501"/>
      <c r="C21" s="501"/>
      <c r="D21" s="501"/>
      <c r="E21" s="501"/>
      <c r="F21" s="502"/>
      <c r="H21" s="500"/>
      <c r="I21" s="501"/>
      <c r="J21" s="501"/>
      <c r="K21" s="501"/>
      <c r="L21" s="501"/>
      <c r="M21" s="502"/>
    </row>
    <row r="22" spans="1:14" x14ac:dyDescent="0.25">
      <c r="A22" s="500"/>
      <c r="B22" s="501"/>
      <c r="C22" s="501"/>
      <c r="D22" s="501"/>
      <c r="E22" s="501"/>
      <c r="F22" s="502"/>
      <c r="H22" s="500"/>
      <c r="I22" s="501"/>
      <c r="J22" s="501"/>
      <c r="K22" s="501"/>
      <c r="L22" s="501"/>
      <c r="M22" s="502"/>
    </row>
    <row r="23" spans="1:14" x14ac:dyDescent="0.25">
      <c r="A23" s="500"/>
      <c r="B23" s="501"/>
      <c r="C23" s="501"/>
      <c r="D23" s="501"/>
      <c r="E23" s="501"/>
      <c r="F23" s="502"/>
      <c r="H23" s="500"/>
      <c r="I23" s="501"/>
      <c r="J23" s="501"/>
      <c r="K23" s="501"/>
      <c r="L23" s="501"/>
      <c r="M23" s="502"/>
    </row>
    <row r="24" spans="1:14" x14ac:dyDescent="0.25">
      <c r="A24" s="503"/>
      <c r="B24" s="504"/>
      <c r="C24" s="504"/>
      <c r="D24" s="504"/>
      <c r="E24" s="504"/>
      <c r="F24" s="505"/>
      <c r="H24" s="503"/>
      <c r="I24" s="504"/>
      <c r="J24" s="504"/>
      <c r="K24" s="504"/>
      <c r="L24" s="504"/>
      <c r="M24" s="505"/>
    </row>
    <row r="25" spans="1:14" x14ac:dyDescent="0.25">
      <c r="D25" s="181" t="s">
        <v>23</v>
      </c>
      <c r="E25" s="182" t="s">
        <v>24</v>
      </c>
      <c r="F25" s="104">
        <v>100</v>
      </c>
      <c r="J25" s="516" t="s">
        <v>25</v>
      </c>
      <c r="K25" s="486"/>
      <c r="L25" s="182" t="s">
        <v>13</v>
      </c>
      <c r="M25" s="183">
        <v>0.3</v>
      </c>
    </row>
    <row r="26" spans="1:14" x14ac:dyDescent="0.25">
      <c r="J26" s="516" t="s">
        <v>26</v>
      </c>
      <c r="K26" s="486"/>
      <c r="L26" s="182" t="s">
        <v>13</v>
      </c>
      <c r="M26" s="183">
        <v>0.25</v>
      </c>
    </row>
    <row r="28" spans="1:14" ht="12.75" customHeight="1" x14ac:dyDescent="0.25">
      <c r="H28" s="163"/>
      <c r="M28" s="163"/>
      <c r="N28" s="163"/>
    </row>
    <row r="29" spans="1:14" x14ac:dyDescent="0.25">
      <c r="H29" s="506" t="s">
        <v>5</v>
      </c>
      <c r="I29" s="507"/>
      <c r="J29" s="507"/>
      <c r="K29" s="184" t="s">
        <v>6</v>
      </c>
      <c r="L29" s="184" t="s">
        <v>7</v>
      </c>
      <c r="M29" s="184" t="s">
        <v>20</v>
      </c>
      <c r="N29" s="185">
        <v>1</v>
      </c>
    </row>
    <row r="30" spans="1:14" x14ac:dyDescent="0.25">
      <c r="A30" s="494" t="s">
        <v>27</v>
      </c>
      <c r="B30" s="495"/>
      <c r="C30" s="495"/>
      <c r="D30" s="495"/>
      <c r="E30" s="495"/>
      <c r="F30" s="495"/>
      <c r="H30" s="496" t="s">
        <v>9</v>
      </c>
      <c r="I30" s="486"/>
      <c r="J30" s="184" t="s">
        <v>10</v>
      </c>
      <c r="K30" s="186">
        <v>0.45</v>
      </c>
      <c r="L30" s="186">
        <v>0.4</v>
      </c>
      <c r="M30" s="186">
        <v>0.4</v>
      </c>
      <c r="N30" s="185">
        <v>2</v>
      </c>
    </row>
    <row r="31" spans="1:14" x14ac:dyDescent="0.25">
      <c r="A31" s="517"/>
      <c r="B31" s="518"/>
      <c r="C31" s="518"/>
      <c r="D31" s="518"/>
      <c r="E31" s="518"/>
      <c r="F31" s="518"/>
      <c r="H31" s="496" t="s">
        <v>11</v>
      </c>
      <c r="I31" s="486"/>
      <c r="J31" s="184" t="s">
        <v>10</v>
      </c>
      <c r="K31" s="104">
        <v>0.9</v>
      </c>
      <c r="L31" s="104">
        <v>1</v>
      </c>
      <c r="M31" s="104">
        <v>1</v>
      </c>
      <c r="N31" s="185">
        <v>3</v>
      </c>
    </row>
    <row r="32" spans="1:14" x14ac:dyDescent="0.25">
      <c r="A32" s="119">
        <v>1</v>
      </c>
      <c r="B32" s="487" t="s">
        <v>28</v>
      </c>
      <c r="C32" s="485"/>
      <c r="D32" s="485"/>
      <c r="E32" s="485"/>
      <c r="F32" s="486"/>
      <c r="H32" s="496" t="s">
        <v>12</v>
      </c>
      <c r="I32" s="486"/>
      <c r="J32" s="182" t="s">
        <v>13</v>
      </c>
      <c r="K32" s="109">
        <v>1</v>
      </c>
      <c r="L32" s="109">
        <v>0.05</v>
      </c>
      <c r="M32" s="109">
        <v>0.05</v>
      </c>
      <c r="N32" s="185">
        <v>4</v>
      </c>
    </row>
    <row r="33" spans="1:14" x14ac:dyDescent="0.25">
      <c r="A33" s="119">
        <v>2</v>
      </c>
      <c r="B33" s="484" t="s">
        <v>1097</v>
      </c>
      <c r="C33" s="485"/>
      <c r="D33" s="485"/>
      <c r="E33" s="485"/>
      <c r="F33" s="486"/>
      <c r="H33" s="496" t="s">
        <v>14</v>
      </c>
      <c r="I33" s="486"/>
      <c r="J33" s="184" t="s">
        <v>13</v>
      </c>
      <c r="K33" s="109">
        <v>0</v>
      </c>
      <c r="L33" s="109">
        <v>0</v>
      </c>
      <c r="M33" s="109">
        <v>0</v>
      </c>
      <c r="N33" s="185">
        <v>5</v>
      </c>
    </row>
    <row r="34" spans="1:14" x14ac:dyDescent="0.25">
      <c r="A34" s="119">
        <v>3</v>
      </c>
      <c r="B34" s="487" t="s">
        <v>1099</v>
      </c>
      <c r="C34" s="485"/>
      <c r="D34" s="485"/>
      <c r="E34" s="485"/>
      <c r="F34" s="486"/>
      <c r="H34" s="496" t="s">
        <v>15</v>
      </c>
      <c r="I34" s="486"/>
      <c r="J34" s="182" t="s">
        <v>13</v>
      </c>
      <c r="K34" s="109">
        <v>0</v>
      </c>
      <c r="L34" s="109">
        <v>0.95</v>
      </c>
      <c r="M34" s="109">
        <v>0.95</v>
      </c>
      <c r="N34" s="185">
        <v>6</v>
      </c>
    </row>
    <row r="35" spans="1:14" x14ac:dyDescent="0.25">
      <c r="A35" s="119">
        <v>4</v>
      </c>
      <c r="B35" s="487" t="s">
        <v>31</v>
      </c>
      <c r="C35" s="485"/>
      <c r="D35" s="485"/>
      <c r="E35" s="485"/>
      <c r="F35" s="486"/>
      <c r="H35" s="508" t="s">
        <v>16</v>
      </c>
      <c r="I35" s="509"/>
      <c r="J35" s="187" t="s">
        <v>10</v>
      </c>
      <c r="K35" s="188">
        <v>0.1</v>
      </c>
      <c r="L35" s="188">
        <v>0.1</v>
      </c>
      <c r="M35" s="188">
        <v>0.1</v>
      </c>
      <c r="N35" s="185">
        <v>7</v>
      </c>
    </row>
    <row r="36" spans="1:14" x14ac:dyDescent="0.25">
      <c r="A36" s="119">
        <v>5</v>
      </c>
      <c r="B36" s="487" t="s">
        <v>32</v>
      </c>
      <c r="C36" s="485"/>
      <c r="D36" s="485"/>
      <c r="E36" s="485"/>
      <c r="F36" s="486"/>
      <c r="H36" s="496" t="s">
        <v>17</v>
      </c>
      <c r="I36" s="486"/>
      <c r="J36" s="184" t="s">
        <v>10</v>
      </c>
      <c r="K36" s="104">
        <v>0</v>
      </c>
      <c r="L36" s="104">
        <v>0.3</v>
      </c>
      <c r="M36" s="104">
        <v>0.2</v>
      </c>
      <c r="N36" s="185">
        <v>8</v>
      </c>
    </row>
    <row r="37" spans="1:14" x14ac:dyDescent="0.25">
      <c r="A37" s="119">
        <v>6</v>
      </c>
      <c r="B37" s="484" t="s">
        <v>1841</v>
      </c>
      <c r="C37" s="485"/>
      <c r="D37" s="485"/>
      <c r="E37" s="485"/>
      <c r="F37" s="486"/>
      <c r="H37" s="496" t="s">
        <v>18</v>
      </c>
      <c r="I37" s="486"/>
      <c r="J37" s="184" t="s">
        <v>10</v>
      </c>
      <c r="K37" s="104">
        <v>0</v>
      </c>
      <c r="L37" s="104">
        <v>0</v>
      </c>
      <c r="M37" s="104">
        <v>0</v>
      </c>
      <c r="N37" s="185">
        <v>9</v>
      </c>
    </row>
    <row r="38" spans="1:14" x14ac:dyDescent="0.25">
      <c r="A38" s="119">
        <v>7</v>
      </c>
      <c r="B38" s="484" t="s">
        <v>1842</v>
      </c>
      <c r="C38" s="485"/>
      <c r="D38" s="485"/>
      <c r="E38" s="485"/>
      <c r="F38" s="486"/>
      <c r="H38" s="496" t="s">
        <v>19</v>
      </c>
      <c r="I38" s="486"/>
      <c r="J38" s="184" t="s">
        <v>10</v>
      </c>
      <c r="K38" s="104">
        <v>0</v>
      </c>
      <c r="L38" s="104">
        <v>0</v>
      </c>
      <c r="M38" s="104">
        <v>0</v>
      </c>
      <c r="N38" s="185">
        <v>10</v>
      </c>
    </row>
    <row r="39" spans="1:14" x14ac:dyDescent="0.25">
      <c r="A39" s="119">
        <v>8</v>
      </c>
      <c r="B39" s="484" t="s">
        <v>1843</v>
      </c>
      <c r="C39" s="485"/>
      <c r="D39" s="485"/>
      <c r="E39" s="485"/>
      <c r="F39" s="486"/>
      <c r="H39" s="496" t="s">
        <v>20</v>
      </c>
      <c r="I39" s="486"/>
      <c r="J39" s="184" t="s">
        <v>10</v>
      </c>
      <c r="K39" s="104">
        <v>0</v>
      </c>
      <c r="L39" s="104">
        <v>0</v>
      </c>
      <c r="M39" s="104">
        <v>0.15</v>
      </c>
      <c r="N39" s="185">
        <v>11</v>
      </c>
    </row>
    <row r="40" spans="1:14" x14ac:dyDescent="0.25">
      <c r="A40" s="119">
        <v>9</v>
      </c>
      <c r="B40" s="484" t="s">
        <v>1844</v>
      </c>
      <c r="C40" s="485"/>
      <c r="D40" s="485"/>
      <c r="E40" s="485"/>
      <c r="F40" s="486"/>
      <c r="H40" s="94"/>
      <c r="I40" s="94"/>
      <c r="J40" s="94"/>
      <c r="K40" s="94"/>
      <c r="L40" s="94"/>
      <c r="M40" s="163"/>
      <c r="N40" s="189"/>
    </row>
    <row r="41" spans="1:14" x14ac:dyDescent="0.25">
      <c r="A41" s="119">
        <v>10</v>
      </c>
      <c r="B41" s="487" t="s">
        <v>33</v>
      </c>
      <c r="C41" s="485"/>
      <c r="D41" s="485"/>
      <c r="E41" s="485"/>
      <c r="F41" s="486"/>
      <c r="H41" s="492" t="s">
        <v>21</v>
      </c>
      <c r="I41" s="485"/>
      <c r="J41" s="485"/>
      <c r="K41" s="486"/>
      <c r="L41" s="106" t="s">
        <v>22</v>
      </c>
      <c r="M41" s="180">
        <v>5</v>
      </c>
      <c r="N41" s="163"/>
    </row>
    <row r="42" spans="1:14" x14ac:dyDescent="0.25">
      <c r="A42" s="119">
        <v>11</v>
      </c>
      <c r="B42" s="487" t="s">
        <v>35</v>
      </c>
      <c r="C42" s="485"/>
      <c r="D42" s="485"/>
      <c r="E42" s="485"/>
      <c r="F42" s="486"/>
      <c r="H42" s="492" t="s">
        <v>1120</v>
      </c>
      <c r="I42" s="485"/>
      <c r="J42" s="485"/>
      <c r="K42" s="486"/>
      <c r="L42" s="106" t="s">
        <v>22</v>
      </c>
      <c r="M42" s="180">
        <v>19</v>
      </c>
      <c r="N42" s="163"/>
    </row>
    <row r="43" spans="1:14" x14ac:dyDescent="0.25">
      <c r="A43" s="119">
        <v>12</v>
      </c>
      <c r="B43" s="487" t="s">
        <v>36</v>
      </c>
      <c r="C43" s="485"/>
      <c r="D43" s="485"/>
      <c r="E43" s="485"/>
      <c r="F43" s="486"/>
    </row>
    <row r="44" spans="1:14" x14ac:dyDescent="0.25">
      <c r="A44" s="119">
        <v>13</v>
      </c>
      <c r="B44" s="487" t="s">
        <v>37</v>
      </c>
      <c r="C44" s="485"/>
      <c r="D44" s="485"/>
      <c r="E44" s="485"/>
      <c r="F44" s="486"/>
      <c r="H44" s="491">
        <f>+'01'!G173</f>
        <v>0</v>
      </c>
      <c r="I44" s="491"/>
      <c r="J44" s="491"/>
      <c r="K44" s="491"/>
      <c r="L44" s="488" t="e">
        <f>+'01'!#REF!</f>
        <v>#REF!</v>
      </c>
      <c r="M44" s="488"/>
    </row>
    <row r="45" spans="1:14" x14ac:dyDescent="0.25">
      <c r="A45" s="119">
        <v>14</v>
      </c>
      <c r="B45" s="487" t="s">
        <v>38</v>
      </c>
      <c r="C45" s="485"/>
      <c r="D45" s="485"/>
      <c r="E45" s="485"/>
      <c r="F45" s="486"/>
      <c r="H45" s="491">
        <f>+'01'!G174</f>
        <v>0</v>
      </c>
      <c r="I45" s="491"/>
      <c r="J45" s="491"/>
      <c r="K45" s="491"/>
      <c r="L45" s="488" t="e">
        <f>+'01'!#REF!</f>
        <v>#REF!</v>
      </c>
      <c r="M45" s="488"/>
    </row>
    <row r="46" spans="1:14" x14ac:dyDescent="0.25">
      <c r="A46" s="119">
        <v>15</v>
      </c>
      <c r="B46" s="484" t="s">
        <v>1840</v>
      </c>
      <c r="C46" s="485"/>
      <c r="D46" s="485"/>
      <c r="E46" s="485"/>
      <c r="F46" s="486"/>
      <c r="H46" s="491">
        <f>+'01'!G175</f>
        <v>0</v>
      </c>
      <c r="I46" s="491"/>
      <c r="J46" s="491"/>
      <c r="K46" s="491"/>
      <c r="L46" s="488" t="e">
        <f>+'01'!#REF!</f>
        <v>#REF!</v>
      </c>
      <c r="M46" s="488"/>
    </row>
    <row r="47" spans="1:14" x14ac:dyDescent="0.25">
      <c r="A47" s="119">
        <v>16</v>
      </c>
      <c r="B47" s="487" t="s">
        <v>29</v>
      </c>
      <c r="C47" s="485"/>
      <c r="D47" s="485"/>
      <c r="E47" s="485"/>
      <c r="F47" s="486"/>
      <c r="H47" s="491">
        <f>+'01'!G176</f>
        <v>0</v>
      </c>
      <c r="I47" s="491"/>
      <c r="J47" s="491"/>
      <c r="K47" s="491"/>
      <c r="L47" s="488" t="e">
        <f>+'01'!#REF!</f>
        <v>#REF!</v>
      </c>
      <c r="M47" s="488"/>
    </row>
    <row r="48" spans="1:14" x14ac:dyDescent="0.25">
      <c r="A48" s="119">
        <v>17</v>
      </c>
      <c r="B48" s="487" t="s">
        <v>30</v>
      </c>
      <c r="C48" s="485"/>
      <c r="D48" s="485"/>
      <c r="E48" s="485"/>
      <c r="F48" s="486"/>
      <c r="H48" s="491">
        <f>+'01'!G177</f>
        <v>0</v>
      </c>
      <c r="I48" s="491"/>
      <c r="J48" s="491"/>
      <c r="K48" s="491"/>
      <c r="L48" s="488" t="e">
        <f>+'01'!#REF!</f>
        <v>#REF!</v>
      </c>
      <c r="M48" s="488"/>
    </row>
    <row r="49" spans="1:13" x14ac:dyDescent="0.25">
      <c r="A49" s="119">
        <v>18</v>
      </c>
      <c r="B49" s="484" t="s">
        <v>1839</v>
      </c>
      <c r="C49" s="485"/>
      <c r="D49" s="485"/>
      <c r="E49" s="485"/>
      <c r="F49" s="486"/>
      <c r="H49" s="491">
        <f>+'01'!G178</f>
        <v>0</v>
      </c>
      <c r="I49" s="491"/>
      <c r="J49" s="491"/>
      <c r="K49" s="491"/>
      <c r="L49" s="488" t="e">
        <f>+'01'!#REF!</f>
        <v>#REF!</v>
      </c>
      <c r="M49" s="488"/>
    </row>
    <row r="50" spans="1:13" x14ac:dyDescent="0.25">
      <c r="A50" s="119">
        <v>19</v>
      </c>
      <c r="B50" s="487" t="s">
        <v>34</v>
      </c>
      <c r="C50" s="485"/>
      <c r="D50" s="485"/>
      <c r="E50" s="485"/>
      <c r="F50" s="486"/>
      <c r="H50" s="491">
        <f>+'01'!G179</f>
        <v>0</v>
      </c>
      <c r="I50" s="491"/>
      <c r="J50" s="491"/>
      <c r="K50" s="491"/>
      <c r="L50" s="488" t="e">
        <f>+'01'!#REF!</f>
        <v>#REF!</v>
      </c>
      <c r="M50" s="488"/>
    </row>
    <row r="51" spans="1:13" x14ac:dyDescent="0.25">
      <c r="A51"/>
      <c r="B51"/>
      <c r="C51"/>
      <c r="D51"/>
      <c r="E51"/>
      <c r="F51"/>
    </row>
    <row r="53" spans="1:13" x14ac:dyDescent="0.25">
      <c r="B53" s="489" t="s">
        <v>1119</v>
      </c>
      <c r="C53" s="490"/>
      <c r="D53" s="489" t="s">
        <v>1</v>
      </c>
      <c r="E53" s="490"/>
      <c r="F53" s="489" t="s">
        <v>2</v>
      </c>
      <c r="G53" s="490"/>
      <c r="H53" s="489" t="s">
        <v>3</v>
      </c>
      <c r="I53" s="490"/>
      <c r="J53" s="494" t="s">
        <v>4</v>
      </c>
      <c r="K53" s="495"/>
    </row>
    <row r="54" spans="1:13" x14ac:dyDescent="0.25">
      <c r="B54" s="493">
        <v>2</v>
      </c>
      <c r="C54" s="486"/>
      <c r="D54" s="493">
        <v>1</v>
      </c>
      <c r="E54" s="486"/>
      <c r="F54" s="493">
        <f>+'15'!F41</f>
        <v>5</v>
      </c>
      <c r="G54" s="486"/>
      <c r="H54" s="493">
        <v>1</v>
      </c>
      <c r="I54" s="486"/>
      <c r="J54" s="493">
        <f>F54+H54</f>
        <v>6</v>
      </c>
      <c r="K54" s="486"/>
    </row>
    <row r="55" spans="1:13" ht="12.75" customHeight="1" x14ac:dyDescent="0.25"/>
    <row r="58" spans="1:13" ht="14.25" thickBot="1" x14ac:dyDescent="0.3">
      <c r="E58" s="190"/>
      <c r="F58" s="190"/>
    </row>
    <row r="59" spans="1:13" ht="14.25" thickTop="1" x14ac:dyDescent="0.25">
      <c r="E59" s="429" t="s">
        <v>1126</v>
      </c>
      <c r="F59" s="429"/>
      <c r="G59" s="429"/>
      <c r="H59" s="429"/>
      <c r="I59" s="429"/>
    </row>
    <row r="60" spans="1:13" x14ac:dyDescent="0.25">
      <c r="E60" s="406" t="s">
        <v>1127</v>
      </c>
      <c r="F60" s="406"/>
      <c r="G60" s="406"/>
      <c r="H60" s="406"/>
      <c r="I60" s="406"/>
    </row>
    <row r="61" spans="1:13" x14ac:dyDescent="0.25">
      <c r="E61" s="406" t="s">
        <v>1123</v>
      </c>
      <c r="F61" s="406"/>
      <c r="G61" s="406"/>
      <c r="H61" s="406"/>
      <c r="I61" s="406"/>
    </row>
  </sheetData>
  <mergeCells count="70">
    <mergeCell ref="E61:I61"/>
    <mergeCell ref="L45:M45"/>
    <mergeCell ref="L46:M46"/>
    <mergeCell ref="J54:K54"/>
    <mergeCell ref="H54:I54"/>
    <mergeCell ref="E60:I60"/>
    <mergeCell ref="L47:M47"/>
    <mergeCell ref="L48:M48"/>
    <mergeCell ref="L49:M49"/>
    <mergeCell ref="B45:F45"/>
    <mergeCell ref="B48:F48"/>
    <mergeCell ref="F54:G54"/>
    <mergeCell ref="A1:H3"/>
    <mergeCell ref="I1:J1"/>
    <mergeCell ref="K1:M3"/>
    <mergeCell ref="I2:J3"/>
    <mergeCell ref="H32:I32"/>
    <mergeCell ref="H31:I31"/>
    <mergeCell ref="J25:K25"/>
    <mergeCell ref="B32:F32"/>
    <mergeCell ref="H5:K5"/>
    <mergeCell ref="H6:M24"/>
    <mergeCell ref="A30:F31"/>
    <mergeCell ref="J26:K26"/>
    <mergeCell ref="A5:F5"/>
    <mergeCell ref="H39:I39"/>
    <mergeCell ref="A6:F24"/>
    <mergeCell ref="H29:J29"/>
    <mergeCell ref="B35:F35"/>
    <mergeCell ref="B36:F36"/>
    <mergeCell ref="H30:I30"/>
    <mergeCell ref="H33:I33"/>
    <mergeCell ref="H34:I34"/>
    <mergeCell ref="B33:F33"/>
    <mergeCell ref="B34:F34"/>
    <mergeCell ref="H35:I35"/>
    <mergeCell ref="H36:I36"/>
    <mergeCell ref="H37:I37"/>
    <mergeCell ref="H38:I38"/>
    <mergeCell ref="B37:F37"/>
    <mergeCell ref="B38:F38"/>
    <mergeCell ref="H42:K42"/>
    <mergeCell ref="B54:C54"/>
    <mergeCell ref="D54:E54"/>
    <mergeCell ref="H41:K41"/>
    <mergeCell ref="J53:K53"/>
    <mergeCell ref="H53:I53"/>
    <mergeCell ref="B53:C53"/>
    <mergeCell ref="D53:E53"/>
    <mergeCell ref="B43:F43"/>
    <mergeCell ref="L44:M44"/>
    <mergeCell ref="E59:I59"/>
    <mergeCell ref="F53:G53"/>
    <mergeCell ref="B50:F50"/>
    <mergeCell ref="L50:M50"/>
    <mergeCell ref="H50:K50"/>
    <mergeCell ref="H49:K49"/>
    <mergeCell ref="H48:K48"/>
    <mergeCell ref="H47:K47"/>
    <mergeCell ref="H46:K46"/>
    <mergeCell ref="H45:K45"/>
    <mergeCell ref="B44:F44"/>
    <mergeCell ref="H44:K44"/>
    <mergeCell ref="B49:F49"/>
    <mergeCell ref="B47:F47"/>
    <mergeCell ref="B39:F39"/>
    <mergeCell ref="B40:F40"/>
    <mergeCell ref="B46:F46"/>
    <mergeCell ref="B42:F42"/>
    <mergeCell ref="B41:F41"/>
  </mergeCells>
  <printOptions horizontalCentered="1"/>
  <pageMargins left="0.39370078740157483" right="0.39370078740157483" top="0.39370078740157483" bottom="0.39370078740157483" header="0.19685039370078741" footer="0.19685039370078741"/>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27"/>
  <sheetViews>
    <sheetView view="pageBreakPreview" topLeftCell="J169" zoomScaleNormal="100" zoomScaleSheetLayoutView="100" workbookViewId="0">
      <selection activeCell="M180" sqref="M180:N180"/>
    </sheetView>
  </sheetViews>
  <sheetFormatPr baseColWidth="10" defaultColWidth="11.42578125" defaultRowHeight="12.75" outlineLevelRow="1" x14ac:dyDescent="0.2"/>
  <cols>
    <col min="1" max="1" width="10.5703125" style="114" customWidth="1"/>
    <col min="2" max="2" width="11.42578125" style="114" customWidth="1"/>
    <col min="3" max="8" width="11.42578125" style="114"/>
    <col min="9" max="9" width="14.85546875" style="114" customWidth="1"/>
    <col min="10" max="10" width="19.7109375" style="114" bestFit="1" customWidth="1"/>
    <col min="11" max="12" width="11.42578125" style="114"/>
    <col min="13" max="13" width="16" style="114" customWidth="1"/>
    <col min="14" max="14" width="17.28515625" style="204" customWidth="1"/>
    <col min="15" max="15" width="19.28515625" style="203" bestFit="1" customWidth="1"/>
    <col min="16" max="16" width="21.85546875" bestFit="1" customWidth="1"/>
    <col min="17" max="17" width="30.42578125" customWidth="1"/>
    <col min="18" max="18" width="20.28515625" customWidth="1"/>
    <col min="19" max="19" width="12.5703125" customWidth="1"/>
    <col min="20" max="16384" width="11.42578125" style="114"/>
  </cols>
  <sheetData>
    <row r="1" spans="1:17" ht="8.25" customHeight="1" x14ac:dyDescent="0.25">
      <c r="A1" s="351"/>
      <c r="B1" s="352"/>
      <c r="C1" s="352"/>
      <c r="D1" s="353"/>
      <c r="E1" s="352"/>
      <c r="F1" s="352"/>
      <c r="G1" s="352"/>
      <c r="H1" s="352"/>
      <c r="I1" s="352"/>
      <c r="J1" s="354"/>
      <c r="K1" s="354"/>
      <c r="L1" s="354"/>
      <c r="M1" s="354"/>
      <c r="N1" s="355"/>
    </row>
    <row r="2" spans="1:17" ht="22.5" customHeight="1" x14ac:dyDescent="0.25">
      <c r="A2" s="356"/>
      <c r="B2" s="685" t="s">
        <v>1962</v>
      </c>
      <c r="C2" s="685"/>
      <c r="D2" s="685"/>
      <c r="E2" s="357"/>
      <c r="F2" s="357"/>
      <c r="G2" s="357"/>
      <c r="H2" s="357"/>
      <c r="I2" s="357"/>
      <c r="J2" s="204"/>
      <c r="K2" s="204"/>
      <c r="L2" s="204"/>
      <c r="M2" s="204"/>
      <c r="N2" s="358"/>
    </row>
    <row r="3" spans="1:17" ht="16.5" thickBot="1" x14ac:dyDescent="0.3">
      <c r="A3" s="356"/>
      <c r="B3" s="383" t="s">
        <v>1963</v>
      </c>
      <c r="C3" s="384" t="s">
        <v>1964</v>
      </c>
      <c r="D3" s="383" t="s">
        <v>1965</v>
      </c>
      <c r="E3" s="357"/>
      <c r="F3" s="357"/>
      <c r="G3" s="357"/>
      <c r="H3" s="357"/>
      <c r="I3" s="357"/>
      <c r="J3" s="204"/>
      <c r="K3" s="204"/>
      <c r="L3" s="204"/>
      <c r="M3" s="204"/>
      <c r="N3" s="358"/>
    </row>
    <row r="4" spans="1:17" ht="15.75" x14ac:dyDescent="0.25">
      <c r="A4" s="356"/>
      <c r="B4" s="654" t="s">
        <v>1966</v>
      </c>
      <c r="C4" s="655"/>
      <c r="D4" s="655"/>
      <c r="E4" s="655"/>
      <c r="F4" s="655"/>
      <c r="G4" s="655"/>
      <c r="H4" s="655"/>
      <c r="I4" s="655"/>
      <c r="J4" s="655"/>
      <c r="K4" s="655"/>
      <c r="L4" s="655"/>
      <c r="M4" s="655"/>
      <c r="N4" s="385"/>
    </row>
    <row r="5" spans="1:17" ht="15.75" x14ac:dyDescent="0.25">
      <c r="A5" s="356"/>
      <c r="B5" s="656" t="s">
        <v>1967</v>
      </c>
      <c r="C5" s="657"/>
      <c r="D5" s="657"/>
      <c r="E5" s="657"/>
      <c r="F5" s="657"/>
      <c r="G5" s="657"/>
      <c r="H5" s="657"/>
      <c r="I5" s="657"/>
      <c r="J5" s="657"/>
      <c r="K5" s="657"/>
      <c r="L5" s="657"/>
      <c r="M5" s="657"/>
      <c r="N5" s="386"/>
    </row>
    <row r="6" spans="1:17" ht="27" customHeight="1" x14ac:dyDescent="0.25">
      <c r="A6" s="359"/>
      <c r="B6" s="708" t="s">
        <v>1968</v>
      </c>
      <c r="C6" s="709"/>
      <c r="D6" s="709"/>
      <c r="E6" s="709"/>
      <c r="F6" s="709"/>
      <c r="G6" s="709"/>
      <c r="H6" s="709"/>
      <c r="I6" s="709"/>
      <c r="J6" s="709"/>
      <c r="K6" s="709"/>
      <c r="L6" s="709"/>
      <c r="M6" s="709"/>
      <c r="N6" s="710"/>
    </row>
    <row r="7" spans="1:17" ht="23.25" customHeight="1" x14ac:dyDescent="0.25">
      <c r="A7" s="356"/>
      <c r="B7" s="708"/>
      <c r="C7" s="709"/>
      <c r="D7" s="709"/>
      <c r="E7" s="709"/>
      <c r="F7" s="709"/>
      <c r="G7" s="709"/>
      <c r="H7" s="709"/>
      <c r="I7" s="709"/>
      <c r="J7" s="709"/>
      <c r="K7" s="709"/>
      <c r="L7" s="709"/>
      <c r="M7" s="709"/>
      <c r="N7" s="710"/>
    </row>
    <row r="8" spans="1:17" ht="51" customHeight="1" x14ac:dyDescent="0.25">
      <c r="A8" s="356"/>
      <c r="B8" s="705" t="s">
        <v>1969</v>
      </c>
      <c r="C8" s="706"/>
      <c r="D8" s="706"/>
      <c r="E8" s="706"/>
      <c r="F8" s="706"/>
      <c r="G8" s="706"/>
      <c r="H8" s="706"/>
      <c r="I8" s="706"/>
      <c r="J8" s="706"/>
      <c r="K8" s="706"/>
      <c r="L8" s="706"/>
      <c r="M8" s="706"/>
      <c r="N8" s="707"/>
    </row>
    <row r="9" spans="1:17" ht="16.5" thickBot="1" x14ac:dyDescent="0.3">
      <c r="A9" s="356"/>
      <c r="B9" s="701"/>
      <c r="C9" s="702"/>
      <c r="D9" s="702"/>
      <c r="E9" s="703"/>
      <c r="F9" s="703"/>
      <c r="G9" s="703"/>
      <c r="H9" s="703"/>
      <c r="I9" s="703"/>
      <c r="J9" s="703"/>
      <c r="K9" s="703"/>
      <c r="L9" s="703"/>
      <c r="M9" s="703"/>
      <c r="N9" s="704"/>
    </row>
    <row r="10" spans="1:17" ht="45" customHeight="1" x14ac:dyDescent="0.2">
      <c r="A10" s="686" t="s">
        <v>1970</v>
      </c>
      <c r="B10" s="688" t="s">
        <v>1971</v>
      </c>
      <c r="C10" s="697" t="s">
        <v>1972</v>
      </c>
      <c r="D10" s="698"/>
      <c r="E10" s="658" t="s">
        <v>39</v>
      </c>
      <c r="F10" s="659"/>
      <c r="G10" s="659"/>
      <c r="H10" s="660"/>
      <c r="I10" s="690" t="s">
        <v>1973</v>
      </c>
      <c r="J10" s="688" t="s">
        <v>184</v>
      </c>
      <c r="K10" s="694" t="s">
        <v>42</v>
      </c>
      <c r="L10" s="693"/>
      <c r="M10" s="692" t="s">
        <v>1974</v>
      </c>
      <c r="N10" s="693"/>
    </row>
    <row r="11" spans="1:17" ht="15.75" thickBot="1" x14ac:dyDescent="0.25">
      <c r="A11" s="687"/>
      <c r="B11" s="689"/>
      <c r="C11" s="699" t="s">
        <v>1975</v>
      </c>
      <c r="D11" s="700"/>
      <c r="E11" s="661"/>
      <c r="F11" s="662"/>
      <c r="G11" s="662"/>
      <c r="H11" s="663"/>
      <c r="I11" s="691"/>
      <c r="J11" s="689"/>
      <c r="K11" s="695"/>
      <c r="L11" s="696"/>
      <c r="M11" s="692"/>
      <c r="N11" s="693"/>
    </row>
    <row r="12" spans="1:17" ht="13.5" x14ac:dyDescent="0.25">
      <c r="A12" s="608" t="s">
        <v>1977</v>
      </c>
      <c r="B12" s="609"/>
      <c r="C12" s="610"/>
      <c r="D12" s="610"/>
      <c r="E12" s="610"/>
      <c r="F12" s="610"/>
      <c r="G12" s="610"/>
      <c r="H12" s="610"/>
      <c r="I12" s="610"/>
      <c r="J12" s="610"/>
      <c r="K12" s="610"/>
      <c r="L12" s="611"/>
      <c r="M12" s="588"/>
      <c r="N12" s="590"/>
    </row>
    <row r="13" spans="1:17" x14ac:dyDescent="0.2">
      <c r="A13" s="612"/>
      <c r="B13" s="613"/>
      <c r="C13" s="613"/>
      <c r="D13" s="613"/>
      <c r="E13" s="613"/>
      <c r="F13" s="613"/>
      <c r="G13" s="613"/>
      <c r="H13" s="613"/>
      <c r="I13" s="613"/>
      <c r="J13" s="613"/>
      <c r="K13" s="613"/>
      <c r="L13" s="614"/>
      <c r="M13" s="618"/>
      <c r="N13" s="619"/>
      <c r="O13" s="315">
        <v>0.29429098306394497</v>
      </c>
      <c r="P13" s="316">
        <v>0.29728501186211881</v>
      </c>
      <c r="Q13" s="316">
        <f>+T13</f>
        <v>0</v>
      </c>
    </row>
    <row r="14" spans="1:17" ht="13.5" thickBot="1" x14ac:dyDescent="0.25">
      <c r="A14" s="615"/>
      <c r="B14" s="616"/>
      <c r="C14" s="616"/>
      <c r="D14" s="616"/>
      <c r="E14" s="616"/>
      <c r="F14" s="616"/>
      <c r="G14" s="616"/>
      <c r="H14" s="616"/>
      <c r="I14" s="616"/>
      <c r="J14" s="616"/>
      <c r="K14" s="616"/>
      <c r="L14" s="617"/>
      <c r="M14" s="605"/>
      <c r="N14" s="620"/>
      <c r="O14" s="315"/>
      <c r="P14" s="315"/>
    </row>
    <row r="15" spans="1:17" ht="13.5" x14ac:dyDescent="0.2">
      <c r="A15" s="360"/>
      <c r="B15" s="195"/>
      <c r="C15" s="195"/>
      <c r="D15" s="195"/>
      <c r="E15" s="195"/>
      <c r="F15" s="195"/>
      <c r="G15" s="195"/>
      <c r="H15" s="195"/>
      <c r="I15" s="195"/>
      <c r="J15" s="195"/>
      <c r="K15" s="195"/>
      <c r="L15" s="195"/>
      <c r="M15" s="195"/>
      <c r="N15" s="361"/>
      <c r="O15" s="315" t="s">
        <v>1932</v>
      </c>
      <c r="P15" s="315" t="s">
        <v>170</v>
      </c>
    </row>
    <row r="16" spans="1:17" ht="13.5" x14ac:dyDescent="0.25">
      <c r="A16" s="360"/>
      <c r="B16" s="195"/>
      <c r="C16" s="195"/>
      <c r="D16" s="195"/>
      <c r="E16" s="195"/>
      <c r="F16" s="195"/>
      <c r="G16" s="195"/>
      <c r="H16" s="525" t="s">
        <v>1592</v>
      </c>
      <c r="I16" s="526"/>
      <c r="J16" s="527"/>
      <c r="K16" s="591">
        <v>0</v>
      </c>
      <c r="L16" s="549"/>
      <c r="M16" s="591">
        <f>SUM(M18:M33)</f>
        <v>62622104.18</v>
      </c>
      <c r="N16" s="590"/>
      <c r="O16" s="350">
        <v>1.29429098306394</v>
      </c>
      <c r="P16" s="316" t="s">
        <v>1759</v>
      </c>
    </row>
    <row r="17" spans="1:16" ht="13.5" outlineLevel="1" x14ac:dyDescent="0.25">
      <c r="A17" s="362" t="s">
        <v>44</v>
      </c>
      <c r="B17" s="202" t="s">
        <v>1700</v>
      </c>
      <c r="C17" s="592" t="s">
        <v>45</v>
      </c>
      <c r="D17" s="548"/>
      <c r="E17" s="548"/>
      <c r="F17" s="548"/>
      <c r="G17" s="548"/>
      <c r="H17" s="548"/>
      <c r="I17" s="548"/>
      <c r="J17" s="548"/>
      <c r="K17" s="548"/>
      <c r="L17" s="548"/>
      <c r="M17" s="548"/>
      <c r="N17" s="590"/>
    </row>
    <row r="18" spans="1:16" ht="30" customHeight="1" outlineLevel="1" x14ac:dyDescent="0.25">
      <c r="A18" s="363" t="s">
        <v>46</v>
      </c>
      <c r="B18" s="216" t="str">
        <f>VLOOKUP(C18,'10'!$B$8:$N$437,13,FALSE)</f>
        <v>G001</v>
      </c>
      <c r="C18" s="606" t="s">
        <v>1102</v>
      </c>
      <c r="D18" s="607"/>
      <c r="E18" s="607"/>
      <c r="F18" s="607"/>
      <c r="G18" s="607"/>
      <c r="H18" s="599"/>
      <c r="I18" s="246" t="str">
        <f>VLOOKUP(C18,AA_Unitarios,'10'!$H$7,FALSE)</f>
        <v>M</v>
      </c>
      <c r="J18" s="247">
        <f>+ROUND('17'!D199,2)</f>
        <v>20</v>
      </c>
      <c r="K18" s="598">
        <f>+'11'!M5</f>
        <v>5783.811895814667</v>
      </c>
      <c r="L18" s="599"/>
      <c r="M18" s="598">
        <f>ROUND(J18*K18,2)</f>
        <v>115676.24</v>
      </c>
      <c r="N18" s="600"/>
      <c r="O18" s="203">
        <v>5783.82400183749</v>
      </c>
      <c r="P18" s="118">
        <v>115676.4800367498</v>
      </c>
    </row>
    <row r="19" spans="1:16" ht="13.5" outlineLevel="1" x14ac:dyDescent="0.25">
      <c r="A19" s="362" t="s">
        <v>48</v>
      </c>
      <c r="B19" s="202" t="s">
        <v>1700</v>
      </c>
      <c r="C19" s="552" t="s">
        <v>49</v>
      </c>
      <c r="D19" s="553"/>
      <c r="E19" s="553"/>
      <c r="F19" s="553"/>
      <c r="G19" s="553"/>
      <c r="H19" s="553"/>
      <c r="I19" s="553"/>
      <c r="J19" s="553"/>
      <c r="K19" s="553"/>
      <c r="L19" s="553"/>
      <c r="M19" s="553"/>
      <c r="N19" s="554"/>
      <c r="P19" s="118"/>
    </row>
    <row r="20" spans="1:16" ht="27" customHeight="1" outlineLevel="1" x14ac:dyDescent="0.25">
      <c r="A20" s="363" t="s">
        <v>50</v>
      </c>
      <c r="B20" s="216" t="str">
        <f>VLOOKUP(C20,'10'!$B$8:$N$437,13,FALSE)</f>
        <v>G017</v>
      </c>
      <c r="C20" s="621" t="s">
        <v>87</v>
      </c>
      <c r="D20" s="605"/>
      <c r="E20" s="605"/>
      <c r="F20" s="605"/>
      <c r="G20" s="605"/>
      <c r="H20" s="603"/>
      <c r="I20" s="248" t="str">
        <f>VLOOKUP(C20,AA_Unitarios,'10'!$H$7,FALSE)</f>
        <v>M3</v>
      </c>
      <c r="J20" s="249">
        <f>+ROUND('17'!L197,2)</f>
        <v>1.19</v>
      </c>
      <c r="K20" s="601">
        <f>+'11'!M87</f>
        <v>55917.2533413114</v>
      </c>
      <c r="L20" s="603"/>
      <c r="M20" s="601">
        <f>ROUND(J20*K20,2)</f>
        <v>66541.53</v>
      </c>
      <c r="N20" s="602"/>
      <c r="O20" s="203">
        <v>55917.2533413114</v>
      </c>
      <c r="P20" s="118">
        <v>66541.53147616057</v>
      </c>
    </row>
    <row r="21" spans="1:16" ht="27" customHeight="1" outlineLevel="1" x14ac:dyDescent="0.25">
      <c r="A21" s="363" t="s">
        <v>1733</v>
      </c>
      <c r="B21" s="216" t="str">
        <f>VLOOKUP(C21,'10'!$B$8:$N$437,13,FALSE)</f>
        <v>G002</v>
      </c>
      <c r="C21" s="606" t="s">
        <v>88</v>
      </c>
      <c r="D21" s="607"/>
      <c r="E21" s="607"/>
      <c r="F21" s="607"/>
      <c r="G21" s="607"/>
      <c r="H21" s="599"/>
      <c r="I21" s="246" t="str">
        <f>VLOOKUP(C21,AA_Unitarios,'10'!$H$7,FALSE)</f>
        <v>M3</v>
      </c>
      <c r="J21" s="247">
        <f>+ROUND('17'!N197,2)</f>
        <v>22.66</v>
      </c>
      <c r="K21" s="598">
        <f>+'11'!M1508</f>
        <v>24919.742046776577</v>
      </c>
      <c r="L21" s="599"/>
      <c r="M21" s="598">
        <f>ROUND(J21*K21,2)</f>
        <v>564681.35</v>
      </c>
      <c r="N21" s="600"/>
      <c r="O21" s="203">
        <v>24919.747928610042</v>
      </c>
      <c r="P21" s="118">
        <v>564681.48806230351</v>
      </c>
    </row>
    <row r="22" spans="1:16" ht="13.5" outlineLevel="1" x14ac:dyDescent="0.25">
      <c r="A22" s="362" t="s">
        <v>52</v>
      </c>
      <c r="B22" s="202" t="s">
        <v>1700</v>
      </c>
      <c r="C22" s="552" t="s">
        <v>53</v>
      </c>
      <c r="D22" s="553"/>
      <c r="E22" s="553"/>
      <c r="F22" s="553"/>
      <c r="G22" s="553"/>
      <c r="H22" s="553"/>
      <c r="I22" s="553"/>
      <c r="J22" s="553"/>
      <c r="K22" s="553"/>
      <c r="L22" s="553"/>
      <c r="M22" s="553"/>
      <c r="N22" s="554"/>
      <c r="P22" s="118"/>
    </row>
    <row r="23" spans="1:16" ht="27" customHeight="1" outlineLevel="1" x14ac:dyDescent="0.25">
      <c r="A23" s="364" t="s">
        <v>54</v>
      </c>
      <c r="B23" s="216" t="str">
        <f>VLOOKUP(C23,'10'!$B$8:$N$437,13,FALSE)</f>
        <v>G003</v>
      </c>
      <c r="C23" s="604" t="s">
        <v>89</v>
      </c>
      <c r="D23" s="605"/>
      <c r="E23" s="605"/>
      <c r="F23" s="605"/>
      <c r="G23" s="605"/>
      <c r="H23" s="603"/>
      <c r="I23" s="248" t="str">
        <f>VLOOKUP(C23,AA_Unitarios,'10'!$H$7,FALSE)</f>
        <v>M3</v>
      </c>
      <c r="J23" s="249">
        <f>+ROUND('17'!O197,2)</f>
        <v>1.9</v>
      </c>
      <c r="K23" s="601">
        <f>+'11'!M681</f>
        <v>227936.92650051074</v>
      </c>
      <c r="L23" s="603"/>
      <c r="M23" s="601">
        <f>ROUND(J23*K23,2)</f>
        <v>433080.16</v>
      </c>
      <c r="N23" s="602"/>
      <c r="O23" s="203">
        <v>227936.93788189895</v>
      </c>
      <c r="P23" s="118">
        <v>433080.18197560799</v>
      </c>
    </row>
    <row r="24" spans="1:16" ht="54" customHeight="1" outlineLevel="1" x14ac:dyDescent="0.25">
      <c r="A24" s="364" t="s">
        <v>1601</v>
      </c>
      <c r="B24" s="216" t="str">
        <f>VLOOKUP(C24,'10'!$B$8:$N$437,13,FALSE)</f>
        <v>G004</v>
      </c>
      <c r="C24" s="555" t="s">
        <v>55</v>
      </c>
      <c r="D24" s="548"/>
      <c r="E24" s="548"/>
      <c r="F24" s="548"/>
      <c r="G24" s="548"/>
      <c r="H24" s="549"/>
      <c r="I24" s="201" t="str">
        <f>VLOOKUP(C24,AA_Unitarios,'10'!$H$7,FALSE)</f>
        <v>M3</v>
      </c>
      <c r="J24" s="160">
        <f>+ROUND('17'!P197,2)</f>
        <v>5.71</v>
      </c>
      <c r="K24" s="550">
        <f>+'11'!M471</f>
        <v>180295.36532938693</v>
      </c>
      <c r="L24" s="549"/>
      <c r="M24" s="550">
        <f>ROUND(J24*K24,2)</f>
        <v>1029486.54</v>
      </c>
      <c r="N24" s="551"/>
      <c r="O24" s="203">
        <v>180295.36814338854</v>
      </c>
      <c r="P24" s="118">
        <v>1029486.5520987485</v>
      </c>
    </row>
    <row r="25" spans="1:16" ht="40.5" customHeight="1" outlineLevel="1" x14ac:dyDescent="0.25">
      <c r="A25" s="364" t="s">
        <v>1602</v>
      </c>
      <c r="B25" s="216" t="str">
        <f>VLOOKUP(C25,'10'!$B$8:$N$437,13,FALSE)</f>
        <v>G005</v>
      </c>
      <c r="C25" s="547" t="s">
        <v>56</v>
      </c>
      <c r="D25" s="548"/>
      <c r="E25" s="548"/>
      <c r="F25" s="548"/>
      <c r="G25" s="548"/>
      <c r="H25" s="549"/>
      <c r="I25" s="201" t="str">
        <f>VLOOKUP(C25,AA_Unitarios,'10'!$H$7,FALSE)</f>
        <v>M3</v>
      </c>
      <c r="J25" s="160">
        <f>+ROUND('17'!S197,2)</f>
        <v>16.239999999999998</v>
      </c>
      <c r="K25" s="550">
        <f>+'11'!M254</f>
        <v>32479.947058917445</v>
      </c>
      <c r="L25" s="549"/>
      <c r="M25" s="550">
        <f>ROUND(J25*K25,2)</f>
        <v>527474.34</v>
      </c>
      <c r="N25" s="551"/>
      <c r="O25" s="203">
        <v>32479.947475973298</v>
      </c>
      <c r="P25" s="118">
        <v>527474.34700980631</v>
      </c>
    </row>
    <row r="26" spans="1:16" ht="13.5" outlineLevel="1" x14ac:dyDescent="0.25">
      <c r="A26" s="362" t="s">
        <v>57</v>
      </c>
      <c r="B26" s="202" t="s">
        <v>1700</v>
      </c>
      <c r="C26" s="592" t="s">
        <v>68</v>
      </c>
      <c r="D26" s="548"/>
      <c r="E26" s="548"/>
      <c r="F26" s="548"/>
      <c r="G26" s="548"/>
      <c r="H26" s="548"/>
      <c r="I26" s="548"/>
      <c r="J26" s="548"/>
      <c r="K26" s="548"/>
      <c r="L26" s="548"/>
      <c r="M26" s="548"/>
      <c r="N26" s="590"/>
      <c r="P26" s="118"/>
    </row>
    <row r="27" spans="1:16" ht="27" customHeight="1" outlineLevel="1" x14ac:dyDescent="0.25">
      <c r="A27" s="365" t="s">
        <v>59</v>
      </c>
      <c r="B27" s="216" t="str">
        <f>VLOOKUP(C27,'10'!$B$8:$N$437,13,FALSE)</f>
        <v>G008</v>
      </c>
      <c r="C27" s="555" t="s">
        <v>90</v>
      </c>
      <c r="D27" s="548"/>
      <c r="E27" s="548"/>
      <c r="F27" s="548"/>
      <c r="G27" s="548"/>
      <c r="H27" s="549"/>
      <c r="I27" s="201" t="str">
        <f>VLOOKUP(C27,AA_Unitarios,'10'!$H$7,FALSE)</f>
        <v>M3-KM</v>
      </c>
      <c r="J27" s="160">
        <f>+ROUND(J28*Indice!$M$41,2)</f>
        <v>49.5</v>
      </c>
      <c r="K27" s="550">
        <f>+'11'!M513</f>
        <v>6193.2183588323314</v>
      </c>
      <c r="L27" s="549"/>
      <c r="M27" s="550">
        <f>ROUND(J27*K27,2)</f>
        <v>306564.31</v>
      </c>
      <c r="N27" s="551"/>
      <c r="O27" s="203">
        <v>6193.221182690444</v>
      </c>
      <c r="P27" s="118">
        <v>306564.44854317699</v>
      </c>
    </row>
    <row r="28" spans="1:16" ht="27" customHeight="1" outlineLevel="1" x14ac:dyDescent="0.25">
      <c r="A28" s="365" t="s">
        <v>61</v>
      </c>
      <c r="B28" s="216" t="str">
        <f>VLOOKUP(C28,'10'!$B$8:$N$437,13,FALSE)</f>
        <v>G009</v>
      </c>
      <c r="C28" s="606" t="s">
        <v>92</v>
      </c>
      <c r="D28" s="607"/>
      <c r="E28" s="607"/>
      <c r="F28" s="607"/>
      <c r="G28" s="607"/>
      <c r="H28" s="599"/>
      <c r="I28" s="246" t="str">
        <f>VLOOKUP(C28,AA_Unitarios,'10'!$H$7,FALSE)</f>
        <v>M3</v>
      </c>
      <c r="J28" s="247">
        <f>+ROUND('17'!V197,2)</f>
        <v>9.9</v>
      </c>
      <c r="K28" s="598">
        <f>+'11'!M555</f>
        <v>8720.0066613592826</v>
      </c>
      <c r="L28" s="599"/>
      <c r="M28" s="598">
        <f>ROUND(J28*K28,2)</f>
        <v>86328.07</v>
      </c>
      <c r="N28" s="600"/>
      <c r="O28" s="203">
        <v>8720.0136972868513</v>
      </c>
      <c r="P28" s="118">
        <v>86328.135603139832</v>
      </c>
    </row>
    <row r="29" spans="1:16" ht="13.5" outlineLevel="1" x14ac:dyDescent="0.25">
      <c r="A29" s="366" t="s">
        <v>67</v>
      </c>
      <c r="B29" s="202" t="s">
        <v>1700</v>
      </c>
      <c r="C29" s="552" t="s">
        <v>157</v>
      </c>
      <c r="D29" s="553"/>
      <c r="E29" s="553"/>
      <c r="F29" s="553"/>
      <c r="G29" s="553"/>
      <c r="H29" s="553"/>
      <c r="I29" s="553"/>
      <c r="J29" s="553"/>
      <c r="K29" s="553"/>
      <c r="L29" s="553"/>
      <c r="M29" s="553"/>
      <c r="N29" s="554"/>
      <c r="P29" s="118"/>
    </row>
    <row r="30" spans="1:16" ht="54" customHeight="1" outlineLevel="1" x14ac:dyDescent="0.25">
      <c r="A30" s="363" t="s">
        <v>69</v>
      </c>
      <c r="B30" s="216" t="str">
        <f>VLOOKUP(C30,'10'!$B$8:$N$437,13,FALSE)</f>
        <v>G071</v>
      </c>
      <c r="C30" s="593" t="s">
        <v>1792</v>
      </c>
      <c r="D30" s="607"/>
      <c r="E30" s="607"/>
      <c r="F30" s="607"/>
      <c r="G30" s="607"/>
      <c r="H30" s="599"/>
      <c r="I30" s="246" t="str">
        <f>VLOOKUP(C30,AA_Unitarios,'10'!$H$7,FALSE)</f>
        <v>UND</v>
      </c>
      <c r="J30" s="247">
        <f>+ROUND('18'!J413,2)</f>
        <v>1</v>
      </c>
      <c r="K30" s="598">
        <f>+'11'!M2319</f>
        <v>41722863.180202216</v>
      </c>
      <c r="L30" s="599"/>
      <c r="M30" s="601">
        <f>ROUND(J30*K30,2)</f>
        <v>41722863.18</v>
      </c>
      <c r="N30" s="602"/>
      <c r="O30" s="203">
        <v>41722863.182138108</v>
      </c>
      <c r="P30" s="118">
        <v>41722863.182138108</v>
      </c>
    </row>
    <row r="31" spans="1:16" ht="54" customHeight="1" outlineLevel="1" x14ac:dyDescent="0.25">
      <c r="A31" s="363" t="s">
        <v>70</v>
      </c>
      <c r="B31" s="216" t="str">
        <f>VLOOKUP(C31,'10'!$B$8:$N$437,13,FALSE)</f>
        <v>G074</v>
      </c>
      <c r="C31" s="593" t="s">
        <v>1835</v>
      </c>
      <c r="D31" s="607"/>
      <c r="E31" s="607"/>
      <c r="F31" s="607"/>
      <c r="G31" s="607"/>
      <c r="H31" s="599"/>
      <c r="I31" s="246" t="str">
        <f>VLOOKUP(C31,AA_Unitarios,'10'!$H$7,FALSE)</f>
        <v>UND</v>
      </c>
      <c r="J31" s="247">
        <f>+ROUND('18'!C451,2)</f>
        <v>1</v>
      </c>
      <c r="K31" s="598">
        <f>+'11'!M2492</f>
        <v>13889150.492439879</v>
      </c>
      <c r="L31" s="599"/>
      <c r="M31" s="601">
        <f>ROUND(J31*K31,2)</f>
        <v>13889150.49</v>
      </c>
      <c r="N31" s="602"/>
      <c r="O31" s="203">
        <v>13889150.501580199</v>
      </c>
      <c r="P31" s="118">
        <v>13889150.501580199</v>
      </c>
    </row>
    <row r="32" spans="1:16" ht="13.5" outlineLevel="1" x14ac:dyDescent="0.25">
      <c r="A32" s="362" t="s">
        <v>71</v>
      </c>
      <c r="B32" s="202" t="s">
        <v>1700</v>
      </c>
      <c r="C32" s="552" t="s">
        <v>79</v>
      </c>
      <c r="D32" s="553"/>
      <c r="E32" s="553"/>
      <c r="F32" s="553"/>
      <c r="G32" s="553"/>
      <c r="H32" s="553"/>
      <c r="I32" s="553"/>
      <c r="J32" s="553"/>
      <c r="K32" s="553"/>
      <c r="L32" s="553"/>
      <c r="M32" s="553"/>
      <c r="N32" s="554"/>
      <c r="P32" s="118"/>
    </row>
    <row r="33" spans="1:16" ht="27" customHeight="1" outlineLevel="1" x14ac:dyDescent="0.25">
      <c r="A33" s="363" t="s">
        <v>73</v>
      </c>
      <c r="B33" s="216" t="str">
        <f>VLOOKUP(C33,'10'!$B$8:$N$437,13,FALSE)</f>
        <v>G015</v>
      </c>
      <c r="C33" s="604" t="s">
        <v>1583</v>
      </c>
      <c r="D33" s="605"/>
      <c r="E33" s="605"/>
      <c r="F33" s="605"/>
      <c r="G33" s="605"/>
      <c r="H33" s="603"/>
      <c r="I33" s="248" t="str">
        <f>VLOOKUP(C33,AA_Unitarios,'10'!$H$7,FALSE)</f>
        <v>ML</v>
      </c>
      <c r="J33" s="249">
        <f>+ROUND('17'!D199,2)</f>
        <v>20</v>
      </c>
      <c r="K33" s="601">
        <f>+'11'!M1945</f>
        <v>194012.89834204558</v>
      </c>
      <c r="L33" s="603"/>
      <c r="M33" s="601">
        <f>ROUND(J33*K33,2)</f>
        <v>3880257.97</v>
      </c>
      <c r="N33" s="602"/>
      <c r="O33" s="203">
        <v>194012.91112739171</v>
      </c>
      <c r="P33" s="118">
        <v>3880258.2225478343</v>
      </c>
    </row>
    <row r="34" spans="1:16" ht="13.5" x14ac:dyDescent="0.2">
      <c r="A34" s="360"/>
      <c r="B34" s="195"/>
      <c r="C34" s="195"/>
      <c r="D34" s="195"/>
      <c r="E34" s="195"/>
      <c r="F34" s="195"/>
      <c r="G34" s="195"/>
      <c r="H34" s="195"/>
      <c r="I34" s="195"/>
      <c r="J34" s="195"/>
      <c r="K34" s="195"/>
      <c r="L34" s="195"/>
      <c r="M34" s="195"/>
      <c r="N34" s="361"/>
      <c r="P34" s="118"/>
    </row>
    <row r="35" spans="1:16" ht="13.5" x14ac:dyDescent="0.25">
      <c r="A35" s="367"/>
      <c r="B35" s="261"/>
      <c r="C35" s="264"/>
      <c r="D35" s="264"/>
      <c r="E35" s="264"/>
      <c r="F35" s="264"/>
      <c r="G35" s="264"/>
      <c r="H35" s="525" t="s">
        <v>1595</v>
      </c>
      <c r="I35" s="526"/>
      <c r="J35" s="527"/>
      <c r="K35" s="591">
        <v>0</v>
      </c>
      <c r="L35" s="549"/>
      <c r="M35" s="591">
        <f>SUM(M38:M56)-K35</f>
        <v>284302836.77000004</v>
      </c>
      <c r="N35" s="590"/>
      <c r="P35" s="118"/>
    </row>
    <row r="36" spans="1:16" ht="13.5" outlineLevel="1" x14ac:dyDescent="0.25">
      <c r="A36" s="587" t="s">
        <v>39</v>
      </c>
      <c r="B36" s="588"/>
      <c r="C36" s="548"/>
      <c r="D36" s="548"/>
      <c r="E36" s="548"/>
      <c r="F36" s="548"/>
      <c r="G36" s="548"/>
      <c r="H36" s="549"/>
      <c r="I36" s="200" t="s">
        <v>40</v>
      </c>
      <c r="J36" s="200" t="s">
        <v>41</v>
      </c>
      <c r="K36" s="589" t="s">
        <v>42</v>
      </c>
      <c r="L36" s="549"/>
      <c r="M36" s="589" t="s">
        <v>43</v>
      </c>
      <c r="N36" s="590"/>
      <c r="P36" s="118"/>
    </row>
    <row r="37" spans="1:16" ht="13.5" outlineLevel="1" x14ac:dyDescent="0.25">
      <c r="A37" s="366" t="s">
        <v>1603</v>
      </c>
      <c r="B37" s="202" t="s">
        <v>1700</v>
      </c>
      <c r="C37" s="592" t="s">
        <v>45</v>
      </c>
      <c r="D37" s="548"/>
      <c r="E37" s="548"/>
      <c r="F37" s="548"/>
      <c r="G37" s="548"/>
      <c r="H37" s="548"/>
      <c r="I37" s="548"/>
      <c r="J37" s="548"/>
      <c r="K37" s="548"/>
      <c r="L37" s="548"/>
      <c r="M37" s="548"/>
      <c r="N37" s="590"/>
      <c r="P37" s="118"/>
    </row>
    <row r="38" spans="1:16" ht="30" customHeight="1" outlineLevel="1" x14ac:dyDescent="0.25">
      <c r="A38" s="364" t="s">
        <v>1604</v>
      </c>
      <c r="B38" s="216" t="str">
        <f>VLOOKUP(C38,'10'!$B$8:$N$437,13,FALSE)</f>
        <v>G016</v>
      </c>
      <c r="C38" s="555" t="s">
        <v>526</v>
      </c>
      <c r="D38" s="548"/>
      <c r="E38" s="548"/>
      <c r="F38" s="548"/>
      <c r="G38" s="548"/>
      <c r="H38" s="549"/>
      <c r="I38" s="201" t="str">
        <f>VLOOKUP(C38,AA_Unitarios,'10'!$H$7,FALSE)</f>
        <v>M2</v>
      </c>
      <c r="J38" s="160">
        <f>ROUND(+'16'!F8,2)</f>
        <v>31.5</v>
      </c>
      <c r="K38" s="550">
        <f>+'11'!M46</f>
        <v>6685.6659947402068</v>
      </c>
      <c r="L38" s="549"/>
      <c r="M38" s="550">
        <f>ROUND(J38*K38,2)</f>
        <v>210598.48</v>
      </c>
      <c r="N38" s="590"/>
      <c r="O38" s="203">
        <v>6685.6730159266126</v>
      </c>
      <c r="P38" s="118">
        <v>210598.7000016883</v>
      </c>
    </row>
    <row r="39" spans="1:16" ht="30" customHeight="1" outlineLevel="1" x14ac:dyDescent="0.25">
      <c r="A39" s="364" t="s">
        <v>1738</v>
      </c>
      <c r="B39" s="216" t="str">
        <f>VLOOKUP(C39,'10'!$B$8:$N$437,13,FALSE)</f>
        <v>G001</v>
      </c>
      <c r="C39" s="555" t="s">
        <v>1102</v>
      </c>
      <c r="D39" s="548"/>
      <c r="E39" s="548"/>
      <c r="F39" s="548"/>
      <c r="G39" s="548"/>
      <c r="H39" s="549"/>
      <c r="I39" s="201" t="str">
        <f>VLOOKUP(C39,AA_Unitarios,'10'!$H$7,FALSE)</f>
        <v>M</v>
      </c>
      <c r="J39" s="160">
        <f>+ROUND('17'!D205,2)</f>
        <v>20</v>
      </c>
      <c r="K39" s="550">
        <f>+'11'!M5</f>
        <v>5783.811895814667</v>
      </c>
      <c r="L39" s="549"/>
      <c r="M39" s="550">
        <f>ROUND(J39*K39,2)</f>
        <v>115676.24</v>
      </c>
      <c r="N39" s="590"/>
      <c r="O39" s="203">
        <v>5783.82400183749</v>
      </c>
      <c r="P39" s="118">
        <v>115676.4800367498</v>
      </c>
    </row>
    <row r="40" spans="1:16" ht="13.5" outlineLevel="1" x14ac:dyDescent="0.25">
      <c r="A40" s="366" t="s">
        <v>1605</v>
      </c>
      <c r="B40" s="202" t="s">
        <v>1700</v>
      </c>
      <c r="C40" s="592" t="s">
        <v>49</v>
      </c>
      <c r="D40" s="548"/>
      <c r="E40" s="548"/>
      <c r="F40" s="548"/>
      <c r="G40" s="548"/>
      <c r="H40" s="548"/>
      <c r="I40" s="548"/>
      <c r="J40" s="548"/>
      <c r="K40" s="548"/>
      <c r="L40" s="548"/>
      <c r="M40" s="548"/>
      <c r="N40" s="590"/>
      <c r="P40" s="118"/>
    </row>
    <row r="41" spans="1:16" ht="30" customHeight="1" outlineLevel="1" x14ac:dyDescent="0.25">
      <c r="A41" s="364" t="s">
        <v>1606</v>
      </c>
      <c r="B41" s="216" t="str">
        <f>VLOOKUP(C41,'10'!$B$8:$N$437,13,FALSE)</f>
        <v>G017</v>
      </c>
      <c r="C41" s="555" t="s">
        <v>87</v>
      </c>
      <c r="D41" s="548"/>
      <c r="E41" s="548"/>
      <c r="F41" s="548"/>
      <c r="G41" s="548"/>
      <c r="H41" s="549"/>
      <c r="I41" s="201" t="str">
        <f>VLOOKUP(C41,AA_Unitarios,'10'!$H$7,FALSE)</f>
        <v>M3</v>
      </c>
      <c r="J41" s="160">
        <f>ROUND('16'!F19+'17'!L203,2)</f>
        <v>40.01</v>
      </c>
      <c r="K41" s="550">
        <f>+'11'!M87</f>
        <v>55917.2533413114</v>
      </c>
      <c r="L41" s="549"/>
      <c r="M41" s="550">
        <f>ROUND(J41*K41,2)</f>
        <v>2237249.31</v>
      </c>
      <c r="N41" s="590"/>
      <c r="O41" s="203">
        <v>55917.2533413114</v>
      </c>
      <c r="P41" s="118">
        <v>2237249.306185869</v>
      </c>
    </row>
    <row r="42" spans="1:16" ht="13.5" outlineLevel="1" x14ac:dyDescent="0.25">
      <c r="A42" s="366" t="s">
        <v>1607</v>
      </c>
      <c r="B42" s="202" t="s">
        <v>1700</v>
      </c>
      <c r="C42" s="592" t="s">
        <v>53</v>
      </c>
      <c r="D42" s="548"/>
      <c r="E42" s="548"/>
      <c r="F42" s="548"/>
      <c r="G42" s="548"/>
      <c r="H42" s="548"/>
      <c r="I42" s="548"/>
      <c r="J42" s="548"/>
      <c r="K42" s="548"/>
      <c r="L42" s="548"/>
      <c r="M42" s="548"/>
      <c r="N42" s="590"/>
      <c r="P42" s="118"/>
    </row>
    <row r="43" spans="1:16" ht="30" customHeight="1" outlineLevel="1" x14ac:dyDescent="0.25">
      <c r="A43" s="364" t="s">
        <v>1608</v>
      </c>
      <c r="B43" s="216" t="str">
        <f>VLOOKUP(C43,'10'!$B$8:$N$437,13,FALSE)</f>
        <v>G003</v>
      </c>
      <c r="C43" s="555" t="s">
        <v>89</v>
      </c>
      <c r="D43" s="548"/>
      <c r="E43" s="548"/>
      <c r="F43" s="548"/>
      <c r="G43" s="548"/>
      <c r="H43" s="549"/>
      <c r="I43" s="201" t="str">
        <f>VLOOKUP(C43,AA_Unitarios,'10'!$H$7,FALSE)</f>
        <v>M3</v>
      </c>
      <c r="J43" s="160">
        <f>+ROUND('17'!O203,2)</f>
        <v>2.1</v>
      </c>
      <c r="K43" s="550">
        <f>+'11'!M681</f>
        <v>227936.92650051074</v>
      </c>
      <c r="L43" s="549"/>
      <c r="M43" s="550">
        <f>ROUND(J43*K43,2)</f>
        <v>478667.55</v>
      </c>
      <c r="N43" s="590"/>
      <c r="O43" s="203">
        <v>227936.93788189895</v>
      </c>
      <c r="P43" s="118">
        <v>478667.56955198781</v>
      </c>
    </row>
    <row r="44" spans="1:16" ht="54" customHeight="1" outlineLevel="1" x14ac:dyDescent="0.25">
      <c r="A44" s="364" t="s">
        <v>1739</v>
      </c>
      <c r="B44" s="216" t="str">
        <f>VLOOKUP(C44,'10'!$B$8:$N$437,13,FALSE)</f>
        <v>G004</v>
      </c>
      <c r="C44" s="555" t="s">
        <v>55</v>
      </c>
      <c r="D44" s="548"/>
      <c r="E44" s="548"/>
      <c r="F44" s="548"/>
      <c r="G44" s="548"/>
      <c r="H44" s="549"/>
      <c r="I44" s="201" t="str">
        <f>VLOOKUP(C44,AA_Unitarios,'10'!$H$7,FALSE)</f>
        <v>M3</v>
      </c>
      <c r="J44" s="160">
        <f>ROUND('16'!F30,2)</f>
        <v>9.4499999999999993</v>
      </c>
      <c r="K44" s="586">
        <f>+'11'!M471</f>
        <v>180295.36532938693</v>
      </c>
      <c r="L44" s="549"/>
      <c r="M44" s="550">
        <f>ROUND(J44*K44,2)</f>
        <v>1703791.2</v>
      </c>
      <c r="N44" s="590"/>
      <c r="O44" s="203">
        <v>180295.36814338854</v>
      </c>
      <c r="P44" s="118">
        <v>1703791.2289550216</v>
      </c>
    </row>
    <row r="45" spans="1:16" ht="40.5" customHeight="1" outlineLevel="1" x14ac:dyDescent="0.25">
      <c r="A45" s="364" t="s">
        <v>1740</v>
      </c>
      <c r="B45" s="216" t="str">
        <f>VLOOKUP(C45,'10'!$B$8:$N$437,13,FALSE)</f>
        <v>G005</v>
      </c>
      <c r="C45" s="555" t="s">
        <v>56</v>
      </c>
      <c r="D45" s="548"/>
      <c r="E45" s="548"/>
      <c r="F45" s="548"/>
      <c r="G45" s="548"/>
      <c r="H45" s="549"/>
      <c r="I45" s="201" t="str">
        <f>VLOOKUP(C45,AA_Unitarios,'10'!$H$7,FALSE)</f>
        <v>M3</v>
      </c>
      <c r="J45" s="160">
        <f>+ROUND('17'!S203,2)</f>
        <v>22.15</v>
      </c>
      <c r="K45" s="550">
        <f>+'11'!M254</f>
        <v>32479.947058917445</v>
      </c>
      <c r="L45" s="549"/>
      <c r="M45" s="550">
        <f>ROUND(J45*K45,2)</f>
        <v>719430.83</v>
      </c>
      <c r="N45" s="590"/>
      <c r="O45" s="203">
        <v>32479.947475973298</v>
      </c>
      <c r="P45" s="118">
        <v>719430.83659280848</v>
      </c>
    </row>
    <row r="46" spans="1:16" ht="13.5" outlineLevel="1" x14ac:dyDescent="0.25">
      <c r="A46" s="366" t="s">
        <v>1609</v>
      </c>
      <c r="B46" s="202" t="s">
        <v>1700</v>
      </c>
      <c r="C46" s="592" t="s">
        <v>58</v>
      </c>
      <c r="D46" s="548"/>
      <c r="E46" s="548"/>
      <c r="F46" s="548"/>
      <c r="G46" s="548"/>
      <c r="H46" s="548"/>
      <c r="I46" s="548"/>
      <c r="J46" s="548"/>
      <c r="K46" s="548"/>
      <c r="L46" s="548"/>
      <c r="M46" s="548"/>
      <c r="N46" s="590"/>
      <c r="P46" s="118"/>
    </row>
    <row r="47" spans="1:16" ht="30" customHeight="1" outlineLevel="1" x14ac:dyDescent="0.25">
      <c r="A47" s="364" t="s">
        <v>1610</v>
      </c>
      <c r="B47" s="216" t="str">
        <f>VLOOKUP(C47,'10'!$B$8:$N$437,13,FALSE)</f>
        <v>G018</v>
      </c>
      <c r="C47" s="555" t="s">
        <v>60</v>
      </c>
      <c r="D47" s="548"/>
      <c r="E47" s="548"/>
      <c r="F47" s="548"/>
      <c r="G47" s="548"/>
      <c r="H47" s="549"/>
      <c r="I47" s="201" t="str">
        <f>VLOOKUP(C47,AA_Unitarios,'10'!$H$7,FALSE)</f>
        <v>M3</v>
      </c>
      <c r="J47" s="160">
        <f>ROUND('16'!F41,2)</f>
        <v>1.58</v>
      </c>
      <c r="K47" s="586">
        <f>+'11'!M295</f>
        <v>735597.52516489371</v>
      </c>
      <c r="L47" s="549"/>
      <c r="M47" s="550">
        <f>ROUND(J47*K47,2)</f>
        <v>1162244.0900000001</v>
      </c>
      <c r="N47" s="590"/>
      <c r="O47" s="203">
        <v>735597.53145820717</v>
      </c>
      <c r="P47" s="118">
        <v>1162244.0997039673</v>
      </c>
    </row>
    <row r="48" spans="1:16" ht="30" customHeight="1" outlineLevel="1" x14ac:dyDescent="0.25">
      <c r="A48" s="364" t="s">
        <v>1611</v>
      </c>
      <c r="B48" s="216" t="str">
        <f>VLOOKUP(C48,'10'!$B$8:$N$437,13,FALSE)</f>
        <v>G019</v>
      </c>
      <c r="C48" s="555" t="s">
        <v>62</v>
      </c>
      <c r="D48" s="548"/>
      <c r="E48" s="548"/>
      <c r="F48" s="548"/>
      <c r="G48" s="548"/>
      <c r="H48" s="549"/>
      <c r="I48" s="201" t="str">
        <f>VLOOKUP(C48,AA_Unitarios,'10'!$H$7,FALSE)</f>
        <v>M3</v>
      </c>
      <c r="J48" s="160">
        <f>ROUND('16'!F52,2)</f>
        <v>7.88</v>
      </c>
      <c r="K48" s="586">
        <f>+'11'!M1332</f>
        <v>1008856.8196029352</v>
      </c>
      <c r="L48" s="549"/>
      <c r="M48" s="550">
        <f>ROUND(J48*K48,2)</f>
        <v>7949791.7400000002</v>
      </c>
      <c r="N48" s="590"/>
      <c r="O48" s="203">
        <v>1008856.8249518839</v>
      </c>
      <c r="P48" s="118">
        <v>7949791.780620845</v>
      </c>
    </row>
    <row r="49" spans="1:16" ht="30" customHeight="1" outlineLevel="1" x14ac:dyDescent="0.25">
      <c r="A49" s="363" t="s">
        <v>1617</v>
      </c>
      <c r="B49" s="216" t="str">
        <f>VLOOKUP(C49,'10'!$B$8:$N$437,13,FALSE)</f>
        <v>G007</v>
      </c>
      <c r="C49" s="555" t="s">
        <v>66</v>
      </c>
      <c r="D49" s="548"/>
      <c r="E49" s="548"/>
      <c r="F49" s="548"/>
      <c r="G49" s="548"/>
      <c r="H49" s="549"/>
      <c r="I49" s="201" t="str">
        <f>VLOOKUP(C49,AA_Unitarios,'10'!$H$7,FALSE)</f>
        <v>KG</v>
      </c>
      <c r="J49" s="160">
        <f>ROUND('16'!F63,2)</f>
        <v>530</v>
      </c>
      <c r="K49" s="586">
        <f>+'11'!M380</f>
        <v>9225.7350265453497</v>
      </c>
      <c r="L49" s="549"/>
      <c r="M49" s="550">
        <f>ROUND(J49*K49,2)</f>
        <v>4889639.5599999996</v>
      </c>
      <c r="N49" s="590"/>
      <c r="O49" s="203">
        <v>9225.7449560092555</v>
      </c>
      <c r="P49" s="118">
        <v>4889644.8266849052</v>
      </c>
    </row>
    <row r="50" spans="1:16" ht="13.5" outlineLevel="1" x14ac:dyDescent="0.25">
      <c r="A50" s="366" t="s">
        <v>1612</v>
      </c>
      <c r="B50" s="202" t="s">
        <v>1700</v>
      </c>
      <c r="C50" s="592" t="s">
        <v>1104</v>
      </c>
      <c r="D50" s="548"/>
      <c r="E50" s="548"/>
      <c r="F50" s="548"/>
      <c r="G50" s="548"/>
      <c r="H50" s="548"/>
      <c r="I50" s="548"/>
      <c r="J50" s="548"/>
      <c r="K50" s="548"/>
      <c r="L50" s="548"/>
      <c r="M50" s="548"/>
      <c r="N50" s="590"/>
      <c r="P50" s="118"/>
    </row>
    <row r="51" spans="1:16" ht="40.5" customHeight="1" outlineLevel="1" x14ac:dyDescent="0.25">
      <c r="A51" s="364" t="s">
        <v>1613</v>
      </c>
      <c r="B51" s="216" t="str">
        <f>VLOOKUP(C51,'10'!$B$8:$N$437,13,FALSE)</f>
        <v>G008</v>
      </c>
      <c r="C51" s="555" t="s">
        <v>90</v>
      </c>
      <c r="D51" s="548"/>
      <c r="E51" s="548"/>
      <c r="F51" s="548"/>
      <c r="G51" s="548"/>
      <c r="H51" s="549"/>
      <c r="I51" s="201" t="str">
        <f>VLOOKUP(C51,AA_Unitarios,'10'!$H$7,FALSE)</f>
        <v>M3-KM</v>
      </c>
      <c r="J51" s="160">
        <f>ROUND(J52*Indice!$M$41,2)</f>
        <v>213.75</v>
      </c>
      <c r="K51" s="550">
        <f>+'11'!M513</f>
        <v>6193.2183588323314</v>
      </c>
      <c r="L51" s="549"/>
      <c r="M51" s="550">
        <f>ROUND(J51*K51,2)</f>
        <v>1323800.42</v>
      </c>
      <c r="N51" s="590"/>
      <c r="O51" s="203">
        <v>6193.221182690444</v>
      </c>
      <c r="P51" s="118">
        <v>1323801.0278000825</v>
      </c>
    </row>
    <row r="52" spans="1:16" ht="30" customHeight="1" outlineLevel="1" x14ac:dyDescent="0.25">
      <c r="A52" s="364" t="s">
        <v>1614</v>
      </c>
      <c r="B52" s="216" t="str">
        <f>VLOOKUP(C52,'10'!$B$8:$N$437,13,FALSE)</f>
        <v>G009</v>
      </c>
      <c r="C52" s="555" t="s">
        <v>92</v>
      </c>
      <c r="D52" s="548"/>
      <c r="E52" s="548"/>
      <c r="F52" s="548"/>
      <c r="G52" s="548"/>
      <c r="H52" s="549"/>
      <c r="I52" s="201" t="str">
        <f>VLOOKUP(C52,AA_Unitarios,'10'!$H$7,FALSE)</f>
        <v>M3</v>
      </c>
      <c r="J52" s="160">
        <f>ROUND(J41+'17'!V203,2)</f>
        <v>42.75</v>
      </c>
      <c r="K52" s="550">
        <f>+'11'!M555</f>
        <v>8720.0066613592826</v>
      </c>
      <c r="L52" s="549"/>
      <c r="M52" s="550">
        <f>ROUND(J52*K52,2)</f>
        <v>372780.28</v>
      </c>
      <c r="N52" s="590"/>
      <c r="O52" s="203">
        <v>8720.0136972868513</v>
      </c>
      <c r="P52" s="118">
        <v>372780.58555901289</v>
      </c>
    </row>
    <row r="53" spans="1:16" ht="13.5" outlineLevel="1" x14ac:dyDescent="0.25">
      <c r="A53" s="366" t="s">
        <v>1615</v>
      </c>
      <c r="B53" s="202" t="s">
        <v>1700</v>
      </c>
      <c r="C53" s="592" t="s">
        <v>72</v>
      </c>
      <c r="D53" s="548"/>
      <c r="E53" s="548"/>
      <c r="F53" s="548"/>
      <c r="G53" s="548"/>
      <c r="H53" s="548"/>
      <c r="I53" s="548"/>
      <c r="J53" s="548"/>
      <c r="K53" s="548"/>
      <c r="L53" s="548"/>
      <c r="M53" s="548"/>
      <c r="N53" s="590"/>
      <c r="P53" s="118"/>
    </row>
    <row r="54" spans="1:16" ht="67.5" customHeight="1" outlineLevel="1" x14ac:dyDescent="0.25">
      <c r="A54" s="364" t="s">
        <v>1616</v>
      </c>
      <c r="B54" s="216" t="str">
        <f>VLOOKUP(C54,'10'!$B$8:$N$437,13,FALSE)</f>
        <v>G020</v>
      </c>
      <c r="C54" s="624" t="s">
        <v>1594</v>
      </c>
      <c r="D54" s="548"/>
      <c r="E54" s="548"/>
      <c r="F54" s="548"/>
      <c r="G54" s="548"/>
      <c r="H54" s="549"/>
      <c r="I54" s="201" t="str">
        <f>VLOOKUP(C54,AA_Unitarios,'10'!$H$7,FALSE)</f>
        <v>UND</v>
      </c>
      <c r="J54" s="160">
        <f>+ROUND('16'!F74,2)</f>
        <v>1</v>
      </c>
      <c r="K54" s="550">
        <f>+'11'!M2090</f>
        <v>259258909.10114458</v>
      </c>
      <c r="L54" s="549"/>
      <c r="M54" s="586">
        <f>ROUND(J54*K54,2)</f>
        <v>259258909.09999999</v>
      </c>
      <c r="N54" s="590"/>
      <c r="O54" s="203">
        <v>259258909.10114458</v>
      </c>
      <c r="P54" s="118">
        <v>259258909.10114458</v>
      </c>
    </row>
    <row r="55" spans="1:16" ht="13.5" outlineLevel="1" x14ac:dyDescent="0.25">
      <c r="A55" s="362" t="s">
        <v>1741</v>
      </c>
      <c r="B55" s="202" t="s">
        <v>1700</v>
      </c>
      <c r="C55" s="592" t="s">
        <v>79</v>
      </c>
      <c r="D55" s="548"/>
      <c r="E55" s="548"/>
      <c r="F55" s="548"/>
      <c r="G55" s="548"/>
      <c r="H55" s="548"/>
      <c r="I55" s="548"/>
      <c r="J55" s="548"/>
      <c r="K55" s="548"/>
      <c r="L55" s="548"/>
      <c r="M55" s="548"/>
      <c r="N55" s="590"/>
      <c r="P55" s="118"/>
    </row>
    <row r="56" spans="1:16" ht="30" customHeight="1" outlineLevel="1" x14ac:dyDescent="0.25">
      <c r="A56" s="363" t="s">
        <v>1618</v>
      </c>
      <c r="B56" s="216" t="str">
        <f>VLOOKUP(C56,'10'!$B$8:$N$437,13,FALSE)</f>
        <v>G015</v>
      </c>
      <c r="C56" s="555" t="s">
        <v>1583</v>
      </c>
      <c r="D56" s="548"/>
      <c r="E56" s="548"/>
      <c r="F56" s="548"/>
      <c r="G56" s="548"/>
      <c r="H56" s="549"/>
      <c r="I56" s="201" t="str">
        <f>VLOOKUP(C56,AA_Unitarios,'10'!$H$7,FALSE)</f>
        <v>ML</v>
      </c>
      <c r="J56" s="160">
        <f>+ROUND('17'!D205,2)</f>
        <v>20</v>
      </c>
      <c r="K56" s="550">
        <f>+'11'!M1945</f>
        <v>194012.89834204558</v>
      </c>
      <c r="L56" s="549"/>
      <c r="M56" s="586">
        <f>ROUND(J56*K56,2)</f>
        <v>3880257.97</v>
      </c>
      <c r="N56" s="590"/>
      <c r="O56" s="203">
        <v>194012.91112739171</v>
      </c>
      <c r="P56" s="118">
        <v>3880258.2225478343</v>
      </c>
    </row>
    <row r="57" spans="1:16" ht="13.5" x14ac:dyDescent="0.25">
      <c r="A57" s="367"/>
      <c r="B57" s="261"/>
      <c r="C57" s="368"/>
      <c r="D57" s="261"/>
      <c r="E57" s="261"/>
      <c r="F57" s="261"/>
      <c r="G57" s="261"/>
      <c r="H57" s="261"/>
      <c r="I57" s="261"/>
      <c r="J57" s="261"/>
      <c r="K57" s="261"/>
      <c r="L57" s="261"/>
      <c r="M57" s="261"/>
      <c r="N57" s="369"/>
      <c r="P57" s="118"/>
    </row>
    <row r="58" spans="1:16" ht="13.5" x14ac:dyDescent="0.25">
      <c r="A58" s="370"/>
      <c r="B58" s="371"/>
      <c r="C58" s="371"/>
      <c r="D58" s="371"/>
      <c r="E58" s="195"/>
      <c r="F58" s="195"/>
      <c r="G58" s="195"/>
      <c r="H58" s="525" t="s">
        <v>1593</v>
      </c>
      <c r="I58" s="526"/>
      <c r="J58" s="527"/>
      <c r="K58" s="591">
        <v>0</v>
      </c>
      <c r="L58" s="549"/>
      <c r="M58" s="591">
        <f>SUM(M61:M96)</f>
        <v>585927038.30000007</v>
      </c>
      <c r="N58" s="590"/>
      <c r="P58" s="118"/>
    </row>
    <row r="59" spans="1:16" ht="13.5" outlineLevel="1" x14ac:dyDescent="0.25">
      <c r="A59" s="587" t="s">
        <v>80</v>
      </c>
      <c r="B59" s="588"/>
      <c r="C59" s="548"/>
      <c r="D59" s="548"/>
      <c r="E59" s="548"/>
      <c r="F59" s="548"/>
      <c r="G59" s="548"/>
      <c r="H59" s="549"/>
      <c r="I59" s="200" t="s">
        <v>81</v>
      </c>
      <c r="J59" s="200" t="s">
        <v>41</v>
      </c>
      <c r="K59" s="589" t="s">
        <v>82</v>
      </c>
      <c r="L59" s="549"/>
      <c r="M59" s="589" t="s">
        <v>43</v>
      </c>
      <c r="N59" s="590"/>
      <c r="P59" s="118"/>
    </row>
    <row r="60" spans="1:16" ht="13.5" outlineLevel="1" x14ac:dyDescent="0.25">
      <c r="A60" s="366" t="s">
        <v>1619</v>
      </c>
      <c r="B60" s="202" t="s">
        <v>1700</v>
      </c>
      <c r="C60" s="592" t="s">
        <v>45</v>
      </c>
      <c r="D60" s="548"/>
      <c r="E60" s="548"/>
      <c r="F60" s="548"/>
      <c r="G60" s="548"/>
      <c r="H60" s="548"/>
      <c r="I60" s="548"/>
      <c r="J60" s="548"/>
      <c r="K60" s="548"/>
      <c r="L60" s="548"/>
      <c r="M60" s="548"/>
      <c r="N60" s="590"/>
      <c r="P60" s="118"/>
    </row>
    <row r="61" spans="1:16" ht="27" customHeight="1" outlineLevel="1" x14ac:dyDescent="0.25">
      <c r="A61" s="364" t="s">
        <v>1620</v>
      </c>
      <c r="B61" s="216" t="str">
        <f>VLOOKUP(C61,'10'!$B$8:$N$437,13,FALSE)</f>
        <v>G016</v>
      </c>
      <c r="C61" s="606" t="s">
        <v>526</v>
      </c>
      <c r="D61" s="607"/>
      <c r="E61" s="607"/>
      <c r="F61" s="607"/>
      <c r="G61" s="607"/>
      <c r="H61" s="599"/>
      <c r="I61" s="246" t="str">
        <f>VLOOKUP(C61,AA_Unitarios,'10'!$H$7,FALSE)</f>
        <v>M2</v>
      </c>
      <c r="J61" s="247">
        <f>ROUND('16'!$F$126,2)</f>
        <v>241.35</v>
      </c>
      <c r="K61" s="598">
        <f>+'11'!M46</f>
        <v>6685.6659947402068</v>
      </c>
      <c r="L61" s="599"/>
      <c r="M61" s="598">
        <f>ROUND(J61*K61,2)</f>
        <v>1613585.49</v>
      </c>
      <c r="N61" s="600"/>
      <c r="O61" s="203">
        <v>6685.6730159266126</v>
      </c>
      <c r="P61" s="118">
        <v>1613587.182393888</v>
      </c>
    </row>
    <row r="62" spans="1:16" ht="13.5" outlineLevel="1" x14ac:dyDescent="0.25">
      <c r="A62" s="366" t="s">
        <v>1621</v>
      </c>
      <c r="B62" s="202" t="s">
        <v>1700</v>
      </c>
      <c r="C62" s="552" t="s">
        <v>49</v>
      </c>
      <c r="D62" s="553"/>
      <c r="E62" s="553"/>
      <c r="F62" s="553"/>
      <c r="G62" s="553"/>
      <c r="H62" s="553"/>
      <c r="I62" s="553"/>
      <c r="J62" s="553"/>
      <c r="K62" s="553"/>
      <c r="L62" s="553"/>
      <c r="M62" s="553"/>
      <c r="N62" s="554"/>
      <c r="P62" s="118"/>
    </row>
    <row r="63" spans="1:16" ht="27" customHeight="1" outlineLevel="1" x14ac:dyDescent="0.25">
      <c r="A63" s="364" t="s">
        <v>1622</v>
      </c>
      <c r="B63" s="216" t="str">
        <f>VLOOKUP(C63,'10'!$B$8:$N$437,13,FALSE)</f>
        <v>G017</v>
      </c>
      <c r="C63" s="604" t="s">
        <v>87</v>
      </c>
      <c r="D63" s="605"/>
      <c r="E63" s="605"/>
      <c r="F63" s="605"/>
      <c r="G63" s="605"/>
      <c r="H63" s="603"/>
      <c r="I63" s="248" t="str">
        <f>VLOOKUP(C63,AA_Unitarios,'10'!$H$7,FALSE)</f>
        <v>M3</v>
      </c>
      <c r="J63" s="249">
        <f>ROUND('16'!$F$154,2)</f>
        <v>275.10000000000002</v>
      </c>
      <c r="K63" s="601">
        <f>+'11'!M87</f>
        <v>55917.2533413114</v>
      </c>
      <c r="L63" s="603"/>
      <c r="M63" s="601">
        <f>ROUND(J63*K63,2)</f>
        <v>15382836.390000001</v>
      </c>
      <c r="N63" s="602"/>
      <c r="O63" s="203">
        <v>55917.2533413114</v>
      </c>
      <c r="P63" s="118">
        <v>15382836.394194767</v>
      </c>
    </row>
    <row r="64" spans="1:16" ht="27" customHeight="1" outlineLevel="1" x14ac:dyDescent="0.25">
      <c r="A64" s="364" t="s">
        <v>1623</v>
      </c>
      <c r="B64" s="216" t="str">
        <f>VLOOKUP(C64,'10'!$B$8:$N$437,13,FALSE)</f>
        <v>G021</v>
      </c>
      <c r="C64" s="555" t="s">
        <v>102</v>
      </c>
      <c r="D64" s="548"/>
      <c r="E64" s="548"/>
      <c r="F64" s="548"/>
      <c r="G64" s="548"/>
      <c r="H64" s="549"/>
      <c r="I64" s="201" t="str">
        <f>VLOOKUP(C64,AA_Unitarios,'10'!$H$7,FALSE)</f>
        <v>M3</v>
      </c>
      <c r="J64" s="372">
        <f>ROUND('16'!$F$165,2)</f>
        <v>830.27</v>
      </c>
      <c r="K64" s="550">
        <f>+'11'!M855</f>
        <v>38125.520262783117</v>
      </c>
      <c r="L64" s="549"/>
      <c r="M64" s="550">
        <f>ROUND(J64*K64,2)</f>
        <v>31654475.710000001</v>
      </c>
      <c r="N64" s="551"/>
      <c r="O64" s="203">
        <v>38125.528257909726</v>
      </c>
      <c r="P64" s="118">
        <v>31654482.346694708</v>
      </c>
    </row>
    <row r="65" spans="1:16" ht="40.5" customHeight="1" outlineLevel="1" x14ac:dyDescent="0.25">
      <c r="A65" s="364" t="s">
        <v>1624</v>
      </c>
      <c r="B65" s="216" t="str">
        <f>VLOOKUP(C65,'10'!$B$8:$N$437,13,FALSE)</f>
        <v>G022</v>
      </c>
      <c r="C65" s="555" t="s">
        <v>104</v>
      </c>
      <c r="D65" s="548"/>
      <c r="E65" s="548"/>
      <c r="F65" s="548"/>
      <c r="G65" s="548"/>
      <c r="H65" s="548"/>
      <c r="I65" s="201" t="str">
        <f>VLOOKUP(C65,AA_Unitarios,'10'!$H$7,FALSE)</f>
        <v>M2</v>
      </c>
      <c r="J65" s="372">
        <f>ROUND('16'!$F$190,2)</f>
        <v>111.52</v>
      </c>
      <c r="K65" s="550">
        <f>+'11'!M170</f>
        <v>53773.320914921191</v>
      </c>
      <c r="L65" s="549"/>
      <c r="M65" s="550">
        <f>ROUND(J65*K65,2)</f>
        <v>5996800.75</v>
      </c>
      <c r="N65" s="551"/>
      <c r="O65" s="203">
        <v>53773.325042415141</v>
      </c>
      <c r="P65" s="118">
        <v>5996801.208730136</v>
      </c>
    </row>
    <row r="66" spans="1:16" ht="27" customHeight="1" outlineLevel="1" x14ac:dyDescent="0.25">
      <c r="A66" s="364" t="s">
        <v>1625</v>
      </c>
      <c r="B66" s="216" t="str">
        <f>VLOOKUP(C66,'10'!$B$8:$N$437,13,FALSE)</f>
        <v>G023</v>
      </c>
      <c r="C66" s="555" t="s">
        <v>83</v>
      </c>
      <c r="D66" s="548"/>
      <c r="E66" s="548"/>
      <c r="F66" s="548"/>
      <c r="G66" s="548"/>
      <c r="H66" s="548"/>
      <c r="I66" s="201" t="str">
        <f>VLOOKUP(C66,AA_Unitarios,'10'!$H$7,FALSE)</f>
        <v>M2</v>
      </c>
      <c r="J66" s="372">
        <f>ROUND('16'!$F$201,2)</f>
        <v>125.98</v>
      </c>
      <c r="K66" s="550">
        <f>+'11'!M212</f>
        <v>68295.658048054858</v>
      </c>
      <c r="L66" s="549"/>
      <c r="M66" s="550">
        <f>ROUND(J66*K66,2)</f>
        <v>8603887</v>
      </c>
      <c r="N66" s="551"/>
      <c r="O66" s="203">
        <v>68295.65815968746</v>
      </c>
      <c r="P66" s="118">
        <v>8603887.0149574261</v>
      </c>
    </row>
    <row r="67" spans="1:16" ht="13.5" outlineLevel="1" x14ac:dyDescent="0.25">
      <c r="A67" s="366" t="s">
        <v>1626</v>
      </c>
      <c r="B67" s="202" t="s">
        <v>1700</v>
      </c>
      <c r="C67" s="592" t="s">
        <v>53</v>
      </c>
      <c r="D67" s="548"/>
      <c r="E67" s="548"/>
      <c r="F67" s="548"/>
      <c r="G67" s="548"/>
      <c r="H67" s="548"/>
      <c r="I67" s="548"/>
      <c r="J67" s="548"/>
      <c r="K67" s="548"/>
      <c r="L67" s="548"/>
      <c r="M67" s="548"/>
      <c r="N67" s="590"/>
      <c r="P67" s="118"/>
    </row>
    <row r="68" spans="1:16" ht="40.5" customHeight="1" outlineLevel="1" x14ac:dyDescent="0.25">
      <c r="A68" s="364" t="s">
        <v>1627</v>
      </c>
      <c r="B68" s="216" t="str">
        <f>VLOOKUP(C68,'10'!$B$8:$N$437,13,FALSE)</f>
        <v>G004</v>
      </c>
      <c r="C68" s="555" t="s">
        <v>55</v>
      </c>
      <c r="D68" s="548"/>
      <c r="E68" s="548"/>
      <c r="F68" s="548"/>
      <c r="G68" s="548"/>
      <c r="H68" s="549"/>
      <c r="I68" s="201" t="str">
        <f>VLOOKUP(C68,AA_Unitarios,'10'!$H$7,FALSE)</f>
        <v>M3</v>
      </c>
      <c r="J68" s="160">
        <f>ROUND('16'!$F$212,2)</f>
        <v>19.89</v>
      </c>
      <c r="K68" s="550">
        <f>+'11'!M471</f>
        <v>180295.36532938693</v>
      </c>
      <c r="L68" s="549"/>
      <c r="M68" s="550">
        <f>ROUND(J68*K68,2)</f>
        <v>3586074.82</v>
      </c>
      <c r="N68" s="551"/>
      <c r="O68" s="203">
        <v>180295.36814338854</v>
      </c>
      <c r="P68" s="118">
        <v>3586074.8723719981</v>
      </c>
    </row>
    <row r="69" spans="1:16" ht="40.5" customHeight="1" outlineLevel="1" x14ac:dyDescent="0.25">
      <c r="A69" s="364" t="s">
        <v>1628</v>
      </c>
      <c r="B69" s="216" t="str">
        <f>VLOOKUP(C69,'10'!$B$8:$N$437,13,FALSE)</f>
        <v>G005</v>
      </c>
      <c r="C69" s="555" t="s">
        <v>56</v>
      </c>
      <c r="D69" s="548"/>
      <c r="E69" s="548"/>
      <c r="F69" s="548"/>
      <c r="G69" s="548"/>
      <c r="H69" s="549"/>
      <c r="I69" s="201" t="str">
        <f>VLOOKUP(C69,AA_Unitarios,'10'!$H$7,FALSE)</f>
        <v>M3</v>
      </c>
      <c r="J69" s="160">
        <f>ROUND('16'!$F$223,2)</f>
        <v>450.87</v>
      </c>
      <c r="K69" s="550">
        <f>+'11'!M254</f>
        <v>32479.947058917445</v>
      </c>
      <c r="L69" s="549"/>
      <c r="M69" s="550">
        <f>ROUND(J69*K69,2)</f>
        <v>14644233.73</v>
      </c>
      <c r="N69" s="551"/>
      <c r="O69" s="203">
        <v>32479.947475973298</v>
      </c>
      <c r="P69" s="118">
        <v>14644233.918492081</v>
      </c>
    </row>
    <row r="70" spans="1:16" ht="40.5" customHeight="1" outlineLevel="1" x14ac:dyDescent="0.25">
      <c r="A70" s="364" t="s">
        <v>1629</v>
      </c>
      <c r="B70" s="216" t="str">
        <f>VLOOKUP(C70,'10'!$B$8:$N$437,13,FALSE)</f>
        <v>G024</v>
      </c>
      <c r="C70" s="606" t="s">
        <v>110</v>
      </c>
      <c r="D70" s="607"/>
      <c r="E70" s="607"/>
      <c r="F70" s="607"/>
      <c r="G70" s="607"/>
      <c r="H70" s="599"/>
      <c r="I70" s="246" t="str">
        <f>VLOOKUP(C70,AA_Unitarios,'10'!$H$7,FALSE)</f>
        <v>M3</v>
      </c>
      <c r="J70" s="247">
        <f>ROUND('16'!$F$234,2)</f>
        <v>21.12</v>
      </c>
      <c r="K70" s="598">
        <f>+'11'!M1377</f>
        <v>280210.84780360997</v>
      </c>
      <c r="L70" s="599"/>
      <c r="M70" s="598">
        <f>ROUND(J70*K70,2)</f>
        <v>5918053.1100000003</v>
      </c>
      <c r="N70" s="600"/>
      <c r="O70" s="203">
        <v>280210.85270625417</v>
      </c>
      <c r="P70" s="118">
        <v>5918053.2091560885</v>
      </c>
    </row>
    <row r="71" spans="1:16" ht="13.5" outlineLevel="1" x14ac:dyDescent="0.25">
      <c r="A71" s="366" t="s">
        <v>1630</v>
      </c>
      <c r="B71" s="202" t="s">
        <v>1700</v>
      </c>
      <c r="C71" s="552" t="s">
        <v>112</v>
      </c>
      <c r="D71" s="553"/>
      <c r="E71" s="553"/>
      <c r="F71" s="553"/>
      <c r="G71" s="553"/>
      <c r="H71" s="553"/>
      <c r="I71" s="553"/>
      <c r="J71" s="553"/>
      <c r="K71" s="553"/>
      <c r="L71" s="553"/>
      <c r="M71" s="553"/>
      <c r="N71" s="554"/>
      <c r="P71" s="118"/>
    </row>
    <row r="72" spans="1:16" ht="27" customHeight="1" outlineLevel="1" x14ac:dyDescent="0.25">
      <c r="A72" s="364" t="s">
        <v>1631</v>
      </c>
      <c r="B72" s="216" t="str">
        <f>VLOOKUP(C72,'10'!$B$8:$N$437,13,FALSE)</f>
        <v>G018</v>
      </c>
      <c r="C72" s="604" t="s">
        <v>60</v>
      </c>
      <c r="D72" s="605"/>
      <c r="E72" s="605"/>
      <c r="F72" s="605"/>
      <c r="G72" s="605"/>
      <c r="H72" s="603"/>
      <c r="I72" s="248" t="str">
        <f>VLOOKUP(C72,AA_Unitarios,'10'!$H$7,FALSE)</f>
        <v>M3</v>
      </c>
      <c r="J72" s="249">
        <f>ROUND('16'!$F$245,2)</f>
        <v>11.88</v>
      </c>
      <c r="K72" s="601">
        <f>+'11'!M295</f>
        <v>735597.52516489371</v>
      </c>
      <c r="L72" s="603"/>
      <c r="M72" s="601">
        <f t="shared" ref="M72:M78" si="0">ROUND(J72*K72,2)</f>
        <v>8738898.5999999996</v>
      </c>
      <c r="N72" s="602"/>
      <c r="O72" s="203">
        <v>735597.53145820717</v>
      </c>
      <c r="P72" s="118">
        <v>8738898.6737235021</v>
      </c>
    </row>
    <row r="73" spans="1:16" ht="27" customHeight="1" outlineLevel="1" x14ac:dyDescent="0.25">
      <c r="A73" s="364" t="s">
        <v>1632</v>
      </c>
      <c r="B73" s="216" t="str">
        <f>VLOOKUP(C73,'10'!$B$8:$N$437,13,FALSE)</f>
        <v>G025</v>
      </c>
      <c r="C73" s="555" t="s">
        <v>115</v>
      </c>
      <c r="D73" s="548"/>
      <c r="E73" s="548"/>
      <c r="F73" s="548"/>
      <c r="G73" s="548"/>
      <c r="H73" s="549"/>
      <c r="I73" s="201" t="str">
        <f>VLOOKUP(C73,AA_Unitarios,'10'!$H$7,FALSE)</f>
        <v>M3</v>
      </c>
      <c r="J73" s="160">
        <f>ROUND('16'!$F$256,2)</f>
        <v>3.37</v>
      </c>
      <c r="K73" s="550">
        <f>+'11'!M1467</f>
        <v>716935.76490597962</v>
      </c>
      <c r="L73" s="549"/>
      <c r="M73" s="550">
        <f t="shared" si="0"/>
        <v>2416073.5299999998</v>
      </c>
      <c r="N73" s="551"/>
      <c r="O73" s="203">
        <v>716935.77103308006</v>
      </c>
      <c r="P73" s="118">
        <v>2416073.5483814799</v>
      </c>
    </row>
    <row r="74" spans="1:16" ht="27" customHeight="1" outlineLevel="1" x14ac:dyDescent="0.25">
      <c r="A74" s="364" t="s">
        <v>1633</v>
      </c>
      <c r="B74" s="216" t="str">
        <f>VLOOKUP(C74,'10'!$B$8:$N$437,13,FALSE)</f>
        <v>G006</v>
      </c>
      <c r="C74" s="555" t="s">
        <v>84</v>
      </c>
      <c r="D74" s="548"/>
      <c r="E74" s="548"/>
      <c r="F74" s="548"/>
      <c r="G74" s="548"/>
      <c r="H74" s="549"/>
      <c r="I74" s="201" t="str">
        <f>VLOOKUP(C74,AA_Unitarios,'10'!$H$7,FALSE)</f>
        <v>M3</v>
      </c>
      <c r="J74" s="160">
        <f>ROUND('16'!$F$267,2)</f>
        <v>10.1</v>
      </c>
      <c r="K74" s="550">
        <f>+'11'!M336</f>
        <v>831165.54382118152</v>
      </c>
      <c r="L74" s="549"/>
      <c r="M74" s="550">
        <f t="shared" si="0"/>
        <v>8394771.9900000002</v>
      </c>
      <c r="N74" s="551"/>
      <c r="O74" s="203">
        <v>831165.54438060033</v>
      </c>
      <c r="P74" s="118">
        <v>8394771.9982440639</v>
      </c>
    </row>
    <row r="75" spans="1:16" ht="27" customHeight="1" outlineLevel="1" x14ac:dyDescent="0.25">
      <c r="A75" s="364" t="s">
        <v>1634</v>
      </c>
      <c r="B75" s="216" t="str">
        <f>VLOOKUP(C75,'10'!$B$8:$N$437,13,FALSE)</f>
        <v>G019</v>
      </c>
      <c r="C75" s="555" t="s">
        <v>62</v>
      </c>
      <c r="D75" s="548"/>
      <c r="E75" s="548"/>
      <c r="F75" s="548"/>
      <c r="G75" s="548"/>
      <c r="H75" s="549"/>
      <c r="I75" s="201" t="str">
        <f>VLOOKUP(C75,AA_Unitarios,'10'!$H$7,FALSE)</f>
        <v>M3</v>
      </c>
      <c r="J75" s="160">
        <f>ROUND('16'!$F$278,2)</f>
        <v>30.54</v>
      </c>
      <c r="K75" s="550">
        <f>+'11'!M1332</f>
        <v>1008856.8196029352</v>
      </c>
      <c r="L75" s="549"/>
      <c r="M75" s="550">
        <f t="shared" si="0"/>
        <v>30810487.27</v>
      </c>
      <c r="N75" s="551"/>
      <c r="O75" s="203">
        <v>1008856.8249518839</v>
      </c>
      <c r="P75" s="118">
        <v>30810487.434030533</v>
      </c>
    </row>
    <row r="76" spans="1:16" ht="38.25" customHeight="1" outlineLevel="1" x14ac:dyDescent="0.25">
      <c r="A76" s="364" t="s">
        <v>1635</v>
      </c>
      <c r="B76" s="216" t="str">
        <f>VLOOKUP(C76,'10'!$B$8:$N$437,13,FALSE)</f>
        <v>G026</v>
      </c>
      <c r="C76" s="555" t="s">
        <v>64</v>
      </c>
      <c r="D76" s="548"/>
      <c r="E76" s="548"/>
      <c r="F76" s="548"/>
      <c r="G76" s="548"/>
      <c r="H76" s="549"/>
      <c r="I76" s="201" t="str">
        <f>VLOOKUP(C76,AA_Unitarios,'10'!$H$7,FALSE)</f>
        <v>M3</v>
      </c>
      <c r="J76" s="160">
        <f>ROUND('16'!$F$289,2)</f>
        <v>97.29</v>
      </c>
      <c r="K76" s="550">
        <f>+'11'!M1287</f>
        <v>1969901.6901095272</v>
      </c>
      <c r="L76" s="549"/>
      <c r="M76" s="550">
        <f t="shared" si="0"/>
        <v>191651735.43000001</v>
      </c>
      <c r="N76" s="551"/>
      <c r="O76" s="203">
        <v>1969901.6997002466</v>
      </c>
      <c r="P76" s="118">
        <v>191651736.363837</v>
      </c>
    </row>
    <row r="77" spans="1:16" ht="27" customHeight="1" outlineLevel="1" x14ac:dyDescent="0.25">
      <c r="A77" s="364" t="s">
        <v>1636</v>
      </c>
      <c r="B77" s="216" t="str">
        <f>VLOOKUP(C77,'10'!$B$8:$N$437,13,FALSE)</f>
        <v>G027</v>
      </c>
      <c r="C77" s="555" t="s">
        <v>65</v>
      </c>
      <c r="D77" s="548"/>
      <c r="E77" s="548"/>
      <c r="F77" s="548"/>
      <c r="G77" s="548"/>
      <c r="H77" s="549"/>
      <c r="I77" s="201" t="str">
        <f>VLOOKUP(C77,AA_Unitarios,'10'!$H$7,FALSE)</f>
        <v>M3</v>
      </c>
      <c r="J77" s="160">
        <f>ROUND('16'!$F$300,2)</f>
        <v>19.23</v>
      </c>
      <c r="K77" s="550">
        <f>+'11'!M1242</f>
        <v>1384493.3612983071</v>
      </c>
      <c r="L77" s="549"/>
      <c r="M77" s="550">
        <f t="shared" si="0"/>
        <v>26623807.34</v>
      </c>
      <c r="N77" s="551"/>
      <c r="O77" s="203">
        <v>1384493.3703440335</v>
      </c>
      <c r="P77" s="118">
        <v>26623807.511715762</v>
      </c>
    </row>
    <row r="78" spans="1:16" ht="27" customHeight="1" outlineLevel="1" x14ac:dyDescent="0.25">
      <c r="A78" s="364" t="s">
        <v>1637</v>
      </c>
      <c r="B78" s="216" t="str">
        <f>VLOOKUP(C78,'10'!$B$8:$N$437,13,FALSE)</f>
        <v>G007</v>
      </c>
      <c r="C78" s="606" t="s">
        <v>66</v>
      </c>
      <c r="D78" s="607"/>
      <c r="E78" s="607"/>
      <c r="F78" s="607"/>
      <c r="G78" s="607"/>
      <c r="H78" s="599"/>
      <c r="I78" s="246" t="str">
        <f>VLOOKUP(C78,AA_Unitarios,'10'!$H$7,FALSE)</f>
        <v>KG</v>
      </c>
      <c r="J78" s="247">
        <f>ROUND('16'!$F$311,2)</f>
        <v>11988.47</v>
      </c>
      <c r="K78" s="598">
        <f>+'11'!M380</f>
        <v>9225.7350265453497</v>
      </c>
      <c r="L78" s="599"/>
      <c r="M78" s="598">
        <f t="shared" si="0"/>
        <v>110602447.59</v>
      </c>
      <c r="N78" s="600"/>
      <c r="O78" s="203">
        <v>9225.7449560092555</v>
      </c>
      <c r="P78" s="118">
        <v>110602566.63276827</v>
      </c>
    </row>
    <row r="79" spans="1:16" ht="13.5" outlineLevel="1" x14ac:dyDescent="0.25">
      <c r="A79" s="366" t="s">
        <v>1638</v>
      </c>
      <c r="B79" s="202" t="s">
        <v>1700</v>
      </c>
      <c r="C79" s="552" t="s">
        <v>68</v>
      </c>
      <c r="D79" s="553"/>
      <c r="E79" s="553"/>
      <c r="F79" s="553"/>
      <c r="G79" s="553"/>
      <c r="H79" s="553"/>
      <c r="I79" s="553"/>
      <c r="J79" s="553"/>
      <c r="K79" s="553"/>
      <c r="L79" s="553"/>
      <c r="M79" s="553"/>
      <c r="N79" s="554"/>
      <c r="P79" s="118"/>
    </row>
    <row r="80" spans="1:16" ht="27" customHeight="1" outlineLevel="1" x14ac:dyDescent="0.25">
      <c r="A80" s="364" t="s">
        <v>1639</v>
      </c>
      <c r="B80" s="216" t="str">
        <f>VLOOKUP(C80,'10'!$B$8:$N$437,13,FALSE)</f>
        <v>G008</v>
      </c>
      <c r="C80" s="604" t="s">
        <v>90</v>
      </c>
      <c r="D80" s="605"/>
      <c r="E80" s="605"/>
      <c r="F80" s="605"/>
      <c r="G80" s="605"/>
      <c r="H80" s="603"/>
      <c r="I80" s="248" t="str">
        <f>VLOOKUP(C80,AA_Unitarios,'10'!$H$7,FALSE)</f>
        <v>M3-KM</v>
      </c>
      <c r="J80" s="249">
        <f>ROUND($J$81*Indice!$M$41,2)</f>
        <v>3247.65</v>
      </c>
      <c r="K80" s="601">
        <f>+'11'!M513</f>
        <v>6193.2183588323314</v>
      </c>
      <c r="L80" s="603"/>
      <c r="M80" s="601">
        <f>ROUND(J80*K80,2)</f>
        <v>20113405.600000001</v>
      </c>
      <c r="N80" s="602"/>
      <c r="O80" s="203">
        <v>6193.221182690444</v>
      </c>
      <c r="P80" s="118">
        <v>20113414.773964621</v>
      </c>
    </row>
    <row r="81" spans="1:16" ht="27" customHeight="1" outlineLevel="1" x14ac:dyDescent="0.25">
      <c r="A81" s="364" t="s">
        <v>1640</v>
      </c>
      <c r="B81" s="216" t="str">
        <f>VLOOKUP(C81,'10'!$B$8:$N$437,13,FALSE)</f>
        <v>G009</v>
      </c>
      <c r="C81" s="555" t="s">
        <v>92</v>
      </c>
      <c r="D81" s="548"/>
      <c r="E81" s="548"/>
      <c r="F81" s="548"/>
      <c r="G81" s="548"/>
      <c r="H81" s="549"/>
      <c r="I81" s="201" t="str">
        <f>VLOOKUP(C81,AA_Unitarios,'10'!$H$7,FALSE)</f>
        <v>M3</v>
      </c>
      <c r="J81" s="160">
        <f>ROUND('16'!$F$322,2)</f>
        <v>649.53</v>
      </c>
      <c r="K81" s="550">
        <f>+'11'!M555</f>
        <v>8720.0066613592826</v>
      </c>
      <c r="L81" s="549"/>
      <c r="M81" s="550">
        <f>ROUND(J81*K81,2)</f>
        <v>5663905.9299999997</v>
      </c>
      <c r="N81" s="551"/>
      <c r="O81" s="203">
        <v>8720.0136972868513</v>
      </c>
      <c r="P81" s="118">
        <v>5663910.4967987286</v>
      </c>
    </row>
    <row r="82" spans="1:16" ht="13.15" customHeight="1" outlineLevel="1" x14ac:dyDescent="0.25">
      <c r="A82" s="366" t="s">
        <v>1641</v>
      </c>
      <c r="B82" s="202" t="s">
        <v>1700</v>
      </c>
      <c r="C82" s="552" t="s">
        <v>125</v>
      </c>
      <c r="D82" s="553"/>
      <c r="E82" s="553"/>
      <c r="F82" s="553"/>
      <c r="G82" s="553"/>
      <c r="H82" s="553"/>
      <c r="I82" s="553"/>
      <c r="J82" s="553"/>
      <c r="K82" s="553"/>
      <c r="L82" s="553"/>
      <c r="M82" s="553"/>
      <c r="N82" s="554"/>
      <c r="P82" s="118"/>
    </row>
    <row r="83" spans="1:16" ht="27" customHeight="1" outlineLevel="1" x14ac:dyDescent="0.25">
      <c r="A83" s="364" t="s">
        <v>1642</v>
      </c>
      <c r="B83" s="216" t="str">
        <f>VLOOKUP(C83,'10'!$B$8:$N$437,13,FALSE)</f>
        <v>G028</v>
      </c>
      <c r="C83" s="555" t="s">
        <v>127</v>
      </c>
      <c r="D83" s="548"/>
      <c r="E83" s="548"/>
      <c r="F83" s="548"/>
      <c r="G83" s="548"/>
      <c r="H83" s="549"/>
      <c r="I83" s="201" t="str">
        <f>VLOOKUP(C83,AA_Unitarios,'10'!$H$7,FALSE)</f>
        <v>UND</v>
      </c>
      <c r="J83" s="160">
        <f>ROUND('16'!$F$344,2)</f>
        <v>3</v>
      </c>
      <c r="K83" s="550">
        <f>+'11'!M939</f>
        <v>4069934.4793944079</v>
      </c>
      <c r="L83" s="549"/>
      <c r="M83" s="550">
        <f t="shared" ref="M83:M96" si="1">ROUND(J83*K83,2)</f>
        <v>12209803.439999999</v>
      </c>
      <c r="N83" s="551"/>
      <c r="O83" s="203">
        <v>4069934.4823073717</v>
      </c>
      <c r="P83" s="118">
        <v>12209803.446922116</v>
      </c>
    </row>
    <row r="84" spans="1:16" ht="27" customHeight="1" outlineLevel="1" x14ac:dyDescent="0.25">
      <c r="A84" s="364" t="s">
        <v>1643</v>
      </c>
      <c r="B84" s="216" t="str">
        <f>VLOOKUP(C84,'10'!$B$8:$N$437,13,FALSE)</f>
        <v>G029</v>
      </c>
      <c r="C84" s="555" t="s">
        <v>129</v>
      </c>
      <c r="D84" s="548"/>
      <c r="E84" s="548"/>
      <c r="F84" s="548"/>
      <c r="G84" s="548"/>
      <c r="H84" s="549"/>
      <c r="I84" s="201" t="str">
        <f>VLOOKUP(C84,AA_Unitarios,'10'!$H$7,FALSE)</f>
        <v>UND</v>
      </c>
      <c r="J84" s="160">
        <f>ROUND('16'!$F$355,2)</f>
        <v>1</v>
      </c>
      <c r="K84" s="550">
        <f>+'11'!M811</f>
        <v>7240436.9681378054</v>
      </c>
      <c r="L84" s="549"/>
      <c r="M84" s="550">
        <f t="shared" si="1"/>
        <v>7240436.9699999997</v>
      </c>
      <c r="N84" s="551"/>
      <c r="O84" s="203">
        <v>7240436.9742219439</v>
      </c>
      <c r="P84" s="118">
        <v>7240436.9742219439</v>
      </c>
    </row>
    <row r="85" spans="1:16" ht="27" customHeight="1" outlineLevel="1" x14ac:dyDescent="0.25">
      <c r="A85" s="364" t="s">
        <v>1644</v>
      </c>
      <c r="B85" s="216" t="str">
        <f>VLOOKUP(C85,'10'!$B$8:$N$437,13,FALSE)</f>
        <v>G030</v>
      </c>
      <c r="C85" s="555" t="s">
        <v>131</v>
      </c>
      <c r="D85" s="548"/>
      <c r="E85" s="548"/>
      <c r="F85" s="548"/>
      <c r="G85" s="548"/>
      <c r="H85" s="549"/>
      <c r="I85" s="201" t="str">
        <f>VLOOKUP(C85,AA_Unitarios,'10'!$H$7,FALSE)</f>
        <v>UND</v>
      </c>
      <c r="J85" s="160">
        <f>ROUND('16'!$F$366,2)</f>
        <v>3</v>
      </c>
      <c r="K85" s="550">
        <f>+'11'!M1027</f>
        <v>1667212.6984345103</v>
      </c>
      <c r="L85" s="549"/>
      <c r="M85" s="550">
        <f t="shared" si="1"/>
        <v>5001638.0999999996</v>
      </c>
      <c r="N85" s="551"/>
      <c r="O85" s="203">
        <v>1667212.7013474735</v>
      </c>
      <c r="P85" s="118">
        <v>5001638.1040424202</v>
      </c>
    </row>
    <row r="86" spans="1:16" ht="27" customHeight="1" outlineLevel="1" x14ac:dyDescent="0.25">
      <c r="A86" s="364" t="s">
        <v>1645</v>
      </c>
      <c r="B86" s="216" t="str">
        <f>VLOOKUP(C86,'10'!$B$8:$N$437,13,FALSE)</f>
        <v>G031</v>
      </c>
      <c r="C86" s="555" t="s">
        <v>78</v>
      </c>
      <c r="D86" s="548"/>
      <c r="E86" s="548"/>
      <c r="F86" s="548"/>
      <c r="G86" s="548"/>
      <c r="H86" s="549"/>
      <c r="I86" s="201" t="str">
        <f>VLOOKUP(C86,AA_Unitarios,'10'!$H$7,FALSE)</f>
        <v>UND</v>
      </c>
      <c r="J86" s="160">
        <f>ROUND('16'!$F$377,2)</f>
        <v>1</v>
      </c>
      <c r="K86" s="550">
        <f>+'11'!M1111</f>
        <v>4073014.8919341001</v>
      </c>
      <c r="L86" s="549"/>
      <c r="M86" s="550">
        <f t="shared" si="1"/>
        <v>4073014.89</v>
      </c>
      <c r="N86" s="551"/>
      <c r="O86" s="203">
        <v>4073014.8948470638</v>
      </c>
      <c r="P86" s="118">
        <v>4073014.8948470638</v>
      </c>
    </row>
    <row r="87" spans="1:16" ht="27" customHeight="1" outlineLevel="1" x14ac:dyDescent="0.25">
      <c r="A87" s="364" t="s">
        <v>1646</v>
      </c>
      <c r="B87" s="216" t="str">
        <f>VLOOKUP(C87,'10'!$B$8:$N$437,13,FALSE)</f>
        <v>G032</v>
      </c>
      <c r="C87" s="555" t="s">
        <v>134</v>
      </c>
      <c r="D87" s="548"/>
      <c r="E87" s="548"/>
      <c r="F87" s="548"/>
      <c r="G87" s="548"/>
      <c r="H87" s="549"/>
      <c r="I87" s="201" t="str">
        <f>VLOOKUP(C87,AA_Unitarios,'10'!$H$7,FALSE)</f>
        <v>UND</v>
      </c>
      <c r="J87" s="160">
        <f>ROUND('16'!$F$388,2)</f>
        <v>3</v>
      </c>
      <c r="K87" s="550">
        <f>+'11'!M639</f>
        <v>632350.34684395872</v>
      </c>
      <c r="L87" s="549"/>
      <c r="M87" s="550">
        <f t="shared" si="1"/>
        <v>1897051.04</v>
      </c>
      <c r="N87" s="551"/>
      <c r="O87" s="203">
        <v>632350.34776128747</v>
      </c>
      <c r="P87" s="118">
        <v>1897051.0432838625</v>
      </c>
    </row>
    <row r="88" spans="1:16" ht="27" customHeight="1" outlineLevel="1" x14ac:dyDescent="0.25">
      <c r="A88" s="364" t="s">
        <v>1647</v>
      </c>
      <c r="B88" s="216" t="str">
        <f>VLOOKUP(C88,'10'!$B$8:$N$437,13,FALSE)</f>
        <v>G033</v>
      </c>
      <c r="C88" s="555" t="s">
        <v>136</v>
      </c>
      <c r="D88" s="548"/>
      <c r="E88" s="548"/>
      <c r="F88" s="548"/>
      <c r="G88" s="548"/>
      <c r="H88" s="549"/>
      <c r="I88" s="201" t="str">
        <f>VLOOKUP(C88,AA_Unitarios,'10'!$H$7,FALSE)</f>
        <v>UND</v>
      </c>
      <c r="J88" s="160">
        <f>ROUND('16'!$F$399,2)</f>
        <v>2</v>
      </c>
      <c r="K88" s="550">
        <f>+'11'!M1069</f>
        <v>943315.75160684821</v>
      </c>
      <c r="L88" s="549"/>
      <c r="M88" s="550">
        <f t="shared" si="1"/>
        <v>1886631.5</v>
      </c>
      <c r="N88" s="551"/>
      <c r="O88" s="203">
        <v>943315.75451981195</v>
      </c>
      <c r="P88" s="118">
        <v>1886631.5090396239</v>
      </c>
    </row>
    <row r="89" spans="1:16" ht="27" customHeight="1" outlineLevel="1" x14ac:dyDescent="0.25">
      <c r="A89" s="364" t="s">
        <v>1648</v>
      </c>
      <c r="B89" s="216" t="str">
        <f>VLOOKUP(C89,'10'!$B$8:$N$437,13,FALSE)</f>
        <v>G034</v>
      </c>
      <c r="C89" s="555" t="s">
        <v>86</v>
      </c>
      <c r="D89" s="548"/>
      <c r="E89" s="548"/>
      <c r="F89" s="548"/>
      <c r="G89" s="548"/>
      <c r="H89" s="549"/>
      <c r="I89" s="201" t="str">
        <f>VLOOKUP(C89,AA_Unitarios,'10'!$H$7,FALSE)</f>
        <v>UND</v>
      </c>
      <c r="J89" s="160">
        <f>ROUND('16'!$F$410,2)</f>
        <v>9</v>
      </c>
      <c r="K89" s="550">
        <f>+'11'!M983</f>
        <v>1312965.2563699095</v>
      </c>
      <c r="L89" s="549"/>
      <c r="M89" s="550">
        <f t="shared" si="1"/>
        <v>11816687.310000001</v>
      </c>
      <c r="N89" s="551"/>
      <c r="O89" s="203">
        <v>1312965.2592828732</v>
      </c>
      <c r="P89" s="118">
        <v>11816687.33354586</v>
      </c>
    </row>
    <row r="90" spans="1:16" ht="27" customHeight="1" outlineLevel="1" x14ac:dyDescent="0.25">
      <c r="A90" s="364" t="s">
        <v>1649</v>
      </c>
      <c r="B90" s="216" t="str">
        <f>VLOOKUP(C90,'10'!$B$8:$N$437,13,FALSE)</f>
        <v>G035</v>
      </c>
      <c r="C90" s="555" t="s">
        <v>139</v>
      </c>
      <c r="D90" s="548"/>
      <c r="E90" s="548"/>
      <c r="F90" s="548"/>
      <c r="G90" s="548"/>
      <c r="H90" s="549"/>
      <c r="I90" s="201" t="str">
        <f>VLOOKUP(C90,AA_Unitarios,'10'!$H$7,FALSE)</f>
        <v>UND</v>
      </c>
      <c r="J90" s="160">
        <f>ROUND('16'!$F$421,2)</f>
        <v>1</v>
      </c>
      <c r="K90" s="550">
        <f>+'11'!M723</f>
        <v>4591282.1840025326</v>
      </c>
      <c r="L90" s="549"/>
      <c r="M90" s="550">
        <f t="shared" si="1"/>
        <v>4591282.18</v>
      </c>
      <c r="N90" s="551"/>
      <c r="O90" s="203">
        <v>4591282.1900866712</v>
      </c>
      <c r="P90" s="118">
        <v>4591282.1900866712</v>
      </c>
    </row>
    <row r="91" spans="1:16" ht="27" customHeight="1" outlineLevel="1" x14ac:dyDescent="0.25">
      <c r="A91" s="364" t="s">
        <v>1650</v>
      </c>
      <c r="B91" s="216" t="str">
        <f>VLOOKUP(C91,'10'!$B$8:$N$437,13,FALSE)</f>
        <v>G036</v>
      </c>
      <c r="C91" s="555" t="s">
        <v>141</v>
      </c>
      <c r="D91" s="548"/>
      <c r="E91" s="548"/>
      <c r="F91" s="548"/>
      <c r="G91" s="548"/>
      <c r="H91" s="549"/>
      <c r="I91" s="201" t="str">
        <f>VLOOKUP(C91,AA_Unitarios,'10'!$H$7,FALSE)</f>
        <v>UND</v>
      </c>
      <c r="J91" s="160">
        <f>ROUND('16'!$F$432,2)</f>
        <v>1</v>
      </c>
      <c r="K91" s="550">
        <f>+'11'!M1985</f>
        <v>6702673.1373375813</v>
      </c>
      <c r="L91" s="549"/>
      <c r="M91" s="550">
        <f t="shared" si="1"/>
        <v>6702673.1399999997</v>
      </c>
      <c r="N91" s="551"/>
      <c r="O91" s="203">
        <v>6702673.1397018628</v>
      </c>
      <c r="P91" s="118">
        <v>6702673.1397018628</v>
      </c>
    </row>
    <row r="92" spans="1:16" ht="27" customHeight="1" outlineLevel="1" x14ac:dyDescent="0.25">
      <c r="A92" s="364" t="s">
        <v>1651</v>
      </c>
      <c r="B92" s="216" t="str">
        <f>VLOOKUP(C92,'10'!$B$8:$N$437,13,FALSE)</f>
        <v>G037</v>
      </c>
      <c r="C92" s="555" t="s">
        <v>143</v>
      </c>
      <c r="D92" s="548"/>
      <c r="E92" s="548"/>
      <c r="F92" s="548"/>
      <c r="G92" s="548"/>
      <c r="H92" s="549"/>
      <c r="I92" s="201" t="str">
        <f>VLOOKUP(C92,AA_Unitarios,'10'!$H$7,FALSE)</f>
        <v>UND</v>
      </c>
      <c r="J92" s="160">
        <f>ROUND('16'!$F$443,2)</f>
        <v>1</v>
      </c>
      <c r="K92" s="550">
        <f>+'11'!M767</f>
        <v>5463558.3165633949</v>
      </c>
      <c r="L92" s="549"/>
      <c r="M92" s="550">
        <f t="shared" si="1"/>
        <v>5463558.3200000003</v>
      </c>
      <c r="N92" s="551"/>
      <c r="O92" s="203">
        <v>5463558.3248481518</v>
      </c>
      <c r="P92" s="118">
        <v>5463558.3248481518</v>
      </c>
    </row>
    <row r="93" spans="1:16" ht="27" customHeight="1" outlineLevel="1" x14ac:dyDescent="0.25">
      <c r="A93" s="364" t="s">
        <v>1652</v>
      </c>
      <c r="B93" s="216" t="str">
        <f>VLOOKUP(C93,'10'!$B$8:$N$437,13,FALSE)</f>
        <v>G038</v>
      </c>
      <c r="C93" s="555" t="s">
        <v>145</v>
      </c>
      <c r="D93" s="548"/>
      <c r="E93" s="548"/>
      <c r="F93" s="548"/>
      <c r="G93" s="548"/>
      <c r="H93" s="549"/>
      <c r="I93" s="201" t="str">
        <f>VLOOKUP(C93,AA_Unitarios,'10'!$H$7,FALSE)</f>
        <v>UND</v>
      </c>
      <c r="J93" s="160">
        <f>ROUND('16'!$F$454,2)</f>
        <v>5</v>
      </c>
      <c r="K93" s="550">
        <f>+'11'!M1153</f>
        <v>1153381.062483001</v>
      </c>
      <c r="L93" s="549"/>
      <c r="M93" s="550">
        <f t="shared" si="1"/>
        <v>5766905.3099999996</v>
      </c>
      <c r="N93" s="551"/>
      <c r="O93" s="203">
        <v>1153381.0707359249</v>
      </c>
      <c r="P93" s="118">
        <v>5766905.3536796244</v>
      </c>
    </row>
    <row r="94" spans="1:16" ht="54" customHeight="1" outlineLevel="1" x14ac:dyDescent="0.25">
      <c r="A94" s="364" t="s">
        <v>1653</v>
      </c>
      <c r="B94" s="216" t="str">
        <f>VLOOKUP(C94,'10'!$B$8:$N$437,13,FALSE)</f>
        <v>G039</v>
      </c>
      <c r="C94" s="555" t="s">
        <v>77</v>
      </c>
      <c r="D94" s="548"/>
      <c r="E94" s="548"/>
      <c r="F94" s="548"/>
      <c r="G94" s="548"/>
      <c r="H94" s="549"/>
      <c r="I94" s="201" t="str">
        <f>VLOOKUP(C94,AA_Unitarios,'10'!$H$7,FALSE)</f>
        <v>UND</v>
      </c>
      <c r="J94" s="160">
        <f>ROUND('16'!$F$465,2)</f>
        <v>66</v>
      </c>
      <c r="K94" s="550">
        <f>+'11'!M597</f>
        <v>149173.87464820786</v>
      </c>
      <c r="L94" s="549"/>
      <c r="M94" s="550">
        <f t="shared" si="1"/>
        <v>9845475.7300000004</v>
      </c>
      <c r="N94" s="551"/>
      <c r="O94" s="203">
        <v>149173.88259741949</v>
      </c>
      <c r="P94" s="118">
        <v>9845476.2514296863</v>
      </c>
    </row>
    <row r="95" spans="1:16" ht="27" customHeight="1" outlineLevel="1" x14ac:dyDescent="0.25">
      <c r="A95" s="364" t="s">
        <v>1654</v>
      </c>
      <c r="B95" s="216" t="str">
        <f>VLOOKUP(C95,'10'!$B$8:$N$437,13,FALSE)</f>
        <v>G040</v>
      </c>
      <c r="C95" s="555" t="s">
        <v>153</v>
      </c>
      <c r="D95" s="548"/>
      <c r="E95" s="548"/>
      <c r="F95" s="548"/>
      <c r="G95" s="548"/>
      <c r="H95" s="549"/>
      <c r="I95" s="201" t="str">
        <f>VLOOKUP(C95,AA_Unitarios,'10'!$H$7,FALSE)</f>
        <v>UND</v>
      </c>
      <c r="J95" s="160">
        <f>ROUND('16'!$F$476,2)</f>
        <v>4</v>
      </c>
      <c r="K95" s="550">
        <f>+'11'!M1422</f>
        <v>872820.44070276525</v>
      </c>
      <c r="L95" s="549"/>
      <c r="M95" s="550">
        <f t="shared" si="1"/>
        <v>3491281.76</v>
      </c>
      <c r="N95" s="551"/>
      <c r="O95" s="203">
        <v>872820.44883440738</v>
      </c>
      <c r="P95" s="118">
        <v>3491281.7953376295</v>
      </c>
    </row>
    <row r="96" spans="1:16" ht="67.5" customHeight="1" outlineLevel="1" x14ac:dyDescent="0.25">
      <c r="A96" s="364" t="s">
        <v>1655</v>
      </c>
      <c r="B96" s="216" t="str">
        <f>VLOOKUP(C96,'10'!$B$8:$N$437,13,FALSE)</f>
        <v>G042</v>
      </c>
      <c r="C96" s="547" t="s">
        <v>155</v>
      </c>
      <c r="D96" s="596"/>
      <c r="E96" s="596"/>
      <c r="F96" s="596"/>
      <c r="G96" s="596"/>
      <c r="H96" s="597"/>
      <c r="I96" s="215" t="str">
        <f>VLOOKUP(C96,AA_Unitarios,'10'!$H$7,FALSE)</f>
        <v>UND</v>
      </c>
      <c r="J96" s="373">
        <f>ROUND('16'!$F$498,2)</f>
        <v>2</v>
      </c>
      <c r="K96" s="550">
        <f>+'11'!M1721</f>
        <v>6762559.1656554546</v>
      </c>
      <c r="L96" s="549"/>
      <c r="M96" s="550">
        <f t="shared" si="1"/>
        <v>13525118.33</v>
      </c>
      <c r="N96" s="551"/>
      <c r="O96" s="203">
        <v>6762559.168084912</v>
      </c>
      <c r="P96" s="118">
        <v>13525118.336169824</v>
      </c>
    </row>
    <row r="97" spans="1:16" ht="13.5" x14ac:dyDescent="0.25">
      <c r="A97" s="370"/>
      <c r="B97" s="371"/>
      <c r="C97" s="371"/>
      <c r="D97" s="371"/>
      <c r="E97" s="195"/>
      <c r="F97" s="261"/>
      <c r="G97" s="261"/>
      <c r="H97" s="261"/>
      <c r="I97" s="261"/>
      <c r="J97" s="261"/>
      <c r="K97" s="261"/>
      <c r="L97" s="261"/>
      <c r="M97" s="261"/>
      <c r="N97" s="369"/>
      <c r="P97" s="118"/>
    </row>
    <row r="98" spans="1:16" ht="13.5" x14ac:dyDescent="0.25">
      <c r="A98" s="367"/>
      <c r="B98" s="261"/>
      <c r="C98" s="264"/>
      <c r="D98" s="264"/>
      <c r="E98" s="264"/>
      <c r="F98" s="264"/>
      <c r="G98" s="264"/>
      <c r="H98" s="525" t="s">
        <v>1599</v>
      </c>
      <c r="I98" s="526"/>
      <c r="J98" s="527"/>
      <c r="K98" s="591">
        <v>0</v>
      </c>
      <c r="L98" s="549"/>
      <c r="M98" s="591">
        <f>SUM(M101:M113)-K98</f>
        <v>21554955.789999999</v>
      </c>
      <c r="N98" s="590"/>
      <c r="P98" s="118"/>
    </row>
    <row r="99" spans="1:16" ht="13.5" outlineLevel="1" x14ac:dyDescent="0.25">
      <c r="A99" s="587" t="s">
        <v>39</v>
      </c>
      <c r="B99" s="588"/>
      <c r="C99" s="548"/>
      <c r="D99" s="548"/>
      <c r="E99" s="548"/>
      <c r="F99" s="548"/>
      <c r="G99" s="548"/>
      <c r="H99" s="549"/>
      <c r="I99" s="200" t="s">
        <v>40</v>
      </c>
      <c r="J99" s="200" t="s">
        <v>41</v>
      </c>
      <c r="K99" s="589" t="s">
        <v>42</v>
      </c>
      <c r="L99" s="549"/>
      <c r="M99" s="589" t="s">
        <v>43</v>
      </c>
      <c r="N99" s="590"/>
      <c r="P99" s="118"/>
    </row>
    <row r="100" spans="1:16" ht="13.5" outlineLevel="1" x14ac:dyDescent="0.25">
      <c r="A100" s="366" t="s">
        <v>97</v>
      </c>
      <c r="B100" s="202" t="s">
        <v>1700</v>
      </c>
      <c r="C100" s="592" t="s">
        <v>45</v>
      </c>
      <c r="D100" s="548"/>
      <c r="E100" s="548"/>
      <c r="F100" s="548"/>
      <c r="G100" s="548"/>
      <c r="H100" s="548"/>
      <c r="I100" s="548"/>
      <c r="J100" s="548"/>
      <c r="K100" s="548"/>
      <c r="L100" s="548"/>
      <c r="M100" s="548"/>
      <c r="N100" s="590"/>
      <c r="P100" s="118"/>
    </row>
    <row r="101" spans="1:16" ht="30" customHeight="1" outlineLevel="1" x14ac:dyDescent="0.25">
      <c r="A101" s="363" t="s">
        <v>98</v>
      </c>
      <c r="B101" s="216" t="str">
        <f>VLOOKUP(C101,'10'!$B$8:$N$437,13,FALSE)</f>
        <v>G001</v>
      </c>
      <c r="C101" s="555" t="s">
        <v>1102</v>
      </c>
      <c r="D101" s="548"/>
      <c r="E101" s="548"/>
      <c r="F101" s="548"/>
      <c r="G101" s="548"/>
      <c r="H101" s="549"/>
      <c r="I101" s="201" t="str">
        <f>VLOOKUP(C101,AA_Unitarios,'10'!$H$7,FALSE)</f>
        <v>M</v>
      </c>
      <c r="J101" s="160">
        <f>+ROUND('17'!D211,2)</f>
        <v>83.73</v>
      </c>
      <c r="K101" s="550">
        <f>+'11'!M5</f>
        <v>5783.811895814667</v>
      </c>
      <c r="L101" s="549"/>
      <c r="M101" s="550">
        <f>ROUND(J101*K101,2)</f>
        <v>484278.57</v>
      </c>
      <c r="N101" s="551"/>
      <c r="O101" s="203">
        <v>5783.82400183749</v>
      </c>
      <c r="P101" s="118">
        <v>484279.58367385308</v>
      </c>
    </row>
    <row r="102" spans="1:16" ht="13.5" outlineLevel="1" x14ac:dyDescent="0.25">
      <c r="A102" s="366" t="s">
        <v>99</v>
      </c>
      <c r="B102" s="202" t="s">
        <v>1700</v>
      </c>
      <c r="C102" s="592" t="s">
        <v>49</v>
      </c>
      <c r="D102" s="548"/>
      <c r="E102" s="548"/>
      <c r="F102" s="548"/>
      <c r="G102" s="548"/>
      <c r="H102" s="548"/>
      <c r="I102" s="548"/>
      <c r="J102" s="548"/>
      <c r="K102" s="548"/>
      <c r="L102" s="548"/>
      <c r="M102" s="548"/>
      <c r="N102" s="590"/>
      <c r="P102" s="118"/>
    </row>
    <row r="103" spans="1:16" ht="30" customHeight="1" outlineLevel="1" x14ac:dyDescent="0.25">
      <c r="A103" s="364" t="s">
        <v>100</v>
      </c>
      <c r="B103" s="216" t="str">
        <f>VLOOKUP(C103,'10'!$B$8:$N$437,13,FALSE)</f>
        <v>G017</v>
      </c>
      <c r="C103" s="555" t="s">
        <v>87</v>
      </c>
      <c r="D103" s="548"/>
      <c r="E103" s="548"/>
      <c r="F103" s="548"/>
      <c r="G103" s="548"/>
      <c r="H103" s="549"/>
      <c r="I103" s="201" t="str">
        <f>VLOOKUP(C103,AA_Unitarios,'10'!$H$7,FALSE)</f>
        <v>M3</v>
      </c>
      <c r="J103" s="160">
        <f>+ROUND('17'!L209,2)</f>
        <v>101.55</v>
      </c>
      <c r="K103" s="550">
        <f>+'11'!M87</f>
        <v>55917.2533413114</v>
      </c>
      <c r="L103" s="549"/>
      <c r="M103" s="550">
        <f>ROUND(J103*K103,2)</f>
        <v>5678397.0800000001</v>
      </c>
      <c r="N103" s="551"/>
      <c r="O103" s="203">
        <v>55917.2533413114</v>
      </c>
      <c r="P103" s="118">
        <v>5678397.0768101728</v>
      </c>
    </row>
    <row r="104" spans="1:16" ht="13.5" outlineLevel="1" x14ac:dyDescent="0.25">
      <c r="A104" s="366" t="s">
        <v>106</v>
      </c>
      <c r="B104" s="202" t="s">
        <v>1700</v>
      </c>
      <c r="C104" s="592" t="s">
        <v>53</v>
      </c>
      <c r="D104" s="548"/>
      <c r="E104" s="548"/>
      <c r="F104" s="548"/>
      <c r="G104" s="548"/>
      <c r="H104" s="548"/>
      <c r="I104" s="548"/>
      <c r="J104" s="548"/>
      <c r="K104" s="548"/>
      <c r="L104" s="548"/>
      <c r="M104" s="548"/>
      <c r="N104" s="590"/>
      <c r="P104" s="118"/>
    </row>
    <row r="105" spans="1:16" ht="30" customHeight="1" outlineLevel="1" x14ac:dyDescent="0.25">
      <c r="A105" s="364" t="s">
        <v>107</v>
      </c>
      <c r="B105" s="216" t="str">
        <f>VLOOKUP(C105,'10'!$B$8:$N$437,13,FALSE)</f>
        <v>G003</v>
      </c>
      <c r="C105" s="555" t="s">
        <v>89</v>
      </c>
      <c r="D105" s="548"/>
      <c r="E105" s="548"/>
      <c r="F105" s="548"/>
      <c r="G105" s="548"/>
      <c r="H105" s="549"/>
      <c r="I105" s="201" t="str">
        <f>VLOOKUP(C105,AA_Unitarios,'10'!$H$7,FALSE)</f>
        <v>M3</v>
      </c>
      <c r="J105" s="160">
        <f>+ROUND('17'!O209,2)</f>
        <v>8.81</v>
      </c>
      <c r="K105" s="550">
        <f>+'11'!M681</f>
        <v>227936.92650051074</v>
      </c>
      <c r="L105" s="549"/>
      <c r="M105" s="550">
        <f>ROUND(J105*K105,2)</f>
        <v>2008124.32</v>
      </c>
      <c r="N105" s="551"/>
      <c r="O105" s="203">
        <v>227936.93788189895</v>
      </c>
      <c r="P105" s="118">
        <v>2008124.4227395297</v>
      </c>
    </row>
    <row r="106" spans="1:16" ht="40.5" customHeight="1" outlineLevel="1" x14ac:dyDescent="0.25">
      <c r="A106" s="364" t="s">
        <v>108</v>
      </c>
      <c r="B106" s="216" t="str">
        <f>VLOOKUP(C106,'10'!$B$8:$N$437,13,FALSE)</f>
        <v>G005</v>
      </c>
      <c r="C106" s="555" t="s">
        <v>56</v>
      </c>
      <c r="D106" s="548"/>
      <c r="E106" s="548"/>
      <c r="F106" s="548"/>
      <c r="G106" s="548"/>
      <c r="H106" s="549"/>
      <c r="I106" s="201" t="str">
        <f>VLOOKUP(C106,AA_Unitarios,'10'!$H$7,FALSE)</f>
        <v>M3</v>
      </c>
      <c r="J106" s="160">
        <f>+ROUND('17'!S209,2)</f>
        <v>92.73</v>
      </c>
      <c r="K106" s="550">
        <f>+'11'!M254</f>
        <v>32479.947058917445</v>
      </c>
      <c r="L106" s="549"/>
      <c r="M106" s="550">
        <f>ROUND(J106*K106,2)</f>
        <v>3011865.49</v>
      </c>
      <c r="N106" s="551"/>
      <c r="O106" s="203">
        <v>32479.947475973298</v>
      </c>
      <c r="P106" s="118">
        <v>3011865.5294470042</v>
      </c>
    </row>
    <row r="107" spans="1:16" ht="13.5" outlineLevel="1" x14ac:dyDescent="0.25">
      <c r="A107" s="366" t="s">
        <v>111</v>
      </c>
      <c r="B107" s="202" t="s">
        <v>1700</v>
      </c>
      <c r="C107" s="592" t="s">
        <v>1104</v>
      </c>
      <c r="D107" s="548"/>
      <c r="E107" s="548"/>
      <c r="F107" s="548"/>
      <c r="G107" s="548"/>
      <c r="H107" s="548"/>
      <c r="I107" s="548"/>
      <c r="J107" s="548"/>
      <c r="K107" s="548"/>
      <c r="L107" s="548"/>
      <c r="M107" s="548"/>
      <c r="N107" s="590"/>
      <c r="P107" s="118"/>
    </row>
    <row r="108" spans="1:16" ht="40.5" customHeight="1" outlineLevel="1" x14ac:dyDescent="0.25">
      <c r="A108" s="363" t="s">
        <v>113</v>
      </c>
      <c r="B108" s="216" t="str">
        <f>VLOOKUP(C108,'10'!$B$8:$N$437,13,FALSE)</f>
        <v>G008</v>
      </c>
      <c r="C108" s="555" t="s">
        <v>90</v>
      </c>
      <c r="D108" s="548"/>
      <c r="E108" s="548"/>
      <c r="F108" s="548"/>
      <c r="G108" s="548"/>
      <c r="H108" s="549"/>
      <c r="I108" s="201" t="str">
        <f>VLOOKUP(C108,AA_Unitarios,'10'!$H$7,FALSE)</f>
        <v>M3-KM</v>
      </c>
      <c r="J108" s="160">
        <f>+ROUND(J109*Indice!$M$41,2)</f>
        <v>57.3</v>
      </c>
      <c r="K108" s="550">
        <f>+'11'!M513</f>
        <v>6193.2183588323314</v>
      </c>
      <c r="L108" s="549"/>
      <c r="M108" s="550">
        <f>ROUND(J108*K108,2)</f>
        <v>354871.41</v>
      </c>
      <c r="N108" s="551"/>
      <c r="O108" s="203">
        <v>6193.221182690444</v>
      </c>
      <c r="P108" s="118">
        <v>354871.5737681624</v>
      </c>
    </row>
    <row r="109" spans="1:16" ht="30" customHeight="1" outlineLevel="1" x14ac:dyDescent="0.25">
      <c r="A109" s="363" t="s">
        <v>114</v>
      </c>
      <c r="B109" s="216" t="str">
        <f>VLOOKUP(C109,'10'!$B$8:$N$437,13,FALSE)</f>
        <v>G009</v>
      </c>
      <c r="C109" s="555" t="s">
        <v>92</v>
      </c>
      <c r="D109" s="548"/>
      <c r="E109" s="548"/>
      <c r="F109" s="548"/>
      <c r="G109" s="548"/>
      <c r="H109" s="549"/>
      <c r="I109" s="201" t="str">
        <f>VLOOKUP(C109,AA_Unitarios,'10'!$H$7,FALSE)</f>
        <v>M3</v>
      </c>
      <c r="J109" s="160">
        <f>+ROUND('17'!V209,2)</f>
        <v>11.46</v>
      </c>
      <c r="K109" s="550">
        <f>+'11'!M555</f>
        <v>8720.0066613592826</v>
      </c>
      <c r="L109" s="549"/>
      <c r="M109" s="550">
        <f>ROUND(J109*K109,2)</f>
        <v>99931.28</v>
      </c>
      <c r="N109" s="551"/>
      <c r="O109" s="203">
        <v>8720.0136972868513</v>
      </c>
      <c r="P109" s="118">
        <v>99931.35697090732</v>
      </c>
    </row>
    <row r="110" spans="1:16" ht="13.5" outlineLevel="1" x14ac:dyDescent="0.25">
      <c r="A110" s="366" t="s">
        <v>121</v>
      </c>
      <c r="B110" s="202" t="s">
        <v>1700</v>
      </c>
      <c r="C110" s="592" t="s">
        <v>72</v>
      </c>
      <c r="D110" s="548"/>
      <c r="E110" s="548"/>
      <c r="F110" s="548"/>
      <c r="G110" s="548"/>
      <c r="H110" s="548"/>
      <c r="I110" s="548"/>
      <c r="J110" s="548"/>
      <c r="K110" s="548"/>
      <c r="L110" s="548"/>
      <c r="M110" s="548"/>
      <c r="N110" s="590"/>
      <c r="P110" s="118"/>
    </row>
    <row r="111" spans="1:16" ht="54" customHeight="1" outlineLevel="1" x14ac:dyDescent="0.25">
      <c r="A111" s="363" t="s">
        <v>122</v>
      </c>
      <c r="B111" s="216" t="str">
        <f>VLOOKUP(C111,'10'!$B$8:$N$437,13,FALSE)</f>
        <v>G041</v>
      </c>
      <c r="C111" s="593" t="s">
        <v>154</v>
      </c>
      <c r="D111" s="594"/>
      <c r="E111" s="594"/>
      <c r="F111" s="594"/>
      <c r="G111" s="594"/>
      <c r="H111" s="595"/>
      <c r="I111" s="250" t="str">
        <f>VLOOKUP(C111,AA_Unitarios,'10'!$H$7,FALSE)</f>
        <v>UND</v>
      </c>
      <c r="J111" s="251">
        <f>+ROUND('16'!F487,2)</f>
        <v>1</v>
      </c>
      <c r="K111" s="598">
        <f>+'11'!M1634</f>
        <v>1219063.1936605426</v>
      </c>
      <c r="L111" s="599"/>
      <c r="M111" s="598">
        <f>ROUND(J111*K111,2)</f>
        <v>1219063.19</v>
      </c>
      <c r="N111" s="600"/>
      <c r="O111" s="203">
        <v>1219063.2059422408</v>
      </c>
      <c r="P111" s="118">
        <v>1219063.2059422408</v>
      </c>
    </row>
    <row r="112" spans="1:16" ht="13.5" outlineLevel="1" x14ac:dyDescent="0.25">
      <c r="A112" s="362" t="s">
        <v>124</v>
      </c>
      <c r="B112" s="202" t="s">
        <v>1700</v>
      </c>
      <c r="C112" s="552" t="s">
        <v>79</v>
      </c>
      <c r="D112" s="553"/>
      <c r="E112" s="553"/>
      <c r="F112" s="553"/>
      <c r="G112" s="553"/>
      <c r="H112" s="553"/>
      <c r="I112" s="553"/>
      <c r="J112" s="553"/>
      <c r="K112" s="553"/>
      <c r="L112" s="553"/>
      <c r="M112" s="553"/>
      <c r="N112" s="554"/>
      <c r="P112" s="118"/>
    </row>
    <row r="113" spans="1:16" ht="40.5" customHeight="1" outlineLevel="1" x14ac:dyDescent="0.25">
      <c r="A113" s="363" t="s">
        <v>126</v>
      </c>
      <c r="B113" s="216" t="str">
        <f>VLOOKUP(C113,'10'!$B$8:$N$437,13,FALSE)</f>
        <v>G043</v>
      </c>
      <c r="C113" s="621" t="s">
        <v>1584</v>
      </c>
      <c r="D113" s="622"/>
      <c r="E113" s="622"/>
      <c r="F113" s="622"/>
      <c r="G113" s="622"/>
      <c r="H113" s="623"/>
      <c r="I113" s="252" t="str">
        <f>VLOOKUP(C113,AA_Unitarios,'10'!$H$7,FALSE)</f>
        <v>ML</v>
      </c>
      <c r="J113" s="253">
        <f>+ROUND('17'!D211,2)</f>
        <v>83.73</v>
      </c>
      <c r="K113" s="601">
        <f>+'11'!M1679</f>
        <v>103886.5931627059</v>
      </c>
      <c r="L113" s="603"/>
      <c r="M113" s="601">
        <f>ROUND(J113*K113,2)</f>
        <v>8698424.4499999993</v>
      </c>
      <c r="N113" s="602"/>
      <c r="O113" s="203">
        <v>103886.60227128273</v>
      </c>
      <c r="P113" s="118">
        <v>8698425.2081745025</v>
      </c>
    </row>
    <row r="114" spans="1:16" ht="13.5" outlineLevel="1" x14ac:dyDescent="0.25">
      <c r="A114" s="370"/>
      <c r="B114" s="371"/>
      <c r="C114" s="371"/>
      <c r="D114" s="371"/>
      <c r="E114" s="195"/>
      <c r="F114" s="261"/>
      <c r="G114" s="261"/>
      <c r="H114" s="261"/>
      <c r="I114" s="261"/>
      <c r="J114" s="261"/>
      <c r="K114" s="261"/>
      <c r="L114" s="261"/>
      <c r="M114" s="261"/>
      <c r="N114" s="369"/>
      <c r="P114" s="118"/>
    </row>
    <row r="115" spans="1:16" ht="13.5" outlineLevel="1" collapsed="1" x14ac:dyDescent="0.25">
      <c r="A115" s="367"/>
      <c r="B115" s="261"/>
      <c r="C115" s="261"/>
      <c r="D115" s="261"/>
      <c r="E115" s="261"/>
      <c r="F115" s="261"/>
      <c r="G115" s="261"/>
      <c r="H115" s="525" t="s">
        <v>1596</v>
      </c>
      <c r="I115" s="526"/>
      <c r="J115" s="527"/>
      <c r="K115" s="591">
        <v>0</v>
      </c>
      <c r="L115" s="549"/>
      <c r="M115" s="591">
        <f>SUM(M117:N120)</f>
        <v>106459183.22999999</v>
      </c>
      <c r="N115" s="590"/>
      <c r="P115" s="118"/>
    </row>
    <row r="116" spans="1:16" ht="13.5" outlineLevel="1" x14ac:dyDescent="0.25">
      <c r="A116" s="587" t="s">
        <v>39</v>
      </c>
      <c r="B116" s="588"/>
      <c r="C116" s="548"/>
      <c r="D116" s="548"/>
      <c r="E116" s="548"/>
      <c r="F116" s="548"/>
      <c r="G116" s="548"/>
      <c r="H116" s="549"/>
      <c r="I116" s="200" t="s">
        <v>40</v>
      </c>
      <c r="J116" s="200" t="s">
        <v>41</v>
      </c>
      <c r="K116" s="589" t="s">
        <v>42</v>
      </c>
      <c r="L116" s="549"/>
      <c r="M116" s="589" t="s">
        <v>43</v>
      </c>
      <c r="N116" s="590"/>
      <c r="P116" s="118"/>
    </row>
    <row r="117" spans="1:16" ht="13.5" outlineLevel="1" x14ac:dyDescent="0.25">
      <c r="A117" s="366" t="s">
        <v>1656</v>
      </c>
      <c r="B117" s="202" t="s">
        <v>1700</v>
      </c>
      <c r="C117" s="592" t="s">
        <v>72</v>
      </c>
      <c r="D117" s="548"/>
      <c r="E117" s="548"/>
      <c r="F117" s="548"/>
      <c r="G117" s="548"/>
      <c r="H117" s="548"/>
      <c r="I117" s="548"/>
      <c r="J117" s="548"/>
      <c r="K117" s="548"/>
      <c r="L117" s="548"/>
      <c r="M117" s="548"/>
      <c r="N117" s="590"/>
      <c r="P117" s="118"/>
    </row>
    <row r="118" spans="1:16" ht="40.5" customHeight="1" outlineLevel="1" x14ac:dyDescent="0.25">
      <c r="A118" s="363" t="s">
        <v>1657</v>
      </c>
      <c r="B118" s="216" t="str">
        <f>VLOOKUP(C118,'10'!$B$8:$N$437,13,FALSE)</f>
        <v>G044</v>
      </c>
      <c r="C118" s="555" t="s">
        <v>148</v>
      </c>
      <c r="D118" s="548"/>
      <c r="E118" s="548"/>
      <c r="F118" s="548"/>
      <c r="G118" s="548"/>
      <c r="H118" s="549"/>
      <c r="I118" s="201" t="str">
        <f>VLOOKUP(C118,AA_Unitarios,'10'!$H$7,FALSE)</f>
        <v>ML</v>
      </c>
      <c r="J118" s="160">
        <f>ROUNDUP('16'!F89,2)</f>
        <v>150</v>
      </c>
      <c r="K118" s="550">
        <f>+'11'!M421</f>
        <v>655749.37297835504</v>
      </c>
      <c r="L118" s="549"/>
      <c r="M118" s="550">
        <f>ROUND(J118*K118,2)</f>
        <v>98362405.950000003</v>
      </c>
      <c r="N118" s="551"/>
      <c r="O118" s="203">
        <v>655749.38144225639</v>
      </c>
      <c r="P118" s="118">
        <v>98362407.216338456</v>
      </c>
    </row>
    <row r="119" spans="1:16" ht="54" customHeight="1" outlineLevel="1" x14ac:dyDescent="0.25">
      <c r="A119" s="363" t="s">
        <v>1745</v>
      </c>
      <c r="B119" s="216" t="str">
        <f>VLOOKUP(C119,'10'!$B$8:$N$437,13,FALSE)</f>
        <v>G045</v>
      </c>
      <c r="C119" s="555" t="s">
        <v>150</v>
      </c>
      <c r="D119" s="548"/>
      <c r="E119" s="548"/>
      <c r="F119" s="548"/>
      <c r="G119" s="548"/>
      <c r="H119" s="549"/>
      <c r="I119" s="201" t="str">
        <f>VLOOKUP(C119,AA_Unitarios,'10'!$H$7,FALSE)</f>
        <v>UND</v>
      </c>
      <c r="J119" s="160">
        <f>ROUNDUP('16'!F100,2)</f>
        <v>1</v>
      </c>
      <c r="K119" s="550">
        <f>+'11'!M1590</f>
        <v>1887662.568328914</v>
      </c>
      <c r="L119" s="549"/>
      <c r="M119" s="550">
        <f>ROUND(J119*K119,2)</f>
        <v>1887662.57</v>
      </c>
      <c r="N119" s="551"/>
      <c r="O119" s="203">
        <v>1887662.5800654623</v>
      </c>
      <c r="P119" s="118">
        <v>1887662.5800654623</v>
      </c>
    </row>
    <row r="120" spans="1:16" ht="54" customHeight="1" outlineLevel="1" x14ac:dyDescent="0.25">
      <c r="A120" s="363" t="s">
        <v>1746</v>
      </c>
      <c r="B120" s="216" t="str">
        <f>VLOOKUP(C120,'10'!$B$8:$N$437,13,FALSE)</f>
        <v>G046</v>
      </c>
      <c r="C120" s="555" t="s">
        <v>152</v>
      </c>
      <c r="D120" s="548"/>
      <c r="E120" s="548"/>
      <c r="F120" s="548"/>
      <c r="G120" s="548"/>
      <c r="H120" s="549"/>
      <c r="I120" s="201" t="str">
        <f>VLOOKUP(C120,AA_Unitarios,'10'!$H$7,FALSE)</f>
        <v>UND</v>
      </c>
      <c r="J120" s="160">
        <f>ROUNDUP('16'!F111,2)</f>
        <v>1</v>
      </c>
      <c r="K120" s="550">
        <f>+'11'!M1197</f>
        <v>6209114.7140264716</v>
      </c>
      <c r="L120" s="549"/>
      <c r="M120" s="550">
        <f>ROUND(J120*K120,2)</f>
        <v>6209114.71</v>
      </c>
      <c r="N120" s="551"/>
      <c r="O120" s="203">
        <v>6209114.726503904</v>
      </c>
      <c r="P120" s="118">
        <v>6209114.726503904</v>
      </c>
    </row>
    <row r="121" spans="1:16" ht="13.5" x14ac:dyDescent="0.25">
      <c r="A121" s="367"/>
      <c r="B121" s="261"/>
      <c r="C121" s="261"/>
      <c r="D121" s="261"/>
      <c r="E121" s="261"/>
      <c r="F121" s="261"/>
      <c r="G121" s="261"/>
      <c r="H121" s="261"/>
      <c r="I121" s="261"/>
      <c r="J121" s="261"/>
      <c r="K121" s="261"/>
      <c r="L121" s="261"/>
      <c r="M121" s="261"/>
      <c r="N121" s="369"/>
      <c r="P121" s="118"/>
    </row>
    <row r="122" spans="1:16" ht="13.5" x14ac:dyDescent="0.25">
      <c r="A122" s="370"/>
      <c r="B122" s="371"/>
      <c r="C122" s="371"/>
      <c r="D122" s="371"/>
      <c r="E122" s="195"/>
      <c r="F122" s="374"/>
      <c r="G122" s="261"/>
      <c r="H122" s="525" t="s">
        <v>1597</v>
      </c>
      <c r="I122" s="526"/>
      <c r="J122" s="527"/>
      <c r="K122" s="591">
        <v>0</v>
      </c>
      <c r="L122" s="549"/>
      <c r="M122" s="591">
        <f>SUM(M125:M149)</f>
        <v>2187526224.75</v>
      </c>
      <c r="N122" s="590"/>
      <c r="P122" s="118"/>
    </row>
    <row r="123" spans="1:16" ht="13.5" outlineLevel="1" x14ac:dyDescent="0.25">
      <c r="A123" s="587" t="s">
        <v>80</v>
      </c>
      <c r="B123" s="588"/>
      <c r="C123" s="548"/>
      <c r="D123" s="548"/>
      <c r="E123" s="548"/>
      <c r="F123" s="548"/>
      <c r="G123" s="548"/>
      <c r="H123" s="549"/>
      <c r="I123" s="200" t="s">
        <v>81</v>
      </c>
      <c r="J123" s="200" t="s">
        <v>41</v>
      </c>
      <c r="K123" s="589" t="s">
        <v>82</v>
      </c>
      <c r="L123" s="549"/>
      <c r="M123" s="589" t="s">
        <v>43</v>
      </c>
      <c r="N123" s="590"/>
      <c r="P123" s="118"/>
    </row>
    <row r="124" spans="1:16" ht="13.5" outlineLevel="1" x14ac:dyDescent="0.25">
      <c r="A124" s="362" t="s">
        <v>1658</v>
      </c>
      <c r="B124" s="202" t="s">
        <v>1700</v>
      </c>
      <c r="C124" s="592" t="s">
        <v>45</v>
      </c>
      <c r="D124" s="548"/>
      <c r="E124" s="548"/>
      <c r="F124" s="548"/>
      <c r="G124" s="548"/>
      <c r="H124" s="548"/>
      <c r="I124" s="548"/>
      <c r="J124" s="548"/>
      <c r="K124" s="548"/>
      <c r="L124" s="548"/>
      <c r="M124" s="548"/>
      <c r="N124" s="590"/>
      <c r="P124" s="118"/>
    </row>
    <row r="125" spans="1:16" ht="27" customHeight="1" outlineLevel="1" x14ac:dyDescent="0.25">
      <c r="A125" s="364" t="s">
        <v>1659</v>
      </c>
      <c r="B125" s="216" t="str">
        <f>VLOOKUP(C125,'10'!$B$8:$N$437,13,FALSE)</f>
        <v>G001</v>
      </c>
      <c r="C125" s="555" t="s">
        <v>1102</v>
      </c>
      <c r="D125" s="548"/>
      <c r="E125" s="548"/>
      <c r="F125" s="548"/>
      <c r="G125" s="548"/>
      <c r="H125" s="549"/>
      <c r="I125" s="201" t="str">
        <f>VLOOKUP(C125,AA_Unitarios,'10'!$H$7,FALSE)</f>
        <v>M</v>
      </c>
      <c r="J125" s="160">
        <f>ROUND('17'!S11,2)</f>
        <v>5565.13</v>
      </c>
      <c r="K125" s="550">
        <f>+'11'!M5</f>
        <v>5783.811895814667</v>
      </c>
      <c r="L125" s="549"/>
      <c r="M125" s="550">
        <f>ROUND(J125*K125,2)</f>
        <v>32187665.100000001</v>
      </c>
      <c r="N125" s="551"/>
      <c r="O125" s="203">
        <v>5783.82400183749</v>
      </c>
      <c r="P125" s="118">
        <v>32187732.467345871</v>
      </c>
    </row>
    <row r="126" spans="1:16" ht="13.15" customHeight="1" outlineLevel="1" x14ac:dyDescent="0.25">
      <c r="A126" s="362" t="s">
        <v>1660</v>
      </c>
      <c r="B126" s="202" t="s">
        <v>1700</v>
      </c>
      <c r="C126" s="552" t="s">
        <v>49</v>
      </c>
      <c r="D126" s="553"/>
      <c r="E126" s="553"/>
      <c r="F126" s="553"/>
      <c r="G126" s="553"/>
      <c r="H126" s="553"/>
      <c r="I126" s="553"/>
      <c r="J126" s="553"/>
      <c r="K126" s="553"/>
      <c r="L126" s="553"/>
      <c r="M126" s="553"/>
      <c r="N126" s="554"/>
      <c r="P126" s="118"/>
    </row>
    <row r="127" spans="1:16" ht="27" customHeight="1" outlineLevel="1" x14ac:dyDescent="0.25">
      <c r="A127" s="364" t="s">
        <v>1661</v>
      </c>
      <c r="B127" s="216" t="str">
        <f>VLOOKUP(C127,'10'!$B$8:$N$437,13,FALSE)</f>
        <v>G047</v>
      </c>
      <c r="C127" s="555" t="s">
        <v>1530</v>
      </c>
      <c r="D127" s="548"/>
      <c r="E127" s="548"/>
      <c r="F127" s="548"/>
      <c r="G127" s="548"/>
      <c r="H127" s="549"/>
      <c r="I127" s="201" t="str">
        <f>VLOOKUP(C127,AA_Unitarios,'10'!$H$7,FALSE)</f>
        <v>M</v>
      </c>
      <c r="J127" s="160">
        <f>ROUND('17'!U26,2)</f>
        <v>6618.52</v>
      </c>
      <c r="K127" s="550">
        <f>+'11'!M2132</f>
        <v>26028.154194854851</v>
      </c>
      <c r="L127" s="549"/>
      <c r="M127" s="550">
        <f>ROUND(J127*K127,2)</f>
        <v>172267859.09999999</v>
      </c>
      <c r="N127" s="551"/>
      <c r="O127" s="203">
        <v>26028.165783596171</v>
      </c>
      <c r="P127" s="118">
        <v>172267935.80204692</v>
      </c>
    </row>
    <row r="128" spans="1:16" ht="27" customHeight="1" outlineLevel="1" x14ac:dyDescent="0.25">
      <c r="A128" s="364" t="s">
        <v>1678</v>
      </c>
      <c r="B128" s="216" t="str">
        <f>VLOOKUP(C128,'10'!$B$8:$N$437,13,FALSE)</f>
        <v>G048</v>
      </c>
      <c r="C128" s="555" t="s">
        <v>1531</v>
      </c>
      <c r="D128" s="548"/>
      <c r="E128" s="548"/>
      <c r="F128" s="548"/>
      <c r="G128" s="548"/>
      <c r="H128" s="549"/>
      <c r="I128" s="201" t="str">
        <f>VLOOKUP(C128,AA_Unitarios,'10'!$H$7,FALSE)</f>
        <v>M3</v>
      </c>
      <c r="J128" s="160">
        <f>ROUND('17'!T26,2)</f>
        <v>372.29</v>
      </c>
      <c r="K128" s="550">
        <f>+'11'!M2174</f>
        <v>92300.874759618251</v>
      </c>
      <c r="L128" s="549"/>
      <c r="M128" s="550">
        <f>ROUND(J128*K128,2)</f>
        <v>34362692.659999996</v>
      </c>
      <c r="N128" s="551"/>
      <c r="O128" s="203">
        <v>92300.88596548418</v>
      </c>
      <c r="P128" s="118">
        <v>34362696.83609011</v>
      </c>
    </row>
    <row r="129" spans="1:16" ht="27" customHeight="1" outlineLevel="1" x14ac:dyDescent="0.25">
      <c r="A129" s="364" t="s">
        <v>1662</v>
      </c>
      <c r="B129" s="216" t="str">
        <f>VLOOKUP(C129,'10'!$B$8:$N$437,13,FALSE)</f>
        <v>G017</v>
      </c>
      <c r="C129" s="555" t="s">
        <v>87</v>
      </c>
      <c r="D129" s="548"/>
      <c r="E129" s="548"/>
      <c r="F129" s="548"/>
      <c r="G129" s="548"/>
      <c r="H129" s="549"/>
      <c r="I129" s="201" t="str">
        <f>VLOOKUP(C129,AA_Unitarios,'10'!$H$7,FALSE)</f>
        <v>M3</v>
      </c>
      <c r="J129" s="160">
        <f>ROUND('17'!L26,2)</f>
        <v>261.37</v>
      </c>
      <c r="K129" s="550">
        <f>+'11'!M87</f>
        <v>55917.2533413114</v>
      </c>
      <c r="L129" s="549"/>
      <c r="M129" s="550">
        <f>ROUND(J129*K129,2)</f>
        <v>14615092.51</v>
      </c>
      <c r="N129" s="551"/>
      <c r="O129" s="203">
        <v>55917.2533413114</v>
      </c>
      <c r="P129" s="118">
        <v>14615092.505818561</v>
      </c>
    </row>
    <row r="130" spans="1:16" ht="27" customHeight="1" outlineLevel="1" x14ac:dyDescent="0.25">
      <c r="A130" s="364" t="s">
        <v>1679</v>
      </c>
      <c r="B130" s="216" t="str">
        <f>VLOOKUP(C130,'10'!$B$8:$N$437,13,FALSE)</f>
        <v>G002</v>
      </c>
      <c r="C130" s="555" t="s">
        <v>88</v>
      </c>
      <c r="D130" s="548"/>
      <c r="E130" s="548"/>
      <c r="F130" s="548"/>
      <c r="G130" s="548"/>
      <c r="H130" s="549"/>
      <c r="I130" s="201" t="str">
        <f>VLOOKUP(C130,AA_Unitarios,'10'!$H$7,FALSE)</f>
        <v>M3</v>
      </c>
      <c r="J130" s="160">
        <f>ROUND('17'!N26,2)</f>
        <v>4965.96</v>
      </c>
      <c r="K130" s="550">
        <f>+'11'!M1508</f>
        <v>24919.742046776577</v>
      </c>
      <c r="L130" s="549"/>
      <c r="M130" s="550">
        <f>ROUND(J130*K130,2)</f>
        <v>123750442.20999999</v>
      </c>
      <c r="N130" s="551"/>
      <c r="O130" s="203">
        <v>24919.747928610042</v>
      </c>
      <c r="P130" s="118">
        <v>123750471.42356032</v>
      </c>
    </row>
    <row r="131" spans="1:16" ht="13.5" outlineLevel="1" x14ac:dyDescent="0.25">
      <c r="A131" s="362" t="s">
        <v>1663</v>
      </c>
      <c r="B131" s="202" t="s">
        <v>1700</v>
      </c>
      <c r="C131" s="552" t="s">
        <v>53</v>
      </c>
      <c r="D131" s="553"/>
      <c r="E131" s="553"/>
      <c r="F131" s="553"/>
      <c r="G131" s="553"/>
      <c r="H131" s="553"/>
      <c r="I131" s="553"/>
      <c r="J131" s="553"/>
      <c r="K131" s="553"/>
      <c r="L131" s="553"/>
      <c r="M131" s="553"/>
      <c r="N131" s="554"/>
      <c r="P131" s="118"/>
    </row>
    <row r="132" spans="1:16" ht="27" customHeight="1" outlineLevel="1" x14ac:dyDescent="0.25">
      <c r="A132" s="364" t="s">
        <v>1664</v>
      </c>
      <c r="B132" s="216" t="str">
        <f>VLOOKUP(C132,'10'!$B$8:$N$437,13,FALSE)</f>
        <v>G003</v>
      </c>
      <c r="C132" s="555" t="s">
        <v>89</v>
      </c>
      <c r="D132" s="548"/>
      <c r="E132" s="548"/>
      <c r="F132" s="548"/>
      <c r="G132" s="548"/>
      <c r="H132" s="549"/>
      <c r="I132" s="201" t="str">
        <f>VLOOKUP(C132,AA_Unitarios,'10'!$H$7,FALSE)</f>
        <v>M3</v>
      </c>
      <c r="J132" s="160">
        <f>ROUND('17'!O26,2)</f>
        <v>417.38</v>
      </c>
      <c r="K132" s="550">
        <f>+'11'!M681</f>
        <v>227936.92650051074</v>
      </c>
      <c r="L132" s="549"/>
      <c r="M132" s="550">
        <f>ROUND(J132*K132,2)</f>
        <v>95136314.379999995</v>
      </c>
      <c r="N132" s="551"/>
      <c r="O132" s="203">
        <v>227936.93788189895</v>
      </c>
      <c r="P132" s="118">
        <v>95136319.133146986</v>
      </c>
    </row>
    <row r="133" spans="1:16" ht="40.5" customHeight="1" outlineLevel="1" x14ac:dyDescent="0.25">
      <c r="A133" s="364" t="s">
        <v>1665</v>
      </c>
      <c r="B133" s="216" t="str">
        <f>VLOOKUP(C133,'10'!$B$8:$N$437,13,FALSE)</f>
        <v>G004</v>
      </c>
      <c r="C133" s="555" t="s">
        <v>55</v>
      </c>
      <c r="D133" s="548"/>
      <c r="E133" s="548"/>
      <c r="F133" s="548"/>
      <c r="G133" s="548"/>
      <c r="H133" s="549"/>
      <c r="I133" s="201" t="str">
        <f>VLOOKUP(C133,AA_Unitarios,'10'!$H$7,FALSE)</f>
        <v>M3</v>
      </c>
      <c r="J133" s="160">
        <f>ROUND('17'!P26,2)</f>
        <v>1003.96</v>
      </c>
      <c r="K133" s="550">
        <f>+'11'!M471</f>
        <v>180295.36532938693</v>
      </c>
      <c r="L133" s="549"/>
      <c r="M133" s="550">
        <f>ROUND(J133*K133,2)</f>
        <v>181009334.97999999</v>
      </c>
      <c r="N133" s="551"/>
      <c r="O133" s="203">
        <v>180295.36814338854</v>
      </c>
      <c r="P133" s="118">
        <v>181009337.80123636</v>
      </c>
    </row>
    <row r="134" spans="1:16" ht="40.5" customHeight="1" outlineLevel="1" x14ac:dyDescent="0.25">
      <c r="A134" s="364" t="s">
        <v>1666</v>
      </c>
      <c r="B134" s="216" t="str">
        <f>VLOOKUP(C134,'10'!$B$8:$N$437,13,FALSE)</f>
        <v>G005</v>
      </c>
      <c r="C134" s="555" t="s">
        <v>56</v>
      </c>
      <c r="D134" s="548"/>
      <c r="E134" s="548"/>
      <c r="F134" s="548"/>
      <c r="G134" s="548"/>
      <c r="H134" s="549"/>
      <c r="I134" s="201" t="str">
        <f>VLOOKUP(C134,AA_Unitarios,'10'!$H$7,FALSE)</f>
        <v>M3</v>
      </c>
      <c r="J134" s="160">
        <f>ROUND('17'!S26,2)</f>
        <v>3433.69</v>
      </c>
      <c r="K134" s="550">
        <f>+'11'!M254</f>
        <v>32479.947058917445</v>
      </c>
      <c r="L134" s="549"/>
      <c r="M134" s="550">
        <f>ROUND(J134*K134,2)</f>
        <v>111526069.42</v>
      </c>
      <c r="N134" s="551"/>
      <c r="O134" s="203">
        <v>32479.947475973298</v>
      </c>
      <c r="P134" s="118">
        <v>111526070.84877476</v>
      </c>
    </row>
    <row r="135" spans="1:16" ht="13.15" customHeight="1" outlineLevel="1" x14ac:dyDescent="0.25">
      <c r="A135" s="362" t="s">
        <v>1667</v>
      </c>
      <c r="B135" s="202" t="s">
        <v>1700</v>
      </c>
      <c r="C135" s="552" t="s">
        <v>58</v>
      </c>
      <c r="D135" s="553"/>
      <c r="E135" s="553"/>
      <c r="F135" s="553"/>
      <c r="G135" s="553"/>
      <c r="H135" s="553"/>
      <c r="I135" s="553"/>
      <c r="J135" s="553"/>
      <c r="K135" s="553"/>
      <c r="L135" s="553"/>
      <c r="M135" s="553"/>
      <c r="N135" s="554"/>
      <c r="P135" s="118"/>
    </row>
    <row r="136" spans="1:16" ht="27" customHeight="1" outlineLevel="1" x14ac:dyDescent="0.25">
      <c r="A136" s="364" t="s">
        <v>1668</v>
      </c>
      <c r="B136" s="216" t="str">
        <f>VLOOKUP(C136,'10'!$B$8:$N$437,13,FALSE)</f>
        <v>G006</v>
      </c>
      <c r="C136" s="555" t="s">
        <v>84</v>
      </c>
      <c r="D136" s="548"/>
      <c r="E136" s="548"/>
      <c r="F136" s="548"/>
      <c r="G136" s="548"/>
      <c r="H136" s="549"/>
      <c r="I136" s="201" t="str">
        <f>VLOOKUP(C136,AA_Unitarios,'10'!$H$7,FALSE)</f>
        <v>M3</v>
      </c>
      <c r="J136" s="160">
        <f>ROUND('19'!K86,2)</f>
        <v>4.2699999999999996</v>
      </c>
      <c r="K136" s="550">
        <f>+'11'!M336</f>
        <v>831165.54382118152</v>
      </c>
      <c r="L136" s="549"/>
      <c r="M136" s="550">
        <f>ROUND(J136*K136,2)</f>
        <v>3549076.87</v>
      </c>
      <c r="N136" s="551"/>
      <c r="O136" s="203">
        <v>831165.54438060033</v>
      </c>
      <c r="P136" s="118">
        <v>3549076.8745051632</v>
      </c>
    </row>
    <row r="137" spans="1:16" ht="27" customHeight="1" outlineLevel="1" x14ac:dyDescent="0.25">
      <c r="A137" s="364" t="s">
        <v>1669</v>
      </c>
      <c r="B137" s="216" t="str">
        <f>VLOOKUP(C137,'10'!$B$8:$N$437,13,FALSE)</f>
        <v>G007</v>
      </c>
      <c r="C137" s="555" t="s">
        <v>66</v>
      </c>
      <c r="D137" s="548"/>
      <c r="E137" s="548"/>
      <c r="F137" s="548"/>
      <c r="G137" s="548"/>
      <c r="H137" s="549"/>
      <c r="I137" s="201" t="str">
        <f>VLOOKUP(C137,AA_Unitarios,'10'!$H$7,FALSE)</f>
        <v>KG</v>
      </c>
      <c r="J137" s="160">
        <f>ROUND('19'!L86,2)</f>
        <v>370.99</v>
      </c>
      <c r="K137" s="550">
        <f>+'11'!M380</f>
        <v>9225.7350265453497</v>
      </c>
      <c r="L137" s="549"/>
      <c r="M137" s="550">
        <f>ROUND(J137*K137,2)</f>
        <v>3422655.44</v>
      </c>
      <c r="N137" s="551"/>
      <c r="O137" s="203">
        <v>9225.7449560092555</v>
      </c>
      <c r="P137" s="118">
        <v>3422659.121229874</v>
      </c>
    </row>
    <row r="138" spans="1:16" ht="40.5" customHeight="1" outlineLevel="1" x14ac:dyDescent="0.25">
      <c r="A138" s="364" t="s">
        <v>1670</v>
      </c>
      <c r="B138" s="216" t="str">
        <f>VLOOKUP(C138,'10'!$B$8:$N$437,13,FALSE)</f>
        <v>G049</v>
      </c>
      <c r="C138" s="555" t="s">
        <v>1577</v>
      </c>
      <c r="D138" s="548"/>
      <c r="E138" s="548"/>
      <c r="F138" s="548"/>
      <c r="G138" s="548"/>
      <c r="H138" s="549"/>
      <c r="I138" s="201" t="str">
        <f>VLOOKUP(C138,AA_Unitarios,'10'!$H$7,FALSE)</f>
        <v>M3</v>
      </c>
      <c r="J138" s="160">
        <f>ROUND('17'!X26,2)</f>
        <v>372.29</v>
      </c>
      <c r="K138" s="550">
        <f>+'11'!M2215</f>
        <v>334912.93983842543</v>
      </c>
      <c r="L138" s="549"/>
      <c r="M138" s="550">
        <f>ROUND(J138*K138,2)</f>
        <v>124684738.37</v>
      </c>
      <c r="N138" s="551"/>
      <c r="O138" s="203">
        <v>334912.94801520614</v>
      </c>
      <c r="P138" s="118">
        <v>124684741.41658111</v>
      </c>
    </row>
    <row r="139" spans="1:16" ht="13.5" outlineLevel="1" x14ac:dyDescent="0.25">
      <c r="A139" s="362" t="s">
        <v>1671</v>
      </c>
      <c r="B139" s="202" t="s">
        <v>1700</v>
      </c>
      <c r="C139" s="592" t="s">
        <v>68</v>
      </c>
      <c r="D139" s="548"/>
      <c r="E139" s="548"/>
      <c r="F139" s="548"/>
      <c r="G139" s="548"/>
      <c r="H139" s="548"/>
      <c r="I139" s="548"/>
      <c r="J139" s="548"/>
      <c r="K139" s="548"/>
      <c r="L139" s="548"/>
      <c r="M139" s="548"/>
      <c r="N139" s="590"/>
      <c r="P139" s="118"/>
    </row>
    <row r="140" spans="1:16" ht="27" customHeight="1" outlineLevel="1" x14ac:dyDescent="0.25">
      <c r="A140" s="375" t="s">
        <v>1672</v>
      </c>
      <c r="B140" s="216" t="str">
        <f>VLOOKUP(C140,'10'!$B$8:$N$437,13,FALSE)</f>
        <v>G008</v>
      </c>
      <c r="C140" s="555" t="s">
        <v>90</v>
      </c>
      <c r="D140" s="548"/>
      <c r="E140" s="548"/>
      <c r="F140" s="548"/>
      <c r="G140" s="548"/>
      <c r="H140" s="549"/>
      <c r="I140" s="201" t="str">
        <f>VLOOKUP(C140,AA_Unitarios,'10'!$H$7,FALSE)</f>
        <v>M3-KM</v>
      </c>
      <c r="J140" s="160">
        <f>ROUND($J$141*Indice!$M$41,2)</f>
        <v>11658.65</v>
      </c>
      <c r="K140" s="550">
        <f>+'11'!M513</f>
        <v>6193.2183588323314</v>
      </c>
      <c r="L140" s="549"/>
      <c r="M140" s="550">
        <f>ROUND(J140*K140,2)</f>
        <v>72204565.219999999</v>
      </c>
      <c r="N140" s="551"/>
      <c r="O140" s="203">
        <v>6193.221182690444</v>
      </c>
      <c r="P140" s="118">
        <v>72204598.141573936</v>
      </c>
    </row>
    <row r="141" spans="1:16" ht="27" customHeight="1" outlineLevel="1" x14ac:dyDescent="0.25">
      <c r="A141" s="375" t="s">
        <v>1673</v>
      </c>
      <c r="B141" s="216" t="str">
        <f>VLOOKUP(C141,'10'!$B$8:$N$437,13,FALSE)</f>
        <v>G009</v>
      </c>
      <c r="C141" s="555" t="s">
        <v>92</v>
      </c>
      <c r="D141" s="548"/>
      <c r="E141" s="548"/>
      <c r="F141" s="548"/>
      <c r="G141" s="548"/>
      <c r="H141" s="549"/>
      <c r="I141" s="201" t="str">
        <f>VLOOKUP(C141,AA_Unitarios,'10'!$H$7,FALSE)</f>
        <v>M3</v>
      </c>
      <c r="J141" s="160">
        <f>ROUND('17'!V26,2)</f>
        <v>2331.73</v>
      </c>
      <c r="K141" s="550">
        <f>+'11'!M555</f>
        <v>8720.0066613592826</v>
      </c>
      <c r="L141" s="549"/>
      <c r="M141" s="550">
        <f>ROUND(J141*K141,2)</f>
        <v>20332701.129999999</v>
      </c>
      <c r="N141" s="551"/>
      <c r="O141" s="203">
        <v>8720.0136972868513</v>
      </c>
      <c r="P141" s="118">
        <v>20332717.53837467</v>
      </c>
    </row>
    <row r="142" spans="1:16" ht="13.15" customHeight="1" outlineLevel="1" x14ac:dyDescent="0.25">
      <c r="A142" s="366" t="s">
        <v>1674</v>
      </c>
      <c r="B142" s="202" t="s">
        <v>1700</v>
      </c>
      <c r="C142" s="552" t="s">
        <v>157</v>
      </c>
      <c r="D142" s="553"/>
      <c r="E142" s="553"/>
      <c r="F142" s="553"/>
      <c r="G142" s="553"/>
      <c r="H142" s="553"/>
      <c r="I142" s="553"/>
      <c r="J142" s="553"/>
      <c r="K142" s="553"/>
      <c r="L142" s="553"/>
      <c r="M142" s="553"/>
      <c r="N142" s="554"/>
      <c r="P142" s="118"/>
    </row>
    <row r="143" spans="1:16" ht="67.5" customHeight="1" outlineLevel="1" x14ac:dyDescent="0.25">
      <c r="A143" s="364" t="s">
        <v>1675</v>
      </c>
      <c r="B143" s="216" t="str">
        <f>VLOOKUP(C143,'10'!$B$8:$N$437,13,FALSE)</f>
        <v>G050</v>
      </c>
      <c r="C143" s="555" t="s">
        <v>96</v>
      </c>
      <c r="D143" s="548"/>
      <c r="E143" s="548"/>
      <c r="F143" s="548"/>
      <c r="G143" s="548"/>
      <c r="H143" s="549"/>
      <c r="I143" s="201" t="str">
        <f>VLOOKUP(C143,AA_Unitarios,'10'!$H$7,FALSE)</f>
        <v>UND</v>
      </c>
      <c r="J143" s="160">
        <f>ROUND('18'!B25,2)</f>
        <v>3</v>
      </c>
      <c r="K143" s="550">
        <f>+'11'!M2029</f>
        <v>18777900.426165462</v>
      </c>
      <c r="L143" s="549"/>
      <c r="M143" s="550">
        <f>ROUND(J143*K143,2)</f>
        <v>56333701.280000001</v>
      </c>
      <c r="N143" s="551"/>
      <c r="O143" s="203">
        <v>18777900.429593593</v>
      </c>
      <c r="P143" s="118">
        <v>56333701.288780779</v>
      </c>
    </row>
    <row r="144" spans="1:16" ht="40.5" customHeight="1" outlineLevel="1" x14ac:dyDescent="0.25">
      <c r="A144" s="364" t="s">
        <v>1680</v>
      </c>
      <c r="B144" s="216" t="str">
        <f>VLOOKUP(C144,'10'!$B$8:$N$437,13,FALSE)</f>
        <v>G011</v>
      </c>
      <c r="C144" s="555" t="s">
        <v>93</v>
      </c>
      <c r="D144" s="548"/>
      <c r="E144" s="548"/>
      <c r="F144" s="548"/>
      <c r="G144" s="548"/>
      <c r="H144" s="549"/>
      <c r="I144" s="201" t="str">
        <f>VLOOKUP(C144,AA_Unitarios,'10'!$H$7,FALSE)</f>
        <v>UND</v>
      </c>
      <c r="J144" s="160">
        <f>ROUND('19'!I43,2)</f>
        <v>33</v>
      </c>
      <c r="K144" s="586">
        <f>+'11'!M1769</f>
        <v>743411.20825074415</v>
      </c>
      <c r="L144" s="549"/>
      <c r="M144" s="550">
        <f>ROUND(J144*K144,2)</f>
        <v>24532569.870000001</v>
      </c>
      <c r="N144" s="551"/>
      <c r="O144" s="203">
        <v>743411.21789460338</v>
      </c>
      <c r="P144" s="118">
        <v>24532570.190521911</v>
      </c>
    </row>
    <row r="145" spans="1:16" ht="40.5" customHeight="1" outlineLevel="1" x14ac:dyDescent="0.25">
      <c r="A145" s="364" t="s">
        <v>1681</v>
      </c>
      <c r="B145" s="216" t="str">
        <f>VLOOKUP(C145,'10'!$B$8:$N$437,13,FALSE)</f>
        <v>G012</v>
      </c>
      <c r="C145" s="555" t="s">
        <v>94</v>
      </c>
      <c r="D145" s="548"/>
      <c r="E145" s="548"/>
      <c r="F145" s="548"/>
      <c r="G145" s="548"/>
      <c r="H145" s="549"/>
      <c r="I145" s="201" t="str">
        <f>VLOOKUP(C145,AA_Unitarios,'10'!$H$7,FALSE)</f>
        <v>UND</v>
      </c>
      <c r="J145" s="160">
        <f>ROUND('19'!I44,2)</f>
        <v>20</v>
      </c>
      <c r="K145" s="586">
        <f>+'11'!M1813</f>
        <v>759275.33283015888</v>
      </c>
      <c r="L145" s="549"/>
      <c r="M145" s="550">
        <f>ROUND(J145*K145,2)</f>
        <v>15185506.66</v>
      </c>
      <c r="N145" s="551"/>
      <c r="O145" s="203">
        <v>759275.34247401811</v>
      </c>
      <c r="P145" s="118">
        <v>15185506.849480363</v>
      </c>
    </row>
    <row r="146" spans="1:16" ht="40.5" customHeight="1" outlineLevel="1" x14ac:dyDescent="0.25">
      <c r="A146" s="364" t="s">
        <v>1682</v>
      </c>
      <c r="B146" s="216" t="str">
        <f>VLOOKUP(C146,'10'!$B$8:$N$437,13,FALSE)</f>
        <v>G013</v>
      </c>
      <c r="C146" s="555" t="s">
        <v>85</v>
      </c>
      <c r="D146" s="548"/>
      <c r="E146" s="548"/>
      <c r="F146" s="548"/>
      <c r="G146" s="548"/>
      <c r="H146" s="549"/>
      <c r="I146" s="201" t="str">
        <f>VLOOKUP(C146,AA_Unitarios,'10'!$H$7,FALSE)</f>
        <v>UND</v>
      </c>
      <c r="J146" s="160">
        <f>ROUND('19'!I45,2)</f>
        <v>24</v>
      </c>
      <c r="K146" s="586">
        <f>+'11'!M1857</f>
        <v>827491.06852164224</v>
      </c>
      <c r="L146" s="549"/>
      <c r="M146" s="550">
        <f>ROUND(J146*K146,2)</f>
        <v>19859785.640000001</v>
      </c>
      <c r="N146" s="551"/>
      <c r="O146" s="203">
        <v>827491.07816550147</v>
      </c>
      <c r="P146" s="118">
        <v>19859785.875972036</v>
      </c>
    </row>
    <row r="147" spans="1:16" ht="40.5" customHeight="1" outlineLevel="1" x14ac:dyDescent="0.25">
      <c r="A147" s="364" t="s">
        <v>1683</v>
      </c>
      <c r="B147" s="216" t="str">
        <f>VLOOKUP(C147,'10'!$B$8:$N$437,13,FALSE)</f>
        <v>G014</v>
      </c>
      <c r="C147" s="555" t="s">
        <v>95</v>
      </c>
      <c r="D147" s="548"/>
      <c r="E147" s="548"/>
      <c r="F147" s="548"/>
      <c r="G147" s="548"/>
      <c r="H147" s="549"/>
      <c r="I147" s="201" t="str">
        <f>VLOOKUP(C147,AA_Unitarios,'10'!$H$7,FALSE)</f>
        <v>UND</v>
      </c>
      <c r="J147" s="160">
        <f>ROUND('19'!I46,2)</f>
        <v>3</v>
      </c>
      <c r="K147" s="586">
        <f>+'11'!M1901</f>
        <v>952817.65269901836</v>
      </c>
      <c r="L147" s="549"/>
      <c r="M147" s="550">
        <f>ROUND(J147*K147,2)</f>
        <v>2858452.96</v>
      </c>
      <c r="N147" s="551"/>
      <c r="O147" s="203">
        <v>952817.66234287759</v>
      </c>
      <c r="P147" s="118">
        <v>2858452.9870286328</v>
      </c>
    </row>
    <row r="148" spans="1:16" ht="13.5" outlineLevel="1" x14ac:dyDescent="0.25">
      <c r="A148" s="362" t="s">
        <v>1676</v>
      </c>
      <c r="B148" s="202" t="s">
        <v>1700</v>
      </c>
      <c r="C148" s="552" t="s">
        <v>79</v>
      </c>
      <c r="D148" s="553"/>
      <c r="E148" s="553"/>
      <c r="F148" s="553"/>
      <c r="G148" s="553"/>
      <c r="H148" s="553"/>
      <c r="I148" s="553"/>
      <c r="J148" s="553"/>
      <c r="K148" s="553"/>
      <c r="L148" s="553"/>
      <c r="M148" s="553"/>
      <c r="N148" s="554"/>
      <c r="P148" s="118"/>
    </row>
    <row r="149" spans="1:16" ht="27" customHeight="1" outlineLevel="1" x14ac:dyDescent="0.25">
      <c r="A149" s="364" t="s">
        <v>1677</v>
      </c>
      <c r="B149" s="216" t="str">
        <f>VLOOKUP(C149,'10'!$B$8:$N$437,13,FALSE)</f>
        <v>G015</v>
      </c>
      <c r="C149" s="555" t="s">
        <v>1583</v>
      </c>
      <c r="D149" s="548"/>
      <c r="E149" s="548"/>
      <c r="F149" s="548"/>
      <c r="G149" s="548"/>
      <c r="H149" s="549"/>
      <c r="I149" s="201" t="str">
        <f>VLOOKUP(C149,AA_Unitarios,'10'!$H$7,FALSE)</f>
        <v>ML</v>
      </c>
      <c r="J149" s="160">
        <f>+ROUND('17'!S11,2)</f>
        <v>5565.13</v>
      </c>
      <c r="K149" s="550">
        <f>+'11'!M1945</f>
        <v>194012.89834204558</v>
      </c>
      <c r="L149" s="549"/>
      <c r="M149" s="550">
        <f>ROUND(J149*K149,2)</f>
        <v>1079707000.95</v>
      </c>
      <c r="N149" s="551"/>
      <c r="O149" s="203">
        <v>194012.91112739171</v>
      </c>
      <c r="P149" s="118">
        <v>1079707072.1023815</v>
      </c>
    </row>
    <row r="150" spans="1:16" ht="13.5" x14ac:dyDescent="0.25">
      <c r="A150" s="367"/>
      <c r="B150" s="261"/>
      <c r="C150" s="261"/>
      <c r="D150" s="261"/>
      <c r="E150" s="261"/>
      <c r="F150" s="261"/>
      <c r="G150" s="261"/>
      <c r="H150" s="261"/>
      <c r="I150" s="261"/>
      <c r="J150" s="376"/>
      <c r="K150" s="261"/>
      <c r="L150" s="261"/>
      <c r="M150" s="261"/>
      <c r="N150" s="369"/>
      <c r="P150" s="118"/>
    </row>
    <row r="151" spans="1:16" ht="13.5" x14ac:dyDescent="0.25">
      <c r="A151" s="360"/>
      <c r="B151" s="195"/>
      <c r="C151" s="195"/>
      <c r="D151" s="195"/>
      <c r="E151" s="195"/>
      <c r="F151" s="195"/>
      <c r="G151" s="195"/>
      <c r="H151" s="525" t="s">
        <v>1598</v>
      </c>
      <c r="I151" s="526"/>
      <c r="J151" s="527"/>
      <c r="K151" s="591">
        <v>0</v>
      </c>
      <c r="L151" s="549"/>
      <c r="M151" s="591">
        <f>+SUM(M154:M169)</f>
        <v>68633560.980000004</v>
      </c>
      <c r="N151" s="590"/>
      <c r="P151" s="118"/>
    </row>
    <row r="152" spans="1:16" ht="13.5" outlineLevel="1" x14ac:dyDescent="0.25">
      <c r="A152" s="587" t="s">
        <v>80</v>
      </c>
      <c r="B152" s="588"/>
      <c r="C152" s="548"/>
      <c r="D152" s="548"/>
      <c r="E152" s="548"/>
      <c r="F152" s="548"/>
      <c r="G152" s="548"/>
      <c r="H152" s="549"/>
      <c r="I152" s="200" t="s">
        <v>81</v>
      </c>
      <c r="J152" s="200" t="s">
        <v>41</v>
      </c>
      <c r="K152" s="589" t="s">
        <v>82</v>
      </c>
      <c r="L152" s="549"/>
      <c r="M152" s="589" t="s">
        <v>43</v>
      </c>
      <c r="N152" s="590"/>
      <c r="P152" s="118"/>
    </row>
    <row r="153" spans="1:16" ht="13.5" outlineLevel="1" x14ac:dyDescent="0.25">
      <c r="A153" s="362" t="s">
        <v>1684</v>
      </c>
      <c r="B153" s="202" t="s">
        <v>1700</v>
      </c>
      <c r="C153" s="592" t="s">
        <v>45</v>
      </c>
      <c r="D153" s="548"/>
      <c r="E153" s="548"/>
      <c r="F153" s="548"/>
      <c r="G153" s="548"/>
      <c r="H153" s="548"/>
      <c r="I153" s="548"/>
      <c r="J153" s="548"/>
      <c r="K153" s="548"/>
      <c r="L153" s="548"/>
      <c r="M153" s="548"/>
      <c r="N153" s="590"/>
      <c r="P153" s="118"/>
    </row>
    <row r="154" spans="1:16" ht="13.5" outlineLevel="1" x14ac:dyDescent="0.25">
      <c r="A154" s="364" t="s">
        <v>1685</v>
      </c>
      <c r="B154" s="216" t="str">
        <f>VLOOKUP(C154,'10'!$B$8:$N$437,13,FALSE)</f>
        <v>G001</v>
      </c>
      <c r="C154" s="555" t="s">
        <v>1102</v>
      </c>
      <c r="D154" s="548"/>
      <c r="E154" s="548"/>
      <c r="F154" s="548"/>
      <c r="G154" s="548"/>
      <c r="H154" s="549"/>
      <c r="I154" s="201" t="str">
        <f>VLOOKUP(C154,AA_Unitarios,'10'!$H$7,FALSE)</f>
        <v>M</v>
      </c>
      <c r="J154" s="160">
        <f>+ROUND('17'!D217,2)</f>
        <v>5</v>
      </c>
      <c r="K154" s="550">
        <f>+'11'!M5</f>
        <v>5783.811895814667</v>
      </c>
      <c r="L154" s="549"/>
      <c r="M154" s="550">
        <f>ROUND(J154*K154,2)</f>
        <v>28919.06</v>
      </c>
      <c r="N154" s="551"/>
      <c r="O154" s="203">
        <v>5783.82400183749</v>
      </c>
      <c r="P154" s="118">
        <v>28919.120009187449</v>
      </c>
    </row>
    <row r="155" spans="1:16" ht="13.15" customHeight="1" outlineLevel="1" x14ac:dyDescent="0.25">
      <c r="A155" s="362" t="s">
        <v>1686</v>
      </c>
      <c r="B155" s="202" t="s">
        <v>1700</v>
      </c>
      <c r="C155" s="552" t="s">
        <v>49</v>
      </c>
      <c r="D155" s="553"/>
      <c r="E155" s="553"/>
      <c r="F155" s="553"/>
      <c r="G155" s="553"/>
      <c r="H155" s="553"/>
      <c r="I155" s="553"/>
      <c r="J155" s="553"/>
      <c r="K155" s="553"/>
      <c r="L155" s="553"/>
      <c r="M155" s="553"/>
      <c r="N155" s="554"/>
      <c r="P155" s="118"/>
    </row>
    <row r="156" spans="1:16" ht="27" customHeight="1" outlineLevel="1" x14ac:dyDescent="0.25">
      <c r="A156" s="363" t="s">
        <v>1699</v>
      </c>
      <c r="B156" s="216" t="str">
        <f>VLOOKUP(C156,'10'!$B$8:$N$437,13,FALSE)</f>
        <v>G017</v>
      </c>
      <c r="C156" s="547" t="s">
        <v>87</v>
      </c>
      <c r="D156" s="548"/>
      <c r="E156" s="548"/>
      <c r="F156" s="548"/>
      <c r="G156" s="548"/>
      <c r="H156" s="549"/>
      <c r="I156" s="201" t="str">
        <f>VLOOKUP(C156,AA_Unitarios,'10'!$H$7,FALSE)</f>
        <v>M3</v>
      </c>
      <c r="J156" s="160">
        <f>+ROUND('17'!L215,2)</f>
        <v>0.3</v>
      </c>
      <c r="K156" s="550">
        <f>+'11'!M87</f>
        <v>55917.2533413114</v>
      </c>
      <c r="L156" s="549"/>
      <c r="M156" s="550">
        <f>ROUND(J156*K156,2)</f>
        <v>16775.18</v>
      </c>
      <c r="N156" s="551"/>
      <c r="O156" s="203">
        <v>55917.2533413114</v>
      </c>
      <c r="P156" s="118">
        <v>16775.176002393418</v>
      </c>
    </row>
    <row r="157" spans="1:16" ht="27" customHeight="1" outlineLevel="1" x14ac:dyDescent="0.25">
      <c r="A157" s="363" t="s">
        <v>1750</v>
      </c>
      <c r="B157" s="216" t="str">
        <f>VLOOKUP(C157,'10'!$B$8:$N$437,13,FALSE)</f>
        <v>G002</v>
      </c>
      <c r="C157" s="555" t="s">
        <v>88</v>
      </c>
      <c r="D157" s="548"/>
      <c r="E157" s="548"/>
      <c r="F157" s="548"/>
      <c r="G157" s="548"/>
      <c r="H157" s="549"/>
      <c r="I157" s="201" t="str">
        <f>VLOOKUP(C157,AA_Unitarios,'10'!$H$7,FALSE)</f>
        <v>M3</v>
      </c>
      <c r="J157" s="160">
        <f>+ROUND('17'!N215,2)</f>
        <v>5.67</v>
      </c>
      <c r="K157" s="550">
        <f>+'11'!M1508</f>
        <v>24919.742046776577</v>
      </c>
      <c r="L157" s="549"/>
      <c r="M157" s="550">
        <f>ROUND(J157*K157,2)</f>
        <v>141294.94</v>
      </c>
      <c r="N157" s="551"/>
      <c r="O157" s="203">
        <v>24919.747928610042</v>
      </c>
      <c r="P157" s="118">
        <v>141294.97075521894</v>
      </c>
    </row>
    <row r="158" spans="1:16" ht="13.5" outlineLevel="1" x14ac:dyDescent="0.25">
      <c r="A158" s="362" t="s">
        <v>1687</v>
      </c>
      <c r="B158" s="202" t="s">
        <v>1700</v>
      </c>
      <c r="C158" s="552" t="s">
        <v>53</v>
      </c>
      <c r="D158" s="553"/>
      <c r="E158" s="553"/>
      <c r="F158" s="553"/>
      <c r="G158" s="553"/>
      <c r="H158" s="553"/>
      <c r="I158" s="553"/>
      <c r="J158" s="553"/>
      <c r="K158" s="553"/>
      <c r="L158" s="553"/>
      <c r="M158" s="553"/>
      <c r="N158" s="554"/>
      <c r="P158" s="118"/>
    </row>
    <row r="159" spans="1:16" ht="27" customHeight="1" outlineLevel="1" x14ac:dyDescent="0.25">
      <c r="A159" s="364" t="s">
        <v>1688</v>
      </c>
      <c r="B159" s="216" t="str">
        <f>VLOOKUP(C159,'10'!$B$8:$N$437,13,FALSE)</f>
        <v>G003</v>
      </c>
      <c r="C159" s="555" t="s">
        <v>89</v>
      </c>
      <c r="D159" s="548"/>
      <c r="E159" s="548"/>
      <c r="F159" s="548"/>
      <c r="G159" s="548"/>
      <c r="H159" s="549"/>
      <c r="I159" s="201" t="str">
        <f>VLOOKUP(C159,AA_Unitarios,'10'!$H$7,FALSE)</f>
        <v>M3</v>
      </c>
      <c r="J159" s="160">
        <f>+ROUND('17'!O215,2)</f>
        <v>0.48</v>
      </c>
      <c r="K159" s="550">
        <f>+'11'!M681</f>
        <v>227936.92650051074</v>
      </c>
      <c r="L159" s="549"/>
      <c r="M159" s="550">
        <f>ROUND(J159*K159,2)</f>
        <v>109409.72</v>
      </c>
      <c r="N159" s="551"/>
      <c r="O159" s="203">
        <v>227936.93788189895</v>
      </c>
      <c r="P159" s="118">
        <v>109409.73018331149</v>
      </c>
    </row>
    <row r="160" spans="1:16" ht="40.5" customHeight="1" outlineLevel="1" x14ac:dyDescent="0.25">
      <c r="A160" s="364" t="s">
        <v>1689</v>
      </c>
      <c r="B160" s="216" t="str">
        <f>VLOOKUP(C160,'10'!$B$8:$N$437,13,FALSE)</f>
        <v>G004</v>
      </c>
      <c r="C160" s="555" t="s">
        <v>55</v>
      </c>
      <c r="D160" s="548"/>
      <c r="E160" s="548"/>
      <c r="F160" s="548"/>
      <c r="G160" s="548"/>
      <c r="H160" s="549"/>
      <c r="I160" s="201" t="str">
        <f>VLOOKUP(C160,AA_Unitarios,'10'!$H$7,FALSE)</f>
        <v>M3</v>
      </c>
      <c r="J160" s="160">
        <f>+ROUND('17'!P215,2)</f>
        <v>1.43</v>
      </c>
      <c r="K160" s="550">
        <f>+'11'!M471</f>
        <v>180295.36532938693</v>
      </c>
      <c r="L160" s="549"/>
      <c r="M160" s="550">
        <f>ROUND(J160*K160,2)</f>
        <v>257822.37</v>
      </c>
      <c r="N160" s="551"/>
      <c r="O160" s="203">
        <v>180295.36814338854</v>
      </c>
      <c r="P160" s="118">
        <v>257822.37644504561</v>
      </c>
    </row>
    <row r="161" spans="1:18" ht="40.5" customHeight="1" outlineLevel="1" x14ac:dyDescent="0.25">
      <c r="A161" s="364" t="s">
        <v>1690</v>
      </c>
      <c r="B161" s="216" t="str">
        <f>VLOOKUP(C161,'10'!$B$8:$N$437,13,FALSE)</f>
        <v>G005</v>
      </c>
      <c r="C161" s="555" t="s">
        <v>56</v>
      </c>
      <c r="D161" s="548"/>
      <c r="E161" s="548"/>
      <c r="F161" s="548"/>
      <c r="G161" s="548"/>
      <c r="H161" s="549"/>
      <c r="I161" s="201" t="str">
        <f>VLOOKUP(C161,AA_Unitarios,'10'!$H$7,FALSE)</f>
        <v>M3</v>
      </c>
      <c r="J161" s="160">
        <f>+ROUND('17'!S215,2)</f>
        <v>4.0599999999999996</v>
      </c>
      <c r="K161" s="550">
        <f>+'11'!M254</f>
        <v>32479.947058917445</v>
      </c>
      <c r="L161" s="549"/>
      <c r="M161" s="550">
        <f>ROUND(J161*K161,2)</f>
        <v>131868.59</v>
      </c>
      <c r="N161" s="551"/>
      <c r="O161" s="203">
        <v>32479.947475973298</v>
      </c>
      <c r="P161" s="118">
        <v>131868.58675245158</v>
      </c>
    </row>
    <row r="162" spans="1:18" ht="13.5" outlineLevel="1" x14ac:dyDescent="0.25">
      <c r="A162" s="362" t="s">
        <v>1691</v>
      </c>
      <c r="B162" s="202" t="s">
        <v>1700</v>
      </c>
      <c r="C162" s="592" t="s">
        <v>68</v>
      </c>
      <c r="D162" s="548"/>
      <c r="E162" s="548"/>
      <c r="F162" s="548"/>
      <c r="G162" s="548"/>
      <c r="H162" s="548"/>
      <c r="I162" s="548"/>
      <c r="J162" s="548"/>
      <c r="K162" s="548"/>
      <c r="L162" s="548"/>
      <c r="M162" s="548"/>
      <c r="N162" s="590"/>
      <c r="P162" s="118"/>
    </row>
    <row r="163" spans="1:18" ht="27" customHeight="1" outlineLevel="1" x14ac:dyDescent="0.25">
      <c r="A163" s="365" t="s">
        <v>1692</v>
      </c>
      <c r="B163" s="216" t="str">
        <f>VLOOKUP(C163,'10'!$B$8:$N$437,13,FALSE)</f>
        <v>G008</v>
      </c>
      <c r="C163" s="555" t="s">
        <v>90</v>
      </c>
      <c r="D163" s="548"/>
      <c r="E163" s="548"/>
      <c r="F163" s="548"/>
      <c r="G163" s="548"/>
      <c r="H163" s="549"/>
      <c r="I163" s="201" t="str">
        <f>VLOOKUP(C163,AA_Unitarios,'10'!$H$7,FALSE)</f>
        <v>M3-KM</v>
      </c>
      <c r="J163" s="160">
        <f>+ROUND(J164*Indice!$M$41,2)</f>
        <v>12.4</v>
      </c>
      <c r="K163" s="550">
        <f>+'11'!M513</f>
        <v>6193.2183588323314</v>
      </c>
      <c r="L163" s="549"/>
      <c r="M163" s="550">
        <f>ROUND(J163*K163,2)</f>
        <v>76795.91</v>
      </c>
      <c r="N163" s="551"/>
      <c r="O163" s="203">
        <v>6193.2211826904459</v>
      </c>
      <c r="P163" s="118">
        <v>76795.942665361537</v>
      </c>
    </row>
    <row r="164" spans="1:18" ht="27" customHeight="1" outlineLevel="1" x14ac:dyDescent="0.25">
      <c r="A164" s="365" t="s">
        <v>1693</v>
      </c>
      <c r="B164" s="216" t="str">
        <f>VLOOKUP(C164,'10'!$B$8:$N$437,13,FALSE)</f>
        <v>G009</v>
      </c>
      <c r="C164" s="555" t="s">
        <v>92</v>
      </c>
      <c r="D164" s="548"/>
      <c r="E164" s="548"/>
      <c r="F164" s="548"/>
      <c r="G164" s="548"/>
      <c r="H164" s="549"/>
      <c r="I164" s="201" t="str">
        <f>VLOOKUP(C164,AA_Unitarios,'10'!$H$7,FALSE)</f>
        <v>M3</v>
      </c>
      <c r="J164" s="160">
        <f>+ROUND('17'!V215,2)</f>
        <v>2.48</v>
      </c>
      <c r="K164" s="550">
        <f>+'11'!M555</f>
        <v>8720.0066613592826</v>
      </c>
      <c r="L164" s="549"/>
      <c r="M164" s="550">
        <f>ROUND(J164*K164,2)</f>
        <v>21625.62</v>
      </c>
      <c r="N164" s="551"/>
      <c r="O164" s="203">
        <v>8720.0136972868513</v>
      </c>
      <c r="P164" s="118">
        <v>21625.633969271392</v>
      </c>
    </row>
    <row r="165" spans="1:18" ht="13.15" customHeight="1" outlineLevel="1" x14ac:dyDescent="0.25">
      <c r="A165" s="366" t="s">
        <v>1694</v>
      </c>
      <c r="B165" s="202" t="s">
        <v>1700</v>
      </c>
      <c r="C165" s="552" t="s">
        <v>157</v>
      </c>
      <c r="D165" s="553"/>
      <c r="E165" s="553"/>
      <c r="F165" s="553"/>
      <c r="G165" s="553"/>
      <c r="H165" s="553"/>
      <c r="I165" s="553"/>
      <c r="J165" s="553"/>
      <c r="K165" s="553"/>
      <c r="L165" s="553"/>
      <c r="M165" s="553"/>
      <c r="N165" s="554"/>
      <c r="P165" s="118"/>
    </row>
    <row r="166" spans="1:18" ht="54" customHeight="1" outlineLevel="1" x14ac:dyDescent="0.25">
      <c r="A166" s="363" t="s">
        <v>1695</v>
      </c>
      <c r="B166" s="216" t="str">
        <f>VLOOKUP(C166,'10'!$B$8:$N$437,13,FALSE)</f>
        <v>G072</v>
      </c>
      <c r="C166" s="547" t="s">
        <v>1796</v>
      </c>
      <c r="D166" s="548"/>
      <c r="E166" s="548"/>
      <c r="F166" s="548"/>
      <c r="G166" s="548"/>
      <c r="H166" s="549"/>
      <c r="I166" s="201" t="str">
        <f>VLOOKUP(C166,AA_Unitarios,'10'!$H$7,FALSE)</f>
        <v>UND</v>
      </c>
      <c r="J166" s="160">
        <f>+ROUND('18'!J412,2)</f>
        <v>1</v>
      </c>
      <c r="K166" s="550">
        <f>+'11'!M2379</f>
        <v>30377067.546365894</v>
      </c>
      <c r="L166" s="549"/>
      <c r="M166" s="550">
        <f>ROUND(J166*K166,2)</f>
        <v>30377067.550000001</v>
      </c>
      <c r="N166" s="551"/>
      <c r="O166" s="203">
        <v>30377067.55089036</v>
      </c>
      <c r="P166" s="118">
        <v>30377067.55089036</v>
      </c>
    </row>
    <row r="167" spans="1:18" ht="54" customHeight="1" outlineLevel="1" x14ac:dyDescent="0.25">
      <c r="A167" s="363" t="s">
        <v>1696</v>
      </c>
      <c r="B167" s="216" t="str">
        <f>VLOOKUP(C167,'10'!$B$8:$N$437,13,FALSE)</f>
        <v>G073</v>
      </c>
      <c r="C167" s="547" t="s">
        <v>1833</v>
      </c>
      <c r="D167" s="548"/>
      <c r="E167" s="548"/>
      <c r="F167" s="548"/>
      <c r="G167" s="548"/>
      <c r="H167" s="549"/>
      <c r="I167" s="201" t="str">
        <f>VLOOKUP(C167,AA_Unitarios,'10'!$H$7,FALSE)</f>
        <v>UND</v>
      </c>
      <c r="J167" s="160">
        <f>+ROUND('18'!C450,2)</f>
        <v>3</v>
      </c>
      <c r="K167" s="550">
        <f>+'11'!M2439</f>
        <v>12304972.514895797</v>
      </c>
      <c r="L167" s="549"/>
      <c r="M167" s="550">
        <f>ROUND(J167*K167,2)</f>
        <v>36914917.539999999</v>
      </c>
      <c r="N167" s="551"/>
      <c r="O167" s="203">
        <v>12304972.5205348</v>
      </c>
      <c r="P167" s="118">
        <v>36914917.561604403</v>
      </c>
    </row>
    <row r="168" spans="1:18" ht="13.5" outlineLevel="1" x14ac:dyDescent="0.25">
      <c r="A168" s="362" t="s">
        <v>1697</v>
      </c>
      <c r="B168" s="202" t="s">
        <v>1700</v>
      </c>
      <c r="C168" s="552" t="s">
        <v>79</v>
      </c>
      <c r="D168" s="553"/>
      <c r="E168" s="553"/>
      <c r="F168" s="553"/>
      <c r="G168" s="553"/>
      <c r="H168" s="553"/>
      <c r="I168" s="553"/>
      <c r="J168" s="553"/>
      <c r="K168" s="553"/>
      <c r="L168" s="553"/>
      <c r="M168" s="553"/>
      <c r="N168" s="554"/>
      <c r="P168" s="118"/>
    </row>
    <row r="169" spans="1:18" ht="40.5" customHeight="1" outlineLevel="1" x14ac:dyDescent="0.25">
      <c r="A169" s="363" t="s">
        <v>1698</v>
      </c>
      <c r="B169" s="216" t="str">
        <f>VLOOKUP(C169,'10'!$B$8:$N$437,13,FALSE)</f>
        <v>G060</v>
      </c>
      <c r="C169" s="547" t="s">
        <v>1752</v>
      </c>
      <c r="D169" s="548"/>
      <c r="E169" s="548"/>
      <c r="F169" s="548"/>
      <c r="G169" s="548"/>
      <c r="H169" s="549"/>
      <c r="I169" s="201" t="str">
        <f>VLOOKUP(C169,AA_Unitarios,'10'!$H$7,FALSE)</f>
        <v>ML</v>
      </c>
      <c r="J169" s="160">
        <f>+ROUND('17'!D217,2)</f>
        <v>5</v>
      </c>
      <c r="K169" s="550">
        <f>+'11'!M1550</f>
        <v>111412.90049112555</v>
      </c>
      <c r="L169" s="549"/>
      <c r="M169" s="550">
        <f>ROUND(J169*K169,2)</f>
        <v>557064.5</v>
      </c>
      <c r="N169" s="551"/>
      <c r="O169" s="203">
        <v>111318.92586951927</v>
      </c>
      <c r="P169" s="118">
        <v>556594.62934759632</v>
      </c>
    </row>
    <row r="170" spans="1:18" ht="14.25" thickBot="1" x14ac:dyDescent="0.25">
      <c r="A170" s="360"/>
      <c r="B170" s="195"/>
      <c r="C170" s="195"/>
      <c r="D170" s="195"/>
      <c r="E170" s="195"/>
      <c r="F170" s="195"/>
      <c r="G170" s="195"/>
      <c r="H170" s="287"/>
      <c r="I170" s="195"/>
      <c r="J170" s="195"/>
      <c r="K170" s="195"/>
      <c r="L170" s="195"/>
      <c r="M170" s="195"/>
      <c r="N170" s="361"/>
      <c r="O170" s="195"/>
    </row>
    <row r="171" spans="1:18" ht="15.75" customHeight="1" thickBot="1" x14ac:dyDescent="0.3">
      <c r="A171" s="576" t="s">
        <v>1936</v>
      </c>
      <c r="B171" s="577"/>
      <c r="C171" s="577"/>
      <c r="D171" s="577"/>
      <c r="E171" s="577"/>
      <c r="F171" s="577"/>
      <c r="G171" s="577"/>
      <c r="H171" s="577"/>
      <c r="I171" s="577"/>
      <c r="J171" s="577"/>
      <c r="K171" s="577"/>
      <c r="L171" s="577"/>
      <c r="M171" s="582">
        <f>M16+M35+M58+M98+M115+M122+M151</f>
        <v>3317025904</v>
      </c>
      <c r="N171" s="583"/>
      <c r="P171" s="322">
        <f>+SUM(P18:P169)</f>
        <v>3317025904.0775781</v>
      </c>
    </row>
    <row r="172" spans="1:18" ht="15.75" customHeight="1" x14ac:dyDescent="0.2">
      <c r="A172" s="578" t="s">
        <v>1937</v>
      </c>
      <c r="B172" s="579"/>
      <c r="C172" s="579"/>
      <c r="D172" s="579"/>
      <c r="E172" s="579"/>
      <c r="F172" s="579"/>
      <c r="G172" s="579"/>
      <c r="H172" s="579"/>
      <c r="I172" s="579"/>
      <c r="J172" s="579"/>
      <c r="K172" s="579"/>
      <c r="L172" s="579"/>
      <c r="M172" s="584">
        <f>+D88+D125</f>
        <v>0</v>
      </c>
      <c r="N172" s="585"/>
      <c r="Q172" s="317" t="s">
        <v>1932</v>
      </c>
      <c r="R172" s="323" t="s">
        <v>1933</v>
      </c>
    </row>
    <row r="173" spans="1:18" ht="13.5" customHeight="1" thickBot="1" x14ac:dyDescent="0.25">
      <c r="A173" s="580" t="s">
        <v>1938</v>
      </c>
      <c r="B173" s="581"/>
      <c r="C173" s="581"/>
      <c r="D173" s="581"/>
      <c r="E173" s="581"/>
      <c r="F173" s="581"/>
      <c r="G173" s="581"/>
      <c r="H173" s="581"/>
      <c r="I173" s="581"/>
      <c r="J173" s="581"/>
      <c r="K173" s="581"/>
      <c r="L173" s="581"/>
      <c r="M173" s="566">
        <f>+M172+M171</f>
        <v>3317025904</v>
      </c>
      <c r="N173" s="567"/>
      <c r="Q173" s="318">
        <f>+P171</f>
        <v>3317025904.0775781</v>
      </c>
      <c r="R173" s="324">
        <f>ROUND(+S116+S157,0)</f>
        <v>0</v>
      </c>
    </row>
    <row r="174" spans="1:18" ht="30.75" customHeight="1" thickBot="1" x14ac:dyDescent="0.25">
      <c r="A174" s="377"/>
      <c r="B174" s="204"/>
      <c r="C174" s="670" t="s">
        <v>1939</v>
      </c>
      <c r="D174" s="671"/>
      <c r="E174" s="671"/>
      <c r="F174" s="671"/>
      <c r="G174" s="671"/>
      <c r="H174" s="671"/>
      <c r="I174" s="671"/>
      <c r="J174" s="671"/>
      <c r="K174" s="568" t="s">
        <v>1940</v>
      </c>
      <c r="L174" s="569"/>
      <c r="M174" s="664">
        <f>+M173</f>
        <v>3317025904</v>
      </c>
      <c r="N174" s="665"/>
      <c r="Q174" s="319"/>
      <c r="R174" s="320" t="e">
        <f>IF(R173 =#REF!, "Cumple", "No cumple, es mayor")</f>
        <v>#REF!</v>
      </c>
    </row>
    <row r="175" spans="1:18" ht="23.25" customHeight="1" x14ac:dyDescent="0.2">
      <c r="A175" s="377"/>
      <c r="B175" s="204"/>
      <c r="C175" s="672" t="s">
        <v>1941</v>
      </c>
      <c r="D175" s="634"/>
      <c r="E175" s="634"/>
      <c r="F175" s="634"/>
      <c r="G175" s="634"/>
      <c r="H175" s="634"/>
      <c r="I175" s="634"/>
      <c r="J175" s="634"/>
      <c r="K175" s="572" t="s">
        <v>1942</v>
      </c>
      <c r="L175" s="573"/>
      <c r="M175" s="574">
        <f>M171/(O16)</f>
        <v>2562813113.4373622</v>
      </c>
      <c r="N175" s="575"/>
    </row>
    <row r="176" spans="1:18" ht="19.5" customHeight="1" x14ac:dyDescent="0.2">
      <c r="A176" s="377"/>
      <c r="B176" s="204"/>
      <c r="C176" s="672" t="s">
        <v>172</v>
      </c>
      <c r="D176" s="634"/>
      <c r="E176" s="634"/>
      <c r="F176" s="634"/>
      <c r="G176" s="634"/>
      <c r="H176" s="634"/>
      <c r="I176" s="634"/>
      <c r="J176" s="634"/>
      <c r="K176" s="556">
        <f>+M191</f>
        <v>0.21429098306394501</v>
      </c>
      <c r="L176" s="557"/>
      <c r="M176" s="558">
        <f>M175*K176</f>
        <v>549187741.48766196</v>
      </c>
      <c r="N176" s="559"/>
    </row>
    <row r="177" spans="1:27" ht="18" customHeight="1" x14ac:dyDescent="0.2">
      <c r="A177" s="377"/>
      <c r="B177" s="204"/>
      <c r="C177" s="630" t="s">
        <v>1943</v>
      </c>
      <c r="D177" s="631"/>
      <c r="E177" s="631"/>
      <c r="F177" s="631"/>
      <c r="G177" s="631"/>
      <c r="H177" s="631"/>
      <c r="I177" s="631"/>
      <c r="J177" s="631"/>
      <c r="K177" s="570">
        <f>+M192</f>
        <v>0.05</v>
      </c>
      <c r="L177" s="571"/>
      <c r="M177" s="562">
        <f>M175*K177</f>
        <v>128140655.67186812</v>
      </c>
      <c r="N177" s="563"/>
    </row>
    <row r="178" spans="1:27" ht="19.5" customHeight="1" x14ac:dyDescent="0.2">
      <c r="A178" s="377"/>
      <c r="B178" s="204"/>
      <c r="C178" s="672" t="s">
        <v>174</v>
      </c>
      <c r="D178" s="634"/>
      <c r="E178" s="634"/>
      <c r="F178" s="634"/>
      <c r="G178" s="634"/>
      <c r="H178" s="634"/>
      <c r="I178" s="634"/>
      <c r="J178" s="634"/>
      <c r="K178" s="560">
        <f>+M193</f>
        <v>0.03</v>
      </c>
      <c r="L178" s="561"/>
      <c r="M178" s="562">
        <f>M175*K178</f>
        <v>76884393.40312086</v>
      </c>
      <c r="N178" s="563"/>
    </row>
    <row r="179" spans="1:27" ht="22.5" customHeight="1" thickBot="1" x14ac:dyDescent="0.25">
      <c r="A179" s="377"/>
      <c r="B179" s="204"/>
      <c r="C179" s="630" t="s">
        <v>1944</v>
      </c>
      <c r="D179" s="631"/>
      <c r="E179" s="631"/>
      <c r="F179" s="631"/>
      <c r="G179" s="631"/>
      <c r="H179" s="631"/>
      <c r="I179" s="631"/>
      <c r="J179" s="631"/>
      <c r="K179" s="564"/>
      <c r="L179" s="565"/>
      <c r="M179" s="562"/>
      <c r="N179" s="563"/>
      <c r="Q179" s="313">
        <v>3510857207.6743751</v>
      </c>
    </row>
    <row r="180" spans="1:27" ht="21" thickBot="1" x14ac:dyDescent="0.4">
      <c r="A180" s="377"/>
      <c r="B180" s="204"/>
      <c r="C180" s="630" t="s">
        <v>1945</v>
      </c>
      <c r="D180" s="631"/>
      <c r="E180" s="631"/>
      <c r="F180" s="631"/>
      <c r="G180" s="631"/>
      <c r="H180" s="631"/>
      <c r="I180" s="337">
        <f>M178/1.19</f>
        <v>64608733.95220241</v>
      </c>
      <c r="J180" s="338">
        <f>I180*J181</f>
        <v>12275659.450918458</v>
      </c>
      <c r="K180" s="632">
        <f>I180+J180</f>
        <v>76884393.403120875</v>
      </c>
      <c r="L180" s="633"/>
      <c r="M180" s="681">
        <f>M176+M177+M178+M179+M175</f>
        <v>3317025904.0000134</v>
      </c>
      <c r="N180" s="682"/>
      <c r="O180" s="334"/>
      <c r="Q180" s="321">
        <f>Q179</f>
        <v>3510857207.6743751</v>
      </c>
    </row>
    <row r="181" spans="1:27" ht="34.5" customHeight="1" x14ac:dyDescent="0.2">
      <c r="A181" s="377"/>
      <c r="B181" s="204"/>
      <c r="C181" s="628"/>
      <c r="D181" s="629"/>
      <c r="E181" s="629"/>
      <c r="F181" s="629"/>
      <c r="G181" s="629"/>
      <c r="H181" s="629"/>
      <c r="I181" s="343"/>
      <c r="J181" s="339">
        <v>0.19</v>
      </c>
      <c r="K181" s="634" t="s">
        <v>1946</v>
      </c>
      <c r="L181" s="635"/>
      <c r="M181" s="648"/>
      <c r="N181" s="649"/>
      <c r="Q181" s="332" t="s">
        <v>1935</v>
      </c>
    </row>
    <row r="182" spans="1:27" ht="18.75" customHeight="1" x14ac:dyDescent="0.2">
      <c r="A182" s="377"/>
      <c r="B182" s="204"/>
      <c r="C182" s="630" t="s">
        <v>1947</v>
      </c>
      <c r="D182" s="631"/>
      <c r="E182" s="631"/>
      <c r="F182" s="631"/>
      <c r="G182" s="631"/>
      <c r="H182" s="631"/>
      <c r="I182" s="631"/>
      <c r="J182" s="631"/>
      <c r="K182" s="638"/>
      <c r="L182" s="639"/>
      <c r="M182" s="644"/>
      <c r="N182" s="645"/>
    </row>
    <row r="183" spans="1:27" ht="20.25" customHeight="1" x14ac:dyDescent="0.2">
      <c r="A183" s="377"/>
      <c r="B183" s="204"/>
      <c r="C183" s="630" t="s">
        <v>1948</v>
      </c>
      <c r="D183" s="631"/>
      <c r="E183" s="631"/>
      <c r="F183" s="631"/>
      <c r="G183" s="631"/>
      <c r="H183" s="631"/>
      <c r="I183" s="631"/>
      <c r="J183" s="631"/>
      <c r="K183" s="342"/>
      <c r="L183" s="344"/>
      <c r="M183" s="545">
        <f>+M172</f>
        <v>0</v>
      </c>
      <c r="N183" s="546"/>
    </row>
    <row r="184" spans="1:27" ht="19.5" customHeight="1" x14ac:dyDescent="0.2">
      <c r="A184" s="377"/>
      <c r="B184" s="204"/>
      <c r="C184" s="630" t="s">
        <v>1949</v>
      </c>
      <c r="D184" s="631"/>
      <c r="E184" s="631"/>
      <c r="F184" s="631"/>
      <c r="G184" s="631"/>
      <c r="H184" s="631"/>
      <c r="I184" s="631"/>
      <c r="J184" s="631"/>
      <c r="K184" s="636">
        <v>0.14000000000000001</v>
      </c>
      <c r="L184" s="637"/>
      <c r="M184" s="646">
        <f>M183/1.14</f>
        <v>0</v>
      </c>
      <c r="N184" s="647"/>
    </row>
    <row r="185" spans="1:27" ht="23.25" customHeight="1" x14ac:dyDescent="0.2">
      <c r="A185" s="377"/>
      <c r="B185" s="204"/>
      <c r="C185" s="630" t="s">
        <v>1950</v>
      </c>
      <c r="D185" s="631"/>
      <c r="E185" s="631"/>
      <c r="F185" s="631"/>
      <c r="G185" s="631"/>
      <c r="H185" s="631"/>
      <c r="I185" s="631"/>
      <c r="J185" s="631"/>
      <c r="K185" s="640"/>
      <c r="L185" s="641"/>
      <c r="M185" s="646">
        <f>M184*K184</f>
        <v>0</v>
      </c>
      <c r="N185" s="647"/>
    </row>
    <row r="186" spans="1:27" ht="22.5" customHeight="1" x14ac:dyDescent="0.25">
      <c r="A186" s="377"/>
      <c r="B186" s="204"/>
      <c r="C186" s="650" t="s">
        <v>1951</v>
      </c>
      <c r="D186" s="651"/>
      <c r="E186" s="651"/>
      <c r="F186" s="651"/>
      <c r="G186" s="651"/>
      <c r="H186" s="651"/>
      <c r="I186" s="651"/>
      <c r="J186" s="651"/>
      <c r="K186" s="640"/>
      <c r="L186" s="641"/>
      <c r="M186" s="545">
        <f>M184+M185</f>
        <v>0</v>
      </c>
      <c r="N186" s="546"/>
    </row>
    <row r="187" spans="1:27" ht="18" customHeight="1" x14ac:dyDescent="0.25">
      <c r="A187" s="377"/>
      <c r="B187" s="204"/>
      <c r="C187" s="650"/>
      <c r="D187" s="651"/>
      <c r="E187" s="651"/>
      <c r="F187" s="651"/>
      <c r="G187" s="651"/>
      <c r="H187" s="651"/>
      <c r="I187" s="651"/>
      <c r="J187" s="651"/>
      <c r="K187" s="651"/>
      <c r="L187" s="652"/>
      <c r="M187" s="683">
        <f>M186+M180</f>
        <v>3317025904.0000134</v>
      </c>
      <c r="N187" s="684"/>
    </row>
    <row r="188" spans="1:27" ht="13.5" customHeight="1" thickBot="1" x14ac:dyDescent="0.3">
      <c r="A188" s="336"/>
      <c r="B188" s="204"/>
      <c r="C188" s="345"/>
      <c r="D188" s="346"/>
      <c r="E188" s="346"/>
      <c r="F188" s="346"/>
      <c r="G188" s="347"/>
      <c r="H188" s="347"/>
      <c r="I188" s="346"/>
      <c r="J188" s="346"/>
      <c r="K188" s="346"/>
      <c r="L188" s="348"/>
      <c r="M188" s="642"/>
      <c r="N188" s="643"/>
      <c r="Q188" s="118"/>
      <c r="R188" s="118"/>
    </row>
    <row r="189" spans="1:27" ht="13.5" customHeight="1" thickBot="1" x14ac:dyDescent="0.3">
      <c r="A189" s="336"/>
      <c r="B189" s="204"/>
      <c r="C189" s="204"/>
      <c r="D189" s="204"/>
      <c r="E189" s="204"/>
      <c r="F189" s="204"/>
      <c r="G189" s="261"/>
      <c r="H189" s="261"/>
      <c r="I189" s="204"/>
      <c r="J189" s="378"/>
      <c r="K189" s="378"/>
      <c r="L189" s="378"/>
      <c r="M189" s="378"/>
      <c r="N189" s="340"/>
    </row>
    <row r="190" spans="1:27" ht="34.5" customHeight="1" x14ac:dyDescent="0.25">
      <c r="A190" s="673" t="s">
        <v>1952</v>
      </c>
      <c r="B190" s="674"/>
      <c r="C190" s="674"/>
      <c r="D190" s="674"/>
      <c r="E190" s="674"/>
      <c r="F190" s="674"/>
      <c r="G190" s="674"/>
      <c r="H190" s="674"/>
      <c r="I190" s="674"/>
      <c r="J190" s="625" t="s">
        <v>80</v>
      </c>
      <c r="K190" s="625"/>
      <c r="L190" s="625"/>
      <c r="M190" s="539" t="s">
        <v>1953</v>
      </c>
      <c r="N190" s="540"/>
      <c r="O190" s="265"/>
      <c r="Q190" s="118"/>
      <c r="R190" s="118"/>
      <c r="T190" s="113"/>
      <c r="U190" s="113"/>
      <c r="V190" s="113"/>
      <c r="W190" s="113"/>
      <c r="X190" s="113"/>
      <c r="Y190" s="113"/>
      <c r="Z190" s="113"/>
      <c r="AA190" s="113"/>
    </row>
    <row r="191" spans="1:27" ht="54.75" customHeight="1" x14ac:dyDescent="0.25">
      <c r="A191" s="675" t="s">
        <v>1954</v>
      </c>
      <c r="B191" s="676"/>
      <c r="C191" s="676"/>
      <c r="D191" s="676"/>
      <c r="E191" s="676"/>
      <c r="F191" s="676"/>
      <c r="G191" s="676"/>
      <c r="H191" s="676"/>
      <c r="I191" s="676"/>
      <c r="J191" s="626" t="s">
        <v>172</v>
      </c>
      <c r="K191" s="626"/>
      <c r="L191" s="341" t="s">
        <v>1955</v>
      </c>
      <c r="M191" s="677">
        <v>0.21429098306394501</v>
      </c>
      <c r="N191" s="678"/>
      <c r="O191" s="265"/>
      <c r="T191" s="113"/>
      <c r="U191" s="113"/>
      <c r="V191" s="113"/>
      <c r="W191" s="113"/>
      <c r="X191" s="113"/>
      <c r="Y191" s="113"/>
      <c r="Z191" s="113"/>
      <c r="AA191" s="113"/>
    </row>
    <row r="192" spans="1:27" ht="45" customHeight="1" x14ac:dyDescent="0.25">
      <c r="A192" s="675" t="s">
        <v>1956</v>
      </c>
      <c r="B192" s="676"/>
      <c r="C192" s="676"/>
      <c r="D192" s="676"/>
      <c r="E192" s="676"/>
      <c r="F192" s="676"/>
      <c r="G192" s="676"/>
      <c r="H192" s="676"/>
      <c r="I192" s="676"/>
      <c r="J192" s="627" t="s">
        <v>1957</v>
      </c>
      <c r="K192" s="627"/>
      <c r="L192" s="341" t="s">
        <v>1958</v>
      </c>
      <c r="M192" s="541">
        <v>0.05</v>
      </c>
      <c r="N192" s="542"/>
      <c r="O192" s="265"/>
      <c r="Q192" s="335"/>
      <c r="T192" s="113"/>
      <c r="U192" s="113"/>
      <c r="V192" s="113"/>
      <c r="W192" s="113"/>
      <c r="X192" s="113"/>
      <c r="Y192" s="113"/>
      <c r="Z192" s="113"/>
      <c r="AA192" s="113"/>
    </row>
    <row r="193" spans="1:27" ht="42" customHeight="1" x14ac:dyDescent="0.25">
      <c r="A193" s="666" t="s">
        <v>1976</v>
      </c>
      <c r="B193" s="667"/>
      <c r="C193" s="667"/>
      <c r="D193" s="667"/>
      <c r="E193" s="667"/>
      <c r="F193" s="667"/>
      <c r="G193" s="667"/>
      <c r="H193" s="667"/>
      <c r="I193" s="667"/>
      <c r="J193" s="626" t="s">
        <v>174</v>
      </c>
      <c r="K193" s="626"/>
      <c r="L193" s="341" t="s">
        <v>1959</v>
      </c>
      <c r="M193" s="679">
        <v>0.03</v>
      </c>
      <c r="N193" s="680"/>
      <c r="O193" s="265"/>
      <c r="T193" s="113"/>
      <c r="U193" s="113"/>
      <c r="V193" s="113"/>
      <c r="W193" s="113"/>
      <c r="X193" s="113"/>
      <c r="Y193" s="113"/>
      <c r="Z193" s="113"/>
      <c r="AA193" s="113"/>
    </row>
    <row r="194" spans="1:27" ht="27" customHeight="1" thickBot="1" x14ac:dyDescent="0.3">
      <c r="A194" s="668"/>
      <c r="B194" s="669"/>
      <c r="C194" s="669"/>
      <c r="D194" s="669"/>
      <c r="E194" s="669"/>
      <c r="F194" s="669"/>
      <c r="G194" s="669"/>
      <c r="H194" s="669"/>
      <c r="I194" s="669"/>
      <c r="J194" s="653" t="s">
        <v>1960</v>
      </c>
      <c r="K194" s="653"/>
      <c r="L194" s="349" t="s">
        <v>1961</v>
      </c>
      <c r="M194" s="543">
        <f>M191+M192+M193</f>
        <v>0.29429098306394497</v>
      </c>
      <c r="N194" s="544"/>
      <c r="O194" s="265"/>
      <c r="T194" s="113"/>
      <c r="U194" s="113"/>
      <c r="V194" s="113"/>
      <c r="W194" s="113"/>
      <c r="X194" s="113"/>
      <c r="Y194" s="113"/>
      <c r="Z194" s="113"/>
      <c r="AA194" s="113"/>
    </row>
    <row r="195" spans="1:27" ht="13.5" customHeight="1" x14ac:dyDescent="0.25">
      <c r="A195" s="367"/>
      <c r="B195" s="261"/>
      <c r="C195" s="261"/>
      <c r="D195" s="261"/>
      <c r="E195" s="261"/>
      <c r="F195" s="261"/>
      <c r="G195" s="261"/>
      <c r="H195" s="261"/>
      <c r="I195" s="261"/>
      <c r="J195" s="261"/>
      <c r="K195" s="261"/>
      <c r="L195" s="261"/>
      <c r="M195" s="261"/>
      <c r="N195" s="369"/>
      <c r="O195" s="265"/>
      <c r="T195" s="113"/>
      <c r="U195" s="113"/>
      <c r="V195" s="113"/>
      <c r="W195" s="113"/>
      <c r="X195" s="113"/>
      <c r="Y195" s="113"/>
      <c r="Z195" s="113"/>
      <c r="AA195" s="113"/>
    </row>
    <row r="196" spans="1:27" ht="14.25" thickBot="1" x14ac:dyDescent="0.3">
      <c r="A196" s="379"/>
      <c r="B196" s="380"/>
      <c r="C196" s="380"/>
      <c r="D196" s="380"/>
      <c r="E196" s="380"/>
      <c r="F196" s="380"/>
      <c r="G196" s="380"/>
      <c r="H196" s="380"/>
      <c r="I196" s="380"/>
      <c r="J196" s="381"/>
      <c r="K196" s="381"/>
      <c r="L196" s="381"/>
      <c r="M196" s="381"/>
      <c r="N196" s="382"/>
      <c r="O196" s="265"/>
      <c r="T196" s="113"/>
      <c r="U196" s="113"/>
      <c r="V196" s="113"/>
      <c r="W196" s="113"/>
      <c r="X196" s="113"/>
      <c r="Y196" s="113"/>
      <c r="Z196" s="113"/>
      <c r="AA196" s="113"/>
    </row>
    <row r="197" spans="1:27" ht="13.5" customHeight="1" x14ac:dyDescent="0.25">
      <c r="A197" s="113"/>
      <c r="B197" s="113"/>
      <c r="C197" s="113"/>
      <c r="D197" s="113"/>
      <c r="E197" s="113"/>
      <c r="F197" s="113"/>
      <c r="G197" s="113"/>
      <c r="H197" s="113"/>
      <c r="I197" s="113"/>
      <c r="N197" s="113"/>
    </row>
    <row r="198" spans="1:27" ht="13.5" customHeight="1" x14ac:dyDescent="0.25">
      <c r="A198" s="113"/>
      <c r="B198" s="113"/>
      <c r="C198" s="113"/>
      <c r="D198" s="113"/>
      <c r="E198" s="113"/>
      <c r="F198" s="113"/>
      <c r="G198" s="113"/>
      <c r="H198" s="113"/>
      <c r="I198" s="113"/>
      <c r="N198" s="113"/>
      <c r="O198" s="118"/>
    </row>
    <row r="199" spans="1:27" ht="12.75" customHeight="1" x14ac:dyDescent="0.25">
      <c r="A199" s="113"/>
      <c r="B199" s="113"/>
      <c r="C199" s="113"/>
      <c r="D199" s="113"/>
      <c r="E199" s="113"/>
      <c r="F199" s="113"/>
      <c r="G199" s="113"/>
      <c r="H199" s="113"/>
      <c r="I199" s="113"/>
      <c r="N199" s="113"/>
      <c r="O199" s="313"/>
    </row>
    <row r="201" spans="1:27" ht="13.5" x14ac:dyDescent="0.25">
      <c r="A201" s="111"/>
      <c r="B201" s="111"/>
      <c r="C201" s="111"/>
      <c r="D201" s="111"/>
      <c r="E201" s="538" t="s">
        <v>169</v>
      </c>
      <c r="F201" s="536"/>
      <c r="G201" s="529"/>
      <c r="H201" s="205"/>
      <c r="I201" s="538" t="s">
        <v>170</v>
      </c>
      <c r="J201" s="529"/>
      <c r="K201" s="538" t="s">
        <v>171</v>
      </c>
      <c r="L201" s="529"/>
    </row>
    <row r="202" spans="1:27" ht="13.5" x14ac:dyDescent="0.25">
      <c r="A202" s="112"/>
      <c r="B202" s="113"/>
      <c r="C202" s="113"/>
      <c r="D202" s="113"/>
      <c r="E202" s="535">
        <f>I58</f>
        <v>0</v>
      </c>
      <c r="F202" s="536"/>
      <c r="G202" s="529"/>
      <c r="H202" s="159">
        <v>1.8554586788644401E-2</v>
      </c>
      <c r="I202" s="537">
        <v>0</v>
      </c>
      <c r="J202" s="529"/>
      <c r="K202" s="537">
        <v>50214489.61999999</v>
      </c>
      <c r="L202" s="529"/>
    </row>
    <row r="203" spans="1:27" ht="13.5" x14ac:dyDescent="0.25">
      <c r="A203" s="112"/>
      <c r="B203" s="113"/>
      <c r="C203" s="113"/>
      <c r="D203" s="113"/>
      <c r="E203" s="535" t="str">
        <f>+I77</f>
        <v>M3</v>
      </c>
      <c r="F203" s="536"/>
      <c r="G203" s="529"/>
      <c r="H203" s="159">
        <v>0.11587467414941709</v>
      </c>
      <c r="I203" s="537">
        <v>0</v>
      </c>
      <c r="J203" s="529"/>
      <c r="K203" s="537">
        <v>313592950.81999999</v>
      </c>
      <c r="L203" s="529"/>
    </row>
    <row r="204" spans="1:27" ht="13.5" x14ac:dyDescent="0.25">
      <c r="A204" s="112"/>
      <c r="B204" s="113"/>
      <c r="C204" s="113"/>
      <c r="D204" s="113"/>
      <c r="E204" s="535" t="str">
        <f>+$H$58</f>
        <v>C - ALMACENAMIENTO 250 M³</v>
      </c>
      <c r="F204" s="536"/>
      <c r="G204" s="529"/>
      <c r="H204" s="159">
        <v>0.17429101698573704</v>
      </c>
      <c r="I204" s="537">
        <v>0</v>
      </c>
      <c r="J204" s="529"/>
      <c r="K204" s="537">
        <v>471685764.97999996</v>
      </c>
      <c r="L204" s="529"/>
    </row>
    <row r="205" spans="1:27" ht="13.5" x14ac:dyDescent="0.25">
      <c r="A205" s="112"/>
      <c r="B205" s="113"/>
      <c r="C205" s="113"/>
      <c r="D205" s="113"/>
      <c r="E205" s="535" t="str">
        <f>+$H$98</f>
        <v xml:space="preserve">D - LAVADO </v>
      </c>
      <c r="F205" s="536"/>
      <c r="G205" s="529"/>
      <c r="H205" s="159">
        <v>3.1811734348137916E-3</v>
      </c>
      <c r="I205" s="537">
        <v>0</v>
      </c>
      <c r="J205" s="529"/>
      <c r="K205" s="537">
        <v>8609245.9100000001</v>
      </c>
      <c r="L205" s="529"/>
    </row>
    <row r="206" spans="1:27" ht="13.5" x14ac:dyDescent="0.25">
      <c r="A206" s="112"/>
      <c r="B206" s="113"/>
      <c r="C206" s="113"/>
      <c r="D206" s="113"/>
      <c r="E206" s="535" t="str">
        <f>+$H$115</f>
        <v>E - CERRAMIENTO</v>
      </c>
      <c r="F206" s="536"/>
      <c r="G206" s="529"/>
      <c r="H206" s="159">
        <v>2.8952111649216943E-2</v>
      </c>
      <c r="I206" s="537">
        <v>0</v>
      </c>
      <c r="J206" s="529"/>
      <c r="K206" s="537">
        <v>78353429.609999999</v>
      </c>
      <c r="L206" s="529"/>
      <c r="P206">
        <v>2000</v>
      </c>
    </row>
    <row r="207" spans="1:27" ht="13.5" x14ac:dyDescent="0.25">
      <c r="A207" s="112"/>
      <c r="B207" s="113"/>
      <c r="C207" s="113"/>
      <c r="D207" s="113"/>
      <c r="E207" s="535" t="str">
        <f>+$H$122</f>
        <v>F - RED EXPRESA FASE I - TIGRE</v>
      </c>
      <c r="F207" s="536"/>
      <c r="G207" s="529"/>
      <c r="H207" s="159">
        <v>0.63829894879319082</v>
      </c>
      <c r="I207" s="537">
        <v>0</v>
      </c>
      <c r="J207" s="529"/>
      <c r="K207" s="537">
        <v>1727435717.3099999</v>
      </c>
      <c r="L207" s="529"/>
      <c r="P207" s="118">
        <f>+P206*1750905</f>
        <v>3501810000</v>
      </c>
    </row>
    <row r="208" spans="1:27" ht="13.5" x14ac:dyDescent="0.25">
      <c r="A208" s="112"/>
      <c r="B208" s="113"/>
      <c r="C208" s="113"/>
      <c r="D208" s="113"/>
      <c r="E208" s="535" t="str">
        <f>+$H$151</f>
        <v>G - EMPATE EL TIGRE</v>
      </c>
      <c r="F208" s="536"/>
      <c r="G208" s="529"/>
      <c r="H208" s="159">
        <v>2.0847488198979844E-2</v>
      </c>
      <c r="I208" s="537">
        <v>0</v>
      </c>
      <c r="J208" s="529"/>
      <c r="K208" s="537">
        <v>56419794.829999998</v>
      </c>
      <c r="L208" s="529"/>
    </row>
    <row r="209" spans="1:16" ht="13.5" x14ac:dyDescent="0.25">
      <c r="A209" s="112"/>
      <c r="B209" s="113"/>
      <c r="C209" s="113"/>
      <c r="D209" s="113"/>
      <c r="E209" s="206"/>
      <c r="F209" s="112"/>
      <c r="G209" s="207"/>
      <c r="H209" s="207"/>
      <c r="I209" s="207"/>
      <c r="J209" s="207"/>
      <c r="K209" s="207"/>
      <c r="L209" s="262"/>
      <c r="P209" t="str">
        <f>IF(K227 &lt;= P207, "Cumple", "No cumple, es mayor")</f>
        <v>No cumple, es mayor</v>
      </c>
    </row>
    <row r="210" spans="1:16" ht="13.5" x14ac:dyDescent="0.25">
      <c r="A210" s="112"/>
      <c r="B210" s="113"/>
      <c r="C210" s="113"/>
      <c r="D210" s="113"/>
      <c r="E210" s="113"/>
      <c r="F210" s="113"/>
      <c r="H210" s="525" t="s">
        <v>1105</v>
      </c>
      <c r="I210" s="526"/>
      <c r="J210" s="527"/>
      <c r="K210" s="533">
        <v>2706311393.0799999</v>
      </c>
      <c r="L210" s="529"/>
    </row>
    <row r="211" spans="1:16" ht="13.5" x14ac:dyDescent="0.25">
      <c r="A211" s="112"/>
      <c r="B211" s="113"/>
      <c r="C211" s="113"/>
      <c r="D211" s="113"/>
      <c r="E211" s="113"/>
      <c r="F211" s="112"/>
      <c r="H211" s="525" t="s">
        <v>172</v>
      </c>
      <c r="I211" s="527"/>
      <c r="J211" s="159">
        <v>0.19728501186507483</v>
      </c>
      <c r="K211" s="533">
        <v>533914675.294375</v>
      </c>
      <c r="L211" s="529"/>
    </row>
    <row r="212" spans="1:16" ht="13.5" x14ac:dyDescent="0.25">
      <c r="A212" s="112"/>
      <c r="B212" s="112"/>
      <c r="C212" s="112"/>
      <c r="D212" s="112"/>
      <c r="E212" s="112"/>
      <c r="F212" s="112"/>
      <c r="H212" s="525" t="s">
        <v>173</v>
      </c>
      <c r="I212" s="527"/>
      <c r="J212" s="159">
        <v>0.05</v>
      </c>
      <c r="K212" s="533">
        <v>135315569.65000001</v>
      </c>
      <c r="L212" s="529"/>
    </row>
    <row r="213" spans="1:16" ht="13.5" x14ac:dyDescent="0.25">
      <c r="A213" s="112"/>
      <c r="B213" s="112"/>
      <c r="C213" s="112"/>
      <c r="D213" s="112"/>
      <c r="E213" s="112"/>
      <c r="F213" s="112"/>
      <c r="H213" s="525" t="s">
        <v>174</v>
      </c>
      <c r="I213" s="527"/>
      <c r="J213" s="159">
        <v>0.05</v>
      </c>
      <c r="K213" s="533">
        <v>135315569.65000001</v>
      </c>
      <c r="L213" s="529"/>
      <c r="N213" s="333">
        <f>+J211+J212+J213</f>
        <v>0.29728501186507483</v>
      </c>
    </row>
    <row r="214" spans="1:16" ht="13.5" x14ac:dyDescent="0.25">
      <c r="A214" s="112"/>
      <c r="B214" s="113"/>
      <c r="C214" s="113"/>
      <c r="D214" s="113"/>
      <c r="E214" s="112"/>
      <c r="F214" s="112"/>
      <c r="H214" s="525" t="s">
        <v>175</v>
      </c>
      <c r="I214" s="527"/>
      <c r="J214" s="115">
        <v>0.29728501186211881</v>
      </c>
      <c r="K214" s="533">
        <v>804545814.59437501</v>
      </c>
      <c r="L214" s="529"/>
    </row>
    <row r="215" spans="1:16" ht="13.5" x14ac:dyDescent="0.25">
      <c r="A215" s="112"/>
      <c r="B215" s="113"/>
      <c r="C215" s="113"/>
      <c r="D215" s="113"/>
      <c r="E215" s="112"/>
      <c r="F215" s="112"/>
      <c r="H215" s="525" t="s">
        <v>176</v>
      </c>
      <c r="I215" s="526"/>
      <c r="J215" s="527"/>
      <c r="K215" s="524">
        <v>3510857207.6743751</v>
      </c>
      <c r="L215" s="534"/>
    </row>
    <row r="216" spans="1:16" ht="13.5" x14ac:dyDescent="0.25">
      <c r="A216" s="112"/>
      <c r="B216" s="113"/>
      <c r="C216" s="113"/>
      <c r="D216" s="113"/>
      <c r="H216" s="208"/>
      <c r="I216" s="208"/>
      <c r="J216" s="208"/>
      <c r="K216" s="206"/>
      <c r="L216" s="263"/>
    </row>
    <row r="217" spans="1:16" ht="13.5" x14ac:dyDescent="0.25">
      <c r="F217" s="112"/>
      <c r="H217" s="525" t="s">
        <v>1106</v>
      </c>
      <c r="I217" s="527"/>
      <c r="J217" s="209">
        <v>9.4499575281721745E-2</v>
      </c>
      <c r="K217" s="524">
        <v>331774515</v>
      </c>
      <c r="L217" s="534"/>
    </row>
    <row r="218" spans="1:16" ht="13.5" x14ac:dyDescent="0.25">
      <c r="F218" s="112"/>
      <c r="H218" s="208"/>
      <c r="I218" s="208"/>
      <c r="J218" s="208"/>
      <c r="K218" s="206"/>
      <c r="L218" s="263"/>
    </row>
    <row r="219" spans="1:16" ht="13.5" x14ac:dyDescent="0.25">
      <c r="A219" s="113"/>
      <c r="B219" s="113"/>
      <c r="C219" s="113"/>
      <c r="D219" s="113"/>
      <c r="E219" s="113"/>
      <c r="F219" s="113"/>
      <c r="G219" s="531" t="s">
        <v>1450</v>
      </c>
      <c r="H219" s="532"/>
      <c r="I219" s="532"/>
      <c r="J219" s="532"/>
      <c r="K219" s="524">
        <v>43626595.512500003</v>
      </c>
      <c r="L219" s="523"/>
    </row>
    <row r="220" spans="1:16" ht="13.5" x14ac:dyDescent="0.25">
      <c r="A220" s="113"/>
      <c r="B220" s="113"/>
      <c r="C220" s="113"/>
      <c r="D220" s="113"/>
      <c r="E220" s="113"/>
      <c r="F220" s="113"/>
      <c r="G220" s="154"/>
      <c r="H220" s="206"/>
      <c r="I220" s="206"/>
      <c r="J220" s="211"/>
      <c r="K220" s="210"/>
      <c r="L220" s="263"/>
    </row>
    <row r="221" spans="1:16" ht="13.5" x14ac:dyDescent="0.25">
      <c r="A221" s="261"/>
      <c r="B221" s="190"/>
      <c r="C221" s="314"/>
      <c r="D221" s="314"/>
      <c r="E221" s="314"/>
      <c r="F221" s="113"/>
      <c r="G221" s="531" t="s">
        <v>1451</v>
      </c>
      <c r="H221" s="532"/>
      <c r="I221" s="532"/>
      <c r="J221" s="532"/>
      <c r="K221" s="524">
        <v>41405473</v>
      </c>
      <c r="L221" s="523"/>
    </row>
    <row r="222" spans="1:16" ht="13.5" x14ac:dyDescent="0.25">
      <c r="A222" s="530"/>
      <c r="B222" s="530"/>
      <c r="C222" s="530"/>
      <c r="D222" s="530"/>
      <c r="E222" s="530"/>
      <c r="F222" s="113"/>
      <c r="G222" s="154"/>
      <c r="H222" s="206"/>
      <c r="I222" s="206"/>
      <c r="J222" s="211"/>
      <c r="K222" s="210"/>
      <c r="L222" s="263"/>
    </row>
    <row r="223" spans="1:16" ht="13.5" x14ac:dyDescent="0.25">
      <c r="A223" s="406"/>
      <c r="B223" s="406"/>
      <c r="C223" s="406"/>
      <c r="D223" s="406"/>
      <c r="E223" s="406"/>
      <c r="F223" s="113"/>
      <c r="G223" s="531" t="s">
        <v>1452</v>
      </c>
      <c r="H223" s="532"/>
      <c r="I223" s="532"/>
      <c r="J223" s="532"/>
      <c r="K223" s="524">
        <v>31677226.350000001</v>
      </c>
      <c r="L223" s="523"/>
    </row>
    <row r="224" spans="1:16" ht="13.5" x14ac:dyDescent="0.25">
      <c r="A224" s="406"/>
      <c r="B224" s="406"/>
      <c r="C224" s="406"/>
      <c r="D224" s="406"/>
      <c r="E224" s="406"/>
      <c r="F224" s="113"/>
      <c r="G224" s="154"/>
      <c r="H224" s="206"/>
      <c r="I224" s="206"/>
      <c r="J224" s="211"/>
      <c r="K224" s="210"/>
      <c r="L224" s="263"/>
    </row>
    <row r="225" spans="1:12" ht="13.5" x14ac:dyDescent="0.25">
      <c r="A225" s="112"/>
      <c r="B225" s="112"/>
      <c r="C225" s="113"/>
      <c r="D225" s="113"/>
      <c r="E225" s="113"/>
      <c r="F225" s="113"/>
      <c r="G225" s="521" t="s">
        <v>1453</v>
      </c>
      <c r="H225" s="522"/>
      <c r="I225" s="522"/>
      <c r="J225" s="523"/>
      <c r="K225" s="524">
        <f>ROUND(K215+K217+K219+K221+K223,0)</f>
        <v>3959341018</v>
      </c>
      <c r="L225" s="523"/>
    </row>
    <row r="226" spans="1:12" ht="13.5" x14ac:dyDescent="0.2">
      <c r="F226" s="112"/>
      <c r="I226" s="112"/>
      <c r="J226" s="112"/>
      <c r="K226" s="112"/>
      <c r="L226" s="264"/>
    </row>
    <row r="227" spans="1:12" ht="13.5" x14ac:dyDescent="0.25">
      <c r="F227" s="206"/>
      <c r="H227" s="525" t="s">
        <v>177</v>
      </c>
      <c r="I227" s="526"/>
      <c r="J227" s="527"/>
      <c r="K227" s="528">
        <f>ROUND(K225,2)</f>
        <v>3959341018</v>
      </c>
      <c r="L227" s="529"/>
    </row>
  </sheetData>
  <mergeCells count="496">
    <mergeCell ref="B2:D2"/>
    <mergeCell ref="A10:A11"/>
    <mergeCell ref="B10:B11"/>
    <mergeCell ref="I10:I11"/>
    <mergeCell ref="J10:J11"/>
    <mergeCell ref="M10:N11"/>
    <mergeCell ref="K10:L11"/>
    <mergeCell ref="C10:D10"/>
    <mergeCell ref="C11:D11"/>
    <mergeCell ref="B9:N9"/>
    <mergeCell ref="B8:N8"/>
    <mergeCell ref="B6:N7"/>
    <mergeCell ref="C185:J185"/>
    <mergeCell ref="C186:J186"/>
    <mergeCell ref="C187:L187"/>
    <mergeCell ref="J193:K193"/>
    <mergeCell ref="J194:K194"/>
    <mergeCell ref="B4:M4"/>
    <mergeCell ref="B5:M5"/>
    <mergeCell ref="E10:H11"/>
    <mergeCell ref="M174:N174"/>
    <mergeCell ref="A193:I194"/>
    <mergeCell ref="C174:J174"/>
    <mergeCell ref="C175:J175"/>
    <mergeCell ref="C176:J176"/>
    <mergeCell ref="C177:J177"/>
    <mergeCell ref="C178:J178"/>
    <mergeCell ref="C179:J179"/>
    <mergeCell ref="C180:H180"/>
    <mergeCell ref="A190:I190"/>
    <mergeCell ref="A191:I191"/>
    <mergeCell ref="A192:I192"/>
    <mergeCell ref="M191:N191"/>
    <mergeCell ref="M193:N193"/>
    <mergeCell ref="M180:N180"/>
    <mergeCell ref="M187:N187"/>
    <mergeCell ref="K180:L180"/>
    <mergeCell ref="K181:L181"/>
    <mergeCell ref="K184:L184"/>
    <mergeCell ref="K182:L182"/>
    <mergeCell ref="K185:L185"/>
    <mergeCell ref="K186:L186"/>
    <mergeCell ref="M188:N188"/>
    <mergeCell ref="M182:N182"/>
    <mergeCell ref="M183:N183"/>
    <mergeCell ref="M185:N185"/>
    <mergeCell ref="M184:N184"/>
    <mergeCell ref="M181:N181"/>
    <mergeCell ref="J190:L190"/>
    <mergeCell ref="J191:K191"/>
    <mergeCell ref="J192:K192"/>
    <mergeCell ref="C181:H181"/>
    <mergeCell ref="C182:J182"/>
    <mergeCell ref="C183:J183"/>
    <mergeCell ref="C184:J184"/>
    <mergeCell ref="K30:L30"/>
    <mergeCell ref="M30:N30"/>
    <mergeCell ref="C162:N162"/>
    <mergeCell ref="C163:H163"/>
    <mergeCell ref="K163:L163"/>
    <mergeCell ref="M163:N163"/>
    <mergeCell ref="C164:H164"/>
    <mergeCell ref="C31:H31"/>
    <mergeCell ref="K31:L31"/>
    <mergeCell ref="M31:N31"/>
    <mergeCell ref="C32:N32"/>
    <mergeCell ref="C33:H33"/>
    <mergeCell ref="K33:L33"/>
    <mergeCell ref="M33:N33"/>
    <mergeCell ref="C39:H39"/>
    <mergeCell ref="K39:L39"/>
    <mergeCell ref="M39:N39"/>
    <mergeCell ref="C103:H103"/>
    <mergeCell ref="K103:L103"/>
    <mergeCell ref="M103:N103"/>
    <mergeCell ref="C104:N104"/>
    <mergeCell ref="C126:N126"/>
    <mergeCell ref="C127:H127"/>
    <mergeCell ref="K122:L122"/>
    <mergeCell ref="M122:N122"/>
    <mergeCell ref="K125:L125"/>
    <mergeCell ref="M125:N125"/>
    <mergeCell ref="C120:H120"/>
    <mergeCell ref="K120:L120"/>
    <mergeCell ref="M120:N120"/>
    <mergeCell ref="C117:N117"/>
    <mergeCell ref="C118:H118"/>
    <mergeCell ref="K118:L118"/>
    <mergeCell ref="M118:N118"/>
    <mergeCell ref="C119:H119"/>
    <mergeCell ref="K119:L119"/>
    <mergeCell ref="M119:N119"/>
    <mergeCell ref="K127:L127"/>
    <mergeCell ref="M127:N127"/>
    <mergeCell ref="C22:N22"/>
    <mergeCell ref="C23:H23"/>
    <mergeCell ref="K23:L23"/>
    <mergeCell ref="M23:N23"/>
    <mergeCell ref="C24:H24"/>
    <mergeCell ref="K24:L24"/>
    <mergeCell ref="M24:N24"/>
    <mergeCell ref="C26:N26"/>
    <mergeCell ref="C27:H27"/>
    <mergeCell ref="K27:L27"/>
    <mergeCell ref="M27:N27"/>
    <mergeCell ref="C28:H28"/>
    <mergeCell ref="K28:L28"/>
    <mergeCell ref="M28:N28"/>
    <mergeCell ref="C25:H25"/>
    <mergeCell ref="K25:L25"/>
    <mergeCell ref="M25:N25"/>
    <mergeCell ref="C29:N29"/>
    <mergeCell ref="C30:H30"/>
    <mergeCell ref="C54:H54"/>
    <mergeCell ref="K54:L54"/>
    <mergeCell ref="M54:N54"/>
    <mergeCell ref="C38:H38"/>
    <mergeCell ref="K38:L38"/>
    <mergeCell ref="M38:N38"/>
    <mergeCell ref="C48:H48"/>
    <mergeCell ref="K48:L48"/>
    <mergeCell ref="M48:N48"/>
    <mergeCell ref="C40:N40"/>
    <mergeCell ref="C47:H47"/>
    <mergeCell ref="K41:L41"/>
    <mergeCell ref="M41:N41"/>
    <mergeCell ref="C41:H41"/>
    <mergeCell ref="C42:N42"/>
    <mergeCell ref="C44:H44"/>
    <mergeCell ref="H58:J58"/>
    <mergeCell ref="H98:J98"/>
    <mergeCell ref="H115:J115"/>
    <mergeCell ref="H122:J122"/>
    <mergeCell ref="H151:J151"/>
    <mergeCell ref="C107:N107"/>
    <mergeCell ref="C108:H108"/>
    <mergeCell ref="K108:L108"/>
    <mergeCell ref="M108:N108"/>
    <mergeCell ref="C109:H109"/>
    <mergeCell ref="M109:N109"/>
    <mergeCell ref="C110:N110"/>
    <mergeCell ref="C129:H129"/>
    <mergeCell ref="K98:L98"/>
    <mergeCell ref="M98:N98"/>
    <mergeCell ref="K113:L113"/>
    <mergeCell ref="C113:H113"/>
    <mergeCell ref="M113:N113"/>
    <mergeCell ref="C112:N112"/>
    <mergeCell ref="A116:H116"/>
    <mergeCell ref="K116:L116"/>
    <mergeCell ref="M116:N116"/>
    <mergeCell ref="K115:L115"/>
    <mergeCell ref="M115:N115"/>
    <mergeCell ref="C46:N46"/>
    <mergeCell ref="K47:L47"/>
    <mergeCell ref="M47:N47"/>
    <mergeCell ref="K44:L44"/>
    <mergeCell ref="M44:N44"/>
    <mergeCell ref="C43:H43"/>
    <mergeCell ref="K43:L43"/>
    <mergeCell ref="M43:N43"/>
    <mergeCell ref="C45:H45"/>
    <mergeCell ref="K45:L45"/>
    <mergeCell ref="M45:N45"/>
    <mergeCell ref="A12:L14"/>
    <mergeCell ref="M12:N12"/>
    <mergeCell ref="M13:N14"/>
    <mergeCell ref="K35:L35"/>
    <mergeCell ref="M35:N35"/>
    <mergeCell ref="K36:L36"/>
    <mergeCell ref="M36:N36"/>
    <mergeCell ref="A36:H36"/>
    <mergeCell ref="C37:N37"/>
    <mergeCell ref="K16:L16"/>
    <mergeCell ref="M16:N16"/>
    <mergeCell ref="C17:N17"/>
    <mergeCell ref="C18:H18"/>
    <mergeCell ref="K18:L18"/>
    <mergeCell ref="M18:N18"/>
    <mergeCell ref="C19:N19"/>
    <mergeCell ref="C21:H21"/>
    <mergeCell ref="K21:L21"/>
    <mergeCell ref="M21:N21"/>
    <mergeCell ref="H16:J16"/>
    <mergeCell ref="H35:J35"/>
    <mergeCell ref="C20:H20"/>
    <mergeCell ref="K20:L20"/>
    <mergeCell ref="M20:N20"/>
    <mergeCell ref="K74:L74"/>
    <mergeCell ref="M74:N74"/>
    <mergeCell ref="C60:N60"/>
    <mergeCell ref="C61:H61"/>
    <mergeCell ref="K61:L61"/>
    <mergeCell ref="M61:N61"/>
    <mergeCell ref="C62:N62"/>
    <mergeCell ref="K63:L63"/>
    <mergeCell ref="K68:L68"/>
    <mergeCell ref="M68:N68"/>
    <mergeCell ref="M63:N63"/>
    <mergeCell ref="C70:H70"/>
    <mergeCell ref="K70:L70"/>
    <mergeCell ref="M70:N70"/>
    <mergeCell ref="C71:N71"/>
    <mergeCell ref="C72:H72"/>
    <mergeCell ref="M72:N72"/>
    <mergeCell ref="C65:H65"/>
    <mergeCell ref="M65:N65"/>
    <mergeCell ref="C66:H66"/>
    <mergeCell ref="M66:N66"/>
    <mergeCell ref="K69:L69"/>
    <mergeCell ref="M69:N69"/>
    <mergeCell ref="K65:L65"/>
    <mergeCell ref="C53:N53"/>
    <mergeCell ref="C56:H56"/>
    <mergeCell ref="K56:L56"/>
    <mergeCell ref="M56:N56"/>
    <mergeCell ref="M58:N58"/>
    <mergeCell ref="M64:N64"/>
    <mergeCell ref="K49:L49"/>
    <mergeCell ref="M49:N49"/>
    <mergeCell ref="C52:H52"/>
    <mergeCell ref="C50:N50"/>
    <mergeCell ref="M51:N51"/>
    <mergeCell ref="K52:L52"/>
    <mergeCell ref="M52:N52"/>
    <mergeCell ref="K51:L51"/>
    <mergeCell ref="C49:H49"/>
    <mergeCell ref="C51:H51"/>
    <mergeCell ref="K59:L59"/>
    <mergeCell ref="M59:N59"/>
    <mergeCell ref="A59:H59"/>
    <mergeCell ref="K58:L58"/>
    <mergeCell ref="C55:N55"/>
    <mergeCell ref="C63:H63"/>
    <mergeCell ref="C64:H64"/>
    <mergeCell ref="K64:L64"/>
    <mergeCell ref="K66:L66"/>
    <mergeCell ref="C67:N67"/>
    <mergeCell ref="C68:H68"/>
    <mergeCell ref="K94:L94"/>
    <mergeCell ref="K72:L72"/>
    <mergeCell ref="C69:H69"/>
    <mergeCell ref="K73:L73"/>
    <mergeCell ref="M73:N73"/>
    <mergeCell ref="C73:H73"/>
    <mergeCell ref="C74:H74"/>
    <mergeCell ref="K84:L84"/>
    <mergeCell ref="C80:H80"/>
    <mergeCell ref="K80:L80"/>
    <mergeCell ref="C76:H76"/>
    <mergeCell ref="C77:H77"/>
    <mergeCell ref="K77:L77"/>
    <mergeCell ref="M77:N77"/>
    <mergeCell ref="C78:H78"/>
    <mergeCell ref="M76:N76"/>
    <mergeCell ref="C75:H75"/>
    <mergeCell ref="K75:L75"/>
    <mergeCell ref="K76:L76"/>
    <mergeCell ref="M78:N78"/>
    <mergeCell ref="M84:N84"/>
    <mergeCell ref="M75:N75"/>
    <mergeCell ref="K78:L78"/>
    <mergeCell ref="C84:H84"/>
    <mergeCell ref="M85:N85"/>
    <mergeCell ref="C86:H86"/>
    <mergeCell ref="C81:H81"/>
    <mergeCell ref="K81:L81"/>
    <mergeCell ref="M81:N81"/>
    <mergeCell ref="C79:N79"/>
    <mergeCell ref="C82:N82"/>
    <mergeCell ref="C83:H83"/>
    <mergeCell ref="K83:L83"/>
    <mergeCell ref="M83:N83"/>
    <mergeCell ref="M80:N80"/>
    <mergeCell ref="K86:L86"/>
    <mergeCell ref="K85:L85"/>
    <mergeCell ref="C85:H85"/>
    <mergeCell ref="M90:N90"/>
    <mergeCell ref="M91:N91"/>
    <mergeCell ref="M89:N89"/>
    <mergeCell ref="M86:N86"/>
    <mergeCell ref="M92:N92"/>
    <mergeCell ref="M93:N93"/>
    <mergeCell ref="M94:N94"/>
    <mergeCell ref="C87:H87"/>
    <mergeCell ref="C88:H88"/>
    <mergeCell ref="K88:L88"/>
    <mergeCell ref="K87:L87"/>
    <mergeCell ref="C89:H89"/>
    <mergeCell ref="C90:H90"/>
    <mergeCell ref="C91:H91"/>
    <mergeCell ref="M87:N87"/>
    <mergeCell ref="M88:N88"/>
    <mergeCell ref="C92:H92"/>
    <mergeCell ref="C93:H93"/>
    <mergeCell ref="C94:H94"/>
    <mergeCell ref="K89:L89"/>
    <mergeCell ref="K90:L90"/>
    <mergeCell ref="K91:L91"/>
    <mergeCell ref="K92:L92"/>
    <mergeCell ref="K93:L93"/>
    <mergeCell ref="C95:H95"/>
    <mergeCell ref="K96:L96"/>
    <mergeCell ref="M96:N96"/>
    <mergeCell ref="K95:L95"/>
    <mergeCell ref="C111:H111"/>
    <mergeCell ref="C96:H96"/>
    <mergeCell ref="M95:N95"/>
    <mergeCell ref="K111:L111"/>
    <mergeCell ref="M111:N111"/>
    <mergeCell ref="C106:H106"/>
    <mergeCell ref="K106:L106"/>
    <mergeCell ref="M106:N106"/>
    <mergeCell ref="C101:H101"/>
    <mergeCell ref="K101:L101"/>
    <mergeCell ref="M101:N101"/>
    <mergeCell ref="A99:H99"/>
    <mergeCell ref="K99:L99"/>
    <mergeCell ref="M99:N99"/>
    <mergeCell ref="C100:N100"/>
    <mergeCell ref="K109:L109"/>
    <mergeCell ref="C105:H105"/>
    <mergeCell ref="K105:L105"/>
    <mergeCell ref="M105:N105"/>
    <mergeCell ref="C102:N102"/>
    <mergeCell ref="C128:H128"/>
    <mergeCell ref="K128:L128"/>
    <mergeCell ref="M128:N128"/>
    <mergeCell ref="K123:L123"/>
    <mergeCell ref="M123:N123"/>
    <mergeCell ref="C141:H141"/>
    <mergeCell ref="K141:L141"/>
    <mergeCell ref="M141:N141"/>
    <mergeCell ref="A123:H123"/>
    <mergeCell ref="M130:N130"/>
    <mergeCell ref="C130:H130"/>
    <mergeCell ref="K130:L130"/>
    <mergeCell ref="C124:N124"/>
    <mergeCell ref="C125:H125"/>
    <mergeCell ref="K129:L129"/>
    <mergeCell ref="M129:N129"/>
    <mergeCell ref="C140:H140"/>
    <mergeCell ref="C131:N131"/>
    <mergeCell ref="C132:H132"/>
    <mergeCell ref="K132:L132"/>
    <mergeCell ref="K136:L136"/>
    <mergeCell ref="M136:N136"/>
    <mergeCell ref="M132:N132"/>
    <mergeCell ref="K133:L133"/>
    <mergeCell ref="M133:N133"/>
    <mergeCell ref="C133:H133"/>
    <mergeCell ref="C134:H134"/>
    <mergeCell ref="K134:L134"/>
    <mergeCell ref="M134:N134"/>
    <mergeCell ref="M140:N140"/>
    <mergeCell ref="C135:N135"/>
    <mergeCell ref="C138:H138"/>
    <mergeCell ref="K138:L138"/>
    <mergeCell ref="M138:N138"/>
    <mergeCell ref="C136:H136"/>
    <mergeCell ref="C137:H137"/>
    <mergeCell ref="K137:L137"/>
    <mergeCell ref="M137:N137"/>
    <mergeCell ref="C139:N139"/>
    <mergeCell ref="K140:L140"/>
    <mergeCell ref="C159:H159"/>
    <mergeCell ref="K159:L159"/>
    <mergeCell ref="M159:N159"/>
    <mergeCell ref="C160:H160"/>
    <mergeCell ref="K160:L160"/>
    <mergeCell ref="M160:N160"/>
    <mergeCell ref="C142:N142"/>
    <mergeCell ref="K143:L143"/>
    <mergeCell ref="M143:N143"/>
    <mergeCell ref="C143:H143"/>
    <mergeCell ref="M144:N144"/>
    <mergeCell ref="C145:H145"/>
    <mergeCell ref="K145:L145"/>
    <mergeCell ref="M145:N145"/>
    <mergeCell ref="C146:H146"/>
    <mergeCell ref="K146:L146"/>
    <mergeCell ref="C149:H149"/>
    <mergeCell ref="K149:L149"/>
    <mergeCell ref="M156:N156"/>
    <mergeCell ref="M146:N146"/>
    <mergeCell ref="K151:L151"/>
    <mergeCell ref="M151:N151"/>
    <mergeCell ref="C153:N153"/>
    <mergeCell ref="C154:H154"/>
    <mergeCell ref="K154:L154"/>
    <mergeCell ref="M154:N154"/>
    <mergeCell ref="C155:N155"/>
    <mergeCell ref="C144:H144"/>
    <mergeCell ref="K144:L144"/>
    <mergeCell ref="M149:N149"/>
    <mergeCell ref="C147:H147"/>
    <mergeCell ref="K147:L147"/>
    <mergeCell ref="M147:N147"/>
    <mergeCell ref="A152:H152"/>
    <mergeCell ref="K152:L152"/>
    <mergeCell ref="M152:N152"/>
    <mergeCell ref="C148:N148"/>
    <mergeCell ref="K161:L161"/>
    <mergeCell ref="M161:N161"/>
    <mergeCell ref="C168:N168"/>
    <mergeCell ref="C169:H169"/>
    <mergeCell ref="K169:L169"/>
    <mergeCell ref="M169:N169"/>
    <mergeCell ref="K179:L179"/>
    <mergeCell ref="M173:N173"/>
    <mergeCell ref="K174:L174"/>
    <mergeCell ref="K177:L177"/>
    <mergeCell ref="M177:N177"/>
    <mergeCell ref="K175:L175"/>
    <mergeCell ref="M175:N175"/>
    <mergeCell ref="C167:H167"/>
    <mergeCell ref="A171:L171"/>
    <mergeCell ref="A172:L172"/>
    <mergeCell ref="A173:L173"/>
    <mergeCell ref="M171:N171"/>
    <mergeCell ref="M172:N172"/>
    <mergeCell ref="M190:N190"/>
    <mergeCell ref="M192:N192"/>
    <mergeCell ref="M194:N194"/>
    <mergeCell ref="M186:N186"/>
    <mergeCell ref="C156:H156"/>
    <mergeCell ref="K156:L156"/>
    <mergeCell ref="K167:L167"/>
    <mergeCell ref="M167:N167"/>
    <mergeCell ref="K164:L164"/>
    <mergeCell ref="M164:N164"/>
    <mergeCell ref="C165:N165"/>
    <mergeCell ref="C166:H166"/>
    <mergeCell ref="K166:L166"/>
    <mergeCell ref="M166:N166"/>
    <mergeCell ref="C157:H157"/>
    <mergeCell ref="K176:L176"/>
    <mergeCell ref="M176:N176"/>
    <mergeCell ref="K157:L157"/>
    <mergeCell ref="M157:N157"/>
    <mergeCell ref="C158:N158"/>
    <mergeCell ref="K178:L178"/>
    <mergeCell ref="M178:N178"/>
    <mergeCell ref="M179:N179"/>
    <mergeCell ref="C161:H161"/>
    <mergeCell ref="E201:G201"/>
    <mergeCell ref="I201:J201"/>
    <mergeCell ref="K201:L201"/>
    <mergeCell ref="E202:G202"/>
    <mergeCell ref="I202:J202"/>
    <mergeCell ref="K202:L202"/>
    <mergeCell ref="E203:G203"/>
    <mergeCell ref="I203:J203"/>
    <mergeCell ref="K203:L203"/>
    <mergeCell ref="E204:G204"/>
    <mergeCell ref="I204:J204"/>
    <mergeCell ref="K204:L204"/>
    <mergeCell ref="E205:G205"/>
    <mergeCell ref="I205:J205"/>
    <mergeCell ref="K205:L205"/>
    <mergeCell ref="E206:G206"/>
    <mergeCell ref="I206:J206"/>
    <mergeCell ref="K206:L206"/>
    <mergeCell ref="E207:G207"/>
    <mergeCell ref="I207:J207"/>
    <mergeCell ref="K207:L207"/>
    <mergeCell ref="E208:G208"/>
    <mergeCell ref="I208:J208"/>
    <mergeCell ref="K208:L208"/>
    <mergeCell ref="H210:J210"/>
    <mergeCell ref="K210:L210"/>
    <mergeCell ref="H211:I211"/>
    <mergeCell ref="K211:L211"/>
    <mergeCell ref="H212:I212"/>
    <mergeCell ref="K212:L212"/>
    <mergeCell ref="H213:I213"/>
    <mergeCell ref="K213:L213"/>
    <mergeCell ref="H214:I214"/>
    <mergeCell ref="K214:L214"/>
    <mergeCell ref="H215:J215"/>
    <mergeCell ref="K215:L215"/>
    <mergeCell ref="H217:I217"/>
    <mergeCell ref="K217:L217"/>
    <mergeCell ref="G225:J225"/>
    <mergeCell ref="K225:L225"/>
    <mergeCell ref="H227:J227"/>
    <mergeCell ref="K227:L227"/>
    <mergeCell ref="A224:E224"/>
    <mergeCell ref="A223:E223"/>
    <mergeCell ref="A222:E222"/>
    <mergeCell ref="G219:J219"/>
    <mergeCell ref="K219:L219"/>
    <mergeCell ref="G221:J221"/>
    <mergeCell ref="K221:L221"/>
    <mergeCell ref="G223:J223"/>
    <mergeCell ref="K223:L223"/>
  </mergeCells>
  <phoneticPr fontId="46" type="noConversion"/>
  <conditionalFormatting sqref="H207:H208 H202">
    <cfRule type="colorScale" priority="4">
      <colorScale>
        <cfvo type="min"/>
        <cfvo type="percentile" val="50"/>
        <cfvo type="max"/>
        <color rgb="FF63BE7B"/>
        <color rgb="FFFFEB84"/>
        <color rgb="FFF8696B"/>
      </colorScale>
    </cfRule>
  </conditionalFormatting>
  <conditionalFormatting sqref="H203">
    <cfRule type="colorScale" priority="3">
      <colorScale>
        <cfvo type="min"/>
        <cfvo type="percentile" val="50"/>
        <cfvo type="max"/>
        <color rgb="FF63BE7B"/>
        <color rgb="FFFFEB84"/>
        <color rgb="FFF8696B"/>
      </colorScale>
    </cfRule>
  </conditionalFormatting>
  <conditionalFormatting sqref="H204 H206">
    <cfRule type="colorScale" priority="2">
      <colorScale>
        <cfvo type="min"/>
        <cfvo type="percentile" val="50"/>
        <cfvo type="max"/>
        <color rgb="FF63BE7B"/>
        <color rgb="FFFFEB84"/>
        <color rgb="FFF8696B"/>
      </colorScale>
    </cfRule>
  </conditionalFormatting>
  <conditionalFormatting sqref="H205">
    <cfRule type="colorScale" priority="1">
      <colorScale>
        <cfvo type="min"/>
        <cfvo type="percentile" val="50"/>
        <cfvo type="max"/>
        <color rgb="FF63BE7B"/>
        <color rgb="FFFFEB84"/>
        <color rgb="FFF8696B"/>
      </colorScale>
    </cfRule>
  </conditionalFormatting>
  <dataValidations disablePrompts="1" count="1">
    <dataValidation type="list" allowBlank="1" showErrorMessage="1" sqref="C61 C54 C41 C140:C141 C94 C80:C81 C72 C68 C63 C118:C120 C51:C52 C103 C111:C114 C108:C109 C27:C28 C163:C164" xr:uid="{00000000-0002-0000-0100-000000000000}">
      <formula1>$C$35:$C$56</formula1>
    </dataValidation>
  </dataValidations>
  <printOptions horizontalCentered="1"/>
  <pageMargins left="1.1811023622047245" right="1.1811023622047245" top="0.78740157480314965" bottom="0.78740157480314965" header="0.31496062992125984" footer="0.31496062992125984"/>
  <pageSetup paperSize="9" scale="64" orientation="landscape" r:id="rId1"/>
  <rowBreaks count="2" manualBreakCount="2">
    <brk id="34" max="13" man="1"/>
    <brk id="170" max="13" man="1"/>
  </rowBreaks>
  <extLst>
    <ext xmlns:x14="http://schemas.microsoft.com/office/spreadsheetml/2009/9/main" uri="{CCE6A557-97BC-4b89-ADB6-D9C93CAAB3DF}">
      <x14:dataValidations xmlns:xm="http://schemas.microsoft.com/office/excel/2006/main" disablePrompts="1" count="7">
        <x14:dataValidation type="list" allowBlank="1" showErrorMessage="1" xr:uid="{00000000-0002-0000-0100-000001000000}">
          <x14:formula1>
            <xm:f>'10'!$B$24:$B$76</xm:f>
          </x14:formula1>
          <xm:sqref>C64:C66 C169 C106 C33 C92:C93 C149 C144:C147 C56 C69 C83:C90</xm:sqref>
        </x14:dataValidation>
        <x14:dataValidation type="list" allowBlank="1" showErrorMessage="1" xr:uid="{00000000-0002-0000-0100-000002000000}">
          <x14:formula1>
            <xm:f>'10'!$B$9:$B$76</xm:f>
          </x14:formula1>
          <xm:sqref>C20:C21 C105 C159:C161 C154 C101 C23:C25 C18 C43:C45 C136:C137 C47:C49 C132:C134 C125 C129:C130 C91 C73:C78 C70 C113 C38:C39 C111 C95:C96 C156:C157</xm:sqref>
        </x14:dataValidation>
        <x14:dataValidation type="list" allowBlank="1" showErrorMessage="1" xr:uid="{00000000-0002-0000-0100-000003000000}">
          <x14:formula1>
            <xm:f>'10'!$B$8:$B$76</xm:f>
          </x14:formula1>
          <xm:sqref>C143</xm:sqref>
        </x14:dataValidation>
        <x14:dataValidation type="list" allowBlank="1" showErrorMessage="1" xr:uid="{00000000-0002-0000-0100-000004000000}">
          <x14:formula1>
            <xm:f>'10'!$B$9:$B$111</xm:f>
          </x14:formula1>
          <xm:sqref>C127:H127</xm:sqref>
        </x14:dataValidation>
        <x14:dataValidation type="list" allowBlank="1" showErrorMessage="1" xr:uid="{00000000-0002-0000-0100-000005000000}">
          <x14:formula1>
            <xm:f>'10'!$B$9:$B$109</xm:f>
          </x14:formula1>
          <xm:sqref>C138:H138</xm:sqref>
        </x14:dataValidation>
        <x14:dataValidation type="list" allowBlank="1" showErrorMessage="1" xr:uid="{00000000-0002-0000-0100-000006000000}">
          <x14:formula1>
            <xm:f>'10'!$B$24:$B$449</xm:f>
          </x14:formula1>
          <xm:sqref>C30:H31 C166:H167</xm:sqref>
        </x14:dataValidation>
        <x14:dataValidation type="list" allowBlank="1" showErrorMessage="1" xr:uid="{00000000-0002-0000-0100-000007000000}">
          <x14:formula1>
            <xm:f>'10'!$B$9:$B110</xm:f>
          </x14:formula1>
          <xm:sqref>C128:H128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9"/>
  <dimension ref="A1:P2545"/>
  <sheetViews>
    <sheetView view="pageBreakPreview" zoomScaleNormal="100" zoomScaleSheetLayoutView="100" workbookViewId="0">
      <selection activeCell="L1579" sqref="L1579"/>
    </sheetView>
  </sheetViews>
  <sheetFormatPr baseColWidth="10" defaultColWidth="12.7109375" defaultRowHeight="15" customHeight="1" x14ac:dyDescent="0.2"/>
  <cols>
    <col min="1" max="5" width="10.42578125" customWidth="1"/>
    <col min="6" max="6" width="16.140625" bestFit="1" customWidth="1"/>
    <col min="7" max="8" width="13" customWidth="1"/>
    <col min="9" max="9" width="10.42578125" customWidth="1"/>
    <col min="10" max="10" width="14" bestFit="1" customWidth="1"/>
    <col min="11" max="11" width="10.42578125" customWidth="1"/>
    <col min="12" max="12" width="12.5703125" bestFit="1" customWidth="1"/>
    <col min="13" max="13" width="16.85546875" bestFit="1" customWidth="1"/>
    <col min="14" max="14" width="13" bestFit="1" customWidth="1"/>
    <col min="15" max="15" width="10.42578125" customWidth="1"/>
    <col min="16" max="16" width="15.42578125" customWidth="1"/>
  </cols>
  <sheetData>
    <row r="1" spans="1:15" ht="12.75" customHeight="1" x14ac:dyDescent="0.2">
      <c r="A1" s="778" t="s">
        <v>1102</v>
      </c>
      <c r="B1" s="779"/>
      <c r="C1" s="779"/>
      <c r="D1" s="779"/>
      <c r="E1" s="779"/>
      <c r="F1" s="779"/>
      <c r="G1" s="779"/>
      <c r="H1" s="779"/>
      <c r="I1" s="779"/>
      <c r="J1" s="779"/>
      <c r="K1" s="779"/>
      <c r="L1" s="779"/>
      <c r="M1" s="779"/>
      <c r="N1" s="780"/>
      <c r="O1" s="271"/>
    </row>
    <row r="2" spans="1:15" ht="12.75" customHeight="1" x14ac:dyDescent="0.2">
      <c r="A2" s="781"/>
      <c r="B2" s="782"/>
      <c r="C2" s="782"/>
      <c r="D2" s="782"/>
      <c r="E2" s="782"/>
      <c r="F2" s="782"/>
      <c r="G2" s="782"/>
      <c r="H2" s="782"/>
      <c r="I2" s="782"/>
      <c r="J2" s="782"/>
      <c r="K2" s="782"/>
      <c r="L2" s="782"/>
      <c r="M2" s="782"/>
      <c r="N2" s="783"/>
      <c r="O2" s="271"/>
    </row>
    <row r="3" spans="1:15" ht="12.75" customHeight="1" x14ac:dyDescent="0.2">
      <c r="A3" s="49">
        <v>1</v>
      </c>
      <c r="B3" s="49">
        <v>2</v>
      </c>
      <c r="C3" s="49">
        <v>3</v>
      </c>
      <c r="D3" s="49">
        <v>4</v>
      </c>
      <c r="E3" s="49">
        <v>5</v>
      </c>
      <c r="F3" s="49">
        <v>6</v>
      </c>
      <c r="G3" s="49">
        <v>7</v>
      </c>
      <c r="H3" s="49">
        <v>8</v>
      </c>
      <c r="I3" s="49">
        <v>9</v>
      </c>
      <c r="J3" s="49">
        <v>10</v>
      </c>
      <c r="K3" s="49">
        <v>11</v>
      </c>
      <c r="L3" s="49">
        <v>12</v>
      </c>
      <c r="M3" s="49">
        <v>13</v>
      </c>
      <c r="N3" s="49">
        <v>14</v>
      </c>
    </row>
    <row r="4" spans="1:15" ht="12.75" customHeight="1" thickBot="1" x14ac:dyDescent="0.35">
      <c r="A4" s="51" t="str">
        <f>VLOOKUP(A1,'10'!$B$9:$N$100,13,FALSE)</f>
        <v>G001</v>
      </c>
      <c r="B4" s="52" t="str">
        <f>A1</f>
        <v>LOCALIZACIÓN Y REPLANTEO DE REDES (NO INCLUYE EQUIPO DE TOPOGRAFÍA)</v>
      </c>
      <c r="C4" s="53" t="s">
        <v>400</v>
      </c>
      <c r="D4" s="54" t="s">
        <v>401</v>
      </c>
      <c r="E4" s="55" t="s">
        <v>177</v>
      </c>
      <c r="F4" s="56">
        <f>H4+J4+L4+N4</f>
        <v>4468.710646598809</v>
      </c>
      <c r="G4" s="55" t="s">
        <v>349</v>
      </c>
      <c r="H4" s="57">
        <f>M22</f>
        <v>93.317710052199999</v>
      </c>
      <c r="I4" s="55" t="s">
        <v>402</v>
      </c>
      <c r="J4" s="58">
        <f>M13</f>
        <v>2385.1169999999997</v>
      </c>
      <c r="K4" s="55" t="s">
        <v>351</v>
      </c>
      <c r="L4" s="325">
        <f>M31</f>
        <v>123.92173550260998</v>
      </c>
      <c r="M4" s="326" t="s">
        <v>352</v>
      </c>
      <c r="N4" s="59">
        <f>M40</f>
        <v>1866.3542010439999</v>
      </c>
    </row>
    <row r="5" spans="1:15" ht="12.75" customHeight="1" thickBot="1" x14ac:dyDescent="0.3">
      <c r="A5" s="60"/>
      <c r="B5" s="60"/>
      <c r="C5" s="60"/>
      <c r="D5" s="60"/>
      <c r="E5" s="60"/>
      <c r="F5" s="60"/>
      <c r="G5" s="60"/>
      <c r="J5" s="60"/>
      <c r="K5" s="60"/>
      <c r="L5" s="327" t="s">
        <v>1934</v>
      </c>
      <c r="M5" s="328">
        <f>+F4*'01'!$O$16</f>
        <v>5783.811895814667</v>
      </c>
      <c r="N5" s="60"/>
    </row>
    <row r="6" spans="1:15" ht="12.75" customHeight="1" x14ac:dyDescent="0.2">
      <c r="A6" s="716" t="s">
        <v>403</v>
      </c>
      <c r="B6" s="418"/>
      <c r="C6" s="418"/>
      <c r="D6" s="418"/>
      <c r="E6" s="418"/>
      <c r="F6" s="418"/>
      <c r="G6" s="418"/>
      <c r="H6" s="418"/>
      <c r="I6" s="418"/>
      <c r="J6" s="418"/>
      <c r="K6" s="418"/>
      <c r="L6" s="437"/>
      <c r="M6" s="437"/>
      <c r="N6" s="416"/>
    </row>
    <row r="7" spans="1:15" ht="12.75" customHeight="1" x14ac:dyDescent="0.2">
      <c r="A7" s="713" t="s">
        <v>39</v>
      </c>
      <c r="B7" s="418"/>
      <c r="C7" s="418"/>
      <c r="D7" s="418"/>
      <c r="E7" s="418"/>
      <c r="F7" s="418"/>
      <c r="G7" s="416"/>
      <c r="H7" s="61" t="s">
        <v>40</v>
      </c>
      <c r="I7" s="717" t="s">
        <v>404</v>
      </c>
      <c r="J7" s="416"/>
      <c r="K7" s="717" t="s">
        <v>184</v>
      </c>
      <c r="L7" s="416"/>
      <c r="M7" s="717" t="s">
        <v>405</v>
      </c>
      <c r="N7" s="416"/>
    </row>
    <row r="8" spans="1:15" ht="12.75" customHeight="1" x14ac:dyDescent="0.2">
      <c r="A8" s="714" t="s">
        <v>406</v>
      </c>
      <c r="B8" s="418"/>
      <c r="C8" s="418"/>
      <c r="D8" s="418"/>
      <c r="E8" s="418"/>
      <c r="F8" s="418"/>
      <c r="G8" s="416"/>
      <c r="H8" s="12" t="str">
        <f>IF(A8="","",VLOOKUP(A8,AA_Materiales,7,FALSE))</f>
        <v>Unidad</v>
      </c>
      <c r="I8" s="712">
        <f>IF(A8="","",VLOOKUP(A8,AA_Materiales,8,FALSE))</f>
        <v>3659.25</v>
      </c>
      <c r="J8" s="416"/>
      <c r="K8" s="715">
        <v>0.3</v>
      </c>
      <c r="L8" s="416"/>
      <c r="M8" s="712">
        <f t="shared" ref="M8:M12" si="0">IF(A8="","",I8*K8)</f>
        <v>1097.7749999999999</v>
      </c>
      <c r="N8" s="416"/>
    </row>
    <row r="9" spans="1:15" ht="12.75" customHeight="1" x14ac:dyDescent="0.2">
      <c r="A9" s="714" t="s">
        <v>407</v>
      </c>
      <c r="B9" s="418"/>
      <c r="C9" s="418"/>
      <c r="D9" s="418"/>
      <c r="E9" s="418"/>
      <c r="F9" s="418"/>
      <c r="G9" s="416"/>
      <c r="H9" s="12" t="str">
        <f>IF(A9="","",VLOOKUP(A9,AA_Materiales,7,FALSE))</f>
        <v>Galón</v>
      </c>
      <c r="I9" s="712">
        <f>IF(A9="","",VLOOKUP(A9,AA_Materiales,8,FALSE))</f>
        <v>134351</v>
      </c>
      <c r="J9" s="416"/>
      <c r="K9" s="715">
        <v>8.0000000000000002E-3</v>
      </c>
      <c r="L9" s="416"/>
      <c r="M9" s="712">
        <f t="shared" si="0"/>
        <v>1074.808</v>
      </c>
      <c r="N9" s="416"/>
    </row>
    <row r="10" spans="1:15" ht="12.75" customHeight="1" x14ac:dyDescent="0.2">
      <c r="A10" s="714" t="s">
        <v>408</v>
      </c>
      <c r="B10" s="418"/>
      <c r="C10" s="418"/>
      <c r="D10" s="418"/>
      <c r="E10" s="418"/>
      <c r="F10" s="418"/>
      <c r="G10" s="416"/>
      <c r="H10" s="12" t="str">
        <f>IF(A10="","",VLOOKUP(A10,AA_Materiales,7,FALSE))</f>
        <v>Libra</v>
      </c>
      <c r="I10" s="712">
        <f>IF(A10="","",VLOOKUP(A10,AA_Materiales,8,FALSE))</f>
        <v>5831</v>
      </c>
      <c r="J10" s="416"/>
      <c r="K10" s="715">
        <v>1.2E-2</v>
      </c>
      <c r="L10" s="416"/>
      <c r="M10" s="712">
        <f t="shared" si="0"/>
        <v>69.972000000000008</v>
      </c>
      <c r="N10" s="416"/>
    </row>
    <row r="11" spans="1:15" ht="12.75" customHeight="1" x14ac:dyDescent="0.2">
      <c r="A11" s="714" t="s">
        <v>409</v>
      </c>
      <c r="B11" s="418"/>
      <c r="C11" s="418"/>
      <c r="D11" s="418"/>
      <c r="E11" s="418"/>
      <c r="F11" s="418"/>
      <c r="G11" s="416"/>
      <c r="H11" s="12" t="str">
        <f>IF(A11="","",VLOOKUP(A11,AA_Materiales,7,FALSE))</f>
        <v>ml</v>
      </c>
      <c r="I11" s="712">
        <f>IF(A11="","",VLOOKUP(A11,AA_Materiales,8,FALSE))</f>
        <v>142.56200000000001</v>
      </c>
      <c r="J11" s="416"/>
      <c r="K11" s="715">
        <v>1</v>
      </c>
      <c r="L11" s="416"/>
      <c r="M11" s="712">
        <f t="shared" si="0"/>
        <v>142.56200000000001</v>
      </c>
      <c r="N11" s="416"/>
    </row>
    <row r="12" spans="1:15" ht="12.75" customHeight="1" x14ac:dyDescent="0.2">
      <c r="A12" s="714"/>
      <c r="B12" s="418"/>
      <c r="C12" s="418"/>
      <c r="D12" s="418"/>
      <c r="E12" s="418"/>
      <c r="F12" s="418"/>
      <c r="G12" s="416"/>
      <c r="H12" s="12" t="str">
        <f>IF(A12="","",VLOOKUP(A12,AA_Materiales,7,FALSE))</f>
        <v/>
      </c>
      <c r="I12" s="712" t="str">
        <f>IF(A12="","",VLOOKUP(A12,AA_Materiales,8,FALSE))</f>
        <v/>
      </c>
      <c r="J12" s="416"/>
      <c r="K12" s="715"/>
      <c r="L12" s="416"/>
      <c r="M12" s="712" t="str">
        <f t="shared" si="0"/>
        <v/>
      </c>
      <c r="N12" s="416"/>
    </row>
    <row r="13" spans="1:15" ht="12.75" customHeight="1" x14ac:dyDescent="0.25">
      <c r="A13" s="5"/>
      <c r="B13" s="5"/>
      <c r="C13" s="5"/>
      <c r="D13" s="5"/>
      <c r="E13" s="5"/>
      <c r="F13" s="5"/>
      <c r="G13" s="5"/>
      <c r="H13" s="5"/>
      <c r="I13" s="5"/>
      <c r="J13" s="5"/>
      <c r="K13" s="713" t="s">
        <v>261</v>
      </c>
      <c r="L13" s="416"/>
      <c r="M13" s="712">
        <f>SUM(M8:N12)</f>
        <v>2385.1169999999997</v>
      </c>
      <c r="N13" s="416"/>
    </row>
    <row r="14" spans="1:15" ht="12.75" customHeight="1" x14ac:dyDescent="0.25">
      <c r="A14" s="5"/>
      <c r="B14" s="5"/>
      <c r="C14" s="5"/>
      <c r="D14" s="5"/>
      <c r="E14" s="5"/>
      <c r="F14" s="5"/>
      <c r="G14" s="5"/>
      <c r="H14" s="5"/>
      <c r="I14" s="5"/>
      <c r="J14" s="5"/>
      <c r="K14" s="5"/>
      <c r="L14" s="5"/>
      <c r="M14" s="5"/>
      <c r="N14" s="5"/>
    </row>
    <row r="15" spans="1:15" ht="12.75" customHeight="1" x14ac:dyDescent="0.2">
      <c r="A15" s="716" t="s">
        <v>410</v>
      </c>
      <c r="B15" s="418"/>
      <c r="C15" s="418"/>
      <c r="D15" s="418"/>
      <c r="E15" s="418"/>
      <c r="F15" s="418"/>
      <c r="G15" s="418"/>
      <c r="H15" s="418"/>
      <c r="I15" s="418"/>
      <c r="J15" s="418"/>
      <c r="K15" s="418"/>
      <c r="L15" s="418"/>
      <c r="M15" s="418"/>
      <c r="N15" s="416"/>
    </row>
    <row r="16" spans="1:15" ht="12.75" customHeight="1" x14ac:dyDescent="0.2">
      <c r="A16" s="713" t="s">
        <v>39</v>
      </c>
      <c r="B16" s="418"/>
      <c r="C16" s="418"/>
      <c r="D16" s="418"/>
      <c r="E16" s="418"/>
      <c r="F16" s="418"/>
      <c r="G16" s="416"/>
      <c r="H16" s="61" t="s">
        <v>40</v>
      </c>
      <c r="I16" s="717" t="s">
        <v>404</v>
      </c>
      <c r="J16" s="416"/>
      <c r="K16" s="717" t="s">
        <v>184</v>
      </c>
      <c r="L16" s="416"/>
      <c r="M16" s="717" t="s">
        <v>405</v>
      </c>
      <c r="N16" s="416"/>
    </row>
    <row r="17" spans="1:14" ht="12.75" customHeight="1" x14ac:dyDescent="0.2">
      <c r="A17" s="714" t="s">
        <v>411</v>
      </c>
      <c r="B17" s="418"/>
      <c r="C17" s="418"/>
      <c r="D17" s="418"/>
      <c r="E17" s="418"/>
      <c r="F17" s="418"/>
      <c r="G17" s="416"/>
      <c r="H17" s="12" t="str">
        <f>IF(A17="","",VLOOKUP(A17,AA_Equipos,7,FALSE))</f>
        <v>% M.O.</v>
      </c>
      <c r="I17" s="712">
        <f>M40</f>
        <v>1866.3542010439999</v>
      </c>
      <c r="J17" s="416"/>
      <c r="K17" s="722">
        <v>0.05</v>
      </c>
      <c r="L17" s="416"/>
      <c r="M17" s="712">
        <f t="shared" ref="M17:M21" si="1">IF(A17="","",I17*K17)</f>
        <v>93.317710052199999</v>
      </c>
      <c r="N17" s="416"/>
    </row>
    <row r="18" spans="1:14" ht="12.75" customHeight="1" x14ac:dyDescent="0.2">
      <c r="A18" s="719"/>
      <c r="B18" s="418"/>
      <c r="C18" s="418"/>
      <c r="D18" s="418"/>
      <c r="E18" s="418"/>
      <c r="F18" s="418"/>
      <c r="G18" s="416"/>
      <c r="H18" s="12" t="str">
        <f>IF(A18="","",VLOOKUP(A18,AA_Equipos,7,FALSE))</f>
        <v/>
      </c>
      <c r="I18" s="712" t="str">
        <f>IF(A18="","",VLOOKUP(A18,AA_Materiales,8,FALSE))</f>
        <v/>
      </c>
      <c r="J18" s="416"/>
      <c r="K18" s="723"/>
      <c r="L18" s="416"/>
      <c r="M18" s="712" t="str">
        <f t="shared" si="1"/>
        <v/>
      </c>
      <c r="N18" s="416"/>
    </row>
    <row r="19" spans="1:14" ht="12.75" customHeight="1" x14ac:dyDescent="0.2">
      <c r="A19" s="714"/>
      <c r="B19" s="418"/>
      <c r="C19" s="418"/>
      <c r="D19" s="418"/>
      <c r="E19" s="418"/>
      <c r="F19" s="418"/>
      <c r="G19" s="416"/>
      <c r="H19" s="12" t="str">
        <f>IF(A19="","",VLOOKUP(A19,AA_Equipos,7,FALSE))</f>
        <v/>
      </c>
      <c r="I19" s="712" t="str">
        <f>IF(A19="","",VLOOKUP(A19,AA_Materiales,8,FALSE))</f>
        <v/>
      </c>
      <c r="J19" s="416"/>
      <c r="K19" s="715"/>
      <c r="L19" s="416"/>
      <c r="M19" s="712" t="str">
        <f t="shared" si="1"/>
        <v/>
      </c>
      <c r="N19" s="416"/>
    </row>
    <row r="20" spans="1:14" ht="12.75" customHeight="1" x14ac:dyDescent="0.2">
      <c r="A20" s="714"/>
      <c r="B20" s="418"/>
      <c r="C20" s="418"/>
      <c r="D20" s="418"/>
      <c r="E20" s="418"/>
      <c r="F20" s="418"/>
      <c r="G20" s="416"/>
      <c r="H20" s="12" t="str">
        <f>IF(A20="","",VLOOKUP(A20,AA_Equipos,7,FALSE))</f>
        <v/>
      </c>
      <c r="I20" s="712" t="str">
        <f>IF(A20="","",VLOOKUP(A20,AA_Materiales,8,FALSE))</f>
        <v/>
      </c>
      <c r="J20" s="416"/>
      <c r="K20" s="715"/>
      <c r="L20" s="416"/>
      <c r="M20" s="712" t="str">
        <f t="shared" si="1"/>
        <v/>
      </c>
      <c r="N20" s="416"/>
    </row>
    <row r="21" spans="1:14" ht="12.75" customHeight="1" x14ac:dyDescent="0.2">
      <c r="A21" s="714"/>
      <c r="B21" s="418"/>
      <c r="C21" s="418"/>
      <c r="D21" s="418"/>
      <c r="E21" s="418"/>
      <c r="F21" s="418"/>
      <c r="G21" s="416"/>
      <c r="H21" s="12" t="str">
        <f>IF(A21="","",VLOOKUP(A21,AA_Equipos,7,FALSE))</f>
        <v/>
      </c>
      <c r="I21" s="712" t="str">
        <f>IF(A21="","",VLOOKUP(A21,AA_Materiales,8,FALSE))</f>
        <v/>
      </c>
      <c r="J21" s="416"/>
      <c r="K21" s="715"/>
      <c r="L21" s="416"/>
      <c r="M21" s="712" t="str">
        <f t="shared" si="1"/>
        <v/>
      </c>
      <c r="N21" s="416"/>
    </row>
    <row r="22" spans="1:14" ht="12.75" customHeight="1" x14ac:dyDescent="0.25">
      <c r="A22" s="5"/>
      <c r="B22" s="5"/>
      <c r="C22" s="5"/>
      <c r="D22" s="5"/>
      <c r="E22" s="5"/>
      <c r="F22" s="5"/>
      <c r="G22" s="5"/>
      <c r="H22" s="5"/>
      <c r="I22" s="5"/>
      <c r="J22" s="5"/>
      <c r="K22" s="713" t="s">
        <v>261</v>
      </c>
      <c r="L22" s="416"/>
      <c r="M22" s="712">
        <f>SUM(M17:N21)</f>
        <v>93.317710052199999</v>
      </c>
      <c r="N22" s="416"/>
    </row>
    <row r="23" spans="1:14" ht="12.75" customHeight="1" x14ac:dyDescent="0.25">
      <c r="A23" s="5"/>
      <c r="B23" s="5"/>
      <c r="C23" s="5"/>
      <c r="D23" s="5"/>
      <c r="E23" s="5"/>
      <c r="F23" s="5"/>
      <c r="G23" s="5"/>
      <c r="H23" s="5"/>
      <c r="I23" s="5"/>
      <c r="J23" s="5"/>
      <c r="K23" s="5"/>
      <c r="L23" s="5"/>
      <c r="M23" s="5"/>
      <c r="N23" s="5"/>
    </row>
    <row r="24" spans="1:14" ht="12.75" customHeight="1" x14ac:dyDescent="0.2">
      <c r="A24" s="716" t="s">
        <v>413</v>
      </c>
      <c r="B24" s="418"/>
      <c r="C24" s="418"/>
      <c r="D24" s="418"/>
      <c r="E24" s="418"/>
      <c r="F24" s="418"/>
      <c r="G24" s="418"/>
      <c r="H24" s="418"/>
      <c r="I24" s="418"/>
      <c r="J24" s="418"/>
      <c r="K24" s="418"/>
      <c r="L24" s="418"/>
      <c r="M24" s="418"/>
      <c r="N24" s="416"/>
    </row>
    <row r="25" spans="1:14" ht="12.75" customHeight="1" x14ac:dyDescent="0.2">
      <c r="A25" s="713" t="s">
        <v>39</v>
      </c>
      <c r="B25" s="418"/>
      <c r="C25" s="418"/>
      <c r="D25" s="418"/>
      <c r="E25" s="418"/>
      <c r="F25" s="418"/>
      <c r="G25" s="416"/>
      <c r="H25" s="61" t="s">
        <v>40</v>
      </c>
      <c r="I25" s="717" t="s">
        <v>404</v>
      </c>
      <c r="J25" s="416"/>
      <c r="K25" s="717" t="s">
        <v>184</v>
      </c>
      <c r="L25" s="416"/>
      <c r="M25" s="717" t="s">
        <v>405</v>
      </c>
      <c r="N25" s="416"/>
    </row>
    <row r="26" spans="1:14" ht="12.75" customHeight="1" x14ac:dyDescent="0.2">
      <c r="A26" s="714" t="s">
        <v>414</v>
      </c>
      <c r="B26" s="418"/>
      <c r="C26" s="418"/>
      <c r="D26" s="418"/>
      <c r="E26" s="418"/>
      <c r="F26" s="418"/>
      <c r="G26" s="416"/>
      <c r="H26" s="12" t="s">
        <v>13</v>
      </c>
      <c r="I26" s="712">
        <f>M13+M22</f>
        <v>2478.4347100521995</v>
      </c>
      <c r="J26" s="416"/>
      <c r="K26" s="722">
        <v>0.05</v>
      </c>
      <c r="L26" s="416"/>
      <c r="M26" s="712">
        <f t="shared" ref="M26:M30" si="2">IF(A26="","",I26*K26)</f>
        <v>123.92173550260998</v>
      </c>
      <c r="N26" s="416"/>
    </row>
    <row r="27" spans="1:14" ht="12.75" customHeight="1" x14ac:dyDescent="0.2">
      <c r="A27" s="719"/>
      <c r="B27" s="418"/>
      <c r="C27" s="418"/>
      <c r="D27" s="418"/>
      <c r="E27" s="418"/>
      <c r="F27" s="418"/>
      <c r="G27" s="416"/>
      <c r="H27" s="12"/>
      <c r="I27" s="712"/>
      <c r="J27" s="416"/>
      <c r="K27" s="723"/>
      <c r="L27" s="416"/>
      <c r="M27" s="712" t="str">
        <f t="shared" si="2"/>
        <v/>
      </c>
      <c r="N27" s="416"/>
    </row>
    <row r="28" spans="1:14" ht="12.75" customHeight="1" x14ac:dyDescent="0.2">
      <c r="A28" s="714"/>
      <c r="B28" s="418"/>
      <c r="C28" s="418"/>
      <c r="D28" s="418"/>
      <c r="E28" s="418"/>
      <c r="F28" s="418"/>
      <c r="G28" s="416"/>
      <c r="H28" s="12"/>
      <c r="I28" s="712"/>
      <c r="J28" s="416"/>
      <c r="K28" s="715"/>
      <c r="L28" s="416"/>
      <c r="M28" s="712" t="str">
        <f t="shared" si="2"/>
        <v/>
      </c>
      <c r="N28" s="416"/>
    </row>
    <row r="29" spans="1:14" ht="12.75" customHeight="1" x14ac:dyDescent="0.2">
      <c r="A29" s="714"/>
      <c r="B29" s="418"/>
      <c r="C29" s="418"/>
      <c r="D29" s="418"/>
      <c r="E29" s="418"/>
      <c r="F29" s="418"/>
      <c r="G29" s="416"/>
      <c r="H29" s="12"/>
      <c r="I29" s="712"/>
      <c r="J29" s="416"/>
      <c r="K29" s="715"/>
      <c r="L29" s="416"/>
      <c r="M29" s="712" t="str">
        <f t="shared" si="2"/>
        <v/>
      </c>
      <c r="N29" s="416"/>
    </row>
    <row r="30" spans="1:14" ht="12.75" customHeight="1" x14ac:dyDescent="0.2">
      <c r="A30" s="714"/>
      <c r="B30" s="418"/>
      <c r="C30" s="418"/>
      <c r="D30" s="418"/>
      <c r="E30" s="418"/>
      <c r="F30" s="418"/>
      <c r="G30" s="416"/>
      <c r="H30" s="12"/>
      <c r="I30" s="712"/>
      <c r="J30" s="416"/>
      <c r="K30" s="715"/>
      <c r="L30" s="416"/>
      <c r="M30" s="712" t="str">
        <f t="shared" si="2"/>
        <v/>
      </c>
      <c r="N30" s="416"/>
    </row>
    <row r="31" spans="1:14" ht="12.75" customHeight="1" x14ac:dyDescent="0.25">
      <c r="A31" s="5"/>
      <c r="B31" s="5"/>
      <c r="C31" s="5"/>
      <c r="D31" s="5"/>
      <c r="E31" s="5"/>
      <c r="F31" s="5"/>
      <c r="G31" s="5"/>
      <c r="H31" s="5"/>
      <c r="I31" s="5"/>
      <c r="J31" s="5"/>
      <c r="K31" s="713" t="s">
        <v>261</v>
      </c>
      <c r="L31" s="416"/>
      <c r="M31" s="712">
        <f>SUM(M26:N30)</f>
        <v>123.92173550260998</v>
      </c>
      <c r="N31" s="416"/>
    </row>
    <row r="32" spans="1:14" ht="12.75" customHeight="1" x14ac:dyDescent="0.25">
      <c r="A32" s="5"/>
      <c r="B32" s="5"/>
      <c r="C32" s="5"/>
      <c r="D32" s="5"/>
      <c r="E32" s="5"/>
      <c r="F32" s="5"/>
      <c r="G32" s="5"/>
      <c r="H32" s="5"/>
      <c r="I32" s="5"/>
      <c r="J32" s="5"/>
      <c r="K32" s="5"/>
      <c r="L32" s="5"/>
      <c r="M32" s="5"/>
      <c r="N32" s="5"/>
    </row>
    <row r="33" spans="1:15" ht="12.75" customHeight="1" x14ac:dyDescent="0.2">
      <c r="A33" s="716" t="s">
        <v>415</v>
      </c>
      <c r="B33" s="418"/>
      <c r="C33" s="418"/>
      <c r="D33" s="418"/>
      <c r="E33" s="418"/>
      <c r="F33" s="418"/>
      <c r="G33" s="418"/>
      <c r="H33" s="418"/>
      <c r="I33" s="418"/>
      <c r="J33" s="418"/>
      <c r="K33" s="418"/>
      <c r="L33" s="418"/>
      <c r="M33" s="418"/>
      <c r="N33" s="416"/>
    </row>
    <row r="34" spans="1:15" ht="12.75" customHeight="1" x14ac:dyDescent="0.2">
      <c r="A34" s="713" t="s">
        <v>39</v>
      </c>
      <c r="B34" s="418"/>
      <c r="C34" s="418"/>
      <c r="D34" s="418"/>
      <c r="E34" s="418"/>
      <c r="F34" s="418"/>
      <c r="G34" s="416"/>
      <c r="H34" s="61" t="s">
        <v>40</v>
      </c>
      <c r="I34" s="717" t="s">
        <v>404</v>
      </c>
      <c r="J34" s="416"/>
      <c r="K34" s="64" t="s">
        <v>253</v>
      </c>
      <c r="L34" s="65" t="s">
        <v>416</v>
      </c>
      <c r="M34" s="717" t="s">
        <v>405</v>
      </c>
      <c r="N34" s="416"/>
    </row>
    <row r="35" spans="1:15" ht="12.75" customHeight="1" x14ac:dyDescent="0.25">
      <c r="A35" s="711" t="s">
        <v>417</v>
      </c>
      <c r="B35" s="418"/>
      <c r="C35" s="418"/>
      <c r="D35" s="418"/>
      <c r="E35" s="418"/>
      <c r="F35" s="418"/>
      <c r="G35" s="416"/>
      <c r="H35" s="12" t="str">
        <f>IF(A35="","",VLOOKUP(A35,AA_Cuadrillas,4,FALSE))</f>
        <v>Cuadrilla</v>
      </c>
      <c r="I35" s="712">
        <f>IF(A35="","",VLOOKUP(A35,AA_Cuadrillas,5,FALSE))</f>
        <v>262637</v>
      </c>
      <c r="J35" s="416"/>
      <c r="K35" s="3">
        <f>IF(A35="","",'04'!$I$2)</f>
        <v>1.88995</v>
      </c>
      <c r="L35" s="66">
        <v>3.7599999999999999E-3</v>
      </c>
      <c r="M35" s="712">
        <f t="shared" ref="M35:M39" si="3">IF(A35="","",I35*K35*L35)</f>
        <v>1866.3542010439999</v>
      </c>
      <c r="N35" s="416"/>
    </row>
    <row r="36" spans="1:15" ht="12.75" customHeight="1" x14ac:dyDescent="0.25">
      <c r="A36" s="711"/>
      <c r="B36" s="418"/>
      <c r="C36" s="418"/>
      <c r="D36" s="418"/>
      <c r="E36" s="418"/>
      <c r="F36" s="418"/>
      <c r="G36" s="416"/>
      <c r="H36" s="12" t="str">
        <f>IF(A36="","",VLOOKUP(A36,AA_Cuadrillas,4,FALSE))</f>
        <v/>
      </c>
      <c r="I36" s="712" t="str">
        <f>IF(A36="","",VLOOKUP(A36,AA_Cuadrillas,5,FALSE))</f>
        <v/>
      </c>
      <c r="J36" s="416"/>
      <c r="K36" s="3" t="str">
        <f>IF(A36="","",'04'!$I$2)</f>
        <v/>
      </c>
      <c r="L36" s="3"/>
      <c r="M36" s="712" t="str">
        <f t="shared" si="3"/>
        <v/>
      </c>
      <c r="N36" s="416"/>
    </row>
    <row r="37" spans="1:15" ht="12.75" customHeight="1" x14ac:dyDescent="0.25">
      <c r="A37" s="711"/>
      <c r="B37" s="418"/>
      <c r="C37" s="418"/>
      <c r="D37" s="418"/>
      <c r="E37" s="418"/>
      <c r="F37" s="418"/>
      <c r="G37" s="416"/>
      <c r="H37" s="12" t="str">
        <f>IF(A37="","",VLOOKUP(A37,AA_Cuadrillas,4,FALSE))</f>
        <v/>
      </c>
      <c r="I37" s="712" t="str">
        <f>IF(A37="","",VLOOKUP(A37,AA_Cuadrillas,5,FALSE))</f>
        <v/>
      </c>
      <c r="J37" s="416"/>
      <c r="K37" s="3" t="str">
        <f>IF(A37="","",'04'!$I$2)</f>
        <v/>
      </c>
      <c r="L37" s="13"/>
      <c r="M37" s="712" t="str">
        <f t="shared" si="3"/>
        <v/>
      </c>
      <c r="N37" s="416"/>
    </row>
    <row r="38" spans="1:15" ht="12.75" customHeight="1" x14ac:dyDescent="0.25">
      <c r="A38" s="711"/>
      <c r="B38" s="418"/>
      <c r="C38" s="418"/>
      <c r="D38" s="418"/>
      <c r="E38" s="418"/>
      <c r="F38" s="418"/>
      <c r="G38" s="416"/>
      <c r="H38" s="12" t="str">
        <f>IF(A38="","",VLOOKUP(A38,AA_Cuadrillas,4,FALSE))</f>
        <v/>
      </c>
      <c r="I38" s="712" t="str">
        <f>IF(A38="","",VLOOKUP(A38,AA_Cuadrillas,5,FALSE))</f>
        <v/>
      </c>
      <c r="J38" s="416"/>
      <c r="K38" s="3" t="str">
        <f>IF(A38="","",'04'!$I$2)</f>
        <v/>
      </c>
      <c r="L38" s="13"/>
      <c r="M38" s="712" t="str">
        <f t="shared" si="3"/>
        <v/>
      </c>
      <c r="N38" s="416"/>
    </row>
    <row r="39" spans="1:15" ht="12.75" customHeight="1" x14ac:dyDescent="0.25">
      <c r="A39" s="711"/>
      <c r="B39" s="418"/>
      <c r="C39" s="418"/>
      <c r="D39" s="418"/>
      <c r="E39" s="418"/>
      <c r="F39" s="418"/>
      <c r="G39" s="416"/>
      <c r="H39" s="12" t="str">
        <f>IF(A39="","",VLOOKUP(A39,AA_Cuadrillas,4,FALSE))</f>
        <v/>
      </c>
      <c r="I39" s="712" t="str">
        <f>IF(A39="","",VLOOKUP(A39,AA_Cuadrillas,5,FALSE))</f>
        <v/>
      </c>
      <c r="J39" s="416"/>
      <c r="K39" s="3" t="str">
        <f>IF(A39="","",'04'!$I$2)</f>
        <v/>
      </c>
      <c r="L39" s="13"/>
      <c r="M39" s="712" t="str">
        <f t="shared" si="3"/>
        <v/>
      </c>
      <c r="N39" s="416"/>
    </row>
    <row r="40" spans="1:15" ht="12.75" customHeight="1" x14ac:dyDescent="0.25">
      <c r="A40" s="5"/>
      <c r="B40" s="5"/>
      <c r="C40" s="5"/>
      <c r="D40" s="5"/>
      <c r="E40" s="5"/>
      <c r="F40" s="5"/>
      <c r="G40" s="5"/>
      <c r="H40" s="5"/>
      <c r="I40" s="5"/>
      <c r="J40" s="5"/>
      <c r="K40" s="713" t="s">
        <v>261</v>
      </c>
      <c r="L40" s="416"/>
      <c r="M40" s="712">
        <f>SUM(M35:N39)</f>
        <v>1866.3542010439999</v>
      </c>
      <c r="N40" s="416"/>
    </row>
    <row r="41" spans="1:15" ht="12.75" customHeight="1" x14ac:dyDescent="0.25">
      <c r="A41" s="5"/>
      <c r="B41" s="5"/>
      <c r="C41" s="5"/>
      <c r="D41" s="5"/>
      <c r="E41" s="5"/>
      <c r="F41" s="5"/>
      <c r="G41" s="5"/>
      <c r="H41" s="5"/>
      <c r="I41" s="5"/>
      <c r="J41" s="5"/>
      <c r="K41" s="5"/>
      <c r="L41" s="5"/>
      <c r="M41" s="5"/>
      <c r="N41" s="5"/>
    </row>
    <row r="42" spans="1:15" ht="12.75" customHeight="1" x14ac:dyDescent="0.2">
      <c r="A42" s="784" t="s">
        <v>526</v>
      </c>
      <c r="B42" s="410"/>
      <c r="C42" s="410"/>
      <c r="D42" s="410"/>
      <c r="E42" s="410"/>
      <c r="F42" s="410"/>
      <c r="G42" s="410"/>
      <c r="H42" s="410"/>
      <c r="I42" s="410"/>
      <c r="J42" s="410"/>
      <c r="K42" s="410"/>
      <c r="L42" s="410"/>
      <c r="M42" s="410"/>
      <c r="N42" s="411"/>
      <c r="O42" s="271"/>
    </row>
    <row r="43" spans="1:15" ht="12.75" customHeight="1" x14ac:dyDescent="0.2">
      <c r="A43" s="412"/>
      <c r="B43" s="413"/>
      <c r="C43" s="413"/>
      <c r="D43" s="413"/>
      <c r="E43" s="413"/>
      <c r="F43" s="413"/>
      <c r="G43" s="413"/>
      <c r="H43" s="413"/>
      <c r="I43" s="413"/>
      <c r="J43" s="413"/>
      <c r="K43" s="413"/>
      <c r="L43" s="413"/>
      <c r="M43" s="413"/>
      <c r="N43" s="414"/>
      <c r="O43" s="271"/>
    </row>
    <row r="44" spans="1:15" ht="12.75" customHeight="1" x14ac:dyDescent="0.2">
      <c r="A44" s="49">
        <v>1</v>
      </c>
      <c r="B44" s="49">
        <v>2</v>
      </c>
      <c r="C44" s="49">
        <v>3</v>
      </c>
      <c r="D44" s="49">
        <v>4</v>
      </c>
      <c r="E44" s="49">
        <v>5</v>
      </c>
      <c r="F44" s="49">
        <v>6</v>
      </c>
      <c r="G44" s="49">
        <v>7</v>
      </c>
      <c r="H44" s="49">
        <v>8</v>
      </c>
      <c r="I44" s="49">
        <v>9</v>
      </c>
      <c r="J44" s="49">
        <v>10</v>
      </c>
      <c r="K44" s="49">
        <v>11</v>
      </c>
      <c r="L44" s="49">
        <v>12</v>
      </c>
      <c r="M44" s="49">
        <v>13</v>
      </c>
      <c r="N44" s="49">
        <v>14</v>
      </c>
    </row>
    <row r="45" spans="1:15" ht="12.75" customHeight="1" thickBot="1" x14ac:dyDescent="0.35">
      <c r="A45" s="51" t="str">
        <f>VLOOKUP(A42,'10'!$B$9:$N$100,13,FALSE)</f>
        <v>G016</v>
      </c>
      <c r="B45" s="52" t="str">
        <f>A42</f>
        <v>LOCALIZACIÓN Y REPLANTEO DE ESTRUCTURAS DE ACUEDUCTOS (NO INCLUYE EQUIPO DE TOPOGRAFÍA)</v>
      </c>
      <c r="C45" s="53" t="s">
        <v>400</v>
      </c>
      <c r="D45" s="54" t="s">
        <v>418</v>
      </c>
      <c r="E45" s="55" t="s">
        <v>177</v>
      </c>
      <c r="F45" s="56">
        <f>H45+J45+L45+N45</f>
        <v>5165.5045752643746</v>
      </c>
      <c r="G45" s="55" t="s">
        <v>349</v>
      </c>
      <c r="H45" s="57">
        <f>M63</f>
        <v>124.0926995375</v>
      </c>
      <c r="I45" s="55" t="s">
        <v>402</v>
      </c>
      <c r="J45" s="58">
        <f>M54</f>
        <v>2431.7649999999999</v>
      </c>
      <c r="K45" s="55" t="s">
        <v>351</v>
      </c>
      <c r="L45" s="57">
        <f>M72</f>
        <v>127.79288497687499</v>
      </c>
      <c r="M45" s="55" t="s">
        <v>352</v>
      </c>
      <c r="N45" s="59">
        <f>M81</f>
        <v>2481.8539907499999</v>
      </c>
    </row>
    <row r="46" spans="1:15" ht="12.75" customHeight="1" thickBot="1" x14ac:dyDescent="0.3">
      <c r="A46" s="60"/>
      <c r="B46" s="60"/>
      <c r="C46" s="60"/>
      <c r="D46" s="60"/>
      <c r="E46" s="60"/>
      <c r="F46" s="60"/>
      <c r="G46" s="60"/>
      <c r="J46" s="60"/>
      <c r="K46" s="60"/>
      <c r="L46" s="327" t="s">
        <v>1934</v>
      </c>
      <c r="M46" s="328">
        <f>+F45*'01'!$O$16</f>
        <v>6685.6659947402068</v>
      </c>
      <c r="N46" s="60"/>
    </row>
    <row r="47" spans="1:15" ht="12.75" customHeight="1" x14ac:dyDescent="0.2">
      <c r="A47" s="716" t="s">
        <v>403</v>
      </c>
      <c r="B47" s="418"/>
      <c r="C47" s="418"/>
      <c r="D47" s="418"/>
      <c r="E47" s="418"/>
      <c r="F47" s="418"/>
      <c r="G47" s="418"/>
      <c r="H47" s="418"/>
      <c r="I47" s="418"/>
      <c r="J47" s="418"/>
      <c r="K47" s="418"/>
      <c r="L47" s="418"/>
      <c r="M47" s="418"/>
      <c r="N47" s="416"/>
    </row>
    <row r="48" spans="1:15" ht="12.75" customHeight="1" x14ac:dyDescent="0.2">
      <c r="A48" s="713" t="s">
        <v>39</v>
      </c>
      <c r="B48" s="418"/>
      <c r="C48" s="418"/>
      <c r="D48" s="418"/>
      <c r="E48" s="418"/>
      <c r="F48" s="418"/>
      <c r="G48" s="416"/>
      <c r="H48" s="61" t="s">
        <v>40</v>
      </c>
      <c r="I48" s="717" t="s">
        <v>404</v>
      </c>
      <c r="J48" s="416"/>
      <c r="K48" s="717" t="s">
        <v>184</v>
      </c>
      <c r="L48" s="416"/>
      <c r="M48" s="717" t="s">
        <v>405</v>
      </c>
      <c r="N48" s="416"/>
    </row>
    <row r="49" spans="1:14" ht="12.75" customHeight="1" x14ac:dyDescent="0.2">
      <c r="A49" s="714" t="s">
        <v>406</v>
      </c>
      <c r="B49" s="418"/>
      <c r="C49" s="418"/>
      <c r="D49" s="418"/>
      <c r="E49" s="418"/>
      <c r="F49" s="418"/>
      <c r="G49" s="416"/>
      <c r="H49" s="12" t="str">
        <f>IF(A49="","",VLOOKUP(A49,AA_Materiales,7,FALSE))</f>
        <v>Unidad</v>
      </c>
      <c r="I49" s="712">
        <f>IF(A49="","",VLOOKUP(A49,AA_Materiales,8,FALSE))</f>
        <v>3659.25</v>
      </c>
      <c r="J49" s="416"/>
      <c r="K49" s="715">
        <v>0.3</v>
      </c>
      <c r="L49" s="416"/>
      <c r="M49" s="712">
        <f t="shared" ref="M49:M53" si="4">IF(A49="","",I49*K49)</f>
        <v>1097.7749999999999</v>
      </c>
      <c r="N49" s="416"/>
    </row>
    <row r="50" spans="1:14" ht="12.75" customHeight="1" x14ac:dyDescent="0.2">
      <c r="A50" s="714" t="s">
        <v>407</v>
      </c>
      <c r="B50" s="418"/>
      <c r="C50" s="418"/>
      <c r="D50" s="418"/>
      <c r="E50" s="418"/>
      <c r="F50" s="418"/>
      <c r="G50" s="416"/>
      <c r="H50" s="12" t="str">
        <f>IF(A50="","",VLOOKUP(A50,AA_Materiales,7,FALSE))</f>
        <v>Galón</v>
      </c>
      <c r="I50" s="712">
        <f>IF(A50="","",VLOOKUP(A50,AA_Materiales,8,FALSE))</f>
        <v>134351</v>
      </c>
      <c r="J50" s="416"/>
      <c r="K50" s="715">
        <v>8.0000000000000002E-3</v>
      </c>
      <c r="L50" s="416"/>
      <c r="M50" s="712">
        <f t="shared" si="4"/>
        <v>1074.808</v>
      </c>
      <c r="N50" s="416"/>
    </row>
    <row r="51" spans="1:14" ht="12.75" customHeight="1" x14ac:dyDescent="0.2">
      <c r="A51" s="714" t="s">
        <v>408</v>
      </c>
      <c r="B51" s="418"/>
      <c r="C51" s="418"/>
      <c r="D51" s="418"/>
      <c r="E51" s="418"/>
      <c r="F51" s="418"/>
      <c r="G51" s="416"/>
      <c r="H51" s="12" t="str">
        <f>IF(A51="","",VLOOKUP(A51,AA_Materiales,7,FALSE))</f>
        <v>Libra</v>
      </c>
      <c r="I51" s="712">
        <f>IF(A51="","",VLOOKUP(A51,AA_Materiales,8,FALSE))</f>
        <v>5831</v>
      </c>
      <c r="J51" s="416"/>
      <c r="K51" s="715">
        <v>1.2E-2</v>
      </c>
      <c r="L51" s="416"/>
      <c r="M51" s="712">
        <f t="shared" si="4"/>
        <v>69.972000000000008</v>
      </c>
      <c r="N51" s="416"/>
    </row>
    <row r="52" spans="1:14" ht="12.75" customHeight="1" x14ac:dyDescent="0.2">
      <c r="A52" s="714" t="s">
        <v>419</v>
      </c>
      <c r="B52" s="418"/>
      <c r="C52" s="418"/>
      <c r="D52" s="418"/>
      <c r="E52" s="418"/>
      <c r="F52" s="418"/>
      <c r="G52" s="416"/>
      <c r="H52" s="12" t="str">
        <f>IF(A52="","",VLOOKUP(A52,AA_Materiales,7,FALSE))</f>
        <v>ml</v>
      </c>
      <c r="I52" s="712">
        <f>IF(A52="","",VLOOKUP(A52,AA_Materiales,8,FALSE))</f>
        <v>189.21</v>
      </c>
      <c r="J52" s="416"/>
      <c r="K52" s="715">
        <v>1</v>
      </c>
      <c r="L52" s="416"/>
      <c r="M52" s="712">
        <f t="shared" si="4"/>
        <v>189.21</v>
      </c>
      <c r="N52" s="416"/>
    </row>
    <row r="53" spans="1:14" ht="12.75" customHeight="1" x14ac:dyDescent="0.2">
      <c r="A53" s="714"/>
      <c r="B53" s="418"/>
      <c r="C53" s="418"/>
      <c r="D53" s="418"/>
      <c r="E53" s="418"/>
      <c r="F53" s="418"/>
      <c r="G53" s="416"/>
      <c r="H53" s="12" t="str">
        <f>IF(A53="","",VLOOKUP(A53,AA_Materiales,7,FALSE))</f>
        <v/>
      </c>
      <c r="I53" s="712" t="str">
        <f>IF(A53="","",VLOOKUP(A53,AA_Materiales,8,FALSE))</f>
        <v/>
      </c>
      <c r="J53" s="416"/>
      <c r="K53" s="715"/>
      <c r="L53" s="416"/>
      <c r="M53" s="712" t="str">
        <f t="shared" si="4"/>
        <v/>
      </c>
      <c r="N53" s="416"/>
    </row>
    <row r="54" spans="1:14" ht="12.75" customHeight="1" x14ac:dyDescent="0.25">
      <c r="A54" s="5"/>
      <c r="B54" s="5"/>
      <c r="C54" s="5"/>
      <c r="D54" s="5"/>
      <c r="E54" s="5"/>
      <c r="F54" s="5"/>
      <c r="G54" s="5"/>
      <c r="H54" s="5"/>
      <c r="I54" s="5"/>
      <c r="J54" s="5"/>
      <c r="K54" s="713" t="s">
        <v>261</v>
      </c>
      <c r="L54" s="416"/>
      <c r="M54" s="712">
        <f>SUM(M49:N53)</f>
        <v>2431.7649999999999</v>
      </c>
      <c r="N54" s="416"/>
    </row>
    <row r="55" spans="1:14" ht="12.75" customHeight="1" x14ac:dyDescent="0.25">
      <c r="A55" s="5"/>
      <c r="B55" s="5"/>
      <c r="C55" s="5"/>
      <c r="D55" s="5"/>
      <c r="E55" s="5"/>
      <c r="F55" s="5"/>
      <c r="G55" s="5"/>
      <c r="H55" s="5"/>
      <c r="I55" s="5"/>
      <c r="J55" s="5"/>
      <c r="K55" s="5"/>
      <c r="L55" s="5"/>
      <c r="M55" s="5"/>
      <c r="N55" s="5"/>
    </row>
    <row r="56" spans="1:14" ht="12.75" customHeight="1" x14ac:dyDescent="0.2">
      <c r="A56" s="716" t="s">
        <v>410</v>
      </c>
      <c r="B56" s="418"/>
      <c r="C56" s="418"/>
      <c r="D56" s="418"/>
      <c r="E56" s="418"/>
      <c r="F56" s="418"/>
      <c r="G56" s="418"/>
      <c r="H56" s="418"/>
      <c r="I56" s="418"/>
      <c r="J56" s="418"/>
      <c r="K56" s="418"/>
      <c r="L56" s="418"/>
      <c r="M56" s="418"/>
      <c r="N56" s="416"/>
    </row>
    <row r="57" spans="1:14" ht="12.75" customHeight="1" x14ac:dyDescent="0.2">
      <c r="A57" s="713" t="s">
        <v>39</v>
      </c>
      <c r="B57" s="418"/>
      <c r="C57" s="418"/>
      <c r="D57" s="418"/>
      <c r="E57" s="418"/>
      <c r="F57" s="418"/>
      <c r="G57" s="416"/>
      <c r="H57" s="61" t="s">
        <v>40</v>
      </c>
      <c r="I57" s="717" t="s">
        <v>404</v>
      </c>
      <c r="J57" s="416"/>
      <c r="K57" s="717" t="s">
        <v>184</v>
      </c>
      <c r="L57" s="416"/>
      <c r="M57" s="717" t="s">
        <v>405</v>
      </c>
      <c r="N57" s="416"/>
    </row>
    <row r="58" spans="1:14" ht="12.75" customHeight="1" x14ac:dyDescent="0.2">
      <c r="A58" s="714" t="s">
        <v>411</v>
      </c>
      <c r="B58" s="418"/>
      <c r="C58" s="418"/>
      <c r="D58" s="418"/>
      <c r="E58" s="418"/>
      <c r="F58" s="418"/>
      <c r="G58" s="416"/>
      <c r="H58" s="12" t="str">
        <f>IF(A58="","",VLOOKUP(A58,AA_Equipos,7,FALSE))</f>
        <v>% M.O.</v>
      </c>
      <c r="I58" s="712">
        <f>M81</f>
        <v>2481.8539907499999</v>
      </c>
      <c r="J58" s="416"/>
      <c r="K58" s="722">
        <v>0.05</v>
      </c>
      <c r="L58" s="416"/>
      <c r="M58" s="712">
        <f t="shared" ref="M58:M62" si="5">IF(A58="","",I58*K58)</f>
        <v>124.0926995375</v>
      </c>
      <c r="N58" s="416"/>
    </row>
    <row r="59" spans="1:14" ht="12.75" customHeight="1" x14ac:dyDescent="0.2">
      <c r="A59" s="719"/>
      <c r="B59" s="418"/>
      <c r="C59" s="418"/>
      <c r="D59" s="418"/>
      <c r="E59" s="418"/>
      <c r="F59" s="418"/>
      <c r="G59" s="416"/>
      <c r="H59" s="12" t="str">
        <f>IF(A59="","",VLOOKUP(A59,AA_Equipos,7,FALSE))</f>
        <v/>
      </c>
      <c r="I59" s="712" t="str">
        <f>IF(A59="","",VLOOKUP(A59,AA_Materiales,8,FALSE))</f>
        <v/>
      </c>
      <c r="J59" s="416"/>
      <c r="K59" s="723"/>
      <c r="L59" s="416"/>
      <c r="M59" s="712" t="str">
        <f t="shared" si="5"/>
        <v/>
      </c>
      <c r="N59" s="416"/>
    </row>
    <row r="60" spans="1:14" ht="12.75" customHeight="1" x14ac:dyDescent="0.2">
      <c r="A60" s="714"/>
      <c r="B60" s="418"/>
      <c r="C60" s="418"/>
      <c r="D60" s="418"/>
      <c r="E60" s="418"/>
      <c r="F60" s="418"/>
      <c r="G60" s="416"/>
      <c r="H60" s="12" t="str">
        <f>IF(A60="","",VLOOKUP(A60,AA_Equipos,7,FALSE))</f>
        <v/>
      </c>
      <c r="I60" s="712" t="str">
        <f>IF(A60="","",VLOOKUP(A60,AA_Materiales,8,FALSE))</f>
        <v/>
      </c>
      <c r="J60" s="416"/>
      <c r="K60" s="715"/>
      <c r="L60" s="416"/>
      <c r="M60" s="712" t="str">
        <f t="shared" si="5"/>
        <v/>
      </c>
      <c r="N60" s="416"/>
    </row>
    <row r="61" spans="1:14" ht="12.75" customHeight="1" x14ac:dyDescent="0.2">
      <c r="A61" s="714"/>
      <c r="B61" s="418"/>
      <c r="C61" s="418"/>
      <c r="D61" s="418"/>
      <c r="E61" s="418"/>
      <c r="F61" s="418"/>
      <c r="G61" s="416"/>
      <c r="H61" s="12" t="str">
        <f>IF(A61="","",VLOOKUP(A61,AA_Equipos,7,FALSE))</f>
        <v/>
      </c>
      <c r="I61" s="712" t="str">
        <f>IF(A61="","",VLOOKUP(A61,AA_Materiales,8,FALSE))</f>
        <v/>
      </c>
      <c r="J61" s="416"/>
      <c r="K61" s="715"/>
      <c r="L61" s="416"/>
      <c r="M61" s="712" t="str">
        <f t="shared" si="5"/>
        <v/>
      </c>
      <c r="N61" s="416"/>
    </row>
    <row r="62" spans="1:14" ht="12.75" customHeight="1" x14ac:dyDescent="0.2">
      <c r="A62" s="714"/>
      <c r="B62" s="418"/>
      <c r="C62" s="418"/>
      <c r="D62" s="418"/>
      <c r="E62" s="418"/>
      <c r="F62" s="418"/>
      <c r="G62" s="416"/>
      <c r="H62" s="12" t="str">
        <f>IF(A62="","",VLOOKUP(A62,AA_Equipos,7,FALSE))</f>
        <v/>
      </c>
      <c r="I62" s="712" t="str">
        <f>IF(A62="","",VLOOKUP(A62,AA_Materiales,8,FALSE))</f>
        <v/>
      </c>
      <c r="J62" s="416"/>
      <c r="K62" s="715"/>
      <c r="L62" s="416"/>
      <c r="M62" s="712" t="str">
        <f t="shared" si="5"/>
        <v/>
      </c>
      <c r="N62" s="416"/>
    </row>
    <row r="63" spans="1:14" ht="12.75" customHeight="1" x14ac:dyDescent="0.25">
      <c r="A63" s="5"/>
      <c r="B63" s="5"/>
      <c r="C63" s="5"/>
      <c r="D63" s="5"/>
      <c r="E63" s="5"/>
      <c r="F63" s="5"/>
      <c r="G63" s="5"/>
      <c r="H63" s="5"/>
      <c r="I63" s="5"/>
      <c r="J63" s="5"/>
      <c r="K63" s="713" t="s">
        <v>261</v>
      </c>
      <c r="L63" s="416"/>
      <c r="M63" s="712">
        <f>SUM(M58:N62)</f>
        <v>124.0926995375</v>
      </c>
      <c r="N63" s="416"/>
    </row>
    <row r="64" spans="1:14" ht="12.75" customHeight="1" x14ac:dyDescent="0.25">
      <c r="A64" s="5"/>
      <c r="B64" s="5"/>
      <c r="C64" s="5"/>
      <c r="D64" s="5"/>
      <c r="E64" s="5"/>
      <c r="F64" s="5"/>
      <c r="G64" s="5"/>
      <c r="H64" s="5"/>
      <c r="I64" s="5"/>
      <c r="J64" s="5"/>
      <c r="K64" s="5"/>
      <c r="L64" s="5"/>
      <c r="M64" s="5"/>
      <c r="N64" s="5"/>
    </row>
    <row r="65" spans="1:14" ht="12.75" customHeight="1" x14ac:dyDescent="0.2">
      <c r="A65" s="716" t="s">
        <v>413</v>
      </c>
      <c r="B65" s="418"/>
      <c r="C65" s="418"/>
      <c r="D65" s="418"/>
      <c r="E65" s="418"/>
      <c r="F65" s="418"/>
      <c r="G65" s="418"/>
      <c r="H65" s="418"/>
      <c r="I65" s="418"/>
      <c r="J65" s="418"/>
      <c r="K65" s="418"/>
      <c r="L65" s="418"/>
      <c r="M65" s="418"/>
      <c r="N65" s="416"/>
    </row>
    <row r="66" spans="1:14" ht="12.75" customHeight="1" x14ac:dyDescent="0.2">
      <c r="A66" s="713" t="s">
        <v>39</v>
      </c>
      <c r="B66" s="418"/>
      <c r="C66" s="418"/>
      <c r="D66" s="418"/>
      <c r="E66" s="418"/>
      <c r="F66" s="418"/>
      <c r="G66" s="416"/>
      <c r="H66" s="61" t="s">
        <v>40</v>
      </c>
      <c r="I66" s="717" t="s">
        <v>404</v>
      </c>
      <c r="J66" s="416"/>
      <c r="K66" s="717" t="s">
        <v>184</v>
      </c>
      <c r="L66" s="416"/>
      <c r="M66" s="717" t="s">
        <v>405</v>
      </c>
      <c r="N66" s="416"/>
    </row>
    <row r="67" spans="1:14" ht="12.75" customHeight="1" x14ac:dyDescent="0.2">
      <c r="A67" s="714" t="s">
        <v>414</v>
      </c>
      <c r="B67" s="418"/>
      <c r="C67" s="418"/>
      <c r="D67" s="418"/>
      <c r="E67" s="418"/>
      <c r="F67" s="418"/>
      <c r="G67" s="416"/>
      <c r="H67" s="12" t="s">
        <v>13</v>
      </c>
      <c r="I67" s="712">
        <f>M54+M63</f>
        <v>2555.8576995374997</v>
      </c>
      <c r="J67" s="416"/>
      <c r="K67" s="722">
        <v>0.05</v>
      </c>
      <c r="L67" s="416"/>
      <c r="M67" s="712">
        <f t="shared" ref="M67:M71" si="6">IF(A67="","",I67*K67)</f>
        <v>127.79288497687499</v>
      </c>
      <c r="N67" s="416"/>
    </row>
    <row r="68" spans="1:14" ht="12.75" customHeight="1" x14ac:dyDescent="0.2">
      <c r="A68" s="719"/>
      <c r="B68" s="418"/>
      <c r="C68" s="418"/>
      <c r="D68" s="418"/>
      <c r="E68" s="418"/>
      <c r="F68" s="418"/>
      <c r="G68" s="416"/>
      <c r="H68" s="12"/>
      <c r="I68" s="712"/>
      <c r="J68" s="416"/>
      <c r="K68" s="723"/>
      <c r="L68" s="416"/>
      <c r="M68" s="712" t="str">
        <f t="shared" si="6"/>
        <v/>
      </c>
      <c r="N68" s="416"/>
    </row>
    <row r="69" spans="1:14" ht="12.75" customHeight="1" x14ac:dyDescent="0.2">
      <c r="A69" s="714"/>
      <c r="B69" s="418"/>
      <c r="C69" s="418"/>
      <c r="D69" s="418"/>
      <c r="E69" s="418"/>
      <c r="F69" s="418"/>
      <c r="G69" s="416"/>
      <c r="H69" s="12"/>
      <c r="I69" s="712"/>
      <c r="J69" s="416"/>
      <c r="K69" s="715"/>
      <c r="L69" s="416"/>
      <c r="M69" s="712" t="str">
        <f t="shared" si="6"/>
        <v/>
      </c>
      <c r="N69" s="416"/>
    </row>
    <row r="70" spans="1:14" ht="12.75" customHeight="1" x14ac:dyDescent="0.2">
      <c r="A70" s="714"/>
      <c r="B70" s="418"/>
      <c r="C70" s="418"/>
      <c r="D70" s="418"/>
      <c r="E70" s="418"/>
      <c r="F70" s="418"/>
      <c r="G70" s="416"/>
      <c r="H70" s="12"/>
      <c r="I70" s="712"/>
      <c r="J70" s="416"/>
      <c r="K70" s="715"/>
      <c r="L70" s="416"/>
      <c r="M70" s="712" t="str">
        <f t="shared" si="6"/>
        <v/>
      </c>
      <c r="N70" s="416"/>
    </row>
    <row r="71" spans="1:14" ht="12.75" customHeight="1" x14ac:dyDescent="0.2">
      <c r="A71" s="714"/>
      <c r="B71" s="418"/>
      <c r="C71" s="418"/>
      <c r="D71" s="418"/>
      <c r="E71" s="418"/>
      <c r="F71" s="418"/>
      <c r="G71" s="416"/>
      <c r="H71" s="12"/>
      <c r="I71" s="712"/>
      <c r="J71" s="416"/>
      <c r="K71" s="715"/>
      <c r="L71" s="416"/>
      <c r="M71" s="712" t="str">
        <f t="shared" si="6"/>
        <v/>
      </c>
      <c r="N71" s="416"/>
    </row>
    <row r="72" spans="1:14" ht="12.75" customHeight="1" x14ac:dyDescent="0.25">
      <c r="A72" s="5"/>
      <c r="B72" s="5"/>
      <c r="C72" s="5"/>
      <c r="D72" s="5"/>
      <c r="E72" s="5"/>
      <c r="F72" s="5"/>
      <c r="G72" s="5"/>
      <c r="H72" s="5"/>
      <c r="I72" s="5"/>
      <c r="J72" s="5"/>
      <c r="K72" s="713" t="s">
        <v>261</v>
      </c>
      <c r="L72" s="416"/>
      <c r="M72" s="712">
        <f>SUM(M67:N71)</f>
        <v>127.79288497687499</v>
      </c>
      <c r="N72" s="416"/>
    </row>
    <row r="73" spans="1:14" ht="12.75" customHeight="1" x14ac:dyDescent="0.25">
      <c r="A73" s="5"/>
      <c r="B73" s="5"/>
      <c r="C73" s="5"/>
      <c r="D73" s="5"/>
      <c r="E73" s="5"/>
      <c r="F73" s="5"/>
      <c r="G73" s="5"/>
      <c r="H73" s="5"/>
      <c r="I73" s="5"/>
      <c r="J73" s="5"/>
      <c r="K73" s="5"/>
      <c r="L73" s="5"/>
      <c r="M73" s="5"/>
      <c r="N73" s="5"/>
    </row>
    <row r="74" spans="1:14" ht="12.75" customHeight="1" x14ac:dyDescent="0.2">
      <c r="A74" s="716" t="s">
        <v>415</v>
      </c>
      <c r="B74" s="418"/>
      <c r="C74" s="418"/>
      <c r="D74" s="418"/>
      <c r="E74" s="418"/>
      <c r="F74" s="418"/>
      <c r="G74" s="418"/>
      <c r="H74" s="418"/>
      <c r="I74" s="418"/>
      <c r="J74" s="418"/>
      <c r="K74" s="418"/>
      <c r="L74" s="418"/>
      <c r="M74" s="418"/>
      <c r="N74" s="416"/>
    </row>
    <row r="75" spans="1:14" ht="12.75" customHeight="1" x14ac:dyDescent="0.2">
      <c r="A75" s="713" t="s">
        <v>39</v>
      </c>
      <c r="B75" s="418"/>
      <c r="C75" s="418"/>
      <c r="D75" s="418"/>
      <c r="E75" s="418"/>
      <c r="F75" s="418"/>
      <c r="G75" s="416"/>
      <c r="H75" s="61" t="s">
        <v>40</v>
      </c>
      <c r="I75" s="717" t="s">
        <v>404</v>
      </c>
      <c r="J75" s="416"/>
      <c r="K75" s="64" t="s">
        <v>253</v>
      </c>
      <c r="L75" s="65" t="s">
        <v>416</v>
      </c>
      <c r="M75" s="717" t="s">
        <v>405</v>
      </c>
      <c r="N75" s="416"/>
    </row>
    <row r="76" spans="1:14" ht="12.75" customHeight="1" x14ac:dyDescent="0.25">
      <c r="A76" s="711" t="s">
        <v>417</v>
      </c>
      <c r="B76" s="418"/>
      <c r="C76" s="418"/>
      <c r="D76" s="418"/>
      <c r="E76" s="418"/>
      <c r="F76" s="418"/>
      <c r="G76" s="416"/>
      <c r="H76" s="12" t="str">
        <f>IF(A76="","",VLOOKUP(A76,AA_Cuadrillas,4,FALSE))</f>
        <v>Cuadrilla</v>
      </c>
      <c r="I76" s="712">
        <f>IF(A76="","",VLOOKUP(A76,AA_Cuadrillas,5,FALSE))</f>
        <v>262637</v>
      </c>
      <c r="J76" s="416"/>
      <c r="K76" s="3">
        <f>IF(A76="","",'04'!$I$2)</f>
        <v>1.88995</v>
      </c>
      <c r="L76" s="66">
        <v>5.0000000000000001E-3</v>
      </c>
      <c r="M76" s="712">
        <f t="shared" ref="M76:M80" si="7">IF(A76="","",I76*K76*L76)</f>
        <v>2481.8539907499999</v>
      </c>
      <c r="N76" s="416"/>
    </row>
    <row r="77" spans="1:14" ht="12.75" customHeight="1" x14ac:dyDescent="0.25">
      <c r="A77" s="711"/>
      <c r="B77" s="418"/>
      <c r="C77" s="418"/>
      <c r="D77" s="418"/>
      <c r="E77" s="418"/>
      <c r="F77" s="418"/>
      <c r="G77" s="416"/>
      <c r="H77" s="12" t="str">
        <f>IF(A77="","",VLOOKUP(A77,AA_Cuadrillas,4,FALSE))</f>
        <v/>
      </c>
      <c r="I77" s="712" t="str">
        <f>IF(A77="","",VLOOKUP(A77,AA_Cuadrillas,5,FALSE))</f>
        <v/>
      </c>
      <c r="J77" s="416"/>
      <c r="K77" s="3" t="str">
        <f>IF(A77="","",'04'!$I$2)</f>
        <v/>
      </c>
      <c r="L77" s="3"/>
      <c r="M77" s="712" t="str">
        <f t="shared" si="7"/>
        <v/>
      </c>
      <c r="N77" s="416"/>
    </row>
    <row r="78" spans="1:14" ht="12.75" customHeight="1" x14ac:dyDescent="0.25">
      <c r="A78" s="711"/>
      <c r="B78" s="418"/>
      <c r="C78" s="418"/>
      <c r="D78" s="418"/>
      <c r="E78" s="418"/>
      <c r="F78" s="418"/>
      <c r="G78" s="416"/>
      <c r="H78" s="12" t="str">
        <f>IF(A78="","",VLOOKUP(A78,AA_Cuadrillas,4,FALSE))</f>
        <v/>
      </c>
      <c r="I78" s="712" t="str">
        <f>IF(A78="","",VLOOKUP(A78,AA_Cuadrillas,5,FALSE))</f>
        <v/>
      </c>
      <c r="J78" s="416"/>
      <c r="K78" s="3" t="str">
        <f>IF(A78="","",'04'!$I$2)</f>
        <v/>
      </c>
      <c r="L78" s="13"/>
      <c r="M78" s="712" t="str">
        <f t="shared" si="7"/>
        <v/>
      </c>
      <c r="N78" s="416"/>
    </row>
    <row r="79" spans="1:14" ht="12.75" customHeight="1" x14ac:dyDescent="0.25">
      <c r="A79" s="711"/>
      <c r="B79" s="418"/>
      <c r="C79" s="418"/>
      <c r="D79" s="418"/>
      <c r="E79" s="418"/>
      <c r="F79" s="418"/>
      <c r="G79" s="416"/>
      <c r="H79" s="12" t="str">
        <f>IF(A79="","",VLOOKUP(A79,AA_Cuadrillas,4,FALSE))</f>
        <v/>
      </c>
      <c r="I79" s="712" t="str">
        <f>IF(A79="","",VLOOKUP(A79,AA_Cuadrillas,5,FALSE))</f>
        <v/>
      </c>
      <c r="J79" s="416"/>
      <c r="K79" s="3" t="str">
        <f>IF(A79="","",'04'!$I$2)</f>
        <v/>
      </c>
      <c r="L79" s="13"/>
      <c r="M79" s="712" t="str">
        <f t="shared" si="7"/>
        <v/>
      </c>
      <c r="N79" s="416"/>
    </row>
    <row r="80" spans="1:14" ht="12.75" customHeight="1" x14ac:dyDescent="0.25">
      <c r="A80" s="711"/>
      <c r="B80" s="418"/>
      <c r="C80" s="418"/>
      <c r="D80" s="418"/>
      <c r="E80" s="418"/>
      <c r="F80" s="418"/>
      <c r="G80" s="416"/>
      <c r="H80" s="12" t="str">
        <f>IF(A80="","",VLOOKUP(A80,AA_Cuadrillas,4,FALSE))</f>
        <v/>
      </c>
      <c r="I80" s="712" t="str">
        <f>IF(A80="","",VLOOKUP(A80,AA_Cuadrillas,5,FALSE))</f>
        <v/>
      </c>
      <c r="J80" s="416"/>
      <c r="K80" s="3" t="str">
        <f>IF(A80="","",'04'!$I$2)</f>
        <v/>
      </c>
      <c r="L80" s="13"/>
      <c r="M80" s="712" t="str">
        <f t="shared" si="7"/>
        <v/>
      </c>
      <c r="N80" s="416"/>
    </row>
    <row r="81" spans="1:16" ht="12.75" customHeight="1" x14ac:dyDescent="0.25">
      <c r="A81" s="5"/>
      <c r="B81" s="5"/>
      <c r="C81" s="5"/>
      <c r="D81" s="5"/>
      <c r="E81" s="5"/>
      <c r="F81" s="5"/>
      <c r="G81" s="5"/>
      <c r="H81" s="5"/>
      <c r="I81" s="5"/>
      <c r="J81" s="5"/>
      <c r="K81" s="713" t="s">
        <v>261</v>
      </c>
      <c r="L81" s="416"/>
      <c r="M81" s="712">
        <f>SUM(M76:N80)</f>
        <v>2481.8539907499999</v>
      </c>
      <c r="N81" s="416"/>
    </row>
    <row r="82" spans="1:16" ht="12.75" customHeight="1" x14ac:dyDescent="0.2"/>
    <row r="83" spans="1:16" ht="12.75" customHeight="1" x14ac:dyDescent="0.2">
      <c r="A83" s="784" t="s">
        <v>87</v>
      </c>
      <c r="B83" s="410"/>
      <c r="C83" s="410"/>
      <c r="D83" s="410"/>
      <c r="E83" s="410"/>
      <c r="F83" s="410"/>
      <c r="G83" s="410"/>
      <c r="H83" s="410"/>
      <c r="I83" s="410"/>
      <c r="J83" s="410"/>
      <c r="K83" s="410"/>
      <c r="L83" s="410"/>
      <c r="M83" s="410"/>
      <c r="N83" s="411"/>
      <c r="O83" s="272"/>
      <c r="P83" s="9"/>
    </row>
    <row r="84" spans="1:16" ht="12.75" customHeight="1" x14ac:dyDescent="0.2">
      <c r="A84" s="412"/>
      <c r="B84" s="413"/>
      <c r="C84" s="413"/>
      <c r="D84" s="413"/>
      <c r="E84" s="413"/>
      <c r="F84" s="413"/>
      <c r="G84" s="413"/>
      <c r="H84" s="413"/>
      <c r="I84" s="413"/>
      <c r="J84" s="413"/>
      <c r="K84" s="413"/>
      <c r="L84" s="413"/>
      <c r="M84" s="413"/>
      <c r="N84" s="414"/>
      <c r="O84" s="272"/>
      <c r="P84" s="9"/>
    </row>
    <row r="85" spans="1:16" ht="12.75" customHeight="1" x14ac:dyDescent="0.2">
      <c r="A85" s="49"/>
      <c r="B85" s="49"/>
      <c r="C85" s="49"/>
      <c r="D85" s="49"/>
      <c r="E85" s="49"/>
      <c r="F85" s="49"/>
      <c r="G85" s="49"/>
      <c r="H85" s="49"/>
      <c r="I85" s="49"/>
      <c r="J85" s="49"/>
      <c r="K85" s="49"/>
      <c r="L85" s="49"/>
      <c r="M85" s="49"/>
      <c r="N85" s="49"/>
    </row>
    <row r="86" spans="1:16" ht="12.75" customHeight="1" thickBot="1" x14ac:dyDescent="0.35">
      <c r="A86" s="51" t="str">
        <f>VLOOKUP(A83,'10'!$B$9:$N$100,13,FALSE)</f>
        <v>G017</v>
      </c>
      <c r="B86" s="52" t="str">
        <f>A83</f>
        <v>EXCAVACIÓN MANUAL EN MATERIAL COMÚN  (INCLUYE MANO DE OBRA, EQUIPOS Y MATERIALES)</v>
      </c>
      <c r="C86" s="53" t="s">
        <v>400</v>
      </c>
      <c r="D86" s="54" t="s">
        <v>420</v>
      </c>
      <c r="E86" s="55" t="s">
        <v>177</v>
      </c>
      <c r="F86" s="59">
        <f>H86+J86+L86+N86</f>
        <v>43203</v>
      </c>
      <c r="G86" s="55" t="s">
        <v>349</v>
      </c>
      <c r="H86" s="59">
        <f>M104</f>
        <v>2057.2857142857142</v>
      </c>
      <c r="I86" s="55" t="s">
        <v>402</v>
      </c>
      <c r="J86" s="59">
        <f>M95</f>
        <v>0</v>
      </c>
      <c r="K86" s="55" t="s">
        <v>351</v>
      </c>
      <c r="L86" s="59">
        <f>M113</f>
        <v>0</v>
      </c>
      <c r="M86" s="55" t="s">
        <v>352</v>
      </c>
      <c r="N86" s="59">
        <f>M122</f>
        <v>41145.714285714283</v>
      </c>
    </row>
    <row r="87" spans="1:16" ht="12.75" customHeight="1" thickBot="1" x14ac:dyDescent="0.3">
      <c r="A87" s="60"/>
      <c r="B87" s="60"/>
      <c r="C87" s="60"/>
      <c r="D87" s="60"/>
      <c r="E87" s="60"/>
      <c r="F87" s="60"/>
      <c r="G87" s="60"/>
      <c r="J87" s="60"/>
      <c r="K87" s="60"/>
      <c r="L87" s="327" t="s">
        <v>1934</v>
      </c>
      <c r="M87" s="328">
        <f>+F86*'01'!$O$16</f>
        <v>55917.2533413114</v>
      </c>
      <c r="N87" s="60"/>
    </row>
    <row r="88" spans="1:16" ht="12.75" customHeight="1" x14ac:dyDescent="0.2">
      <c r="A88" s="716" t="s">
        <v>403</v>
      </c>
      <c r="B88" s="418"/>
      <c r="C88" s="418"/>
      <c r="D88" s="418"/>
      <c r="E88" s="418"/>
      <c r="F88" s="418"/>
      <c r="G88" s="418"/>
      <c r="H88" s="418"/>
      <c r="I88" s="418"/>
      <c r="J88" s="418"/>
      <c r="K88" s="418"/>
      <c r="L88" s="418"/>
      <c r="M88" s="418"/>
      <c r="N88" s="416"/>
    </row>
    <row r="89" spans="1:16" ht="12.75" customHeight="1" x14ac:dyDescent="0.2">
      <c r="A89" s="713" t="s">
        <v>39</v>
      </c>
      <c r="B89" s="418"/>
      <c r="C89" s="418"/>
      <c r="D89" s="418"/>
      <c r="E89" s="418"/>
      <c r="F89" s="418"/>
      <c r="G89" s="416"/>
      <c r="H89" s="61" t="s">
        <v>40</v>
      </c>
      <c r="I89" s="717" t="s">
        <v>404</v>
      </c>
      <c r="J89" s="416"/>
      <c r="K89" s="717" t="s">
        <v>184</v>
      </c>
      <c r="L89" s="416"/>
      <c r="M89" s="717" t="s">
        <v>405</v>
      </c>
      <c r="N89" s="416"/>
    </row>
    <row r="90" spans="1:16" ht="12.75" customHeight="1" x14ac:dyDescent="0.2">
      <c r="A90" s="714"/>
      <c r="B90" s="418"/>
      <c r="C90" s="418"/>
      <c r="D90" s="418"/>
      <c r="E90" s="418"/>
      <c r="F90" s="418"/>
      <c r="G90" s="416"/>
      <c r="H90" s="12" t="str">
        <f>IF(A90="","",VLOOKUP(A90,AA_Materiales,7,FALSE))</f>
        <v/>
      </c>
      <c r="I90" s="712" t="str">
        <f>IF(A90="","",VLOOKUP(A90,AA_Materiales,8,FALSE))</f>
        <v/>
      </c>
      <c r="J90" s="416"/>
      <c r="K90" s="715"/>
      <c r="L90" s="416"/>
      <c r="M90" s="712" t="str">
        <f t="shared" ref="M90:M94" si="8">IF(A90="","",I90*K90)</f>
        <v/>
      </c>
      <c r="N90" s="416"/>
    </row>
    <row r="91" spans="1:16" ht="12.75" customHeight="1" x14ac:dyDescent="0.2">
      <c r="A91" s="714"/>
      <c r="B91" s="418"/>
      <c r="C91" s="418"/>
      <c r="D91" s="418"/>
      <c r="E91" s="418"/>
      <c r="F91" s="418"/>
      <c r="G91" s="416"/>
      <c r="H91" s="12" t="str">
        <f>IF(A91="","",VLOOKUP(A91,AA_Materiales,7,FALSE))</f>
        <v/>
      </c>
      <c r="I91" s="712" t="str">
        <f>IF(A91="","",VLOOKUP(A91,AA_Materiales,8,FALSE))</f>
        <v/>
      </c>
      <c r="J91" s="416"/>
      <c r="K91" s="715"/>
      <c r="L91" s="416"/>
      <c r="M91" s="712" t="str">
        <f t="shared" si="8"/>
        <v/>
      </c>
      <c r="N91" s="416"/>
    </row>
    <row r="92" spans="1:16" ht="12.75" customHeight="1" x14ac:dyDescent="0.2">
      <c r="A92" s="714"/>
      <c r="B92" s="418"/>
      <c r="C92" s="418"/>
      <c r="D92" s="418"/>
      <c r="E92" s="418"/>
      <c r="F92" s="418"/>
      <c r="G92" s="416"/>
      <c r="H92" s="12" t="str">
        <f>IF(A92="","",VLOOKUP(A92,AA_Materiales,7,FALSE))</f>
        <v/>
      </c>
      <c r="I92" s="712" t="str">
        <f>IF(A92="","",VLOOKUP(A92,AA_Materiales,8,FALSE))</f>
        <v/>
      </c>
      <c r="J92" s="416"/>
      <c r="K92" s="715"/>
      <c r="L92" s="416"/>
      <c r="M92" s="712" t="str">
        <f t="shared" si="8"/>
        <v/>
      </c>
      <c r="N92" s="416"/>
    </row>
    <row r="93" spans="1:16" ht="12.75" customHeight="1" x14ac:dyDescent="0.2">
      <c r="A93" s="714"/>
      <c r="B93" s="418"/>
      <c r="C93" s="418"/>
      <c r="D93" s="418"/>
      <c r="E93" s="418"/>
      <c r="F93" s="418"/>
      <c r="G93" s="416"/>
      <c r="H93" s="12" t="str">
        <f>IF(A93="","",VLOOKUP(A93,AA_Materiales,7,FALSE))</f>
        <v/>
      </c>
      <c r="I93" s="712" t="str">
        <f>IF(A93="","",VLOOKUP(A93,AA_Materiales,8,FALSE))</f>
        <v/>
      </c>
      <c r="J93" s="416"/>
      <c r="K93" s="715"/>
      <c r="L93" s="416"/>
      <c r="M93" s="712" t="str">
        <f t="shared" si="8"/>
        <v/>
      </c>
      <c r="N93" s="416"/>
    </row>
    <row r="94" spans="1:16" ht="12.75" customHeight="1" x14ac:dyDescent="0.2">
      <c r="A94" s="714"/>
      <c r="B94" s="418"/>
      <c r="C94" s="418"/>
      <c r="D94" s="418"/>
      <c r="E94" s="418"/>
      <c r="F94" s="418"/>
      <c r="G94" s="416"/>
      <c r="H94" s="12" t="str">
        <f>IF(A94="","",VLOOKUP(A94,AA_Materiales,7,FALSE))</f>
        <v/>
      </c>
      <c r="I94" s="712" t="str">
        <f>IF(A94="","",VLOOKUP(A94,AA_Materiales,8,FALSE))</f>
        <v/>
      </c>
      <c r="J94" s="416"/>
      <c r="K94" s="715"/>
      <c r="L94" s="416"/>
      <c r="M94" s="712" t="str">
        <f t="shared" si="8"/>
        <v/>
      </c>
      <c r="N94" s="416"/>
    </row>
    <row r="95" spans="1:16" ht="12.75" customHeight="1" x14ac:dyDescent="0.25">
      <c r="A95" s="5"/>
      <c r="B95" s="5"/>
      <c r="C95" s="5"/>
      <c r="D95" s="5"/>
      <c r="E95" s="5"/>
      <c r="F95" s="5"/>
      <c r="G95" s="5"/>
      <c r="H95" s="5"/>
      <c r="I95" s="5"/>
      <c r="J95" s="5"/>
      <c r="K95" s="713" t="s">
        <v>261</v>
      </c>
      <c r="L95" s="416"/>
      <c r="M95" s="712">
        <f>SUM(M90:N94)</f>
        <v>0</v>
      </c>
      <c r="N95" s="416"/>
    </row>
    <row r="96" spans="1:16" ht="12.75" customHeight="1" x14ac:dyDescent="0.25">
      <c r="A96" s="5"/>
      <c r="B96" s="5"/>
      <c r="C96" s="5"/>
      <c r="D96" s="5"/>
      <c r="E96" s="5"/>
      <c r="F96" s="5"/>
      <c r="G96" s="5"/>
      <c r="H96" s="5"/>
      <c r="I96" s="5"/>
      <c r="J96" s="5"/>
      <c r="K96" s="5"/>
      <c r="L96" s="5"/>
      <c r="M96" s="5"/>
      <c r="N96" s="5"/>
    </row>
    <row r="97" spans="1:14" ht="12.75" customHeight="1" x14ac:dyDescent="0.2">
      <c r="A97" s="716" t="s">
        <v>410</v>
      </c>
      <c r="B97" s="418"/>
      <c r="C97" s="418"/>
      <c r="D97" s="418"/>
      <c r="E97" s="418"/>
      <c r="F97" s="418"/>
      <c r="G97" s="418"/>
      <c r="H97" s="418"/>
      <c r="I97" s="418"/>
      <c r="J97" s="418"/>
      <c r="K97" s="418"/>
      <c r="L97" s="418"/>
      <c r="M97" s="418"/>
      <c r="N97" s="416"/>
    </row>
    <row r="98" spans="1:14" ht="12.75" customHeight="1" x14ac:dyDescent="0.2">
      <c r="A98" s="713" t="s">
        <v>39</v>
      </c>
      <c r="B98" s="418"/>
      <c r="C98" s="418"/>
      <c r="D98" s="418"/>
      <c r="E98" s="418"/>
      <c r="F98" s="418"/>
      <c r="G98" s="416"/>
      <c r="H98" s="61" t="s">
        <v>40</v>
      </c>
      <c r="I98" s="717" t="s">
        <v>404</v>
      </c>
      <c r="J98" s="416"/>
      <c r="K98" s="717" t="s">
        <v>184</v>
      </c>
      <c r="L98" s="416"/>
      <c r="M98" s="717" t="s">
        <v>405</v>
      </c>
      <c r="N98" s="416"/>
    </row>
    <row r="99" spans="1:14" ht="12.75" customHeight="1" x14ac:dyDescent="0.2">
      <c r="A99" s="714" t="s">
        <v>411</v>
      </c>
      <c r="B99" s="418"/>
      <c r="C99" s="418"/>
      <c r="D99" s="418"/>
      <c r="E99" s="418"/>
      <c r="F99" s="418"/>
      <c r="G99" s="416"/>
      <c r="H99" s="12" t="str">
        <f>IF(A99="","",VLOOKUP(A99,AA_Equipos,7,FALSE))</f>
        <v>% M.O.</v>
      </c>
      <c r="I99" s="712">
        <f>M122</f>
        <v>41145.714285714283</v>
      </c>
      <c r="J99" s="416"/>
      <c r="K99" s="722">
        <v>0.05</v>
      </c>
      <c r="L99" s="416"/>
      <c r="M99" s="712">
        <f t="shared" ref="M99:M103" si="9">IF(A99="","",I99*K99)</f>
        <v>2057.2857142857142</v>
      </c>
      <c r="N99" s="416"/>
    </row>
    <row r="100" spans="1:14" ht="12.75" customHeight="1" x14ac:dyDescent="0.2">
      <c r="A100" s="719"/>
      <c r="B100" s="418"/>
      <c r="C100" s="418"/>
      <c r="D100" s="418"/>
      <c r="E100" s="418"/>
      <c r="F100" s="418"/>
      <c r="G100" s="416"/>
      <c r="H100" s="12" t="str">
        <f>IF(A100="","",VLOOKUP(A100,AA_Equipos,7,FALSE))</f>
        <v/>
      </c>
      <c r="I100" s="712" t="str">
        <f>IF(A100="","",VLOOKUP(A100,AA_Equipos,8,FALSE))</f>
        <v/>
      </c>
      <c r="J100" s="416"/>
      <c r="K100" s="723"/>
      <c r="L100" s="416"/>
      <c r="M100" s="712" t="str">
        <f t="shared" si="9"/>
        <v/>
      </c>
      <c r="N100" s="416"/>
    </row>
    <row r="101" spans="1:14" ht="12.75" customHeight="1" x14ac:dyDescent="0.2">
      <c r="A101" s="714"/>
      <c r="B101" s="418"/>
      <c r="C101" s="418"/>
      <c r="D101" s="418"/>
      <c r="E101" s="418"/>
      <c r="F101" s="418"/>
      <c r="G101" s="416"/>
      <c r="H101" s="12" t="str">
        <f>IF(A101="","",VLOOKUP(A101,AA_Equipos,7,FALSE))</f>
        <v/>
      </c>
      <c r="I101" s="712" t="str">
        <f>IF(A101="","",VLOOKUP(A101,AA_Equipos,8,FALSE))</f>
        <v/>
      </c>
      <c r="J101" s="416"/>
      <c r="K101" s="715"/>
      <c r="L101" s="416"/>
      <c r="M101" s="712" t="str">
        <f t="shared" si="9"/>
        <v/>
      </c>
      <c r="N101" s="416"/>
    </row>
    <row r="102" spans="1:14" ht="12.75" customHeight="1" x14ac:dyDescent="0.2">
      <c r="A102" s="714"/>
      <c r="B102" s="418"/>
      <c r="C102" s="418"/>
      <c r="D102" s="418"/>
      <c r="E102" s="418"/>
      <c r="F102" s="418"/>
      <c r="G102" s="416"/>
      <c r="H102" s="12" t="str">
        <f>IF(A102="","",VLOOKUP(A102,AA_Equipos,7,FALSE))</f>
        <v/>
      </c>
      <c r="I102" s="712" t="str">
        <f>IF(A102="","",VLOOKUP(A102,AA_Equipos,8,FALSE))</f>
        <v/>
      </c>
      <c r="J102" s="416"/>
      <c r="K102" s="715"/>
      <c r="L102" s="416"/>
      <c r="M102" s="712" t="str">
        <f t="shared" si="9"/>
        <v/>
      </c>
      <c r="N102" s="416"/>
    </row>
    <row r="103" spans="1:14" ht="12.75" customHeight="1" x14ac:dyDescent="0.2">
      <c r="A103" s="714"/>
      <c r="B103" s="418"/>
      <c r="C103" s="418"/>
      <c r="D103" s="418"/>
      <c r="E103" s="418"/>
      <c r="F103" s="418"/>
      <c r="G103" s="416"/>
      <c r="H103" s="12" t="str">
        <f>IF(A103="","",VLOOKUP(A103,AA_Equipos,7,FALSE))</f>
        <v/>
      </c>
      <c r="I103" s="712" t="str">
        <f>IF(A103="","",VLOOKUP(A103,AA_Equipos,8,FALSE))</f>
        <v/>
      </c>
      <c r="J103" s="416"/>
      <c r="K103" s="715"/>
      <c r="L103" s="416"/>
      <c r="M103" s="712" t="str">
        <f t="shared" si="9"/>
        <v/>
      </c>
      <c r="N103" s="416"/>
    </row>
    <row r="104" spans="1:14" ht="12.75" customHeight="1" x14ac:dyDescent="0.25">
      <c r="A104" s="5"/>
      <c r="B104" s="5"/>
      <c r="C104" s="5"/>
      <c r="D104" s="5"/>
      <c r="E104" s="5"/>
      <c r="F104" s="5"/>
      <c r="G104" s="5"/>
      <c r="H104" s="5"/>
      <c r="I104" s="5"/>
      <c r="J104" s="5"/>
      <c r="K104" s="713" t="s">
        <v>261</v>
      </c>
      <c r="L104" s="416"/>
      <c r="M104" s="712">
        <f>SUM(M99:N103)</f>
        <v>2057.2857142857142</v>
      </c>
      <c r="N104" s="416"/>
    </row>
    <row r="105" spans="1:14" ht="12.75" customHeight="1" x14ac:dyDescent="0.25">
      <c r="A105" s="5"/>
      <c r="B105" s="5"/>
      <c r="C105" s="5"/>
      <c r="D105" s="5"/>
      <c r="E105" s="5"/>
      <c r="F105" s="5"/>
      <c r="G105" s="5"/>
      <c r="H105" s="5"/>
      <c r="I105" s="5"/>
      <c r="J105" s="5"/>
      <c r="K105" s="5"/>
      <c r="L105" s="5"/>
      <c r="M105" s="5"/>
      <c r="N105" s="5"/>
    </row>
    <row r="106" spans="1:14" ht="12.75" customHeight="1" x14ac:dyDescent="0.2">
      <c r="A106" s="716" t="s">
        <v>413</v>
      </c>
      <c r="B106" s="418"/>
      <c r="C106" s="418"/>
      <c r="D106" s="418"/>
      <c r="E106" s="418"/>
      <c r="F106" s="418"/>
      <c r="G106" s="418"/>
      <c r="H106" s="418"/>
      <c r="I106" s="418"/>
      <c r="J106" s="418"/>
      <c r="K106" s="418"/>
      <c r="L106" s="418"/>
      <c r="M106" s="418"/>
      <c r="N106" s="416"/>
    </row>
    <row r="107" spans="1:14" ht="12.75" customHeight="1" x14ac:dyDescent="0.2">
      <c r="A107" s="713" t="s">
        <v>39</v>
      </c>
      <c r="B107" s="418"/>
      <c r="C107" s="418"/>
      <c r="D107" s="418"/>
      <c r="E107" s="418"/>
      <c r="F107" s="418"/>
      <c r="G107" s="416"/>
      <c r="H107" s="61" t="s">
        <v>40</v>
      </c>
      <c r="I107" s="717" t="s">
        <v>404</v>
      </c>
      <c r="J107" s="416"/>
      <c r="K107" s="717" t="s">
        <v>184</v>
      </c>
      <c r="L107" s="416"/>
      <c r="M107" s="717" t="s">
        <v>405</v>
      </c>
      <c r="N107" s="416"/>
    </row>
    <row r="108" spans="1:14" ht="12.75" customHeight="1" x14ac:dyDescent="0.2">
      <c r="A108" s="714"/>
      <c r="B108" s="418"/>
      <c r="C108" s="418"/>
      <c r="D108" s="418"/>
      <c r="E108" s="418"/>
      <c r="F108" s="418"/>
      <c r="G108" s="416"/>
      <c r="H108" s="12"/>
      <c r="I108" s="712"/>
      <c r="J108" s="416"/>
      <c r="K108" s="722"/>
      <c r="L108" s="416"/>
      <c r="M108" s="712" t="str">
        <f t="shared" ref="M108:M112" si="10">IF(A108="","",I108*K108)</f>
        <v/>
      </c>
      <c r="N108" s="416"/>
    </row>
    <row r="109" spans="1:14" ht="12.75" customHeight="1" x14ac:dyDescent="0.2">
      <c r="A109" s="719"/>
      <c r="B109" s="418"/>
      <c r="C109" s="418"/>
      <c r="D109" s="418"/>
      <c r="E109" s="418"/>
      <c r="F109" s="418"/>
      <c r="G109" s="416"/>
      <c r="H109" s="12"/>
      <c r="I109" s="712"/>
      <c r="J109" s="416"/>
      <c r="K109" s="723"/>
      <c r="L109" s="416"/>
      <c r="M109" s="712" t="str">
        <f t="shared" si="10"/>
        <v/>
      </c>
      <c r="N109" s="416"/>
    </row>
    <row r="110" spans="1:14" ht="12.75" customHeight="1" x14ac:dyDescent="0.2">
      <c r="A110" s="714"/>
      <c r="B110" s="418"/>
      <c r="C110" s="418"/>
      <c r="D110" s="418"/>
      <c r="E110" s="418"/>
      <c r="F110" s="418"/>
      <c r="G110" s="416"/>
      <c r="H110" s="12"/>
      <c r="I110" s="712"/>
      <c r="J110" s="416"/>
      <c r="K110" s="715"/>
      <c r="L110" s="416"/>
      <c r="M110" s="712" t="str">
        <f t="shared" si="10"/>
        <v/>
      </c>
      <c r="N110" s="416"/>
    </row>
    <row r="111" spans="1:14" ht="12.75" customHeight="1" x14ac:dyDescent="0.2">
      <c r="A111" s="714"/>
      <c r="B111" s="418"/>
      <c r="C111" s="418"/>
      <c r="D111" s="418"/>
      <c r="E111" s="418"/>
      <c r="F111" s="418"/>
      <c r="G111" s="416"/>
      <c r="H111" s="12"/>
      <c r="I111" s="712"/>
      <c r="J111" s="416"/>
      <c r="K111" s="715"/>
      <c r="L111" s="416"/>
      <c r="M111" s="712" t="str">
        <f t="shared" si="10"/>
        <v/>
      </c>
      <c r="N111" s="416"/>
    </row>
    <row r="112" spans="1:14" ht="12.75" customHeight="1" x14ac:dyDescent="0.2">
      <c r="A112" s="714"/>
      <c r="B112" s="418"/>
      <c r="C112" s="418"/>
      <c r="D112" s="418"/>
      <c r="E112" s="418"/>
      <c r="F112" s="418"/>
      <c r="G112" s="416"/>
      <c r="H112" s="12"/>
      <c r="I112" s="712"/>
      <c r="J112" s="416"/>
      <c r="K112" s="715"/>
      <c r="L112" s="416"/>
      <c r="M112" s="712" t="str">
        <f t="shared" si="10"/>
        <v/>
      </c>
      <c r="N112" s="416"/>
    </row>
    <row r="113" spans="1:16" ht="12.75" customHeight="1" x14ac:dyDescent="0.25">
      <c r="A113" s="5"/>
      <c r="B113" s="5"/>
      <c r="C113" s="5"/>
      <c r="D113" s="5"/>
      <c r="E113" s="5"/>
      <c r="F113" s="5"/>
      <c r="G113" s="5"/>
      <c r="H113" s="5"/>
      <c r="I113" s="5"/>
      <c r="J113" s="5"/>
      <c r="K113" s="713" t="s">
        <v>261</v>
      </c>
      <c r="L113" s="416"/>
      <c r="M113" s="712">
        <f>SUM(M108:N112)</f>
        <v>0</v>
      </c>
      <c r="N113" s="416"/>
    </row>
    <row r="114" spans="1:16" ht="12.75" customHeight="1" x14ac:dyDescent="0.25">
      <c r="A114" s="5"/>
      <c r="B114" s="5"/>
      <c r="C114" s="5"/>
      <c r="D114" s="5"/>
      <c r="E114" s="5"/>
      <c r="F114" s="5"/>
      <c r="G114" s="5"/>
      <c r="H114" s="5"/>
      <c r="I114" s="5"/>
      <c r="J114" s="5"/>
      <c r="K114" s="5"/>
      <c r="L114" s="5"/>
      <c r="M114" s="5"/>
      <c r="N114" s="5"/>
    </row>
    <row r="115" spans="1:16" ht="12.75" customHeight="1" x14ac:dyDescent="0.2">
      <c r="A115" s="716" t="s">
        <v>415</v>
      </c>
      <c r="B115" s="418"/>
      <c r="C115" s="418"/>
      <c r="D115" s="418"/>
      <c r="E115" s="418"/>
      <c r="F115" s="418"/>
      <c r="G115" s="418"/>
      <c r="H115" s="418"/>
      <c r="I115" s="418"/>
      <c r="J115" s="418"/>
      <c r="K115" s="418"/>
      <c r="L115" s="418"/>
      <c r="M115" s="418"/>
      <c r="N115" s="416"/>
    </row>
    <row r="116" spans="1:16" ht="12.75" customHeight="1" x14ac:dyDescent="0.2">
      <c r="A116" s="713" t="s">
        <v>39</v>
      </c>
      <c r="B116" s="418"/>
      <c r="C116" s="418"/>
      <c r="D116" s="418"/>
      <c r="E116" s="418"/>
      <c r="F116" s="418"/>
      <c r="G116" s="416"/>
      <c r="H116" s="61" t="s">
        <v>40</v>
      </c>
      <c r="I116" s="717" t="s">
        <v>404</v>
      </c>
      <c r="J116" s="416"/>
      <c r="K116" s="64" t="s">
        <v>253</v>
      </c>
      <c r="L116" s="65" t="s">
        <v>416</v>
      </c>
      <c r="M116" s="717" t="s">
        <v>405</v>
      </c>
      <c r="N116" s="416"/>
    </row>
    <row r="117" spans="1:16" ht="12.75" customHeight="1" x14ac:dyDescent="0.25">
      <c r="A117" s="711" t="s">
        <v>421</v>
      </c>
      <c r="B117" s="418"/>
      <c r="C117" s="418"/>
      <c r="D117" s="418"/>
      <c r="E117" s="418"/>
      <c r="F117" s="418"/>
      <c r="G117" s="416"/>
      <c r="H117" s="12" t="str">
        <f>IF(A117="","",VLOOKUP(A117,AA_Cuadrillas,4,FALSE))</f>
        <v>Cuadrilla</v>
      </c>
      <c r="I117" s="712">
        <f>IF(A117="","",VLOOKUP(A117,AA_Cuadrillas,5,FALSE))</f>
        <v>70036</v>
      </c>
      <c r="J117" s="416"/>
      <c r="K117" s="3">
        <f>IF(A117="","",'04'!$I$2)</f>
        <v>1.88995</v>
      </c>
      <c r="L117" s="66">
        <v>0.31085149274304863</v>
      </c>
      <c r="M117" s="712">
        <f t="shared" ref="M117:M121" si="11">IF(A117="","",I117*K117*L117)</f>
        <v>41145.714285714283</v>
      </c>
      <c r="N117" s="416"/>
    </row>
    <row r="118" spans="1:16" ht="12.75" customHeight="1" x14ac:dyDescent="0.25">
      <c r="A118" s="711"/>
      <c r="B118" s="418"/>
      <c r="C118" s="418"/>
      <c r="D118" s="418"/>
      <c r="E118" s="418"/>
      <c r="F118" s="418"/>
      <c r="G118" s="416"/>
      <c r="H118" s="12" t="str">
        <f>IF(A118="","",VLOOKUP(A118,AA_Cuadrillas,4,FALSE))</f>
        <v/>
      </c>
      <c r="I118" s="712" t="str">
        <f>IF(A118="","",VLOOKUP(A118,AA_Cuadrillas,5,FALSE))</f>
        <v/>
      </c>
      <c r="J118" s="416"/>
      <c r="K118" s="3" t="str">
        <f>IF(A118="","",'04'!$I$2)</f>
        <v/>
      </c>
      <c r="L118" s="3"/>
      <c r="M118" s="712" t="str">
        <f t="shared" si="11"/>
        <v/>
      </c>
      <c r="N118" s="416"/>
    </row>
    <row r="119" spans="1:16" ht="12.75" customHeight="1" x14ac:dyDescent="0.25">
      <c r="A119" s="711"/>
      <c r="B119" s="418"/>
      <c r="C119" s="418"/>
      <c r="D119" s="418"/>
      <c r="E119" s="418"/>
      <c r="F119" s="418"/>
      <c r="G119" s="416"/>
      <c r="H119" s="12" t="str">
        <f>IF(A119="","",VLOOKUP(A119,AA_Cuadrillas,4,FALSE))</f>
        <v/>
      </c>
      <c r="I119" s="712"/>
      <c r="J119" s="416"/>
      <c r="K119" s="3" t="str">
        <f>IF(A119="","",'04'!$I$2)</f>
        <v/>
      </c>
      <c r="L119" s="13"/>
      <c r="M119" s="712" t="str">
        <f t="shared" si="11"/>
        <v/>
      </c>
      <c r="N119" s="416"/>
    </row>
    <row r="120" spans="1:16" ht="12.75" customHeight="1" x14ac:dyDescent="0.25">
      <c r="A120" s="711"/>
      <c r="B120" s="418"/>
      <c r="C120" s="418"/>
      <c r="D120" s="418"/>
      <c r="E120" s="418"/>
      <c r="F120" s="418"/>
      <c r="G120" s="416"/>
      <c r="H120" s="12" t="str">
        <f>IF(A120="","",VLOOKUP(A120,AA_Cuadrillas,4,FALSE))</f>
        <v/>
      </c>
      <c r="I120" s="712" t="str">
        <f>IF(A120="","",VLOOKUP(A120,AA_Cuadrillas,5,FALSE))</f>
        <v/>
      </c>
      <c r="J120" s="416"/>
      <c r="K120" s="3" t="str">
        <f>IF(A120="","",'04'!$I$2)</f>
        <v/>
      </c>
      <c r="L120" s="13"/>
      <c r="M120" s="712" t="str">
        <f t="shared" si="11"/>
        <v/>
      </c>
      <c r="N120" s="416"/>
    </row>
    <row r="121" spans="1:16" ht="12.75" customHeight="1" x14ac:dyDescent="0.25">
      <c r="A121" s="711"/>
      <c r="B121" s="418"/>
      <c r="C121" s="418"/>
      <c r="D121" s="418"/>
      <c r="E121" s="418"/>
      <c r="F121" s="418"/>
      <c r="G121" s="416"/>
      <c r="H121" s="12" t="str">
        <f>IF(A121="","",VLOOKUP(A121,AA_Cuadrillas,4,FALSE))</f>
        <v/>
      </c>
      <c r="I121" s="712" t="str">
        <f>IF(A121="","",VLOOKUP(A121,AA_Cuadrillas,5,FALSE))</f>
        <v/>
      </c>
      <c r="J121" s="416"/>
      <c r="K121" s="3" t="str">
        <f>IF(A121="","",'04'!$I$2)</f>
        <v/>
      </c>
      <c r="L121" s="13"/>
      <c r="M121" s="712" t="str">
        <f t="shared" si="11"/>
        <v/>
      </c>
      <c r="N121" s="416"/>
    </row>
    <row r="122" spans="1:16" ht="12.75" customHeight="1" x14ac:dyDescent="0.25">
      <c r="A122" s="5"/>
      <c r="B122" s="5"/>
      <c r="C122" s="5"/>
      <c r="D122" s="5"/>
      <c r="E122" s="5"/>
      <c r="F122" s="5"/>
      <c r="G122" s="5"/>
      <c r="H122" s="5"/>
      <c r="I122" s="5"/>
      <c r="J122" s="5"/>
      <c r="K122" s="713" t="s">
        <v>261</v>
      </c>
      <c r="L122" s="416"/>
      <c r="M122" s="712">
        <f>SUM(M117:N121)</f>
        <v>41145.714285714283</v>
      </c>
      <c r="N122" s="416"/>
    </row>
    <row r="123" spans="1:16" ht="12.75" customHeight="1" x14ac:dyDescent="0.25">
      <c r="A123" s="5"/>
      <c r="B123" s="5"/>
      <c r="C123" s="5"/>
      <c r="D123" s="5"/>
      <c r="E123" s="5"/>
      <c r="F123" s="5"/>
      <c r="G123" s="5"/>
      <c r="H123" s="5"/>
      <c r="I123" s="5"/>
      <c r="J123" s="5"/>
      <c r="K123" s="67"/>
      <c r="L123" s="68"/>
      <c r="M123" s="62"/>
      <c r="N123" s="69"/>
    </row>
    <row r="124" spans="1:16" ht="12.75" customHeight="1" x14ac:dyDescent="0.2">
      <c r="A124" s="787" t="s">
        <v>51</v>
      </c>
      <c r="B124" s="410"/>
      <c r="C124" s="410"/>
      <c r="D124" s="410"/>
      <c r="E124" s="410"/>
      <c r="F124" s="410"/>
      <c r="G124" s="410"/>
      <c r="H124" s="410"/>
      <c r="I124" s="410"/>
      <c r="J124" s="410"/>
      <c r="K124" s="410"/>
      <c r="L124" s="410"/>
      <c r="M124" s="410"/>
      <c r="N124" s="411"/>
      <c r="O124" s="272"/>
      <c r="P124" s="9"/>
    </row>
    <row r="125" spans="1:16" ht="12.75" customHeight="1" x14ac:dyDescent="0.2">
      <c r="A125" s="412"/>
      <c r="B125" s="413"/>
      <c r="C125" s="413"/>
      <c r="D125" s="413"/>
      <c r="E125" s="413"/>
      <c r="F125" s="413"/>
      <c r="G125" s="413"/>
      <c r="H125" s="413"/>
      <c r="I125" s="413"/>
      <c r="J125" s="413"/>
      <c r="K125" s="413"/>
      <c r="L125" s="413"/>
      <c r="M125" s="413"/>
      <c r="N125" s="414"/>
      <c r="O125" s="272"/>
      <c r="P125" s="9"/>
    </row>
    <row r="126" spans="1:16" ht="12.75" customHeight="1" x14ac:dyDescent="0.2">
      <c r="A126" s="49"/>
      <c r="B126" s="49"/>
      <c r="C126" s="49"/>
      <c r="D126" s="49"/>
      <c r="E126" s="49"/>
      <c r="F126" s="49"/>
      <c r="G126" s="49"/>
      <c r="H126" s="49"/>
      <c r="I126" s="49"/>
      <c r="J126" s="49"/>
      <c r="K126" s="49"/>
      <c r="L126" s="49"/>
      <c r="M126" s="49"/>
      <c r="N126" s="49"/>
    </row>
    <row r="127" spans="1:16" ht="12.75" customHeight="1" thickBot="1" x14ac:dyDescent="0.35">
      <c r="A127" s="51" t="str">
        <f>VLOOKUP(A124,'10'!$B$9:$N$100,13,FALSE)</f>
        <v>G051</v>
      </c>
      <c r="B127" s="52" t="str">
        <f>A124</f>
        <v>EXCAVACIÓN MANUAL EN CONGLOMERADO (INCLUYE HERRAMIENTA MENOR Y MANO DE OBRA)</v>
      </c>
      <c r="C127" s="53" t="s">
        <v>400</v>
      </c>
      <c r="D127" s="54" t="s">
        <v>420</v>
      </c>
      <c r="E127" s="55" t="s">
        <v>177</v>
      </c>
      <c r="F127" s="59">
        <f>H127+J127+L127+N127</f>
        <v>69126.000000000015</v>
      </c>
      <c r="G127" s="55" t="s">
        <v>349</v>
      </c>
      <c r="H127" s="59">
        <f>M146</f>
        <v>3291.7142857142862</v>
      </c>
      <c r="I127" s="55" t="s">
        <v>402</v>
      </c>
      <c r="J127" s="59">
        <f>M137</f>
        <v>0</v>
      </c>
      <c r="K127" s="55" t="s">
        <v>351</v>
      </c>
      <c r="L127" s="59">
        <f>M155</f>
        <v>0</v>
      </c>
      <c r="M127" s="55" t="s">
        <v>352</v>
      </c>
      <c r="N127" s="59">
        <f>M164</f>
        <v>65834.285714285725</v>
      </c>
    </row>
    <row r="128" spans="1:16" ht="12.75" customHeight="1" thickBot="1" x14ac:dyDescent="0.3">
      <c r="A128" s="60"/>
      <c r="B128" s="60"/>
      <c r="C128" s="60"/>
      <c r="D128" s="60"/>
      <c r="E128" s="60"/>
      <c r="F128" s="60"/>
      <c r="G128" s="60"/>
      <c r="J128" s="60"/>
      <c r="K128" s="60"/>
      <c r="L128" s="327" t="s">
        <v>1934</v>
      </c>
      <c r="M128" s="328">
        <f>+F127*'01'!$O$16</f>
        <v>89469.158495277938</v>
      </c>
      <c r="N128" s="60"/>
    </row>
    <row r="129" spans="1:14" ht="12.75" customHeight="1" x14ac:dyDescent="0.2">
      <c r="A129" s="716" t="s">
        <v>403</v>
      </c>
      <c r="B129" s="418"/>
      <c r="C129" s="418"/>
      <c r="D129" s="418"/>
      <c r="E129" s="418"/>
      <c r="F129" s="418"/>
      <c r="G129" s="418"/>
      <c r="H129" s="418"/>
      <c r="I129" s="418"/>
      <c r="J129" s="418"/>
      <c r="K129" s="418"/>
      <c r="L129" s="418"/>
      <c r="M129" s="418"/>
      <c r="N129" s="416"/>
    </row>
    <row r="130" spans="1:14" ht="12.75" customHeight="1" x14ac:dyDescent="0.2">
      <c r="A130" s="713" t="s">
        <v>39</v>
      </c>
      <c r="B130" s="418"/>
      <c r="C130" s="418"/>
      <c r="D130" s="418"/>
      <c r="E130" s="418"/>
      <c r="F130" s="418"/>
      <c r="G130" s="416"/>
      <c r="H130" s="61" t="s">
        <v>40</v>
      </c>
      <c r="I130" s="717" t="s">
        <v>404</v>
      </c>
      <c r="J130" s="416"/>
      <c r="K130" s="717" t="s">
        <v>184</v>
      </c>
      <c r="L130" s="416"/>
      <c r="M130" s="717" t="s">
        <v>405</v>
      </c>
      <c r="N130" s="416"/>
    </row>
    <row r="131" spans="1:14" ht="12.75" customHeight="1" x14ac:dyDescent="0.2">
      <c r="A131" s="714"/>
      <c r="B131" s="418"/>
      <c r="C131" s="418"/>
      <c r="D131" s="418"/>
      <c r="E131" s="418"/>
      <c r="F131" s="418"/>
      <c r="G131" s="416"/>
      <c r="H131" s="12" t="str">
        <f t="shared" ref="H131:H136" si="12">IF(A131="","",VLOOKUP(A131,AA_Materiales,7,FALSE))</f>
        <v/>
      </c>
      <c r="I131" s="712" t="str">
        <f t="shared" ref="I131:I136" si="13">IF(A131="","",VLOOKUP(A131,AA_Materiales,8,FALSE))</f>
        <v/>
      </c>
      <c r="J131" s="416"/>
      <c r="K131" s="715"/>
      <c r="L131" s="416"/>
      <c r="M131" s="712" t="str">
        <f t="shared" ref="M131:M136" si="14">IF(A131="","",I131*K131)</f>
        <v/>
      </c>
      <c r="N131" s="416"/>
    </row>
    <row r="132" spans="1:14" ht="12.75" customHeight="1" x14ac:dyDescent="0.2">
      <c r="A132" s="714"/>
      <c r="B132" s="418"/>
      <c r="C132" s="418"/>
      <c r="D132" s="418"/>
      <c r="E132" s="418"/>
      <c r="F132" s="418"/>
      <c r="G132" s="416"/>
      <c r="H132" s="12" t="str">
        <f t="shared" si="12"/>
        <v/>
      </c>
      <c r="I132" s="712" t="str">
        <f t="shared" si="13"/>
        <v/>
      </c>
      <c r="J132" s="416"/>
      <c r="K132" s="715"/>
      <c r="L132" s="416"/>
      <c r="M132" s="712" t="str">
        <f t="shared" si="14"/>
        <v/>
      </c>
      <c r="N132" s="416"/>
    </row>
    <row r="133" spans="1:14" ht="12.75" customHeight="1" x14ac:dyDescent="0.2">
      <c r="A133" s="714"/>
      <c r="B133" s="418"/>
      <c r="C133" s="418"/>
      <c r="D133" s="418"/>
      <c r="E133" s="418"/>
      <c r="F133" s="418"/>
      <c r="G133" s="416"/>
      <c r="H133" s="12" t="str">
        <f t="shared" si="12"/>
        <v/>
      </c>
      <c r="I133" s="712" t="str">
        <f t="shared" si="13"/>
        <v/>
      </c>
      <c r="J133" s="416"/>
      <c r="K133" s="715"/>
      <c r="L133" s="416"/>
      <c r="M133" s="712" t="str">
        <f t="shared" si="14"/>
        <v/>
      </c>
      <c r="N133" s="416"/>
    </row>
    <row r="134" spans="1:14" ht="12.75" customHeight="1" x14ac:dyDescent="0.2">
      <c r="A134" s="714"/>
      <c r="B134" s="418"/>
      <c r="C134" s="418"/>
      <c r="D134" s="418"/>
      <c r="E134" s="418"/>
      <c r="F134" s="418"/>
      <c r="G134" s="416"/>
      <c r="H134" s="12" t="str">
        <f t="shared" si="12"/>
        <v/>
      </c>
      <c r="I134" s="712" t="str">
        <f t="shared" si="13"/>
        <v/>
      </c>
      <c r="J134" s="416"/>
      <c r="K134" s="715"/>
      <c r="L134" s="416"/>
      <c r="M134" s="712" t="str">
        <f t="shared" si="14"/>
        <v/>
      </c>
      <c r="N134" s="416"/>
    </row>
    <row r="135" spans="1:14" ht="12.75" customHeight="1" x14ac:dyDescent="0.2">
      <c r="A135" s="714"/>
      <c r="B135" s="418"/>
      <c r="C135" s="418"/>
      <c r="D135" s="418"/>
      <c r="E135" s="418"/>
      <c r="F135" s="418"/>
      <c r="G135" s="416"/>
      <c r="H135" s="12" t="str">
        <f t="shared" si="12"/>
        <v/>
      </c>
      <c r="I135" s="712" t="str">
        <f t="shared" si="13"/>
        <v/>
      </c>
      <c r="J135" s="416"/>
      <c r="K135" s="715"/>
      <c r="L135" s="416"/>
      <c r="M135" s="712" t="str">
        <f t="shared" si="14"/>
        <v/>
      </c>
      <c r="N135" s="416"/>
    </row>
    <row r="136" spans="1:14" ht="12.75" customHeight="1" x14ac:dyDescent="0.2">
      <c r="A136" s="714"/>
      <c r="B136" s="418"/>
      <c r="C136" s="418"/>
      <c r="D136" s="418"/>
      <c r="E136" s="418"/>
      <c r="F136" s="418"/>
      <c r="G136" s="416"/>
      <c r="H136" s="12" t="str">
        <f t="shared" si="12"/>
        <v/>
      </c>
      <c r="I136" s="712" t="str">
        <f t="shared" si="13"/>
        <v/>
      </c>
      <c r="J136" s="416"/>
      <c r="K136" s="715"/>
      <c r="L136" s="416"/>
      <c r="M136" s="712" t="str">
        <f t="shared" si="14"/>
        <v/>
      </c>
      <c r="N136" s="416"/>
    </row>
    <row r="137" spans="1:14" ht="12.75" customHeight="1" x14ac:dyDescent="0.25">
      <c r="A137" s="5"/>
      <c r="B137" s="5"/>
      <c r="C137" s="5"/>
      <c r="D137" s="5"/>
      <c r="E137" s="5"/>
      <c r="F137" s="5"/>
      <c r="G137" s="5"/>
      <c r="H137" s="5"/>
      <c r="I137" s="5"/>
      <c r="J137" s="5"/>
      <c r="K137" s="713" t="s">
        <v>261</v>
      </c>
      <c r="L137" s="416"/>
      <c r="M137" s="712">
        <f>SUM(M131:N136)</f>
        <v>0</v>
      </c>
      <c r="N137" s="416"/>
    </row>
    <row r="138" spans="1:14" ht="12.75" customHeight="1" x14ac:dyDescent="0.25">
      <c r="A138" s="5"/>
      <c r="B138" s="5"/>
      <c r="C138" s="5"/>
      <c r="D138" s="5"/>
      <c r="E138" s="5"/>
      <c r="F138" s="5"/>
      <c r="G138" s="5"/>
      <c r="H138" s="5"/>
      <c r="I138" s="5"/>
      <c r="J138" s="5"/>
      <c r="K138" s="5"/>
      <c r="L138" s="5"/>
      <c r="M138" s="5"/>
      <c r="N138" s="5"/>
    </row>
    <row r="139" spans="1:14" ht="12.75" customHeight="1" x14ac:dyDescent="0.2">
      <c r="A139" s="716" t="s">
        <v>410</v>
      </c>
      <c r="B139" s="418"/>
      <c r="C139" s="418"/>
      <c r="D139" s="418"/>
      <c r="E139" s="418"/>
      <c r="F139" s="418"/>
      <c r="G139" s="418"/>
      <c r="H139" s="418"/>
      <c r="I139" s="418"/>
      <c r="J139" s="418"/>
      <c r="K139" s="418"/>
      <c r="L139" s="418"/>
      <c r="M139" s="418"/>
      <c r="N139" s="416"/>
    </row>
    <row r="140" spans="1:14" ht="12.75" customHeight="1" x14ac:dyDescent="0.2">
      <c r="A140" s="713" t="s">
        <v>39</v>
      </c>
      <c r="B140" s="418"/>
      <c r="C140" s="418"/>
      <c r="D140" s="418"/>
      <c r="E140" s="418"/>
      <c r="F140" s="418"/>
      <c r="G140" s="416"/>
      <c r="H140" s="61" t="s">
        <v>40</v>
      </c>
      <c r="I140" s="717" t="s">
        <v>404</v>
      </c>
      <c r="J140" s="416"/>
      <c r="K140" s="717" t="s">
        <v>184</v>
      </c>
      <c r="L140" s="416"/>
      <c r="M140" s="717" t="s">
        <v>405</v>
      </c>
      <c r="N140" s="416"/>
    </row>
    <row r="141" spans="1:14" ht="12.75" customHeight="1" x14ac:dyDescent="0.2">
      <c r="A141" s="714" t="s">
        <v>411</v>
      </c>
      <c r="B141" s="418"/>
      <c r="C141" s="418"/>
      <c r="D141" s="418"/>
      <c r="E141" s="418"/>
      <c r="F141" s="418"/>
      <c r="G141" s="416"/>
      <c r="H141" s="12" t="str">
        <f>IF(A141="","",VLOOKUP(A141,AA_Equipos,7,FALSE))</f>
        <v>% M.O.</v>
      </c>
      <c r="I141" s="712">
        <f>M164</f>
        <v>65834.285714285725</v>
      </c>
      <c r="J141" s="416"/>
      <c r="K141" s="722">
        <v>0.05</v>
      </c>
      <c r="L141" s="416"/>
      <c r="M141" s="712">
        <f t="shared" ref="M141:M145" si="15">IF(A141="","",I141*K141)</f>
        <v>3291.7142857142862</v>
      </c>
      <c r="N141" s="416"/>
    </row>
    <row r="142" spans="1:14" ht="12.75" customHeight="1" x14ac:dyDescent="0.2">
      <c r="A142" s="719"/>
      <c r="B142" s="418"/>
      <c r="C142" s="418"/>
      <c r="D142" s="418"/>
      <c r="E142" s="418"/>
      <c r="F142" s="418"/>
      <c r="G142" s="416"/>
      <c r="H142" s="12" t="str">
        <f>IF(A142="","",VLOOKUP(A142,AA_Equipos,7,FALSE))</f>
        <v/>
      </c>
      <c r="I142" s="712" t="str">
        <f>IF(A142="","",VLOOKUP(A142,AA_Equipos,8,FALSE))</f>
        <v/>
      </c>
      <c r="J142" s="416"/>
      <c r="K142" s="723"/>
      <c r="L142" s="416"/>
      <c r="M142" s="712" t="str">
        <f t="shared" si="15"/>
        <v/>
      </c>
      <c r="N142" s="416"/>
    </row>
    <row r="143" spans="1:14" ht="12.75" customHeight="1" x14ac:dyDescent="0.2">
      <c r="A143" s="714"/>
      <c r="B143" s="418"/>
      <c r="C143" s="418"/>
      <c r="D143" s="418"/>
      <c r="E143" s="418"/>
      <c r="F143" s="418"/>
      <c r="G143" s="416"/>
      <c r="H143" s="12" t="str">
        <f>IF(A143="","",VLOOKUP(A143,AA_Equipos,7,FALSE))</f>
        <v/>
      </c>
      <c r="I143" s="712" t="str">
        <f>IF(A143="","",VLOOKUP(A143,AA_Equipos,8,FALSE))</f>
        <v/>
      </c>
      <c r="J143" s="416"/>
      <c r="K143" s="786"/>
      <c r="L143" s="416"/>
      <c r="M143" s="712" t="str">
        <f t="shared" si="15"/>
        <v/>
      </c>
      <c r="N143" s="416"/>
    </row>
    <row r="144" spans="1:14" ht="12.75" customHeight="1" x14ac:dyDescent="0.2">
      <c r="A144" s="714"/>
      <c r="B144" s="418"/>
      <c r="C144" s="418"/>
      <c r="D144" s="418"/>
      <c r="E144" s="418"/>
      <c r="F144" s="418"/>
      <c r="G144" s="416"/>
      <c r="H144" s="12" t="str">
        <f>IF(A144="","",VLOOKUP(A144,AA_Equipos,7,FALSE))</f>
        <v/>
      </c>
      <c r="I144" s="712" t="str">
        <f>IF(A144="","",VLOOKUP(A144,AA_Equipos,8,FALSE))</f>
        <v/>
      </c>
      <c r="J144" s="416"/>
      <c r="K144" s="715"/>
      <c r="L144" s="416"/>
      <c r="M144" s="712" t="str">
        <f t="shared" si="15"/>
        <v/>
      </c>
      <c r="N144" s="416"/>
    </row>
    <row r="145" spans="1:14" ht="12.75" customHeight="1" x14ac:dyDescent="0.2">
      <c r="A145" s="714"/>
      <c r="B145" s="418"/>
      <c r="C145" s="418"/>
      <c r="D145" s="418"/>
      <c r="E145" s="418"/>
      <c r="F145" s="418"/>
      <c r="G145" s="416"/>
      <c r="H145" s="12" t="str">
        <f>IF(A145="","",VLOOKUP(A145,AA_Equipos,7,FALSE))</f>
        <v/>
      </c>
      <c r="I145" s="712" t="str">
        <f>IF(A145="","",VLOOKUP(A145,AA_Equipos,8,FALSE))</f>
        <v/>
      </c>
      <c r="J145" s="416"/>
      <c r="K145" s="715"/>
      <c r="L145" s="416"/>
      <c r="M145" s="712" t="str">
        <f t="shared" si="15"/>
        <v/>
      </c>
      <c r="N145" s="416"/>
    </row>
    <row r="146" spans="1:14" ht="12.75" customHeight="1" x14ac:dyDescent="0.25">
      <c r="A146" s="5"/>
      <c r="B146" s="5"/>
      <c r="C146" s="5"/>
      <c r="D146" s="5"/>
      <c r="E146" s="5"/>
      <c r="F146" s="5"/>
      <c r="G146" s="5"/>
      <c r="H146" s="5"/>
      <c r="I146" s="5"/>
      <c r="J146" s="5"/>
      <c r="K146" s="713" t="s">
        <v>261</v>
      </c>
      <c r="L146" s="416"/>
      <c r="M146" s="712">
        <f>SUM(M141:N145)</f>
        <v>3291.7142857142862</v>
      </c>
      <c r="N146" s="416"/>
    </row>
    <row r="147" spans="1:14" ht="12.75" customHeight="1" x14ac:dyDescent="0.25">
      <c r="A147" s="5"/>
      <c r="B147" s="5"/>
      <c r="C147" s="5"/>
      <c r="D147" s="5"/>
      <c r="E147" s="5"/>
      <c r="F147" s="5"/>
      <c r="G147" s="5"/>
      <c r="H147" s="5"/>
      <c r="I147" s="5"/>
      <c r="J147" s="5"/>
      <c r="K147" s="5"/>
      <c r="L147" s="5"/>
      <c r="M147" s="5"/>
      <c r="N147" s="5"/>
    </row>
    <row r="148" spans="1:14" ht="12.75" customHeight="1" x14ac:dyDescent="0.2">
      <c r="A148" s="716" t="s">
        <v>413</v>
      </c>
      <c r="B148" s="418"/>
      <c r="C148" s="418"/>
      <c r="D148" s="418"/>
      <c r="E148" s="418"/>
      <c r="F148" s="418"/>
      <c r="G148" s="418"/>
      <c r="H148" s="418"/>
      <c r="I148" s="418"/>
      <c r="J148" s="418"/>
      <c r="K148" s="418"/>
      <c r="L148" s="418"/>
      <c r="M148" s="418"/>
      <c r="N148" s="416"/>
    </row>
    <row r="149" spans="1:14" ht="12.75" customHeight="1" x14ac:dyDescent="0.2">
      <c r="A149" s="713" t="s">
        <v>39</v>
      </c>
      <c r="B149" s="418"/>
      <c r="C149" s="418"/>
      <c r="D149" s="418"/>
      <c r="E149" s="418"/>
      <c r="F149" s="418"/>
      <c r="G149" s="416"/>
      <c r="H149" s="61" t="s">
        <v>40</v>
      </c>
      <c r="I149" s="717" t="s">
        <v>404</v>
      </c>
      <c r="J149" s="416"/>
      <c r="K149" s="717" t="s">
        <v>184</v>
      </c>
      <c r="L149" s="416"/>
      <c r="M149" s="717" t="s">
        <v>405</v>
      </c>
      <c r="N149" s="416"/>
    </row>
    <row r="150" spans="1:14" ht="12.75" customHeight="1" x14ac:dyDescent="0.2">
      <c r="A150" s="714"/>
      <c r="B150" s="418"/>
      <c r="C150" s="418"/>
      <c r="D150" s="418"/>
      <c r="E150" s="418"/>
      <c r="F150" s="418"/>
      <c r="G150" s="416"/>
      <c r="H150" s="12"/>
      <c r="I150" s="712"/>
      <c r="J150" s="416"/>
      <c r="K150" s="722"/>
      <c r="L150" s="416"/>
      <c r="M150" s="712" t="str">
        <f t="shared" ref="M150:M154" si="16">IF(A150="","",I150*K150)</f>
        <v/>
      </c>
      <c r="N150" s="416"/>
    </row>
    <row r="151" spans="1:14" ht="12.75" customHeight="1" x14ac:dyDescent="0.2">
      <c r="A151" s="719"/>
      <c r="B151" s="418"/>
      <c r="C151" s="418"/>
      <c r="D151" s="418"/>
      <c r="E151" s="418"/>
      <c r="F151" s="418"/>
      <c r="G151" s="416"/>
      <c r="H151" s="12"/>
      <c r="I151" s="712"/>
      <c r="J151" s="416"/>
      <c r="K151" s="722"/>
      <c r="L151" s="416"/>
      <c r="M151" s="712" t="str">
        <f t="shared" si="16"/>
        <v/>
      </c>
      <c r="N151" s="416"/>
    </row>
    <row r="152" spans="1:14" ht="12.75" customHeight="1" x14ac:dyDescent="0.2">
      <c r="A152" s="714"/>
      <c r="B152" s="418"/>
      <c r="C152" s="418"/>
      <c r="D152" s="418"/>
      <c r="E152" s="418"/>
      <c r="F152" s="418"/>
      <c r="G152" s="416"/>
      <c r="H152" s="12"/>
      <c r="I152" s="712"/>
      <c r="J152" s="416"/>
      <c r="K152" s="715"/>
      <c r="L152" s="416"/>
      <c r="M152" s="712" t="str">
        <f t="shared" si="16"/>
        <v/>
      </c>
      <c r="N152" s="416"/>
    </row>
    <row r="153" spans="1:14" ht="12.75" customHeight="1" x14ac:dyDescent="0.2">
      <c r="A153" s="714"/>
      <c r="B153" s="418"/>
      <c r="C153" s="418"/>
      <c r="D153" s="418"/>
      <c r="E153" s="418"/>
      <c r="F153" s="418"/>
      <c r="G153" s="416"/>
      <c r="H153" s="12"/>
      <c r="I153" s="712"/>
      <c r="J153" s="416"/>
      <c r="K153" s="715"/>
      <c r="L153" s="416"/>
      <c r="M153" s="712" t="str">
        <f t="shared" si="16"/>
        <v/>
      </c>
      <c r="N153" s="416"/>
    </row>
    <row r="154" spans="1:14" ht="12.75" customHeight="1" x14ac:dyDescent="0.2">
      <c r="A154" s="714"/>
      <c r="B154" s="418"/>
      <c r="C154" s="418"/>
      <c r="D154" s="418"/>
      <c r="E154" s="418"/>
      <c r="F154" s="418"/>
      <c r="G154" s="416"/>
      <c r="H154" s="12"/>
      <c r="I154" s="712"/>
      <c r="J154" s="416"/>
      <c r="K154" s="715"/>
      <c r="L154" s="416"/>
      <c r="M154" s="712" t="str">
        <f t="shared" si="16"/>
        <v/>
      </c>
      <c r="N154" s="416"/>
    </row>
    <row r="155" spans="1:14" ht="12.75" customHeight="1" x14ac:dyDescent="0.25">
      <c r="A155" s="5"/>
      <c r="B155" s="5"/>
      <c r="C155" s="5"/>
      <c r="D155" s="5"/>
      <c r="E155" s="5"/>
      <c r="F155" s="5"/>
      <c r="G155" s="5"/>
      <c r="H155" s="5"/>
      <c r="I155" s="5"/>
      <c r="J155" s="5"/>
      <c r="K155" s="713" t="s">
        <v>261</v>
      </c>
      <c r="L155" s="416"/>
      <c r="M155" s="712">
        <f>SUM(M150:N154)</f>
        <v>0</v>
      </c>
      <c r="N155" s="416"/>
    </row>
    <row r="156" spans="1:14" ht="12.75" customHeight="1" x14ac:dyDescent="0.25">
      <c r="A156" s="5"/>
      <c r="B156" s="5"/>
      <c r="C156" s="5"/>
      <c r="D156" s="5"/>
      <c r="E156" s="5"/>
      <c r="F156" s="5"/>
      <c r="G156" s="5"/>
      <c r="H156" s="5"/>
      <c r="I156" s="5"/>
      <c r="J156" s="5"/>
      <c r="K156" s="5"/>
      <c r="L156" s="5"/>
      <c r="M156" s="5"/>
      <c r="N156" s="5"/>
    </row>
    <row r="157" spans="1:14" ht="12.75" customHeight="1" x14ac:dyDescent="0.2">
      <c r="A157" s="716" t="s">
        <v>415</v>
      </c>
      <c r="B157" s="418"/>
      <c r="C157" s="418"/>
      <c r="D157" s="418"/>
      <c r="E157" s="418"/>
      <c r="F157" s="418"/>
      <c r="G157" s="418"/>
      <c r="H157" s="418"/>
      <c r="I157" s="418"/>
      <c r="J157" s="418"/>
      <c r="K157" s="418"/>
      <c r="L157" s="418"/>
      <c r="M157" s="418"/>
      <c r="N157" s="416"/>
    </row>
    <row r="158" spans="1:14" ht="12.75" customHeight="1" x14ac:dyDescent="0.2">
      <c r="A158" s="713" t="s">
        <v>39</v>
      </c>
      <c r="B158" s="418"/>
      <c r="C158" s="418"/>
      <c r="D158" s="418"/>
      <c r="E158" s="418"/>
      <c r="F158" s="418"/>
      <c r="G158" s="416"/>
      <c r="H158" s="61" t="s">
        <v>40</v>
      </c>
      <c r="I158" s="717" t="s">
        <v>404</v>
      </c>
      <c r="J158" s="416"/>
      <c r="K158" s="64" t="s">
        <v>253</v>
      </c>
      <c r="L158" s="65" t="s">
        <v>416</v>
      </c>
      <c r="M158" s="717" t="s">
        <v>405</v>
      </c>
      <c r="N158" s="416"/>
    </row>
    <row r="159" spans="1:14" ht="12.75" customHeight="1" x14ac:dyDescent="0.25">
      <c r="A159" s="711" t="s">
        <v>421</v>
      </c>
      <c r="B159" s="418"/>
      <c r="C159" s="418"/>
      <c r="D159" s="418"/>
      <c r="E159" s="418"/>
      <c r="F159" s="418"/>
      <c r="G159" s="416"/>
      <c r="H159" s="12" t="str">
        <f>IF(A159="","",VLOOKUP(A159,AA_Cuadrillas,4,FALSE))</f>
        <v>Cuadrilla</v>
      </c>
      <c r="I159" s="712">
        <f>IF(A159="","",VLOOKUP(A159,AA_Cuadrillas,5,FALSE))</f>
        <v>70036</v>
      </c>
      <c r="J159" s="416"/>
      <c r="K159" s="3">
        <f>IF(A159="","",'04'!$I$2)</f>
        <v>1.88995</v>
      </c>
      <c r="L159" s="66">
        <v>0.49737102255297044</v>
      </c>
      <c r="M159" s="712">
        <f t="shared" ref="M159:M163" si="17">IF(A159="","",I159*K159*L159)</f>
        <v>65834.285714285725</v>
      </c>
      <c r="N159" s="416"/>
    </row>
    <row r="160" spans="1:14" ht="12.75" customHeight="1" x14ac:dyDescent="0.25">
      <c r="A160" s="711"/>
      <c r="B160" s="418"/>
      <c r="C160" s="418"/>
      <c r="D160" s="418"/>
      <c r="E160" s="418"/>
      <c r="F160" s="418"/>
      <c r="G160" s="416"/>
      <c r="H160" s="12" t="str">
        <f>IF(A160="","",VLOOKUP(A160,AA_Cuadrillas,4,FALSE))</f>
        <v/>
      </c>
      <c r="I160" s="712" t="str">
        <f>IF(A160="","",VLOOKUP(A160,AA_Cuadrillas,5,FALSE))</f>
        <v/>
      </c>
      <c r="J160" s="416"/>
      <c r="K160" s="3" t="str">
        <f>IF(A160="","",'04'!$I$2)</f>
        <v/>
      </c>
      <c r="L160" s="3"/>
      <c r="M160" s="712" t="str">
        <f t="shared" si="17"/>
        <v/>
      </c>
      <c r="N160" s="416"/>
    </row>
    <row r="161" spans="1:16" ht="12.75" customHeight="1" x14ac:dyDescent="0.25">
      <c r="A161" s="711"/>
      <c r="B161" s="418"/>
      <c r="C161" s="418"/>
      <c r="D161" s="418"/>
      <c r="E161" s="418"/>
      <c r="F161" s="418"/>
      <c r="G161" s="416"/>
      <c r="H161" s="12" t="str">
        <f>IF(A161="","",VLOOKUP(A161,AA_Cuadrillas,4,FALSE))</f>
        <v/>
      </c>
      <c r="I161" s="712" t="str">
        <f>IF(A161="","",VLOOKUP(A161,AA_Cuadrillas,5,FALSE))</f>
        <v/>
      </c>
      <c r="J161" s="416"/>
      <c r="K161" s="3" t="str">
        <f>IF(A161="","",'04'!$I$2)</f>
        <v/>
      </c>
      <c r="L161" s="13"/>
      <c r="M161" s="712" t="str">
        <f t="shared" si="17"/>
        <v/>
      </c>
      <c r="N161" s="416"/>
    </row>
    <row r="162" spans="1:16" ht="12.75" customHeight="1" x14ac:dyDescent="0.25">
      <c r="A162" s="711"/>
      <c r="B162" s="418"/>
      <c r="C162" s="418"/>
      <c r="D162" s="418"/>
      <c r="E162" s="418"/>
      <c r="F162" s="418"/>
      <c r="G162" s="416"/>
      <c r="H162" s="12" t="str">
        <f>IF(A162="","",VLOOKUP(A162,AA_Cuadrillas,4,FALSE))</f>
        <v/>
      </c>
      <c r="I162" s="712" t="str">
        <f>IF(A162="","",VLOOKUP(A162,AA_Cuadrillas,5,FALSE))</f>
        <v/>
      </c>
      <c r="J162" s="416"/>
      <c r="K162" s="3" t="str">
        <f>IF(A162="","",'04'!$I$2)</f>
        <v/>
      </c>
      <c r="L162" s="13"/>
      <c r="M162" s="712" t="str">
        <f t="shared" si="17"/>
        <v/>
      </c>
      <c r="N162" s="416"/>
    </row>
    <row r="163" spans="1:16" ht="12.75" customHeight="1" x14ac:dyDescent="0.25">
      <c r="A163" s="711"/>
      <c r="B163" s="418"/>
      <c r="C163" s="418"/>
      <c r="D163" s="418"/>
      <c r="E163" s="418"/>
      <c r="F163" s="418"/>
      <c r="G163" s="416"/>
      <c r="H163" s="12" t="str">
        <f>IF(A163="","",VLOOKUP(A163,AA_Cuadrillas,4,FALSE))</f>
        <v/>
      </c>
      <c r="I163" s="712" t="str">
        <f>IF(A163="","",VLOOKUP(A163,AA_Cuadrillas,5,FALSE))</f>
        <v/>
      </c>
      <c r="J163" s="416"/>
      <c r="K163" s="3" t="str">
        <f>IF(A163="","",'04'!$I$2)</f>
        <v/>
      </c>
      <c r="L163" s="13"/>
      <c r="M163" s="712" t="str">
        <f t="shared" si="17"/>
        <v/>
      </c>
      <c r="N163" s="416"/>
    </row>
    <row r="164" spans="1:16" ht="12.75" customHeight="1" x14ac:dyDescent="0.25">
      <c r="A164" s="5"/>
      <c r="B164" s="5"/>
      <c r="C164" s="5"/>
      <c r="D164" s="5"/>
      <c r="E164" s="5"/>
      <c r="F164" s="5"/>
      <c r="G164" s="5"/>
      <c r="H164" s="5"/>
      <c r="I164" s="5"/>
      <c r="J164" s="5"/>
      <c r="K164" s="713" t="s">
        <v>261</v>
      </c>
      <c r="L164" s="416"/>
      <c r="M164" s="712">
        <f>SUM(M159:N163)</f>
        <v>65834.285714285725</v>
      </c>
      <c r="N164" s="416"/>
    </row>
    <row r="165" spans="1:16" ht="12.75" customHeight="1" x14ac:dyDescent="0.25">
      <c r="A165" s="5"/>
      <c r="B165" s="5"/>
      <c r="C165" s="5"/>
      <c r="D165" s="5"/>
      <c r="E165" s="5"/>
      <c r="F165" s="5"/>
      <c r="G165" s="5"/>
      <c r="H165" s="5"/>
      <c r="I165" s="5"/>
      <c r="J165" s="5"/>
      <c r="K165" s="67"/>
      <c r="L165" s="68"/>
      <c r="M165" s="62"/>
      <c r="N165" s="69"/>
    </row>
    <row r="166" spans="1:16" ht="12.75" customHeight="1" x14ac:dyDescent="0.2">
      <c r="A166" s="785" t="s">
        <v>104</v>
      </c>
      <c r="B166" s="410"/>
      <c r="C166" s="410"/>
      <c r="D166" s="410"/>
      <c r="E166" s="410"/>
      <c r="F166" s="410"/>
      <c r="G166" s="410"/>
      <c r="H166" s="410"/>
      <c r="I166" s="410"/>
      <c r="J166" s="410"/>
      <c r="K166" s="410"/>
      <c r="L166" s="410"/>
      <c r="M166" s="410"/>
      <c r="N166" s="411"/>
      <c r="O166" s="272"/>
      <c r="P166" s="9"/>
    </row>
    <row r="167" spans="1:16" ht="12.75" customHeight="1" x14ac:dyDescent="0.2">
      <c r="A167" s="412"/>
      <c r="B167" s="413"/>
      <c r="C167" s="413"/>
      <c r="D167" s="413"/>
      <c r="E167" s="413"/>
      <c r="F167" s="413"/>
      <c r="G167" s="413"/>
      <c r="H167" s="413"/>
      <c r="I167" s="413"/>
      <c r="J167" s="413"/>
      <c r="K167" s="413"/>
      <c r="L167" s="413"/>
      <c r="M167" s="413"/>
      <c r="N167" s="414"/>
      <c r="O167" s="272"/>
      <c r="P167" s="9"/>
    </row>
    <row r="168" spans="1:16" ht="12.75" customHeight="1" x14ac:dyDescent="0.2">
      <c r="A168" s="49"/>
      <c r="B168" s="49"/>
      <c r="C168" s="49"/>
      <c r="D168" s="49"/>
      <c r="E168" s="49"/>
      <c r="F168" s="49"/>
      <c r="G168" s="49"/>
      <c r="H168" s="49"/>
      <c r="I168" s="49"/>
      <c r="J168" s="49"/>
      <c r="K168" s="49"/>
      <c r="L168" s="49"/>
      <c r="M168" s="49"/>
      <c r="N168" s="49"/>
    </row>
    <row r="169" spans="1:16" ht="12.75" customHeight="1" thickBot="1" x14ac:dyDescent="0.35">
      <c r="A169" s="51" t="str">
        <f>VLOOKUP(A166,'10'!$B$9:$N$100,13,FALSE)</f>
        <v>G022</v>
      </c>
      <c r="B169" s="52" t="str">
        <f>A166</f>
        <v>ENTIBADO EN MADERA TIPO 1; DISCONTINÚO PARA PROFUNDIDADES MAYORES A 2,0 MTS PARA TERRENOS MEDIANAMENTE ESTABLES 5 USOS (INCLUYE MATERIALES, HERRAMIENTAS Y MANO DE OBRA)</v>
      </c>
      <c r="C169" s="53" t="s">
        <v>400</v>
      </c>
      <c r="D169" s="54" t="s">
        <v>418</v>
      </c>
      <c r="E169" s="55" t="s">
        <v>177</v>
      </c>
      <c r="F169" s="59">
        <f>H169+J169+L169+N169</f>
        <v>41546.546811</v>
      </c>
      <c r="G169" s="55" t="s">
        <v>349</v>
      </c>
      <c r="H169" s="59">
        <f>M188</f>
        <v>1066.2719910000001</v>
      </c>
      <c r="I169" s="55" t="s">
        <v>402</v>
      </c>
      <c r="J169" s="59">
        <f>M179</f>
        <v>18242.7</v>
      </c>
      <c r="K169" s="55" t="s">
        <v>351</v>
      </c>
      <c r="L169" s="59">
        <f>M197</f>
        <v>912.1350000000001</v>
      </c>
      <c r="M169" s="55" t="s">
        <v>352</v>
      </c>
      <c r="N169" s="59">
        <f>M206</f>
        <v>21325.43982</v>
      </c>
    </row>
    <row r="170" spans="1:16" ht="12.75" customHeight="1" thickBot="1" x14ac:dyDescent="0.3">
      <c r="A170" s="60"/>
      <c r="B170" s="60"/>
      <c r="C170" s="60"/>
      <c r="D170" s="60"/>
      <c r="E170" s="60"/>
      <c r="F170" s="60"/>
      <c r="G170" s="60"/>
      <c r="J170" s="60"/>
      <c r="K170" s="60"/>
      <c r="L170" s="327" t="s">
        <v>1934</v>
      </c>
      <c r="M170" s="328">
        <f>+F169*'01'!$O$16</f>
        <v>53773.320914921191</v>
      </c>
      <c r="N170" s="60"/>
    </row>
    <row r="171" spans="1:16" ht="12.75" customHeight="1" x14ac:dyDescent="0.2">
      <c r="A171" s="716" t="s">
        <v>403</v>
      </c>
      <c r="B171" s="418"/>
      <c r="C171" s="418"/>
      <c r="D171" s="418"/>
      <c r="E171" s="418"/>
      <c r="F171" s="418"/>
      <c r="G171" s="418"/>
      <c r="H171" s="418"/>
      <c r="I171" s="418"/>
      <c r="J171" s="418"/>
      <c r="K171" s="418"/>
      <c r="L171" s="418"/>
      <c r="M171" s="418"/>
      <c r="N171" s="416"/>
    </row>
    <row r="172" spans="1:16" ht="12.75" customHeight="1" x14ac:dyDescent="0.2">
      <c r="A172" s="713" t="s">
        <v>39</v>
      </c>
      <c r="B172" s="418"/>
      <c r="C172" s="418"/>
      <c r="D172" s="418"/>
      <c r="E172" s="418"/>
      <c r="F172" s="418"/>
      <c r="G172" s="416"/>
      <c r="H172" s="61" t="s">
        <v>40</v>
      </c>
      <c r="I172" s="717" t="s">
        <v>404</v>
      </c>
      <c r="J172" s="416"/>
      <c r="K172" s="717" t="s">
        <v>184</v>
      </c>
      <c r="L172" s="416"/>
      <c r="M172" s="717" t="s">
        <v>405</v>
      </c>
      <c r="N172" s="416"/>
    </row>
    <row r="173" spans="1:16" ht="12.75" customHeight="1" x14ac:dyDescent="0.2">
      <c r="A173" s="714" t="s">
        <v>422</v>
      </c>
      <c r="B173" s="418"/>
      <c r="C173" s="418"/>
      <c r="D173" s="418"/>
      <c r="E173" s="418"/>
      <c r="F173" s="418"/>
      <c r="G173" s="416"/>
      <c r="H173" s="12" t="str">
        <f t="shared" ref="H173:H178" si="18">IF(A173="","",VLOOKUP(A173,AA_Materiales,7,FALSE))</f>
        <v>Unidad</v>
      </c>
      <c r="I173" s="712">
        <f t="shared" ref="I173:I178" si="19">IF(A173="","",VLOOKUP(A173,AA_Materiales,8,FALSE))</f>
        <v>20230</v>
      </c>
      <c r="J173" s="416"/>
      <c r="K173" s="715">
        <v>0.45</v>
      </c>
      <c r="L173" s="416"/>
      <c r="M173" s="712">
        <f t="shared" ref="M173:M178" si="20">IF(A173="","",I173*K173)</f>
        <v>9103.5</v>
      </c>
      <c r="N173" s="416"/>
    </row>
    <row r="174" spans="1:16" ht="12.75" customHeight="1" x14ac:dyDescent="0.2">
      <c r="A174" s="714" t="s">
        <v>423</v>
      </c>
      <c r="B174" s="418"/>
      <c r="C174" s="418"/>
      <c r="D174" s="418"/>
      <c r="E174" s="418"/>
      <c r="F174" s="418"/>
      <c r="G174" s="416"/>
      <c r="H174" s="12" t="str">
        <f t="shared" si="18"/>
        <v>LB</v>
      </c>
      <c r="I174" s="712">
        <f t="shared" si="19"/>
        <v>5712</v>
      </c>
      <c r="J174" s="416"/>
      <c r="K174" s="715">
        <v>0.1</v>
      </c>
      <c r="L174" s="416"/>
      <c r="M174" s="712">
        <f t="shared" si="20"/>
        <v>571.20000000000005</v>
      </c>
      <c r="N174" s="416"/>
    </row>
    <row r="175" spans="1:16" ht="12.75" customHeight="1" x14ac:dyDescent="0.2">
      <c r="A175" s="714" t="s">
        <v>424</v>
      </c>
      <c r="B175" s="418"/>
      <c r="C175" s="418"/>
      <c r="D175" s="418"/>
      <c r="E175" s="418"/>
      <c r="F175" s="418"/>
      <c r="G175" s="416"/>
      <c r="H175" s="12" t="str">
        <f t="shared" si="18"/>
        <v>Unidad</v>
      </c>
      <c r="I175" s="712">
        <f t="shared" si="19"/>
        <v>21420</v>
      </c>
      <c r="J175" s="416"/>
      <c r="K175" s="715">
        <v>0.4</v>
      </c>
      <c r="L175" s="416"/>
      <c r="M175" s="712">
        <f t="shared" si="20"/>
        <v>8568</v>
      </c>
      <c r="N175" s="416"/>
    </row>
    <row r="176" spans="1:16" ht="12.75" customHeight="1" x14ac:dyDescent="0.2">
      <c r="A176" s="714"/>
      <c r="B176" s="418"/>
      <c r="C176" s="418"/>
      <c r="D176" s="418"/>
      <c r="E176" s="418"/>
      <c r="F176" s="418"/>
      <c r="G176" s="416"/>
      <c r="H176" s="12" t="str">
        <f t="shared" si="18"/>
        <v/>
      </c>
      <c r="I176" s="712" t="str">
        <f t="shared" si="19"/>
        <v/>
      </c>
      <c r="J176" s="416"/>
      <c r="K176" s="715"/>
      <c r="L176" s="416"/>
      <c r="M176" s="712" t="str">
        <f t="shared" si="20"/>
        <v/>
      </c>
      <c r="N176" s="416"/>
    </row>
    <row r="177" spans="1:14" ht="12.75" customHeight="1" x14ac:dyDescent="0.2">
      <c r="A177" s="714"/>
      <c r="B177" s="418"/>
      <c r="C177" s="418"/>
      <c r="D177" s="418"/>
      <c r="E177" s="418"/>
      <c r="F177" s="418"/>
      <c r="G177" s="416"/>
      <c r="H177" s="12" t="str">
        <f t="shared" si="18"/>
        <v/>
      </c>
      <c r="I177" s="712" t="str">
        <f t="shared" si="19"/>
        <v/>
      </c>
      <c r="J177" s="416"/>
      <c r="K177" s="715"/>
      <c r="L177" s="416"/>
      <c r="M177" s="712" t="str">
        <f t="shared" si="20"/>
        <v/>
      </c>
      <c r="N177" s="416"/>
    </row>
    <row r="178" spans="1:14" ht="12.75" customHeight="1" x14ac:dyDescent="0.2">
      <c r="A178" s="714"/>
      <c r="B178" s="418"/>
      <c r="C178" s="418"/>
      <c r="D178" s="418"/>
      <c r="E178" s="418"/>
      <c r="F178" s="418"/>
      <c r="G178" s="416"/>
      <c r="H178" s="12" t="str">
        <f t="shared" si="18"/>
        <v/>
      </c>
      <c r="I178" s="712" t="str">
        <f t="shared" si="19"/>
        <v/>
      </c>
      <c r="J178" s="416"/>
      <c r="K178" s="715"/>
      <c r="L178" s="416"/>
      <c r="M178" s="712" t="str">
        <f t="shared" si="20"/>
        <v/>
      </c>
      <c r="N178" s="416"/>
    </row>
    <row r="179" spans="1:14" ht="12.75" customHeight="1" x14ac:dyDescent="0.25">
      <c r="A179" s="5"/>
      <c r="B179" s="5"/>
      <c r="C179" s="5"/>
      <c r="D179" s="5"/>
      <c r="E179" s="5"/>
      <c r="F179" s="5"/>
      <c r="G179" s="5"/>
      <c r="H179" s="5"/>
      <c r="I179" s="5"/>
      <c r="J179" s="5"/>
      <c r="K179" s="713" t="s">
        <v>261</v>
      </c>
      <c r="L179" s="416"/>
      <c r="M179" s="712">
        <f>SUM(M173:N178)</f>
        <v>18242.7</v>
      </c>
      <c r="N179" s="416"/>
    </row>
    <row r="180" spans="1:14" ht="12.75" customHeight="1" x14ac:dyDescent="0.25">
      <c r="A180" s="5"/>
      <c r="B180" s="5"/>
      <c r="C180" s="5"/>
      <c r="D180" s="5"/>
      <c r="E180" s="5"/>
      <c r="F180" s="5"/>
      <c r="G180" s="5"/>
      <c r="H180" s="5"/>
      <c r="I180" s="5"/>
      <c r="J180" s="5"/>
      <c r="K180" s="5"/>
      <c r="L180" s="5"/>
      <c r="M180" s="5"/>
      <c r="N180" s="5"/>
    </row>
    <row r="181" spans="1:14" ht="12.75" customHeight="1" x14ac:dyDescent="0.2">
      <c r="A181" s="716" t="s">
        <v>410</v>
      </c>
      <c r="B181" s="418"/>
      <c r="C181" s="418"/>
      <c r="D181" s="418"/>
      <c r="E181" s="418"/>
      <c r="F181" s="418"/>
      <c r="G181" s="418"/>
      <c r="H181" s="418"/>
      <c r="I181" s="418"/>
      <c r="J181" s="418"/>
      <c r="K181" s="418"/>
      <c r="L181" s="418"/>
      <c r="M181" s="418"/>
      <c r="N181" s="416"/>
    </row>
    <row r="182" spans="1:14" ht="12.75" customHeight="1" x14ac:dyDescent="0.2">
      <c r="A182" s="713" t="s">
        <v>39</v>
      </c>
      <c r="B182" s="418"/>
      <c r="C182" s="418"/>
      <c r="D182" s="418"/>
      <c r="E182" s="418"/>
      <c r="F182" s="418"/>
      <c r="G182" s="416"/>
      <c r="H182" s="61" t="s">
        <v>40</v>
      </c>
      <c r="I182" s="717" t="s">
        <v>404</v>
      </c>
      <c r="J182" s="416"/>
      <c r="K182" s="717" t="s">
        <v>184</v>
      </c>
      <c r="L182" s="416"/>
      <c r="M182" s="717" t="s">
        <v>405</v>
      </c>
      <c r="N182" s="416"/>
    </row>
    <row r="183" spans="1:14" ht="12.75" customHeight="1" x14ac:dyDescent="0.2">
      <c r="A183" s="714" t="s">
        <v>411</v>
      </c>
      <c r="B183" s="418"/>
      <c r="C183" s="418"/>
      <c r="D183" s="418"/>
      <c r="E183" s="418"/>
      <c r="F183" s="418"/>
      <c r="G183" s="416"/>
      <c r="H183" s="12" t="str">
        <f>IF(A183="","",VLOOKUP(A183,AA_Equipos,7,FALSE))</f>
        <v>% M.O.</v>
      </c>
      <c r="I183" s="712">
        <f>M206</f>
        <v>21325.43982</v>
      </c>
      <c r="J183" s="416"/>
      <c r="K183" s="722">
        <v>0.05</v>
      </c>
      <c r="L183" s="416"/>
      <c r="M183" s="712">
        <f t="shared" ref="M183:M187" si="21">IF(A183="","",I183*K183)</f>
        <v>1066.2719910000001</v>
      </c>
      <c r="N183" s="416"/>
    </row>
    <row r="184" spans="1:14" ht="12.75" customHeight="1" x14ac:dyDescent="0.2">
      <c r="A184" s="719"/>
      <c r="B184" s="418"/>
      <c r="C184" s="418"/>
      <c r="D184" s="418"/>
      <c r="E184" s="418"/>
      <c r="F184" s="418"/>
      <c r="G184" s="416"/>
      <c r="H184" s="12" t="str">
        <f>IF(A184="","",VLOOKUP(A184,AA_Equipos,7,FALSE))</f>
        <v/>
      </c>
      <c r="I184" s="712" t="str">
        <f>IF(A184="","",VLOOKUP(A184,AA_Equipos,8,FALSE))</f>
        <v/>
      </c>
      <c r="J184" s="416"/>
      <c r="K184" s="723"/>
      <c r="L184" s="416"/>
      <c r="M184" s="712" t="str">
        <f t="shared" si="21"/>
        <v/>
      </c>
      <c r="N184" s="416"/>
    </row>
    <row r="185" spans="1:14" ht="12.75" customHeight="1" x14ac:dyDescent="0.2">
      <c r="A185" s="714"/>
      <c r="B185" s="418"/>
      <c r="C185" s="418"/>
      <c r="D185" s="418"/>
      <c r="E185" s="418"/>
      <c r="F185" s="418"/>
      <c r="G185" s="416"/>
      <c r="H185" s="12" t="str">
        <f>IF(A185="","",VLOOKUP(A185,AA_Equipos,7,FALSE))</f>
        <v/>
      </c>
      <c r="I185" s="712" t="str">
        <f>IF(A185="","",VLOOKUP(A185,AA_Equipos,8,FALSE))</f>
        <v/>
      </c>
      <c r="J185" s="416"/>
      <c r="K185" s="786"/>
      <c r="L185" s="416"/>
      <c r="M185" s="712" t="str">
        <f t="shared" si="21"/>
        <v/>
      </c>
      <c r="N185" s="416"/>
    </row>
    <row r="186" spans="1:14" ht="12.75" customHeight="1" x14ac:dyDescent="0.2">
      <c r="A186" s="714"/>
      <c r="B186" s="418"/>
      <c r="C186" s="418"/>
      <c r="D186" s="418"/>
      <c r="E186" s="418"/>
      <c r="F186" s="418"/>
      <c r="G186" s="416"/>
      <c r="H186" s="12" t="str">
        <f>IF(A186="","",VLOOKUP(A186,AA_Equipos,7,FALSE))</f>
        <v/>
      </c>
      <c r="I186" s="712" t="str">
        <f>IF(A186="","",VLOOKUP(A186,AA_Equipos,8,FALSE))</f>
        <v/>
      </c>
      <c r="J186" s="416"/>
      <c r="K186" s="715"/>
      <c r="L186" s="416"/>
      <c r="M186" s="712" t="str">
        <f t="shared" si="21"/>
        <v/>
      </c>
      <c r="N186" s="416"/>
    </row>
    <row r="187" spans="1:14" ht="12.75" customHeight="1" x14ac:dyDescent="0.2">
      <c r="A187" s="714"/>
      <c r="B187" s="418"/>
      <c r="C187" s="418"/>
      <c r="D187" s="418"/>
      <c r="E187" s="418"/>
      <c r="F187" s="418"/>
      <c r="G187" s="416"/>
      <c r="H187" s="12" t="str">
        <f>IF(A187="","",VLOOKUP(A187,AA_Equipos,7,FALSE))</f>
        <v/>
      </c>
      <c r="I187" s="712" t="str">
        <f>IF(A187="","",VLOOKUP(A187,AA_Equipos,8,FALSE))</f>
        <v/>
      </c>
      <c r="J187" s="416"/>
      <c r="K187" s="715"/>
      <c r="L187" s="416"/>
      <c r="M187" s="712" t="str">
        <f t="shared" si="21"/>
        <v/>
      </c>
      <c r="N187" s="416"/>
    </row>
    <row r="188" spans="1:14" ht="12.75" customHeight="1" x14ac:dyDescent="0.25">
      <c r="A188" s="5"/>
      <c r="B188" s="5"/>
      <c r="C188" s="5"/>
      <c r="D188" s="5"/>
      <c r="E188" s="5"/>
      <c r="F188" s="5"/>
      <c r="G188" s="5"/>
      <c r="H188" s="5"/>
      <c r="I188" s="5"/>
      <c r="J188" s="5"/>
      <c r="K188" s="713" t="s">
        <v>261</v>
      </c>
      <c r="L188" s="416"/>
      <c r="M188" s="712">
        <f>SUM(M183:N187)</f>
        <v>1066.2719910000001</v>
      </c>
      <c r="N188" s="416"/>
    </row>
    <row r="189" spans="1:14" ht="12.75" customHeight="1" x14ac:dyDescent="0.25">
      <c r="A189" s="5"/>
      <c r="B189" s="5"/>
      <c r="C189" s="5"/>
      <c r="D189" s="5"/>
      <c r="E189" s="5"/>
      <c r="F189" s="5"/>
      <c r="G189" s="5"/>
      <c r="H189" s="5"/>
      <c r="I189" s="5"/>
      <c r="J189" s="5"/>
      <c r="K189" s="5"/>
      <c r="L189" s="5"/>
      <c r="M189" s="5"/>
      <c r="N189" s="5"/>
    </row>
    <row r="190" spans="1:14" ht="12.75" customHeight="1" x14ac:dyDescent="0.2">
      <c r="A190" s="716" t="s">
        <v>413</v>
      </c>
      <c r="B190" s="418"/>
      <c r="C190" s="418"/>
      <c r="D190" s="418"/>
      <c r="E190" s="418"/>
      <c r="F190" s="418"/>
      <c r="G190" s="418"/>
      <c r="H190" s="418"/>
      <c r="I190" s="418"/>
      <c r="J190" s="418"/>
      <c r="K190" s="418"/>
      <c r="L190" s="418"/>
      <c r="M190" s="418"/>
      <c r="N190" s="416"/>
    </row>
    <row r="191" spans="1:14" ht="12.75" customHeight="1" x14ac:dyDescent="0.2">
      <c r="A191" s="713" t="s">
        <v>39</v>
      </c>
      <c r="B191" s="418"/>
      <c r="C191" s="418"/>
      <c r="D191" s="418"/>
      <c r="E191" s="418"/>
      <c r="F191" s="418"/>
      <c r="G191" s="416"/>
      <c r="H191" s="61" t="s">
        <v>40</v>
      </c>
      <c r="I191" s="717" t="s">
        <v>404</v>
      </c>
      <c r="J191" s="416"/>
      <c r="K191" s="717" t="s">
        <v>184</v>
      </c>
      <c r="L191" s="416"/>
      <c r="M191" s="717" t="s">
        <v>405</v>
      </c>
      <c r="N191" s="416"/>
    </row>
    <row r="192" spans="1:14" ht="12.75" customHeight="1" x14ac:dyDescent="0.2">
      <c r="A192" s="714" t="s">
        <v>425</v>
      </c>
      <c r="B192" s="418"/>
      <c r="C192" s="418"/>
      <c r="D192" s="418"/>
      <c r="E192" s="418"/>
      <c r="F192" s="418"/>
      <c r="G192" s="416"/>
      <c r="H192" s="12" t="s">
        <v>426</v>
      </c>
      <c r="I192" s="712">
        <f>+M179</f>
        <v>18242.7</v>
      </c>
      <c r="J192" s="416"/>
      <c r="K192" s="722">
        <v>0.05</v>
      </c>
      <c r="L192" s="416"/>
      <c r="M192" s="712">
        <f t="shared" ref="M192:M196" si="22">IF(A192="","",I192*K192)</f>
        <v>912.1350000000001</v>
      </c>
      <c r="N192" s="416"/>
    </row>
    <row r="193" spans="1:16" ht="12.75" customHeight="1" x14ac:dyDescent="0.2">
      <c r="A193" s="719"/>
      <c r="B193" s="418"/>
      <c r="C193" s="418"/>
      <c r="D193" s="418"/>
      <c r="E193" s="418"/>
      <c r="F193" s="418"/>
      <c r="G193" s="416"/>
      <c r="H193" s="12"/>
      <c r="I193" s="712"/>
      <c r="J193" s="416"/>
      <c r="K193" s="722"/>
      <c r="L193" s="416"/>
      <c r="M193" s="712" t="str">
        <f t="shared" si="22"/>
        <v/>
      </c>
      <c r="N193" s="416"/>
    </row>
    <row r="194" spans="1:16" ht="12.75" customHeight="1" x14ac:dyDescent="0.2">
      <c r="A194" s="714"/>
      <c r="B194" s="418"/>
      <c r="C194" s="418"/>
      <c r="D194" s="418"/>
      <c r="E194" s="418"/>
      <c r="F194" s="418"/>
      <c r="G194" s="416"/>
      <c r="H194" s="12"/>
      <c r="I194" s="712"/>
      <c r="J194" s="416"/>
      <c r="K194" s="715"/>
      <c r="L194" s="416"/>
      <c r="M194" s="712" t="str">
        <f t="shared" si="22"/>
        <v/>
      </c>
      <c r="N194" s="416"/>
    </row>
    <row r="195" spans="1:16" ht="12.75" customHeight="1" x14ac:dyDescent="0.2">
      <c r="A195" s="714"/>
      <c r="B195" s="418"/>
      <c r="C195" s="418"/>
      <c r="D195" s="418"/>
      <c r="E195" s="418"/>
      <c r="F195" s="418"/>
      <c r="G195" s="416"/>
      <c r="H195" s="12"/>
      <c r="I195" s="712"/>
      <c r="J195" s="416"/>
      <c r="K195" s="715"/>
      <c r="L195" s="416"/>
      <c r="M195" s="712" t="str">
        <f t="shared" si="22"/>
        <v/>
      </c>
      <c r="N195" s="416"/>
    </row>
    <row r="196" spans="1:16" ht="12.75" customHeight="1" x14ac:dyDescent="0.2">
      <c r="A196" s="714"/>
      <c r="B196" s="418"/>
      <c r="C196" s="418"/>
      <c r="D196" s="418"/>
      <c r="E196" s="418"/>
      <c r="F196" s="418"/>
      <c r="G196" s="416"/>
      <c r="H196" s="12"/>
      <c r="I196" s="712"/>
      <c r="J196" s="416"/>
      <c r="K196" s="715"/>
      <c r="L196" s="416"/>
      <c r="M196" s="712" t="str">
        <f t="shared" si="22"/>
        <v/>
      </c>
      <c r="N196" s="416"/>
    </row>
    <row r="197" spans="1:16" ht="12.75" customHeight="1" x14ac:dyDescent="0.25">
      <c r="A197" s="5"/>
      <c r="B197" s="5"/>
      <c r="C197" s="5"/>
      <c r="D197" s="5"/>
      <c r="E197" s="5"/>
      <c r="F197" s="5"/>
      <c r="G197" s="5"/>
      <c r="H197" s="5"/>
      <c r="I197" s="5"/>
      <c r="J197" s="5"/>
      <c r="K197" s="713" t="s">
        <v>261</v>
      </c>
      <c r="L197" s="416"/>
      <c r="M197" s="712">
        <f>SUM(M192:N196)</f>
        <v>912.1350000000001</v>
      </c>
      <c r="N197" s="416"/>
    </row>
    <row r="198" spans="1:16" ht="12.75" customHeight="1" x14ac:dyDescent="0.25">
      <c r="A198" s="5"/>
      <c r="B198" s="5"/>
      <c r="C198" s="5"/>
      <c r="D198" s="5"/>
      <c r="E198" s="5"/>
      <c r="F198" s="5"/>
      <c r="G198" s="5"/>
      <c r="H198" s="5"/>
      <c r="I198" s="5"/>
      <c r="J198" s="5"/>
      <c r="K198" s="5"/>
      <c r="L198" s="5"/>
      <c r="M198" s="5"/>
      <c r="N198" s="5"/>
    </row>
    <row r="199" spans="1:16" ht="12.75" customHeight="1" x14ac:dyDescent="0.2">
      <c r="A199" s="716" t="s">
        <v>415</v>
      </c>
      <c r="B199" s="418"/>
      <c r="C199" s="418"/>
      <c r="D199" s="418"/>
      <c r="E199" s="418"/>
      <c r="F199" s="418"/>
      <c r="G199" s="418"/>
      <c r="H199" s="418"/>
      <c r="I199" s="418"/>
      <c r="J199" s="418"/>
      <c r="K199" s="418"/>
      <c r="L199" s="418"/>
      <c r="M199" s="418"/>
      <c r="N199" s="416"/>
    </row>
    <row r="200" spans="1:16" ht="12.75" customHeight="1" x14ac:dyDescent="0.2">
      <c r="A200" s="713" t="s">
        <v>39</v>
      </c>
      <c r="B200" s="418"/>
      <c r="C200" s="418"/>
      <c r="D200" s="418"/>
      <c r="E200" s="418"/>
      <c r="F200" s="418"/>
      <c r="G200" s="416"/>
      <c r="H200" s="61" t="s">
        <v>40</v>
      </c>
      <c r="I200" s="717" t="s">
        <v>404</v>
      </c>
      <c r="J200" s="416"/>
      <c r="K200" s="64" t="s">
        <v>253</v>
      </c>
      <c r="L200" s="65" t="s">
        <v>416</v>
      </c>
      <c r="M200" s="717" t="s">
        <v>405</v>
      </c>
      <c r="N200" s="416"/>
    </row>
    <row r="201" spans="1:16" ht="12.75" customHeight="1" x14ac:dyDescent="0.25">
      <c r="A201" s="711" t="s">
        <v>427</v>
      </c>
      <c r="B201" s="418"/>
      <c r="C201" s="418"/>
      <c r="D201" s="418"/>
      <c r="E201" s="418"/>
      <c r="F201" s="418"/>
      <c r="G201" s="416"/>
      <c r="H201" s="12" t="str">
        <f>IF(A201="","",VLOOKUP(A201,AA_Cuadrillas,4,FALSE))</f>
        <v>Cuadrilla</v>
      </c>
      <c r="I201" s="712">
        <f>IF(A201="","",VLOOKUP(A201,AA_Cuadrillas,5,FALSE))</f>
        <v>169254</v>
      </c>
      <c r="J201" s="416"/>
      <c r="K201" s="3">
        <f>IF(A201="","",'04'!$I$2)</f>
        <v>1.88995</v>
      </c>
      <c r="L201" s="66">
        <f>1/15</f>
        <v>6.6666666666666666E-2</v>
      </c>
      <c r="M201" s="712">
        <f t="shared" ref="M201:M205" si="23">IF(A201="","",I201*K201*L201)</f>
        <v>21325.43982</v>
      </c>
      <c r="N201" s="416"/>
    </row>
    <row r="202" spans="1:16" ht="12.75" customHeight="1" x14ac:dyDescent="0.25">
      <c r="A202" s="711"/>
      <c r="B202" s="418"/>
      <c r="C202" s="418"/>
      <c r="D202" s="418"/>
      <c r="E202" s="418"/>
      <c r="F202" s="418"/>
      <c r="G202" s="416"/>
      <c r="H202" s="12" t="str">
        <f>IF(A202="","",VLOOKUP(A202,AA_Cuadrillas,4,FALSE))</f>
        <v/>
      </c>
      <c r="I202" s="712" t="str">
        <f>IF(A202="","",VLOOKUP(A202,AA_Cuadrillas,5,FALSE))</f>
        <v/>
      </c>
      <c r="J202" s="416"/>
      <c r="K202" s="3" t="str">
        <f>IF(A202="","",'04'!$I$2)</f>
        <v/>
      </c>
      <c r="L202" s="3"/>
      <c r="M202" s="712" t="str">
        <f t="shared" si="23"/>
        <v/>
      </c>
      <c r="N202" s="416"/>
    </row>
    <row r="203" spans="1:16" ht="12.75" customHeight="1" x14ac:dyDescent="0.25">
      <c r="A203" s="711"/>
      <c r="B203" s="418"/>
      <c r="C203" s="418"/>
      <c r="D203" s="418"/>
      <c r="E203" s="418"/>
      <c r="F203" s="418"/>
      <c r="G203" s="416"/>
      <c r="H203" s="12" t="str">
        <f>IF(A203="","",VLOOKUP(A203,AA_Cuadrillas,4,FALSE))</f>
        <v/>
      </c>
      <c r="I203" s="712" t="str">
        <f>IF(A203="","",VLOOKUP(A203,AA_Cuadrillas,5,FALSE))</f>
        <v/>
      </c>
      <c r="J203" s="416"/>
      <c r="K203" s="3" t="str">
        <f>IF(A203="","",'04'!$I$2)</f>
        <v/>
      </c>
      <c r="L203" s="13"/>
      <c r="M203" s="712" t="str">
        <f t="shared" si="23"/>
        <v/>
      </c>
      <c r="N203" s="416"/>
    </row>
    <row r="204" spans="1:16" ht="12.75" customHeight="1" x14ac:dyDescent="0.25">
      <c r="A204" s="711"/>
      <c r="B204" s="418"/>
      <c r="C204" s="418"/>
      <c r="D204" s="418"/>
      <c r="E204" s="418"/>
      <c r="F204" s="418"/>
      <c r="G204" s="416"/>
      <c r="H204" s="12" t="str">
        <f>IF(A204="","",VLOOKUP(A204,AA_Cuadrillas,4,FALSE))</f>
        <v/>
      </c>
      <c r="I204" s="712" t="str">
        <f>IF(A204="","",VLOOKUP(A204,AA_Cuadrillas,5,FALSE))</f>
        <v/>
      </c>
      <c r="J204" s="416"/>
      <c r="K204" s="3" t="str">
        <f>IF(A204="","",'04'!$I$2)</f>
        <v/>
      </c>
      <c r="L204" s="13"/>
      <c r="M204" s="712" t="str">
        <f t="shared" si="23"/>
        <v/>
      </c>
      <c r="N204" s="416"/>
    </row>
    <row r="205" spans="1:16" ht="12.75" customHeight="1" x14ac:dyDescent="0.25">
      <c r="A205" s="711"/>
      <c r="B205" s="418"/>
      <c r="C205" s="418"/>
      <c r="D205" s="418"/>
      <c r="E205" s="418"/>
      <c r="F205" s="418"/>
      <c r="G205" s="416"/>
      <c r="H205" s="12" t="str">
        <f>IF(A205="","",VLOOKUP(A205,AA_Cuadrillas,4,FALSE))</f>
        <v/>
      </c>
      <c r="I205" s="712" t="str">
        <f>IF(A205="","",VLOOKUP(A205,AA_Cuadrillas,5,FALSE))</f>
        <v/>
      </c>
      <c r="J205" s="416"/>
      <c r="K205" s="3" t="str">
        <f>IF(A205="","",'04'!$I$2)</f>
        <v/>
      </c>
      <c r="L205" s="13"/>
      <c r="M205" s="712" t="str">
        <f t="shared" si="23"/>
        <v/>
      </c>
      <c r="N205" s="416"/>
    </row>
    <row r="206" spans="1:16" ht="12.75" customHeight="1" x14ac:dyDescent="0.25">
      <c r="A206" s="5"/>
      <c r="B206" s="5"/>
      <c r="C206" s="5"/>
      <c r="D206" s="5"/>
      <c r="E206" s="5"/>
      <c r="F206" s="5"/>
      <c r="G206" s="5"/>
      <c r="H206" s="5"/>
      <c r="I206" s="5"/>
      <c r="J206" s="5"/>
      <c r="K206" s="713" t="s">
        <v>261</v>
      </c>
      <c r="L206" s="416"/>
      <c r="M206" s="712">
        <f>SUM(M201:N205)</f>
        <v>21325.43982</v>
      </c>
      <c r="N206" s="416"/>
    </row>
    <row r="207" spans="1:16" ht="12.75" customHeight="1" x14ac:dyDescent="0.2"/>
    <row r="208" spans="1:16" ht="12.75" customHeight="1" x14ac:dyDescent="0.2">
      <c r="A208" s="785" t="s">
        <v>83</v>
      </c>
      <c r="B208" s="410"/>
      <c r="C208" s="410"/>
      <c r="D208" s="410"/>
      <c r="E208" s="410"/>
      <c r="F208" s="410"/>
      <c r="G208" s="410"/>
      <c r="H208" s="410"/>
      <c r="I208" s="410"/>
      <c r="J208" s="410"/>
      <c r="K208" s="410"/>
      <c r="L208" s="410"/>
      <c r="M208" s="410"/>
      <c r="N208" s="411"/>
      <c r="O208" s="272"/>
      <c r="P208" s="9"/>
    </row>
    <row r="209" spans="1:16" ht="12.75" customHeight="1" x14ac:dyDescent="0.2">
      <c r="A209" s="412"/>
      <c r="B209" s="413"/>
      <c r="C209" s="413"/>
      <c r="D209" s="413"/>
      <c r="E209" s="413"/>
      <c r="F209" s="413"/>
      <c r="G209" s="413"/>
      <c r="H209" s="413"/>
      <c r="I209" s="413"/>
      <c r="J209" s="413"/>
      <c r="K209" s="413"/>
      <c r="L209" s="413"/>
      <c r="M209" s="413"/>
      <c r="N209" s="414"/>
      <c r="O209" s="272"/>
      <c r="P209" s="9"/>
    </row>
    <row r="210" spans="1:16" ht="12.75" customHeight="1" x14ac:dyDescent="0.2">
      <c r="A210" s="49"/>
      <c r="B210" s="49"/>
      <c r="C210" s="49"/>
      <c r="D210" s="49"/>
      <c r="E210" s="49"/>
      <c r="F210" s="49"/>
      <c r="G210" s="49"/>
      <c r="H210" s="49"/>
      <c r="I210" s="49"/>
      <c r="J210" s="49"/>
      <c r="K210" s="49"/>
      <c r="L210" s="49"/>
      <c r="M210" s="49"/>
      <c r="N210" s="49"/>
    </row>
    <row r="211" spans="1:16" ht="12.75" customHeight="1" thickBot="1" x14ac:dyDescent="0.35">
      <c r="A211" s="51" t="str">
        <f>VLOOKUP(A208,'10'!$B$9:$N$100,13,FALSE)</f>
        <v>G023</v>
      </c>
      <c r="B211" s="52" t="str">
        <f>A208</f>
        <v>ENTIBADO EN MADERA TIPO 2; CONTINUO PARA PROFUNDIDADES DE 2,0 A 4,0 MTS PARA TERRENOS INESTABLES 5 USOS (INCLUYE MATERIALES, HERRAMIENTAS Y MANO DE OBRA)</v>
      </c>
      <c r="C211" s="53" t="s">
        <v>400</v>
      </c>
      <c r="D211" s="54" t="s">
        <v>418</v>
      </c>
      <c r="E211" s="55" t="s">
        <v>177</v>
      </c>
      <c r="F211" s="59">
        <f>H211+J211+L211+N211</f>
        <v>52766.849913749997</v>
      </c>
      <c r="G211" s="55" t="s">
        <v>349</v>
      </c>
      <c r="H211" s="59">
        <f>M230</f>
        <v>1332.83998875</v>
      </c>
      <c r="I211" s="55" t="s">
        <v>402</v>
      </c>
      <c r="J211" s="59">
        <f>M221</f>
        <v>23597.343000000001</v>
      </c>
      <c r="K211" s="55" t="s">
        <v>351</v>
      </c>
      <c r="L211" s="59">
        <f>M239</f>
        <v>1179.86715</v>
      </c>
      <c r="M211" s="55" t="s">
        <v>352</v>
      </c>
      <c r="N211" s="59">
        <f>M248</f>
        <v>26656.799774999999</v>
      </c>
    </row>
    <row r="212" spans="1:16" ht="12.75" customHeight="1" thickBot="1" x14ac:dyDescent="0.3">
      <c r="A212" s="60"/>
      <c r="B212" s="60"/>
      <c r="C212" s="60"/>
      <c r="D212" s="60"/>
      <c r="E212" s="60"/>
      <c r="F212" s="60"/>
      <c r="G212" s="60"/>
      <c r="J212" s="60"/>
      <c r="K212" s="60"/>
      <c r="L212" s="327" t="s">
        <v>1934</v>
      </c>
      <c r="M212" s="328">
        <f>+F211*'01'!$O$16</f>
        <v>68295.658048054858</v>
      </c>
      <c r="N212" s="60"/>
    </row>
    <row r="213" spans="1:16" ht="12.75" customHeight="1" x14ac:dyDescent="0.2">
      <c r="A213" s="716" t="s">
        <v>403</v>
      </c>
      <c r="B213" s="418"/>
      <c r="C213" s="418"/>
      <c r="D213" s="418"/>
      <c r="E213" s="418"/>
      <c r="F213" s="418"/>
      <c r="G213" s="418"/>
      <c r="H213" s="418"/>
      <c r="I213" s="418"/>
      <c r="J213" s="418"/>
      <c r="K213" s="418"/>
      <c r="L213" s="418"/>
      <c r="M213" s="418"/>
      <c r="N213" s="416"/>
    </row>
    <row r="214" spans="1:16" ht="12.75" customHeight="1" x14ac:dyDescent="0.2">
      <c r="A214" s="713" t="s">
        <v>39</v>
      </c>
      <c r="B214" s="418"/>
      <c r="C214" s="418"/>
      <c r="D214" s="418"/>
      <c r="E214" s="418"/>
      <c r="F214" s="418"/>
      <c r="G214" s="416"/>
      <c r="H214" s="61" t="s">
        <v>40</v>
      </c>
      <c r="I214" s="717" t="s">
        <v>404</v>
      </c>
      <c r="J214" s="416"/>
      <c r="K214" s="717" t="s">
        <v>184</v>
      </c>
      <c r="L214" s="416"/>
      <c r="M214" s="717" t="s">
        <v>405</v>
      </c>
      <c r="N214" s="416"/>
    </row>
    <row r="215" spans="1:16" ht="12.75" customHeight="1" x14ac:dyDescent="0.2">
      <c r="A215" s="714" t="s">
        <v>422</v>
      </c>
      <c r="B215" s="418"/>
      <c r="C215" s="418"/>
      <c r="D215" s="418"/>
      <c r="E215" s="418"/>
      <c r="F215" s="418"/>
      <c r="G215" s="416"/>
      <c r="H215" s="12" t="str">
        <f t="shared" ref="H215:H220" si="24">IF(A215="","",VLOOKUP(A215,AA_Materiales,7,FALSE))</f>
        <v>Unidad</v>
      </c>
      <c r="I215" s="712">
        <f t="shared" ref="I215:I220" si="25">IF(A215="","",VLOOKUP(A215,AA_Materiales,8,FALSE))</f>
        <v>20230</v>
      </c>
      <c r="J215" s="416"/>
      <c r="K215" s="723">
        <v>0.52410000000000001</v>
      </c>
      <c r="L215" s="416"/>
      <c r="M215" s="712">
        <f t="shared" ref="M215:M220" si="26">IF(A215="","",I215*K215)</f>
        <v>10602.543</v>
      </c>
      <c r="N215" s="416"/>
    </row>
    <row r="216" spans="1:16" ht="12.75" customHeight="1" x14ac:dyDescent="0.2">
      <c r="A216" s="714" t="s">
        <v>423</v>
      </c>
      <c r="B216" s="418"/>
      <c r="C216" s="418"/>
      <c r="D216" s="418"/>
      <c r="E216" s="418"/>
      <c r="F216" s="418"/>
      <c r="G216" s="416"/>
      <c r="H216" s="12" t="str">
        <f t="shared" si="24"/>
        <v>LB</v>
      </c>
      <c r="I216" s="712">
        <f t="shared" si="25"/>
        <v>5712</v>
      </c>
      <c r="J216" s="416"/>
      <c r="K216" s="715">
        <v>0.4</v>
      </c>
      <c r="L216" s="416"/>
      <c r="M216" s="712">
        <f t="shared" si="26"/>
        <v>2284.8000000000002</v>
      </c>
      <c r="N216" s="416"/>
    </row>
    <row r="217" spans="1:16" ht="12.75" customHeight="1" x14ac:dyDescent="0.2">
      <c r="A217" s="714" t="s">
        <v>424</v>
      </c>
      <c r="B217" s="418"/>
      <c r="C217" s="418"/>
      <c r="D217" s="418"/>
      <c r="E217" s="418"/>
      <c r="F217" s="418"/>
      <c r="G217" s="416"/>
      <c r="H217" s="12" t="str">
        <f t="shared" si="24"/>
        <v>Unidad</v>
      </c>
      <c r="I217" s="712">
        <f t="shared" si="25"/>
        <v>21420</v>
      </c>
      <c r="J217" s="416"/>
      <c r="K217" s="715">
        <v>0.5</v>
      </c>
      <c r="L217" s="416"/>
      <c r="M217" s="712">
        <f t="shared" si="26"/>
        <v>10710</v>
      </c>
      <c r="N217" s="416"/>
    </row>
    <row r="218" spans="1:16" ht="12.75" customHeight="1" x14ac:dyDescent="0.2">
      <c r="A218" s="714"/>
      <c r="B218" s="418"/>
      <c r="C218" s="418"/>
      <c r="D218" s="418"/>
      <c r="E218" s="418"/>
      <c r="F218" s="418"/>
      <c r="G218" s="416"/>
      <c r="H218" s="12" t="str">
        <f t="shared" si="24"/>
        <v/>
      </c>
      <c r="I218" s="712" t="str">
        <f t="shared" si="25"/>
        <v/>
      </c>
      <c r="J218" s="416"/>
      <c r="K218" s="715"/>
      <c r="L218" s="416"/>
      <c r="M218" s="712" t="str">
        <f t="shared" si="26"/>
        <v/>
      </c>
      <c r="N218" s="416"/>
    </row>
    <row r="219" spans="1:16" ht="12.75" customHeight="1" x14ac:dyDescent="0.2">
      <c r="A219" s="714"/>
      <c r="B219" s="418"/>
      <c r="C219" s="418"/>
      <c r="D219" s="418"/>
      <c r="E219" s="418"/>
      <c r="F219" s="418"/>
      <c r="G219" s="416"/>
      <c r="H219" s="12" t="str">
        <f t="shared" si="24"/>
        <v/>
      </c>
      <c r="I219" s="712" t="str">
        <f t="shared" si="25"/>
        <v/>
      </c>
      <c r="J219" s="416"/>
      <c r="K219" s="715"/>
      <c r="L219" s="416"/>
      <c r="M219" s="712" t="str">
        <f t="shared" si="26"/>
        <v/>
      </c>
      <c r="N219" s="416"/>
    </row>
    <row r="220" spans="1:16" ht="12.75" customHeight="1" x14ac:dyDescent="0.2">
      <c r="A220" s="714"/>
      <c r="B220" s="418"/>
      <c r="C220" s="418"/>
      <c r="D220" s="418"/>
      <c r="E220" s="418"/>
      <c r="F220" s="418"/>
      <c r="G220" s="416"/>
      <c r="H220" s="12" t="str">
        <f t="shared" si="24"/>
        <v/>
      </c>
      <c r="I220" s="712" t="str">
        <f t="shared" si="25"/>
        <v/>
      </c>
      <c r="J220" s="416"/>
      <c r="K220" s="715"/>
      <c r="L220" s="416"/>
      <c r="M220" s="712" t="str">
        <f t="shared" si="26"/>
        <v/>
      </c>
      <c r="N220" s="416"/>
    </row>
    <row r="221" spans="1:16" ht="12.75" customHeight="1" x14ac:dyDescent="0.25">
      <c r="A221" s="5"/>
      <c r="B221" s="5"/>
      <c r="C221" s="5"/>
      <c r="D221" s="5"/>
      <c r="E221" s="5"/>
      <c r="F221" s="5"/>
      <c r="G221" s="5"/>
      <c r="H221" s="5"/>
      <c r="I221" s="5"/>
      <c r="J221" s="5"/>
      <c r="K221" s="713" t="s">
        <v>261</v>
      </c>
      <c r="L221" s="416"/>
      <c r="M221" s="712">
        <f>SUM(M215:N220)</f>
        <v>23597.343000000001</v>
      </c>
      <c r="N221" s="416"/>
    </row>
    <row r="222" spans="1:16" ht="12.75" customHeight="1" x14ac:dyDescent="0.25">
      <c r="A222" s="5"/>
      <c r="B222" s="5"/>
      <c r="C222" s="5"/>
      <c r="D222" s="5"/>
      <c r="E222" s="5"/>
      <c r="F222" s="5"/>
      <c r="G222" s="5"/>
      <c r="H222" s="5"/>
      <c r="I222" s="5"/>
      <c r="J222" s="5"/>
      <c r="K222" s="5"/>
      <c r="L222" s="5"/>
      <c r="M222" s="5"/>
      <c r="N222" s="5"/>
    </row>
    <row r="223" spans="1:16" ht="12.75" customHeight="1" x14ac:dyDescent="0.2">
      <c r="A223" s="716" t="s">
        <v>410</v>
      </c>
      <c r="B223" s="418"/>
      <c r="C223" s="418"/>
      <c r="D223" s="418"/>
      <c r="E223" s="418"/>
      <c r="F223" s="418"/>
      <c r="G223" s="418"/>
      <c r="H223" s="418"/>
      <c r="I223" s="418"/>
      <c r="J223" s="418"/>
      <c r="K223" s="418"/>
      <c r="L223" s="418"/>
      <c r="M223" s="418"/>
      <c r="N223" s="416"/>
    </row>
    <row r="224" spans="1:16" ht="12.75" customHeight="1" x14ac:dyDescent="0.2">
      <c r="A224" s="713" t="s">
        <v>39</v>
      </c>
      <c r="B224" s="418"/>
      <c r="C224" s="418"/>
      <c r="D224" s="418"/>
      <c r="E224" s="418"/>
      <c r="F224" s="418"/>
      <c r="G224" s="416"/>
      <c r="H224" s="61" t="s">
        <v>40</v>
      </c>
      <c r="I224" s="717" t="s">
        <v>404</v>
      </c>
      <c r="J224" s="416"/>
      <c r="K224" s="717" t="s">
        <v>184</v>
      </c>
      <c r="L224" s="416"/>
      <c r="M224" s="717" t="s">
        <v>405</v>
      </c>
      <c r="N224" s="416"/>
    </row>
    <row r="225" spans="1:14" ht="12.75" customHeight="1" x14ac:dyDescent="0.2">
      <c r="A225" s="714" t="s">
        <v>411</v>
      </c>
      <c r="B225" s="418"/>
      <c r="C225" s="418"/>
      <c r="D225" s="418"/>
      <c r="E225" s="418"/>
      <c r="F225" s="418"/>
      <c r="G225" s="416"/>
      <c r="H225" s="12" t="str">
        <f>IF(A225="","",VLOOKUP(A225,AA_Equipos,7,FALSE))</f>
        <v>% M.O.</v>
      </c>
      <c r="I225" s="712">
        <f>M248</f>
        <v>26656.799774999999</v>
      </c>
      <c r="J225" s="416"/>
      <c r="K225" s="722">
        <v>0.05</v>
      </c>
      <c r="L225" s="416"/>
      <c r="M225" s="712">
        <f t="shared" ref="M225:M229" si="27">IF(A225="","",I225*K225)</f>
        <v>1332.83998875</v>
      </c>
      <c r="N225" s="416"/>
    </row>
    <row r="226" spans="1:14" ht="12.75" customHeight="1" x14ac:dyDescent="0.2">
      <c r="A226" s="719"/>
      <c r="B226" s="418"/>
      <c r="C226" s="418"/>
      <c r="D226" s="418"/>
      <c r="E226" s="418"/>
      <c r="F226" s="418"/>
      <c r="G226" s="416"/>
      <c r="H226" s="12" t="str">
        <f>IF(A226="","",VLOOKUP(A226,AA_Equipos,7,FALSE))</f>
        <v/>
      </c>
      <c r="I226" s="712" t="str">
        <f>IF(A226="","",VLOOKUP(A226,AA_Equipos,8,FALSE))</f>
        <v/>
      </c>
      <c r="J226" s="416"/>
      <c r="K226" s="723"/>
      <c r="L226" s="416"/>
      <c r="M226" s="712" t="str">
        <f t="shared" si="27"/>
        <v/>
      </c>
      <c r="N226" s="416"/>
    </row>
    <row r="227" spans="1:14" ht="12.75" customHeight="1" x14ac:dyDescent="0.2">
      <c r="A227" s="714"/>
      <c r="B227" s="418"/>
      <c r="C227" s="418"/>
      <c r="D227" s="418"/>
      <c r="E227" s="418"/>
      <c r="F227" s="418"/>
      <c r="G227" s="416"/>
      <c r="H227" s="12" t="str">
        <f>IF(A227="","",VLOOKUP(A227,AA_Equipos,7,FALSE))</f>
        <v/>
      </c>
      <c r="I227" s="712" t="str">
        <f>IF(A227="","",VLOOKUP(A227,AA_Equipos,8,FALSE))</f>
        <v/>
      </c>
      <c r="J227" s="416"/>
      <c r="K227" s="786"/>
      <c r="L227" s="416"/>
      <c r="M227" s="712" t="str">
        <f t="shared" si="27"/>
        <v/>
      </c>
      <c r="N227" s="416"/>
    </row>
    <row r="228" spans="1:14" ht="12.75" customHeight="1" x14ac:dyDescent="0.2">
      <c r="A228" s="714"/>
      <c r="B228" s="418"/>
      <c r="C228" s="418"/>
      <c r="D228" s="418"/>
      <c r="E228" s="418"/>
      <c r="F228" s="418"/>
      <c r="G228" s="416"/>
      <c r="H228" s="12" t="str">
        <f>IF(A228="","",VLOOKUP(A228,AA_Equipos,7,FALSE))</f>
        <v/>
      </c>
      <c r="I228" s="712" t="str">
        <f>IF(A228="","",VLOOKUP(A228,AA_Equipos,8,FALSE))</f>
        <v/>
      </c>
      <c r="J228" s="416"/>
      <c r="K228" s="715"/>
      <c r="L228" s="416"/>
      <c r="M228" s="712" t="str">
        <f t="shared" si="27"/>
        <v/>
      </c>
      <c r="N228" s="416"/>
    </row>
    <row r="229" spans="1:14" ht="12.75" customHeight="1" x14ac:dyDescent="0.2">
      <c r="A229" s="714"/>
      <c r="B229" s="418"/>
      <c r="C229" s="418"/>
      <c r="D229" s="418"/>
      <c r="E229" s="418"/>
      <c r="F229" s="418"/>
      <c r="G229" s="416"/>
      <c r="H229" s="12" t="str">
        <f>IF(A229="","",VLOOKUP(A229,AA_Equipos,7,FALSE))</f>
        <v/>
      </c>
      <c r="I229" s="712" t="str">
        <f>IF(A229="","",VLOOKUP(A229,AA_Equipos,8,FALSE))</f>
        <v/>
      </c>
      <c r="J229" s="416"/>
      <c r="K229" s="715"/>
      <c r="L229" s="416"/>
      <c r="M229" s="712" t="str">
        <f t="shared" si="27"/>
        <v/>
      </c>
      <c r="N229" s="416"/>
    </row>
    <row r="230" spans="1:14" ht="12.75" customHeight="1" x14ac:dyDescent="0.25">
      <c r="A230" s="5"/>
      <c r="B230" s="5"/>
      <c r="C230" s="5"/>
      <c r="D230" s="5"/>
      <c r="E230" s="5"/>
      <c r="F230" s="5"/>
      <c r="G230" s="5"/>
      <c r="H230" s="5"/>
      <c r="I230" s="5"/>
      <c r="J230" s="5"/>
      <c r="K230" s="713" t="s">
        <v>261</v>
      </c>
      <c r="L230" s="416"/>
      <c r="M230" s="712">
        <f>SUM(M225:N229)</f>
        <v>1332.83998875</v>
      </c>
      <c r="N230" s="416"/>
    </row>
    <row r="231" spans="1:14" ht="12.75" customHeight="1" x14ac:dyDescent="0.25">
      <c r="A231" s="5"/>
      <c r="B231" s="5"/>
      <c r="C231" s="5"/>
      <c r="D231" s="5"/>
      <c r="E231" s="5"/>
      <c r="F231" s="5"/>
      <c r="G231" s="5"/>
      <c r="H231" s="5"/>
      <c r="I231" s="5"/>
      <c r="J231" s="5"/>
      <c r="K231" s="5"/>
      <c r="L231" s="5"/>
      <c r="M231" s="5"/>
      <c r="N231" s="5"/>
    </row>
    <row r="232" spans="1:14" ht="12.75" customHeight="1" x14ac:dyDescent="0.2">
      <c r="A232" s="716" t="s">
        <v>413</v>
      </c>
      <c r="B232" s="418"/>
      <c r="C232" s="418"/>
      <c r="D232" s="418"/>
      <c r="E232" s="418"/>
      <c r="F232" s="418"/>
      <c r="G232" s="418"/>
      <c r="H232" s="418"/>
      <c r="I232" s="418"/>
      <c r="J232" s="418"/>
      <c r="K232" s="418"/>
      <c r="L232" s="418"/>
      <c r="M232" s="418"/>
      <c r="N232" s="416"/>
    </row>
    <row r="233" spans="1:14" ht="12.75" customHeight="1" x14ac:dyDescent="0.2">
      <c r="A233" s="713" t="s">
        <v>39</v>
      </c>
      <c r="B233" s="418"/>
      <c r="C233" s="418"/>
      <c r="D233" s="418"/>
      <c r="E233" s="418"/>
      <c r="F233" s="418"/>
      <c r="G233" s="416"/>
      <c r="H233" s="61" t="s">
        <v>40</v>
      </c>
      <c r="I233" s="717" t="s">
        <v>404</v>
      </c>
      <c r="J233" s="416"/>
      <c r="K233" s="717" t="s">
        <v>184</v>
      </c>
      <c r="L233" s="416"/>
      <c r="M233" s="717" t="s">
        <v>405</v>
      </c>
      <c r="N233" s="416"/>
    </row>
    <row r="234" spans="1:14" ht="12.75" customHeight="1" x14ac:dyDescent="0.2">
      <c r="A234" s="714" t="s">
        <v>425</v>
      </c>
      <c r="B234" s="418"/>
      <c r="C234" s="418"/>
      <c r="D234" s="418"/>
      <c r="E234" s="418"/>
      <c r="F234" s="418"/>
      <c r="G234" s="416"/>
      <c r="H234" s="12" t="s">
        <v>426</v>
      </c>
      <c r="I234" s="712">
        <f>+M221</f>
        <v>23597.343000000001</v>
      </c>
      <c r="J234" s="416"/>
      <c r="K234" s="722">
        <v>0.05</v>
      </c>
      <c r="L234" s="416"/>
      <c r="M234" s="712">
        <f t="shared" ref="M234:M238" si="28">IF(A234="","",I234*K234)</f>
        <v>1179.86715</v>
      </c>
      <c r="N234" s="416"/>
    </row>
    <row r="235" spans="1:14" ht="12.75" customHeight="1" x14ac:dyDescent="0.2">
      <c r="A235" s="719"/>
      <c r="B235" s="418"/>
      <c r="C235" s="418"/>
      <c r="D235" s="418"/>
      <c r="E235" s="418"/>
      <c r="F235" s="418"/>
      <c r="G235" s="416"/>
      <c r="H235" s="12"/>
      <c r="I235" s="712"/>
      <c r="J235" s="416"/>
      <c r="K235" s="722"/>
      <c r="L235" s="416"/>
      <c r="M235" s="712" t="str">
        <f t="shared" si="28"/>
        <v/>
      </c>
      <c r="N235" s="416"/>
    </row>
    <row r="236" spans="1:14" ht="12.75" customHeight="1" x14ac:dyDescent="0.2">
      <c r="A236" s="714"/>
      <c r="B236" s="418"/>
      <c r="C236" s="418"/>
      <c r="D236" s="418"/>
      <c r="E236" s="418"/>
      <c r="F236" s="418"/>
      <c r="G236" s="416"/>
      <c r="H236" s="12"/>
      <c r="I236" s="712"/>
      <c r="J236" s="416"/>
      <c r="K236" s="715"/>
      <c r="L236" s="416"/>
      <c r="M236" s="712" t="str">
        <f t="shared" si="28"/>
        <v/>
      </c>
      <c r="N236" s="416"/>
    </row>
    <row r="237" spans="1:14" ht="12.75" customHeight="1" x14ac:dyDescent="0.2">
      <c r="A237" s="714"/>
      <c r="B237" s="418"/>
      <c r="C237" s="418"/>
      <c r="D237" s="418"/>
      <c r="E237" s="418"/>
      <c r="F237" s="418"/>
      <c r="G237" s="416"/>
      <c r="H237" s="12"/>
      <c r="I237" s="712"/>
      <c r="J237" s="416"/>
      <c r="K237" s="715"/>
      <c r="L237" s="416"/>
      <c r="M237" s="712" t="str">
        <f t="shared" si="28"/>
        <v/>
      </c>
      <c r="N237" s="416"/>
    </row>
    <row r="238" spans="1:14" ht="12.75" customHeight="1" x14ac:dyDescent="0.2">
      <c r="A238" s="714"/>
      <c r="B238" s="418"/>
      <c r="C238" s="418"/>
      <c r="D238" s="418"/>
      <c r="E238" s="418"/>
      <c r="F238" s="418"/>
      <c r="G238" s="416"/>
      <c r="H238" s="12"/>
      <c r="I238" s="712"/>
      <c r="J238" s="416"/>
      <c r="K238" s="715"/>
      <c r="L238" s="416"/>
      <c r="M238" s="712" t="str">
        <f t="shared" si="28"/>
        <v/>
      </c>
      <c r="N238" s="416"/>
    </row>
    <row r="239" spans="1:14" ht="12.75" customHeight="1" x14ac:dyDescent="0.25">
      <c r="A239" s="5"/>
      <c r="B239" s="5"/>
      <c r="C239" s="5"/>
      <c r="D239" s="5"/>
      <c r="E239" s="5"/>
      <c r="F239" s="5"/>
      <c r="G239" s="5"/>
      <c r="H239" s="5"/>
      <c r="I239" s="5"/>
      <c r="J239" s="5"/>
      <c r="K239" s="713" t="s">
        <v>261</v>
      </c>
      <c r="L239" s="416"/>
      <c r="M239" s="712">
        <f>SUM(M234:N238)</f>
        <v>1179.86715</v>
      </c>
      <c r="N239" s="416"/>
    </row>
    <row r="240" spans="1:14" ht="12.75" customHeight="1" x14ac:dyDescent="0.25">
      <c r="A240" s="5"/>
      <c r="B240" s="5"/>
      <c r="C240" s="5"/>
      <c r="D240" s="5"/>
      <c r="E240" s="5"/>
      <c r="F240" s="5"/>
      <c r="G240" s="5"/>
      <c r="H240" s="5"/>
      <c r="I240" s="5"/>
      <c r="J240" s="5"/>
      <c r="K240" s="5"/>
      <c r="L240" s="5"/>
      <c r="M240" s="5"/>
      <c r="N240" s="5"/>
    </row>
    <row r="241" spans="1:16" ht="12.75" customHeight="1" x14ac:dyDescent="0.2">
      <c r="A241" s="716" t="s">
        <v>415</v>
      </c>
      <c r="B241" s="418"/>
      <c r="C241" s="418"/>
      <c r="D241" s="418"/>
      <c r="E241" s="418"/>
      <c r="F241" s="418"/>
      <c r="G241" s="418"/>
      <c r="H241" s="418"/>
      <c r="I241" s="418"/>
      <c r="J241" s="418"/>
      <c r="K241" s="418"/>
      <c r="L241" s="418"/>
      <c r="M241" s="418"/>
      <c r="N241" s="416"/>
    </row>
    <row r="242" spans="1:16" ht="12.75" customHeight="1" x14ac:dyDescent="0.2">
      <c r="A242" s="713" t="s">
        <v>39</v>
      </c>
      <c r="B242" s="418"/>
      <c r="C242" s="418"/>
      <c r="D242" s="418"/>
      <c r="E242" s="418"/>
      <c r="F242" s="418"/>
      <c r="G242" s="416"/>
      <c r="H242" s="61" t="s">
        <v>40</v>
      </c>
      <c r="I242" s="717" t="s">
        <v>404</v>
      </c>
      <c r="J242" s="416"/>
      <c r="K242" s="64" t="s">
        <v>253</v>
      </c>
      <c r="L242" s="65" t="s">
        <v>416</v>
      </c>
      <c r="M242" s="717" t="s">
        <v>405</v>
      </c>
      <c r="N242" s="416"/>
    </row>
    <row r="243" spans="1:16" ht="12.75" customHeight="1" x14ac:dyDescent="0.25">
      <c r="A243" s="711" t="s">
        <v>427</v>
      </c>
      <c r="B243" s="418"/>
      <c r="C243" s="418"/>
      <c r="D243" s="418"/>
      <c r="E243" s="418"/>
      <c r="F243" s="418"/>
      <c r="G243" s="416"/>
      <c r="H243" s="12" t="str">
        <f>IF(A243="","",VLOOKUP(A243,AA_Cuadrillas,4,FALSE))</f>
        <v>Cuadrilla</v>
      </c>
      <c r="I243" s="712">
        <f>IF(A243="","",VLOOKUP(A243,AA_Cuadrillas,5,FALSE))</f>
        <v>169254</v>
      </c>
      <c r="J243" s="416"/>
      <c r="K243" s="3">
        <f>IF(A243="","",'04'!$I$2)</f>
        <v>1.88995</v>
      </c>
      <c r="L243" s="66">
        <f>1/12</f>
        <v>8.3333333333333329E-2</v>
      </c>
      <c r="M243" s="712">
        <f t="shared" ref="M243:M247" si="29">IF(A243="","",I243*K243*L243)</f>
        <v>26656.799774999999</v>
      </c>
      <c r="N243" s="416"/>
    </row>
    <row r="244" spans="1:16" ht="12.75" customHeight="1" x14ac:dyDescent="0.25">
      <c r="A244" s="711"/>
      <c r="B244" s="418"/>
      <c r="C244" s="418"/>
      <c r="D244" s="418"/>
      <c r="E244" s="418"/>
      <c r="F244" s="418"/>
      <c r="G244" s="416"/>
      <c r="H244" s="12" t="str">
        <f>IF(A244="","",VLOOKUP(A244,AA_Cuadrillas,4,FALSE))</f>
        <v/>
      </c>
      <c r="I244" s="712" t="str">
        <f>IF(A244="","",VLOOKUP(A244,AA_Cuadrillas,5,FALSE))</f>
        <v/>
      </c>
      <c r="J244" s="416"/>
      <c r="K244" s="3" t="str">
        <f>IF(A244="","",'04'!$I$2)</f>
        <v/>
      </c>
      <c r="L244" s="3"/>
      <c r="M244" s="712" t="str">
        <f t="shared" si="29"/>
        <v/>
      </c>
      <c r="N244" s="416"/>
    </row>
    <row r="245" spans="1:16" ht="12.75" customHeight="1" x14ac:dyDescent="0.25">
      <c r="A245" s="711"/>
      <c r="B245" s="418"/>
      <c r="C245" s="418"/>
      <c r="D245" s="418"/>
      <c r="E245" s="418"/>
      <c r="F245" s="418"/>
      <c r="G245" s="416"/>
      <c r="H245" s="12" t="str">
        <f>IF(A245="","",VLOOKUP(A245,AA_Cuadrillas,4,FALSE))</f>
        <v/>
      </c>
      <c r="I245" s="712" t="str">
        <f>IF(A245="","",VLOOKUP(A245,AA_Cuadrillas,5,FALSE))</f>
        <v/>
      </c>
      <c r="J245" s="416"/>
      <c r="K245" s="3" t="str">
        <f>IF(A245="","",'04'!$I$2)</f>
        <v/>
      </c>
      <c r="L245" s="13"/>
      <c r="M245" s="712" t="str">
        <f t="shared" si="29"/>
        <v/>
      </c>
      <c r="N245" s="416"/>
    </row>
    <row r="246" spans="1:16" ht="12.75" customHeight="1" x14ac:dyDescent="0.25">
      <c r="A246" s="711"/>
      <c r="B246" s="418"/>
      <c r="C246" s="418"/>
      <c r="D246" s="418"/>
      <c r="E246" s="418"/>
      <c r="F246" s="418"/>
      <c r="G246" s="416"/>
      <c r="H246" s="12" t="str">
        <f>IF(A246="","",VLOOKUP(A246,AA_Cuadrillas,4,FALSE))</f>
        <v/>
      </c>
      <c r="I246" s="712" t="str">
        <f>IF(A246="","",VLOOKUP(A246,AA_Cuadrillas,5,FALSE))</f>
        <v/>
      </c>
      <c r="J246" s="416"/>
      <c r="K246" s="3" t="str">
        <f>IF(A246="","",'04'!$I$2)</f>
        <v/>
      </c>
      <c r="L246" s="13"/>
      <c r="M246" s="712" t="str">
        <f t="shared" si="29"/>
        <v/>
      </c>
      <c r="N246" s="416"/>
    </row>
    <row r="247" spans="1:16" ht="12.75" customHeight="1" x14ac:dyDescent="0.25">
      <c r="A247" s="711"/>
      <c r="B247" s="418"/>
      <c r="C247" s="418"/>
      <c r="D247" s="418"/>
      <c r="E247" s="418"/>
      <c r="F247" s="418"/>
      <c r="G247" s="416"/>
      <c r="H247" s="12" t="str">
        <f>IF(A247="","",VLOOKUP(A247,AA_Cuadrillas,4,FALSE))</f>
        <v/>
      </c>
      <c r="I247" s="712" t="str">
        <f>IF(A247="","",VLOOKUP(A247,AA_Cuadrillas,5,FALSE))</f>
        <v/>
      </c>
      <c r="J247" s="416"/>
      <c r="K247" s="3" t="str">
        <f>IF(A247="","",'04'!$I$2)</f>
        <v/>
      </c>
      <c r="L247" s="13"/>
      <c r="M247" s="712" t="str">
        <f t="shared" si="29"/>
        <v/>
      </c>
      <c r="N247" s="416"/>
    </row>
    <row r="248" spans="1:16" ht="12.75" customHeight="1" x14ac:dyDescent="0.25">
      <c r="A248" s="5"/>
      <c r="B248" s="5"/>
      <c r="C248" s="5"/>
      <c r="D248" s="5"/>
      <c r="E248" s="5"/>
      <c r="F248" s="5"/>
      <c r="G248" s="5"/>
      <c r="H248" s="5"/>
      <c r="I248" s="5"/>
      <c r="J248" s="5"/>
      <c r="K248" s="713" t="s">
        <v>261</v>
      </c>
      <c r="L248" s="416"/>
      <c r="M248" s="712">
        <f>SUM(M243:N247)</f>
        <v>26656.799774999999</v>
      </c>
      <c r="N248" s="416"/>
    </row>
    <row r="249" spans="1:16" ht="12.75" customHeight="1" x14ac:dyDescent="0.2">
      <c r="A249" s="9"/>
      <c r="B249" s="9"/>
      <c r="C249" s="9"/>
      <c r="D249" s="9"/>
      <c r="E249" s="9"/>
      <c r="F249" s="9"/>
      <c r="G249" s="9"/>
      <c r="H249" s="9"/>
      <c r="I249" s="9"/>
      <c r="J249" s="9"/>
      <c r="K249" s="9"/>
      <c r="L249" s="9"/>
      <c r="M249" s="9"/>
      <c r="N249" s="9"/>
      <c r="O249" s="9"/>
      <c r="P249" s="9"/>
    </row>
    <row r="250" spans="1:16" ht="12.75" customHeight="1" x14ac:dyDescent="0.2">
      <c r="A250" s="785" t="s">
        <v>56</v>
      </c>
      <c r="B250" s="410"/>
      <c r="C250" s="410"/>
      <c r="D250" s="410"/>
      <c r="E250" s="410"/>
      <c r="F250" s="410"/>
      <c r="G250" s="410"/>
      <c r="H250" s="410"/>
      <c r="I250" s="410"/>
      <c r="J250" s="410"/>
      <c r="K250" s="410"/>
      <c r="L250" s="410"/>
      <c r="M250" s="410"/>
      <c r="N250" s="411"/>
      <c r="O250" s="272"/>
      <c r="P250" s="9"/>
    </row>
    <row r="251" spans="1:16" ht="12.75" customHeight="1" x14ac:dyDescent="0.2">
      <c r="A251" s="412"/>
      <c r="B251" s="413"/>
      <c r="C251" s="413"/>
      <c r="D251" s="413"/>
      <c r="E251" s="413"/>
      <c r="F251" s="413"/>
      <c r="G251" s="413"/>
      <c r="H251" s="413"/>
      <c r="I251" s="413"/>
      <c r="J251" s="413"/>
      <c r="K251" s="413"/>
      <c r="L251" s="413"/>
      <c r="M251" s="413"/>
      <c r="N251" s="414"/>
      <c r="O251" s="272"/>
      <c r="P251" s="9"/>
    </row>
    <row r="252" spans="1:16" ht="12.75" customHeight="1" x14ac:dyDescent="0.2">
      <c r="A252" s="49"/>
      <c r="B252" s="49"/>
      <c r="C252" s="49"/>
      <c r="D252" s="49"/>
      <c r="E252" s="49"/>
      <c r="F252" s="49"/>
      <c r="G252" s="49"/>
      <c r="H252" s="49"/>
      <c r="I252" s="49"/>
      <c r="J252" s="49"/>
      <c r="K252" s="49"/>
      <c r="L252" s="49"/>
      <c r="M252" s="49"/>
      <c r="N252" s="49"/>
    </row>
    <row r="253" spans="1:16" ht="12.75" customHeight="1" thickBot="1" x14ac:dyDescent="0.35">
      <c r="A253" s="51" t="str">
        <f>VLOOKUP(A250,'10'!$B$9:$N$100,13,FALSE)</f>
        <v>G005</v>
      </c>
      <c r="B253" s="52" t="str">
        <f>A250</f>
        <v>RELLENO CON MATERIAL SELECCIONADO DE LA EXCAVACIÓN, COMPACTADO CON EQUIPO MECÁNICO EN CAPAS DE 0,20 m (INCLUYE EQUIPO, HERRAMIENTA MENOR Y MANO DE OBRA)</v>
      </c>
      <c r="C253" s="53" t="s">
        <v>400</v>
      </c>
      <c r="D253" s="54" t="s">
        <v>420</v>
      </c>
      <c r="E253" s="55" t="s">
        <v>177</v>
      </c>
      <c r="F253" s="59">
        <f>H253+J253+L253+N253</f>
        <v>25094.779677772727</v>
      </c>
      <c r="G253" s="55" t="s">
        <v>349</v>
      </c>
      <c r="H253" s="59">
        <f>M271</f>
        <v>12439.656991818181</v>
      </c>
      <c r="I253" s="55" t="s">
        <v>402</v>
      </c>
      <c r="J253" s="59">
        <f>M262</f>
        <v>0</v>
      </c>
      <c r="K253" s="55" t="s">
        <v>351</v>
      </c>
      <c r="L253" s="59">
        <f>M280</f>
        <v>621.98284959090915</v>
      </c>
      <c r="M253" s="55" t="s">
        <v>352</v>
      </c>
      <c r="N253" s="59">
        <f>M289</f>
        <v>12033.139836363638</v>
      </c>
    </row>
    <row r="254" spans="1:16" ht="12.75" customHeight="1" thickBot="1" x14ac:dyDescent="0.3">
      <c r="A254" s="60"/>
      <c r="B254" s="60"/>
      <c r="C254" s="60"/>
      <c r="D254" s="60"/>
      <c r="E254" s="60"/>
      <c r="F254" s="60"/>
      <c r="G254" s="60"/>
      <c r="J254" s="60"/>
      <c r="K254" s="60"/>
      <c r="L254" s="327" t="s">
        <v>1934</v>
      </c>
      <c r="M254" s="328">
        <f>+F253*'01'!$O$16</f>
        <v>32479.947058917445</v>
      </c>
      <c r="N254" s="60"/>
    </row>
    <row r="255" spans="1:16" ht="12.75" customHeight="1" x14ac:dyDescent="0.2">
      <c r="A255" s="716" t="s">
        <v>403</v>
      </c>
      <c r="B255" s="418"/>
      <c r="C255" s="418"/>
      <c r="D255" s="418"/>
      <c r="E255" s="418"/>
      <c r="F255" s="418"/>
      <c r="G255" s="418"/>
      <c r="H255" s="418"/>
      <c r="I255" s="418"/>
      <c r="J255" s="418"/>
      <c r="K255" s="418"/>
      <c r="L255" s="418"/>
      <c r="M255" s="418"/>
      <c r="N255" s="416"/>
    </row>
    <row r="256" spans="1:16" ht="12.75" customHeight="1" x14ac:dyDescent="0.2">
      <c r="A256" s="713" t="s">
        <v>39</v>
      </c>
      <c r="B256" s="418"/>
      <c r="C256" s="418"/>
      <c r="D256" s="418"/>
      <c r="E256" s="418"/>
      <c r="F256" s="418"/>
      <c r="G256" s="416"/>
      <c r="H256" s="61" t="s">
        <v>40</v>
      </c>
      <c r="I256" s="717" t="s">
        <v>404</v>
      </c>
      <c r="J256" s="416"/>
      <c r="K256" s="717" t="s">
        <v>184</v>
      </c>
      <c r="L256" s="416"/>
      <c r="M256" s="717" t="s">
        <v>405</v>
      </c>
      <c r="N256" s="416"/>
    </row>
    <row r="257" spans="1:14" ht="12.75" customHeight="1" x14ac:dyDescent="0.2">
      <c r="A257" s="714"/>
      <c r="B257" s="418"/>
      <c r="C257" s="418"/>
      <c r="D257" s="418"/>
      <c r="E257" s="418"/>
      <c r="F257" s="418"/>
      <c r="G257" s="416"/>
      <c r="H257" s="12" t="str">
        <f>IF(A257="","",VLOOKUP(A257,AA_Materiales,7,FALSE))</f>
        <v/>
      </c>
      <c r="I257" s="712" t="str">
        <f>IF(A257="","",VLOOKUP(A257,AA_Materiales,8,FALSE))</f>
        <v/>
      </c>
      <c r="J257" s="416"/>
      <c r="K257" s="715"/>
      <c r="L257" s="416"/>
      <c r="M257" s="712" t="str">
        <f t="shared" ref="M257:M261" si="30">IF(A257="","",I257*K257)</f>
        <v/>
      </c>
      <c r="N257" s="416"/>
    </row>
    <row r="258" spans="1:14" ht="12.75" customHeight="1" x14ac:dyDescent="0.2">
      <c r="A258" s="714"/>
      <c r="B258" s="418"/>
      <c r="C258" s="418"/>
      <c r="D258" s="418"/>
      <c r="E258" s="418"/>
      <c r="F258" s="418"/>
      <c r="G258" s="416"/>
      <c r="H258" s="12" t="str">
        <f>IF(A258="","",VLOOKUP(A258,AA_Materiales,7,FALSE))</f>
        <v/>
      </c>
      <c r="I258" s="712" t="str">
        <f>IF(A258="","",VLOOKUP(A258,AA_Materiales,8,FALSE))</f>
        <v/>
      </c>
      <c r="J258" s="416"/>
      <c r="K258" s="715"/>
      <c r="L258" s="416"/>
      <c r="M258" s="712" t="str">
        <f t="shared" si="30"/>
        <v/>
      </c>
      <c r="N258" s="416"/>
    </row>
    <row r="259" spans="1:14" ht="12.75" customHeight="1" x14ac:dyDescent="0.2">
      <c r="A259" s="714"/>
      <c r="B259" s="418"/>
      <c r="C259" s="418"/>
      <c r="D259" s="418"/>
      <c r="E259" s="418"/>
      <c r="F259" s="418"/>
      <c r="G259" s="416"/>
      <c r="H259" s="12" t="str">
        <f>IF(A259="","",VLOOKUP(A259,AA_Materiales,7,FALSE))</f>
        <v/>
      </c>
      <c r="I259" s="712" t="str">
        <f>IF(A259="","",VLOOKUP(A259,AA_Materiales,8,FALSE))</f>
        <v/>
      </c>
      <c r="J259" s="416"/>
      <c r="K259" s="715"/>
      <c r="L259" s="416"/>
      <c r="M259" s="712" t="str">
        <f t="shared" si="30"/>
        <v/>
      </c>
      <c r="N259" s="416"/>
    </row>
    <row r="260" spans="1:14" ht="12.75" customHeight="1" x14ac:dyDescent="0.2">
      <c r="A260" s="714"/>
      <c r="B260" s="418"/>
      <c r="C260" s="418"/>
      <c r="D260" s="418"/>
      <c r="E260" s="418"/>
      <c r="F260" s="418"/>
      <c r="G260" s="416"/>
      <c r="H260" s="12" t="str">
        <f>IF(A260="","",VLOOKUP(A260,AA_Materiales,7,FALSE))</f>
        <v/>
      </c>
      <c r="I260" s="712" t="str">
        <f>IF(A260="","",VLOOKUP(A260,AA_Materiales,8,FALSE))</f>
        <v/>
      </c>
      <c r="J260" s="416"/>
      <c r="K260" s="715"/>
      <c r="L260" s="416"/>
      <c r="M260" s="712" t="str">
        <f t="shared" si="30"/>
        <v/>
      </c>
      <c r="N260" s="416"/>
    </row>
    <row r="261" spans="1:14" ht="12.75" customHeight="1" x14ac:dyDescent="0.2">
      <c r="A261" s="714"/>
      <c r="B261" s="418"/>
      <c r="C261" s="418"/>
      <c r="D261" s="418"/>
      <c r="E261" s="418"/>
      <c r="F261" s="418"/>
      <c r="G261" s="416"/>
      <c r="H261" s="12" t="str">
        <f>IF(A261="","",VLOOKUP(A261,AA_Materiales,7,FALSE))</f>
        <v/>
      </c>
      <c r="I261" s="712" t="str">
        <f>IF(A261="","",VLOOKUP(A261,AA_Materiales,8,FALSE))</f>
        <v/>
      </c>
      <c r="J261" s="416"/>
      <c r="K261" s="715"/>
      <c r="L261" s="416"/>
      <c r="M261" s="712" t="str">
        <f t="shared" si="30"/>
        <v/>
      </c>
      <c r="N261" s="416"/>
    </row>
    <row r="262" spans="1:14" ht="12.75" customHeight="1" x14ac:dyDescent="0.25">
      <c r="A262" s="5"/>
      <c r="B262" s="5"/>
      <c r="C262" s="5"/>
      <c r="D262" s="5"/>
      <c r="E262" s="5"/>
      <c r="F262" s="5"/>
      <c r="G262" s="5"/>
      <c r="H262" s="5"/>
      <c r="I262" s="5"/>
      <c r="J262" s="5"/>
      <c r="K262" s="713" t="s">
        <v>261</v>
      </c>
      <c r="L262" s="416"/>
      <c r="M262" s="712">
        <f>SUM(M257:N261)</f>
        <v>0</v>
      </c>
      <c r="N262" s="416"/>
    </row>
    <row r="263" spans="1:14" ht="12.75" customHeight="1" x14ac:dyDescent="0.25">
      <c r="A263" s="5"/>
      <c r="B263" s="5"/>
      <c r="C263" s="5"/>
      <c r="D263" s="5"/>
      <c r="E263" s="5"/>
      <c r="F263" s="5"/>
      <c r="G263" s="5"/>
      <c r="H263" s="5"/>
      <c r="I263" s="5"/>
      <c r="J263" s="5"/>
      <c r="K263" s="5"/>
      <c r="L263" s="5"/>
      <c r="M263" s="5"/>
      <c r="N263" s="5"/>
    </row>
    <row r="264" spans="1:14" ht="12.75" customHeight="1" x14ac:dyDescent="0.2">
      <c r="A264" s="716" t="s">
        <v>410</v>
      </c>
      <c r="B264" s="418"/>
      <c r="C264" s="418"/>
      <c r="D264" s="418"/>
      <c r="E264" s="418"/>
      <c r="F264" s="418"/>
      <c r="G264" s="418"/>
      <c r="H264" s="418"/>
      <c r="I264" s="418"/>
      <c r="J264" s="418"/>
      <c r="K264" s="418"/>
      <c r="L264" s="418"/>
      <c r="M264" s="418"/>
      <c r="N264" s="416"/>
    </row>
    <row r="265" spans="1:14" ht="12.75" customHeight="1" x14ac:dyDescent="0.2">
      <c r="A265" s="713" t="s">
        <v>39</v>
      </c>
      <c r="B265" s="418"/>
      <c r="C265" s="418"/>
      <c r="D265" s="418"/>
      <c r="E265" s="418"/>
      <c r="F265" s="418"/>
      <c r="G265" s="416"/>
      <c r="H265" s="61" t="s">
        <v>40</v>
      </c>
      <c r="I265" s="717" t="s">
        <v>404</v>
      </c>
      <c r="J265" s="416"/>
      <c r="K265" s="717" t="s">
        <v>184</v>
      </c>
      <c r="L265" s="416"/>
      <c r="M265" s="717" t="s">
        <v>405</v>
      </c>
      <c r="N265" s="416"/>
    </row>
    <row r="266" spans="1:14" ht="12.75" customHeight="1" x14ac:dyDescent="0.2">
      <c r="A266" s="714" t="s">
        <v>411</v>
      </c>
      <c r="B266" s="418"/>
      <c r="C266" s="418"/>
      <c r="D266" s="418"/>
      <c r="E266" s="418"/>
      <c r="F266" s="418"/>
      <c r="G266" s="416"/>
      <c r="H266" s="12" t="str">
        <f>IF(A266="","",VLOOKUP(A266,AA_Equipos,7,FALSE))</f>
        <v>% M.O.</v>
      </c>
      <c r="I266" s="712">
        <f>M289</f>
        <v>12033.139836363638</v>
      </c>
      <c r="J266" s="416"/>
      <c r="K266" s="722">
        <v>0.05</v>
      </c>
      <c r="L266" s="416"/>
      <c r="M266" s="712">
        <f t="shared" ref="M266:M270" si="31">IF(A266="","",I266*K266)</f>
        <v>601.65699181818195</v>
      </c>
      <c r="N266" s="416"/>
    </row>
    <row r="267" spans="1:14" ht="12.75" customHeight="1" x14ac:dyDescent="0.2">
      <c r="A267" s="719" t="s">
        <v>428</v>
      </c>
      <c r="B267" s="418"/>
      <c r="C267" s="418"/>
      <c r="D267" s="418"/>
      <c r="E267" s="418"/>
      <c r="F267" s="418"/>
      <c r="G267" s="416"/>
      <c r="H267" s="12" t="str">
        <f>IF(A267="","",VLOOKUP(A267,AA_Equipos,7,FALSE))</f>
        <v>Dia</v>
      </c>
      <c r="I267" s="712">
        <f>IF(A267="","",VLOOKUP(A267,AA_Equipos,8,FALSE))</f>
        <v>130218</v>
      </c>
      <c r="J267" s="416"/>
      <c r="K267" s="723">
        <v>9.0909090909090912E-2</v>
      </c>
      <c r="L267" s="416"/>
      <c r="M267" s="712">
        <f t="shared" si="31"/>
        <v>11838</v>
      </c>
      <c r="N267" s="416"/>
    </row>
    <row r="268" spans="1:14" ht="12.75" customHeight="1" x14ac:dyDescent="0.2">
      <c r="A268" s="714"/>
      <c r="B268" s="418"/>
      <c r="C268" s="418"/>
      <c r="D268" s="418"/>
      <c r="E268" s="418"/>
      <c r="F268" s="418"/>
      <c r="G268" s="416"/>
      <c r="H268" s="12" t="str">
        <f>IF(A268="","",VLOOKUP(A268,AA_Equipos,7,FALSE))</f>
        <v/>
      </c>
      <c r="I268" s="712" t="str">
        <f>IF(A268="","",VLOOKUP(A268,AA_Equipos,8,FALSE))</f>
        <v/>
      </c>
      <c r="J268" s="416"/>
      <c r="K268" s="786"/>
      <c r="L268" s="416"/>
      <c r="M268" s="712" t="str">
        <f t="shared" si="31"/>
        <v/>
      </c>
      <c r="N268" s="416"/>
    </row>
    <row r="269" spans="1:14" ht="12.75" customHeight="1" x14ac:dyDescent="0.2">
      <c r="A269" s="714"/>
      <c r="B269" s="418"/>
      <c r="C269" s="418"/>
      <c r="D269" s="418"/>
      <c r="E269" s="418"/>
      <c r="F269" s="418"/>
      <c r="G269" s="416"/>
      <c r="H269" s="12" t="str">
        <f>IF(A269="","",VLOOKUP(A269,AA_Equipos,7,FALSE))</f>
        <v/>
      </c>
      <c r="I269" s="712" t="str">
        <f>IF(A269="","",VLOOKUP(A269,AA_Equipos,8,FALSE))</f>
        <v/>
      </c>
      <c r="J269" s="416"/>
      <c r="K269" s="715"/>
      <c r="L269" s="416"/>
      <c r="M269" s="712" t="str">
        <f t="shared" si="31"/>
        <v/>
      </c>
      <c r="N269" s="416"/>
    </row>
    <row r="270" spans="1:14" ht="12.75" customHeight="1" x14ac:dyDescent="0.2">
      <c r="A270" s="714"/>
      <c r="B270" s="418"/>
      <c r="C270" s="418"/>
      <c r="D270" s="418"/>
      <c r="E270" s="418"/>
      <c r="F270" s="418"/>
      <c r="G270" s="416"/>
      <c r="H270" s="12" t="str">
        <f>IF(A270="","",VLOOKUP(A270,AA_Equipos,7,FALSE))</f>
        <v/>
      </c>
      <c r="I270" s="712" t="str">
        <f>IF(A270="","",VLOOKUP(A270,AA_Equipos,8,FALSE))</f>
        <v/>
      </c>
      <c r="J270" s="416"/>
      <c r="K270" s="715"/>
      <c r="L270" s="416"/>
      <c r="M270" s="712" t="str">
        <f t="shared" si="31"/>
        <v/>
      </c>
      <c r="N270" s="416"/>
    </row>
    <row r="271" spans="1:14" ht="12.75" customHeight="1" x14ac:dyDescent="0.25">
      <c r="A271" s="5"/>
      <c r="B271" s="5"/>
      <c r="C271" s="5"/>
      <c r="D271" s="5"/>
      <c r="E271" s="5"/>
      <c r="F271" s="5"/>
      <c r="G271" s="5"/>
      <c r="H271" s="5"/>
      <c r="I271" s="5"/>
      <c r="J271" s="5"/>
      <c r="K271" s="713" t="s">
        <v>261</v>
      </c>
      <c r="L271" s="416"/>
      <c r="M271" s="712">
        <f>SUM(M266:N270)</f>
        <v>12439.656991818181</v>
      </c>
      <c r="N271" s="416"/>
    </row>
    <row r="272" spans="1:14" ht="12.75" customHeight="1" x14ac:dyDescent="0.25">
      <c r="A272" s="5"/>
      <c r="B272" s="5"/>
      <c r="C272" s="5"/>
      <c r="D272" s="5"/>
      <c r="E272" s="5"/>
      <c r="F272" s="5"/>
      <c r="G272" s="5"/>
      <c r="H272" s="5"/>
      <c r="I272" s="5"/>
      <c r="J272" s="5"/>
      <c r="K272" s="5"/>
      <c r="L272" s="5"/>
      <c r="M272" s="5"/>
      <c r="N272" s="5"/>
    </row>
    <row r="273" spans="1:14" ht="12.75" customHeight="1" x14ac:dyDescent="0.2">
      <c r="A273" s="716" t="s">
        <v>413</v>
      </c>
      <c r="B273" s="418"/>
      <c r="C273" s="418"/>
      <c r="D273" s="418"/>
      <c r="E273" s="418"/>
      <c r="F273" s="418"/>
      <c r="G273" s="418"/>
      <c r="H273" s="418"/>
      <c r="I273" s="418"/>
      <c r="J273" s="418"/>
      <c r="K273" s="418"/>
      <c r="L273" s="418"/>
      <c r="M273" s="418"/>
      <c r="N273" s="416"/>
    </row>
    <row r="274" spans="1:14" ht="12.75" customHeight="1" x14ac:dyDescent="0.2">
      <c r="A274" s="713" t="s">
        <v>39</v>
      </c>
      <c r="B274" s="418"/>
      <c r="C274" s="418"/>
      <c r="D274" s="418"/>
      <c r="E274" s="418"/>
      <c r="F274" s="418"/>
      <c r="G274" s="416"/>
      <c r="H274" s="61" t="s">
        <v>40</v>
      </c>
      <c r="I274" s="717" t="s">
        <v>404</v>
      </c>
      <c r="J274" s="416"/>
      <c r="K274" s="717" t="s">
        <v>184</v>
      </c>
      <c r="L274" s="416"/>
      <c r="M274" s="717" t="s">
        <v>405</v>
      </c>
      <c r="N274" s="416"/>
    </row>
    <row r="275" spans="1:14" ht="12.75" customHeight="1" x14ac:dyDescent="0.2">
      <c r="A275" s="714" t="s">
        <v>429</v>
      </c>
      <c r="B275" s="418"/>
      <c r="C275" s="418"/>
      <c r="D275" s="418"/>
      <c r="E275" s="418"/>
      <c r="F275" s="418"/>
      <c r="G275" s="416"/>
      <c r="H275" s="12" t="s">
        <v>430</v>
      </c>
      <c r="I275" s="712">
        <f>+M271</f>
        <v>12439.656991818181</v>
      </c>
      <c r="J275" s="416"/>
      <c r="K275" s="722">
        <v>0.05</v>
      </c>
      <c r="L275" s="416"/>
      <c r="M275" s="712">
        <f t="shared" ref="M275:M279" si="32">IF(A275="","",I275*K275)</f>
        <v>621.98284959090915</v>
      </c>
      <c r="N275" s="416"/>
    </row>
    <row r="276" spans="1:14" ht="12.75" customHeight="1" x14ac:dyDescent="0.2">
      <c r="A276" s="719"/>
      <c r="B276" s="418"/>
      <c r="C276" s="418"/>
      <c r="D276" s="418"/>
      <c r="E276" s="418"/>
      <c r="F276" s="418"/>
      <c r="G276" s="416"/>
      <c r="H276" s="12"/>
      <c r="I276" s="712"/>
      <c r="J276" s="416"/>
      <c r="K276" s="722"/>
      <c r="L276" s="416"/>
      <c r="M276" s="712" t="str">
        <f t="shared" si="32"/>
        <v/>
      </c>
      <c r="N276" s="416"/>
    </row>
    <row r="277" spans="1:14" ht="12.75" customHeight="1" x14ac:dyDescent="0.2">
      <c r="A277" s="714"/>
      <c r="B277" s="418"/>
      <c r="C277" s="418"/>
      <c r="D277" s="418"/>
      <c r="E277" s="418"/>
      <c r="F277" s="418"/>
      <c r="G277" s="416"/>
      <c r="H277" s="12"/>
      <c r="I277" s="712"/>
      <c r="J277" s="416"/>
      <c r="K277" s="715"/>
      <c r="L277" s="416"/>
      <c r="M277" s="712" t="str">
        <f t="shared" si="32"/>
        <v/>
      </c>
      <c r="N277" s="416"/>
    </row>
    <row r="278" spans="1:14" ht="12.75" customHeight="1" x14ac:dyDescent="0.2">
      <c r="A278" s="714"/>
      <c r="B278" s="418"/>
      <c r="C278" s="418"/>
      <c r="D278" s="418"/>
      <c r="E278" s="418"/>
      <c r="F278" s="418"/>
      <c r="G278" s="416"/>
      <c r="H278" s="12"/>
      <c r="I278" s="712"/>
      <c r="J278" s="416"/>
      <c r="K278" s="715"/>
      <c r="L278" s="416"/>
      <c r="M278" s="712" t="str">
        <f t="shared" si="32"/>
        <v/>
      </c>
      <c r="N278" s="416"/>
    </row>
    <row r="279" spans="1:14" ht="12.75" customHeight="1" x14ac:dyDescent="0.2">
      <c r="A279" s="714"/>
      <c r="B279" s="418"/>
      <c r="C279" s="418"/>
      <c r="D279" s="418"/>
      <c r="E279" s="418"/>
      <c r="F279" s="418"/>
      <c r="G279" s="416"/>
      <c r="H279" s="12"/>
      <c r="I279" s="712"/>
      <c r="J279" s="416"/>
      <c r="K279" s="715"/>
      <c r="L279" s="416"/>
      <c r="M279" s="712" t="str">
        <f t="shared" si="32"/>
        <v/>
      </c>
      <c r="N279" s="416"/>
    </row>
    <row r="280" spans="1:14" ht="12.75" customHeight="1" x14ac:dyDescent="0.25">
      <c r="A280" s="5"/>
      <c r="B280" s="5"/>
      <c r="C280" s="5"/>
      <c r="D280" s="5"/>
      <c r="E280" s="5"/>
      <c r="F280" s="5"/>
      <c r="G280" s="5"/>
      <c r="H280" s="5"/>
      <c r="I280" s="5"/>
      <c r="J280" s="5"/>
      <c r="K280" s="713" t="s">
        <v>261</v>
      </c>
      <c r="L280" s="416"/>
      <c r="M280" s="712">
        <f>SUM(M275:N279)</f>
        <v>621.98284959090915</v>
      </c>
      <c r="N280" s="416"/>
    </row>
    <row r="281" spans="1:14" ht="12.75" customHeight="1" x14ac:dyDescent="0.25">
      <c r="A281" s="5"/>
      <c r="B281" s="5"/>
      <c r="C281" s="5"/>
      <c r="D281" s="5"/>
      <c r="E281" s="5"/>
      <c r="F281" s="5"/>
      <c r="G281" s="5"/>
      <c r="H281" s="5"/>
      <c r="I281" s="5"/>
      <c r="J281" s="5"/>
      <c r="K281" s="5"/>
      <c r="L281" s="5"/>
      <c r="M281" s="5"/>
      <c r="N281" s="5"/>
    </row>
    <row r="282" spans="1:14" ht="12.75" customHeight="1" x14ac:dyDescent="0.2">
      <c r="A282" s="716" t="s">
        <v>415</v>
      </c>
      <c r="B282" s="418"/>
      <c r="C282" s="418"/>
      <c r="D282" s="418"/>
      <c r="E282" s="418"/>
      <c r="F282" s="418"/>
      <c r="G282" s="418"/>
      <c r="H282" s="418"/>
      <c r="I282" s="418"/>
      <c r="J282" s="418"/>
      <c r="K282" s="418"/>
      <c r="L282" s="418"/>
      <c r="M282" s="418"/>
      <c r="N282" s="416"/>
    </row>
    <row r="283" spans="1:14" ht="12.75" customHeight="1" x14ac:dyDescent="0.2">
      <c r="A283" s="713" t="s">
        <v>39</v>
      </c>
      <c r="B283" s="418"/>
      <c r="C283" s="418"/>
      <c r="D283" s="418"/>
      <c r="E283" s="418"/>
      <c r="F283" s="418"/>
      <c r="G283" s="416"/>
      <c r="H283" s="61" t="s">
        <v>40</v>
      </c>
      <c r="I283" s="717" t="s">
        <v>404</v>
      </c>
      <c r="J283" s="416"/>
      <c r="K283" s="64" t="s">
        <v>253</v>
      </c>
      <c r="L283" s="65" t="s">
        <v>416</v>
      </c>
      <c r="M283" s="717" t="s">
        <v>405</v>
      </c>
      <c r="N283" s="416"/>
    </row>
    <row r="284" spans="1:14" ht="12.75" customHeight="1" x14ac:dyDescent="0.25">
      <c r="A284" s="711" t="s">
        <v>421</v>
      </c>
      <c r="B284" s="418"/>
      <c r="C284" s="418"/>
      <c r="D284" s="418"/>
      <c r="E284" s="418"/>
      <c r="F284" s="418"/>
      <c r="G284" s="416"/>
      <c r="H284" s="12" t="str">
        <f>IF(A284="","",VLOOKUP(A284,AA_Cuadrillas,4,FALSE))</f>
        <v>Cuadrilla</v>
      </c>
      <c r="I284" s="712">
        <f>IF(A284="","",VLOOKUP(A284,AA_Cuadrillas,5,FALSE))</f>
        <v>70036</v>
      </c>
      <c r="J284" s="416"/>
      <c r="K284" s="3">
        <f>IF(A284="","",'04'!$I$2)</f>
        <v>1.88995</v>
      </c>
      <c r="L284" s="66">
        <v>9.0909090909090912E-2</v>
      </c>
      <c r="M284" s="712">
        <f t="shared" ref="M284:M288" si="33">IF(A284="","",I284*K284*L284)</f>
        <v>12033.139836363638</v>
      </c>
      <c r="N284" s="416"/>
    </row>
    <row r="285" spans="1:14" ht="12.75" customHeight="1" x14ac:dyDescent="0.25">
      <c r="A285" s="711"/>
      <c r="B285" s="418"/>
      <c r="C285" s="418"/>
      <c r="D285" s="418"/>
      <c r="E285" s="418"/>
      <c r="F285" s="418"/>
      <c r="G285" s="416"/>
      <c r="H285" s="12" t="str">
        <f>IF(A285="","",VLOOKUP(A285,AA_Cuadrillas,4,FALSE))</f>
        <v/>
      </c>
      <c r="I285" s="712" t="str">
        <f>IF(A285="","",VLOOKUP(A285,AA_Cuadrillas,5,FALSE))</f>
        <v/>
      </c>
      <c r="J285" s="416"/>
      <c r="K285" s="3" t="str">
        <f>IF(A285="","",'04'!$I$2)</f>
        <v/>
      </c>
      <c r="L285" s="3"/>
      <c r="M285" s="712" t="str">
        <f t="shared" si="33"/>
        <v/>
      </c>
      <c r="N285" s="416"/>
    </row>
    <row r="286" spans="1:14" ht="12.75" customHeight="1" x14ac:dyDescent="0.25">
      <c r="A286" s="711"/>
      <c r="B286" s="418"/>
      <c r="C286" s="418"/>
      <c r="D286" s="418"/>
      <c r="E286" s="418"/>
      <c r="F286" s="418"/>
      <c r="G286" s="416"/>
      <c r="H286" s="12" t="str">
        <f>IF(A286="","",VLOOKUP(A286,AA_Cuadrillas,4,FALSE))</f>
        <v/>
      </c>
      <c r="I286" s="712" t="str">
        <f>IF(A286="","",VLOOKUP(A286,AA_Cuadrillas,5,FALSE))</f>
        <v/>
      </c>
      <c r="J286" s="416"/>
      <c r="K286" s="3" t="str">
        <f>IF(A286="","",'04'!$I$2)</f>
        <v/>
      </c>
      <c r="L286" s="13"/>
      <c r="M286" s="712" t="str">
        <f t="shared" si="33"/>
        <v/>
      </c>
      <c r="N286" s="416"/>
    </row>
    <row r="287" spans="1:14" ht="12.75" customHeight="1" x14ac:dyDescent="0.25">
      <c r="A287" s="711"/>
      <c r="B287" s="418"/>
      <c r="C287" s="418"/>
      <c r="D287" s="418"/>
      <c r="E287" s="418"/>
      <c r="F287" s="418"/>
      <c r="G287" s="416"/>
      <c r="H287" s="12" t="str">
        <f>IF(A287="","",VLOOKUP(A287,AA_Cuadrillas,4,FALSE))</f>
        <v/>
      </c>
      <c r="I287" s="712" t="str">
        <f>IF(A287="","",VLOOKUP(A287,AA_Cuadrillas,5,FALSE))</f>
        <v/>
      </c>
      <c r="J287" s="416"/>
      <c r="K287" s="3" t="str">
        <f>IF(A287="","",'04'!$I$2)</f>
        <v/>
      </c>
      <c r="L287" s="13"/>
      <c r="M287" s="712" t="str">
        <f t="shared" si="33"/>
        <v/>
      </c>
      <c r="N287" s="416"/>
    </row>
    <row r="288" spans="1:14" ht="12.75" customHeight="1" x14ac:dyDescent="0.25">
      <c r="A288" s="711"/>
      <c r="B288" s="418"/>
      <c r="C288" s="418"/>
      <c r="D288" s="418"/>
      <c r="E288" s="418"/>
      <c r="F288" s="418"/>
      <c r="G288" s="416"/>
      <c r="H288" s="12" t="str">
        <f>IF(A288="","",VLOOKUP(A288,AA_Cuadrillas,4,FALSE))</f>
        <v/>
      </c>
      <c r="I288" s="712" t="str">
        <f>IF(A288="","",VLOOKUP(A288,AA_Cuadrillas,5,FALSE))</f>
        <v/>
      </c>
      <c r="J288" s="416"/>
      <c r="K288" s="3" t="str">
        <f>IF(A288="","",'04'!$I$2)</f>
        <v/>
      </c>
      <c r="L288" s="13"/>
      <c r="M288" s="712" t="str">
        <f t="shared" si="33"/>
        <v/>
      </c>
      <c r="N288" s="416"/>
    </row>
    <row r="289" spans="1:16" ht="12.75" customHeight="1" x14ac:dyDescent="0.25">
      <c r="A289" s="5"/>
      <c r="B289" s="5"/>
      <c r="C289" s="5"/>
      <c r="D289" s="5"/>
      <c r="E289" s="5"/>
      <c r="F289" s="5"/>
      <c r="G289" s="5"/>
      <c r="H289" s="5"/>
      <c r="I289" s="5"/>
      <c r="J289" s="5"/>
      <c r="K289" s="713" t="s">
        <v>261</v>
      </c>
      <c r="L289" s="416"/>
      <c r="M289" s="712">
        <f>SUM(M284:N288)</f>
        <v>12033.139836363638</v>
      </c>
      <c r="N289" s="416"/>
    </row>
    <row r="290" spans="1:16" ht="12.75" customHeight="1" x14ac:dyDescent="0.2"/>
    <row r="291" spans="1:16" ht="12.75" customHeight="1" x14ac:dyDescent="0.2">
      <c r="A291" s="787" t="s">
        <v>60</v>
      </c>
      <c r="B291" s="410"/>
      <c r="C291" s="410"/>
      <c r="D291" s="410"/>
      <c r="E291" s="410"/>
      <c r="F291" s="410"/>
      <c r="G291" s="410"/>
      <c r="H291" s="410"/>
      <c r="I291" s="410"/>
      <c r="J291" s="410"/>
      <c r="K291" s="410"/>
      <c r="L291" s="410"/>
      <c r="M291" s="410"/>
      <c r="N291" s="411"/>
      <c r="O291" s="272"/>
      <c r="P291" s="9"/>
    </row>
    <row r="292" spans="1:16" ht="12.75" customHeight="1" x14ac:dyDescent="0.2">
      <c r="A292" s="412"/>
      <c r="B292" s="413"/>
      <c r="C292" s="413"/>
      <c r="D292" s="413"/>
      <c r="E292" s="413"/>
      <c r="F292" s="413"/>
      <c r="G292" s="413"/>
      <c r="H292" s="413"/>
      <c r="I292" s="413"/>
      <c r="J292" s="413"/>
      <c r="K292" s="413"/>
      <c r="L292" s="413"/>
      <c r="M292" s="413"/>
      <c r="N292" s="414"/>
      <c r="O292" s="272"/>
      <c r="P292" s="9"/>
    </row>
    <row r="293" spans="1:16" ht="12.75" customHeight="1" x14ac:dyDescent="0.2">
      <c r="A293" s="49"/>
      <c r="B293" s="49"/>
      <c r="C293" s="49"/>
      <c r="D293" s="49"/>
      <c r="E293" s="49"/>
      <c r="F293" s="49"/>
      <c r="G293" s="49"/>
      <c r="H293" s="49"/>
      <c r="I293" s="49"/>
      <c r="J293" s="49"/>
      <c r="K293" s="49"/>
      <c r="L293" s="49"/>
      <c r="M293" s="49"/>
      <c r="N293" s="49"/>
    </row>
    <row r="294" spans="1:16" ht="12.75" customHeight="1" thickBot="1" x14ac:dyDescent="0.35">
      <c r="A294" s="51" t="str">
        <f>VLOOKUP(A291,'10'!$B$9:$N$100,13,FALSE)</f>
        <v>G018</v>
      </c>
      <c r="B294" s="52" t="str">
        <f>A291</f>
        <v>CONCRETO PARA SOLADO DE 2000 PSI A TODO COSTO (140 KG/CM2)</v>
      </c>
      <c r="C294" s="53" t="s">
        <v>400</v>
      </c>
      <c r="D294" s="54" t="s">
        <v>420</v>
      </c>
      <c r="E294" s="55" t="s">
        <v>177</v>
      </c>
      <c r="F294" s="59">
        <f>H294+J294+L294+N294</f>
        <v>568340.14513763634</v>
      </c>
      <c r="G294" s="55" t="s">
        <v>349</v>
      </c>
      <c r="H294" s="59">
        <f>M312</f>
        <v>22756.955701272731</v>
      </c>
      <c r="I294" s="55" t="s">
        <v>402</v>
      </c>
      <c r="J294" s="70">
        <f>M303</f>
        <v>308478</v>
      </c>
      <c r="K294" s="55" t="s">
        <v>351</v>
      </c>
      <c r="L294" s="59">
        <f>M321</f>
        <v>106746.06</v>
      </c>
      <c r="M294" s="55" t="s">
        <v>352</v>
      </c>
      <c r="N294" s="59">
        <f>M330</f>
        <v>130359.12943636364</v>
      </c>
    </row>
    <row r="295" spans="1:16" ht="12.75" customHeight="1" thickBot="1" x14ac:dyDescent="0.3">
      <c r="A295" s="60"/>
      <c r="B295" s="60"/>
      <c r="C295" s="60"/>
      <c r="D295" s="60"/>
      <c r="E295" s="60"/>
      <c r="F295" s="60"/>
      <c r="G295" s="60"/>
      <c r="J295" s="60"/>
      <c r="K295" s="60"/>
      <c r="L295" s="327" t="s">
        <v>1934</v>
      </c>
      <c r="M295" s="328">
        <f>+F294*'01'!$O$16</f>
        <v>735597.52516489371</v>
      </c>
      <c r="N295" s="60"/>
    </row>
    <row r="296" spans="1:16" ht="12.75" customHeight="1" x14ac:dyDescent="0.2">
      <c r="A296" s="716" t="s">
        <v>403</v>
      </c>
      <c r="B296" s="418"/>
      <c r="C296" s="418"/>
      <c r="D296" s="418"/>
      <c r="E296" s="418"/>
      <c r="F296" s="418"/>
      <c r="G296" s="418"/>
      <c r="H296" s="418"/>
      <c r="I296" s="418"/>
      <c r="J296" s="418"/>
      <c r="K296" s="418"/>
      <c r="L296" s="418"/>
      <c r="M296" s="418"/>
      <c r="N296" s="416"/>
    </row>
    <row r="297" spans="1:16" ht="12.75" customHeight="1" x14ac:dyDescent="0.2">
      <c r="A297" s="713" t="s">
        <v>39</v>
      </c>
      <c r="B297" s="418"/>
      <c r="C297" s="418"/>
      <c r="D297" s="418"/>
      <c r="E297" s="418"/>
      <c r="F297" s="418"/>
      <c r="G297" s="416"/>
      <c r="H297" s="61" t="s">
        <v>40</v>
      </c>
      <c r="I297" s="717" t="s">
        <v>404</v>
      </c>
      <c r="J297" s="416"/>
      <c r="K297" s="717" t="s">
        <v>184</v>
      </c>
      <c r="L297" s="416"/>
      <c r="M297" s="717" t="s">
        <v>405</v>
      </c>
      <c r="N297" s="416"/>
    </row>
    <row r="298" spans="1:16" ht="12.75" customHeight="1" x14ac:dyDescent="0.2">
      <c r="A298" s="714" t="s">
        <v>431</v>
      </c>
      <c r="B298" s="418"/>
      <c r="C298" s="418"/>
      <c r="D298" s="418"/>
      <c r="E298" s="418"/>
      <c r="F298" s="418"/>
      <c r="G298" s="416"/>
      <c r="H298" s="12" t="str">
        <f>IF(A298="","",VLOOKUP(A298,AA_Materiales,7,FALSE))</f>
        <v>Kg</v>
      </c>
      <c r="I298" s="712">
        <f>IF(A298="","",VLOOKUP(A298,AA_Materiales,8,FALSE))</f>
        <v>761.6</v>
      </c>
      <c r="J298" s="416"/>
      <c r="K298" s="715">
        <v>230</v>
      </c>
      <c r="L298" s="416"/>
      <c r="M298" s="712">
        <f t="shared" ref="M298:M302" si="34">IF(A298="","",I298*K298)</f>
        <v>175168</v>
      </c>
      <c r="N298" s="416"/>
    </row>
    <row r="299" spans="1:16" ht="12.75" customHeight="1" x14ac:dyDescent="0.2">
      <c r="A299" s="714" t="s">
        <v>432</v>
      </c>
      <c r="B299" s="418"/>
      <c r="C299" s="418"/>
      <c r="D299" s="418"/>
      <c r="E299" s="418"/>
      <c r="F299" s="418"/>
      <c r="G299" s="416"/>
      <c r="H299" s="12" t="str">
        <f>IF(A299="","",VLOOKUP(A299,AA_Materiales,7,FALSE))</f>
        <v>m3</v>
      </c>
      <c r="I299" s="712">
        <f>IF(A299="","",VLOOKUP(A299,AA_Materiales,8,FALSE))</f>
        <v>65450</v>
      </c>
      <c r="J299" s="416"/>
      <c r="K299" s="715">
        <v>0.6</v>
      </c>
      <c r="L299" s="416"/>
      <c r="M299" s="712">
        <f t="shared" si="34"/>
        <v>39270</v>
      </c>
      <c r="N299" s="416"/>
    </row>
    <row r="300" spans="1:16" ht="12.75" customHeight="1" x14ac:dyDescent="0.2">
      <c r="A300" s="714" t="s">
        <v>433</v>
      </c>
      <c r="B300" s="418"/>
      <c r="C300" s="418"/>
      <c r="D300" s="418"/>
      <c r="E300" s="418"/>
      <c r="F300" s="418"/>
      <c r="G300" s="416"/>
      <c r="H300" s="12" t="str">
        <f>IF(A300="","",VLOOKUP(A300,AA_Materiales,7,FALSE))</f>
        <v>m3</v>
      </c>
      <c r="I300" s="712">
        <f>IF(A300="","",VLOOKUP(A300,AA_Materiales,8,FALSE))</f>
        <v>113050</v>
      </c>
      <c r="J300" s="416"/>
      <c r="K300" s="715">
        <v>0.8</v>
      </c>
      <c r="L300" s="416"/>
      <c r="M300" s="712">
        <f t="shared" si="34"/>
        <v>90440</v>
      </c>
      <c r="N300" s="416"/>
    </row>
    <row r="301" spans="1:16" ht="12.75" customHeight="1" x14ac:dyDescent="0.2">
      <c r="A301" s="714" t="s">
        <v>434</v>
      </c>
      <c r="B301" s="418"/>
      <c r="C301" s="418"/>
      <c r="D301" s="418"/>
      <c r="E301" s="418"/>
      <c r="F301" s="418"/>
      <c r="G301" s="416"/>
      <c r="H301" s="12" t="str">
        <f>IF(A301="","",VLOOKUP(A301,AA_Materiales,7,FALSE))</f>
        <v>Lt</v>
      </c>
      <c r="I301" s="712">
        <f>IF(A301="","",VLOOKUP(A301,AA_Materiales,8,FALSE))</f>
        <v>20</v>
      </c>
      <c r="J301" s="416"/>
      <c r="K301" s="715">
        <v>180</v>
      </c>
      <c r="L301" s="416"/>
      <c r="M301" s="712">
        <f t="shared" si="34"/>
        <v>3600</v>
      </c>
      <c r="N301" s="416"/>
    </row>
    <row r="302" spans="1:16" ht="12.75" customHeight="1" x14ac:dyDescent="0.2">
      <c r="A302" s="714"/>
      <c r="B302" s="418"/>
      <c r="C302" s="418"/>
      <c r="D302" s="418"/>
      <c r="E302" s="418"/>
      <c r="F302" s="418"/>
      <c r="G302" s="416"/>
      <c r="H302" s="12" t="str">
        <f>IF(A302="","",VLOOKUP(A302,AA_Materiales,7,FALSE))</f>
        <v/>
      </c>
      <c r="I302" s="712" t="str">
        <f>IF(A302="","",VLOOKUP(A302,AA_Materiales,8,FALSE))</f>
        <v/>
      </c>
      <c r="J302" s="416"/>
      <c r="K302" s="715"/>
      <c r="L302" s="416"/>
      <c r="M302" s="712" t="str">
        <f t="shared" si="34"/>
        <v/>
      </c>
      <c r="N302" s="416"/>
    </row>
    <row r="303" spans="1:16" ht="12.75" customHeight="1" x14ac:dyDescent="0.25">
      <c r="A303" s="5"/>
      <c r="B303" s="5"/>
      <c r="C303" s="5"/>
      <c r="D303" s="5"/>
      <c r="E303" s="5"/>
      <c r="F303" s="5"/>
      <c r="G303" s="5"/>
      <c r="H303" s="5"/>
      <c r="I303" s="5"/>
      <c r="J303" s="5"/>
      <c r="K303" s="713" t="s">
        <v>261</v>
      </c>
      <c r="L303" s="416"/>
      <c r="M303" s="712">
        <f>SUM(M298:N302)</f>
        <v>308478</v>
      </c>
      <c r="N303" s="416"/>
    </row>
    <row r="304" spans="1:16" ht="12.75" customHeight="1" x14ac:dyDescent="0.25">
      <c r="A304" s="5"/>
      <c r="B304" s="5"/>
      <c r="C304" s="5"/>
      <c r="D304" s="5"/>
      <c r="E304" s="5"/>
      <c r="F304" s="5"/>
      <c r="G304" s="5"/>
      <c r="H304" s="5"/>
      <c r="I304" s="5"/>
      <c r="J304" s="5"/>
      <c r="K304" s="5"/>
      <c r="L304" s="5"/>
      <c r="M304" s="5"/>
      <c r="N304" s="5"/>
    </row>
    <row r="305" spans="1:14" ht="12.75" customHeight="1" x14ac:dyDescent="0.2">
      <c r="A305" s="716" t="s">
        <v>410</v>
      </c>
      <c r="B305" s="418"/>
      <c r="C305" s="418"/>
      <c r="D305" s="418"/>
      <c r="E305" s="418"/>
      <c r="F305" s="418"/>
      <c r="G305" s="418"/>
      <c r="H305" s="418"/>
      <c r="I305" s="418"/>
      <c r="J305" s="418"/>
      <c r="K305" s="418"/>
      <c r="L305" s="418"/>
      <c r="M305" s="418"/>
      <c r="N305" s="416"/>
    </row>
    <row r="306" spans="1:14" ht="12.75" customHeight="1" x14ac:dyDescent="0.2">
      <c r="A306" s="713" t="s">
        <v>39</v>
      </c>
      <c r="B306" s="418"/>
      <c r="C306" s="418"/>
      <c r="D306" s="418"/>
      <c r="E306" s="418"/>
      <c r="F306" s="418"/>
      <c r="G306" s="416"/>
      <c r="H306" s="61" t="s">
        <v>40</v>
      </c>
      <c r="I306" s="717" t="s">
        <v>404</v>
      </c>
      <c r="J306" s="416"/>
      <c r="K306" s="717" t="s">
        <v>184</v>
      </c>
      <c r="L306" s="416"/>
      <c r="M306" s="717" t="s">
        <v>405</v>
      </c>
      <c r="N306" s="416"/>
    </row>
    <row r="307" spans="1:14" ht="12.75" customHeight="1" x14ac:dyDescent="0.2">
      <c r="A307" s="714" t="s">
        <v>411</v>
      </c>
      <c r="B307" s="418"/>
      <c r="C307" s="418"/>
      <c r="D307" s="418"/>
      <c r="E307" s="418"/>
      <c r="F307" s="418"/>
      <c r="G307" s="416"/>
      <c r="H307" s="12" t="str">
        <f>IF(A307="","",VLOOKUP(A307,AA_Equipos,7,FALSE))</f>
        <v>% M.O.</v>
      </c>
      <c r="I307" s="712">
        <f>M330</f>
        <v>130359.12943636364</v>
      </c>
      <c r="J307" s="416"/>
      <c r="K307" s="722">
        <v>0.03</v>
      </c>
      <c r="L307" s="416"/>
      <c r="M307" s="712">
        <f t="shared" ref="M307:M311" si="35">IF(A307="","",I307*K307)</f>
        <v>3910.7738830909093</v>
      </c>
      <c r="N307" s="416"/>
    </row>
    <row r="308" spans="1:14" ht="12.75" customHeight="1" x14ac:dyDescent="0.2">
      <c r="A308" s="719" t="s">
        <v>435</v>
      </c>
      <c r="B308" s="418"/>
      <c r="C308" s="418"/>
      <c r="D308" s="418"/>
      <c r="E308" s="418"/>
      <c r="F308" s="418"/>
      <c r="G308" s="416"/>
      <c r="H308" s="12" t="str">
        <f>IF(A308="","",VLOOKUP(A308,AA_Equipos,7,FALSE))</f>
        <v>Dia</v>
      </c>
      <c r="I308" s="712">
        <f>IF(A308="","",VLOOKUP(A308,AA_Equipos,8,FALSE))</f>
        <v>103654</v>
      </c>
      <c r="J308" s="416"/>
      <c r="K308" s="723">
        <f>1/5.5</f>
        <v>0.18181818181818182</v>
      </c>
      <c r="L308" s="416"/>
      <c r="M308" s="712">
        <f t="shared" si="35"/>
        <v>18846.18181818182</v>
      </c>
      <c r="N308" s="416"/>
    </row>
    <row r="309" spans="1:14" ht="12.75" customHeight="1" x14ac:dyDescent="0.2">
      <c r="A309" s="714"/>
      <c r="B309" s="418"/>
      <c r="C309" s="418"/>
      <c r="D309" s="418"/>
      <c r="E309" s="418"/>
      <c r="F309" s="418"/>
      <c r="G309" s="416"/>
      <c r="H309" s="12" t="str">
        <f>IF(A309="","",VLOOKUP(A309,AA_Equipos,7,FALSE))</f>
        <v/>
      </c>
      <c r="I309" s="712" t="str">
        <f>IF(A309="","",VLOOKUP(A309,AA_Equipos,8,FALSE))</f>
        <v/>
      </c>
      <c r="J309" s="416"/>
      <c r="K309" s="715"/>
      <c r="L309" s="416"/>
      <c r="M309" s="712" t="str">
        <f t="shared" si="35"/>
        <v/>
      </c>
      <c r="N309" s="416"/>
    </row>
    <row r="310" spans="1:14" ht="12.75" customHeight="1" x14ac:dyDescent="0.2">
      <c r="A310" s="714"/>
      <c r="B310" s="418"/>
      <c r="C310" s="418"/>
      <c r="D310" s="418"/>
      <c r="E310" s="418"/>
      <c r="F310" s="418"/>
      <c r="G310" s="416"/>
      <c r="H310" s="12" t="str">
        <f>IF(A310="","",VLOOKUP(A310,AA_Equipos,7,FALSE))</f>
        <v/>
      </c>
      <c r="I310" s="712" t="str">
        <f>IF(A310="","",VLOOKUP(A310,AA_Equipos,8,FALSE))</f>
        <v/>
      </c>
      <c r="J310" s="416"/>
      <c r="K310" s="715"/>
      <c r="L310" s="416"/>
      <c r="M310" s="712" t="str">
        <f t="shared" si="35"/>
        <v/>
      </c>
      <c r="N310" s="416"/>
    </row>
    <row r="311" spans="1:14" ht="12.75" customHeight="1" x14ac:dyDescent="0.2">
      <c r="A311" s="714"/>
      <c r="B311" s="418"/>
      <c r="C311" s="418"/>
      <c r="D311" s="418"/>
      <c r="E311" s="418"/>
      <c r="F311" s="418"/>
      <c r="G311" s="416"/>
      <c r="H311" s="12" t="str">
        <f>IF(A311="","",VLOOKUP(A311,AA_Equipos,7,FALSE))</f>
        <v/>
      </c>
      <c r="I311" s="712" t="str">
        <f>IF(A311="","",VLOOKUP(A311,AA_Equipos,8,FALSE))</f>
        <v/>
      </c>
      <c r="J311" s="416"/>
      <c r="K311" s="715"/>
      <c r="L311" s="416"/>
      <c r="M311" s="712" t="str">
        <f t="shared" si="35"/>
        <v/>
      </c>
      <c r="N311" s="416"/>
    </row>
    <row r="312" spans="1:14" ht="12.75" customHeight="1" x14ac:dyDescent="0.25">
      <c r="A312" s="5"/>
      <c r="B312" s="5"/>
      <c r="C312" s="5"/>
      <c r="D312" s="5"/>
      <c r="E312" s="5"/>
      <c r="F312" s="5"/>
      <c r="G312" s="5"/>
      <c r="H312" s="5"/>
      <c r="I312" s="5"/>
      <c r="J312" s="5"/>
      <c r="K312" s="713" t="s">
        <v>261</v>
      </c>
      <c r="L312" s="416"/>
      <c r="M312" s="712">
        <f>SUM(M307:N311)</f>
        <v>22756.955701272731</v>
      </c>
      <c r="N312" s="416"/>
    </row>
    <row r="313" spans="1:14" ht="12.75" customHeight="1" x14ac:dyDescent="0.25">
      <c r="A313" s="5"/>
      <c r="B313" s="5"/>
      <c r="C313" s="5"/>
      <c r="D313" s="5"/>
      <c r="E313" s="5"/>
      <c r="F313" s="5"/>
      <c r="G313" s="5"/>
      <c r="H313" s="5"/>
      <c r="I313" s="5"/>
      <c r="J313" s="5"/>
      <c r="K313" s="5"/>
      <c r="L313" s="5"/>
      <c r="M313" s="5"/>
      <c r="N313" s="5"/>
    </row>
    <row r="314" spans="1:14" ht="12.75" customHeight="1" x14ac:dyDescent="0.2">
      <c r="A314" s="716" t="s">
        <v>413</v>
      </c>
      <c r="B314" s="418"/>
      <c r="C314" s="418"/>
      <c r="D314" s="418"/>
      <c r="E314" s="418"/>
      <c r="F314" s="418"/>
      <c r="G314" s="418"/>
      <c r="H314" s="418"/>
      <c r="I314" s="418"/>
      <c r="J314" s="418"/>
      <c r="K314" s="418"/>
      <c r="L314" s="418"/>
      <c r="M314" s="418"/>
      <c r="N314" s="416"/>
    </row>
    <row r="315" spans="1:14" ht="12.75" customHeight="1" x14ac:dyDescent="0.2">
      <c r="A315" s="713" t="s">
        <v>39</v>
      </c>
      <c r="B315" s="418"/>
      <c r="C315" s="418"/>
      <c r="D315" s="418"/>
      <c r="E315" s="418"/>
      <c r="F315" s="418"/>
      <c r="G315" s="416"/>
      <c r="H315" s="61" t="s">
        <v>40</v>
      </c>
      <c r="I315" s="717" t="s">
        <v>404</v>
      </c>
      <c r="J315" s="416"/>
      <c r="K315" s="717" t="s">
        <v>184</v>
      </c>
      <c r="L315" s="416"/>
      <c r="M315" s="717" t="s">
        <v>405</v>
      </c>
      <c r="N315" s="416"/>
    </row>
    <row r="316" spans="1:14" ht="12.75" customHeight="1" x14ac:dyDescent="0.2">
      <c r="A316" s="714" t="s">
        <v>436</v>
      </c>
      <c r="B316" s="418"/>
      <c r="C316" s="418"/>
      <c r="D316" s="418"/>
      <c r="E316" s="418"/>
      <c r="F316" s="418"/>
      <c r="G316" s="416"/>
      <c r="H316" s="12" t="s">
        <v>437</v>
      </c>
      <c r="I316" s="712">
        <v>23034</v>
      </c>
      <c r="J316" s="416"/>
      <c r="K316" s="722">
        <v>0.03</v>
      </c>
      <c r="L316" s="416"/>
      <c r="M316" s="712">
        <f t="shared" ref="M316:M320" si="36">IF(A316="","",I316*K316)</f>
        <v>691.02</v>
      </c>
      <c r="N316" s="416"/>
    </row>
    <row r="317" spans="1:14" ht="12.75" customHeight="1" x14ac:dyDescent="0.2">
      <c r="A317" s="788" t="s">
        <v>1579</v>
      </c>
      <c r="B317" s="418"/>
      <c r="C317" s="418"/>
      <c r="D317" s="418"/>
      <c r="E317" s="418"/>
      <c r="F317" s="418"/>
      <c r="G317" s="416"/>
      <c r="H317" s="107" t="s">
        <v>1578</v>
      </c>
      <c r="I317" s="712">
        <f>1800*1.4</f>
        <v>2520</v>
      </c>
      <c r="J317" s="416"/>
      <c r="K317" s="715">
        <f>+Indice!$M$5</f>
        <v>40</v>
      </c>
      <c r="L317" s="416"/>
      <c r="M317" s="712">
        <f t="shared" si="36"/>
        <v>100800</v>
      </c>
      <c r="N317" s="416"/>
    </row>
    <row r="318" spans="1:14" ht="12.75" customHeight="1" x14ac:dyDescent="0.2">
      <c r="A318" s="788" t="s">
        <v>1580</v>
      </c>
      <c r="B318" s="418"/>
      <c r="C318" s="418"/>
      <c r="D318" s="418"/>
      <c r="E318" s="418"/>
      <c r="F318" s="418"/>
      <c r="G318" s="416"/>
      <c r="H318" s="107" t="s">
        <v>13</v>
      </c>
      <c r="I318" s="712">
        <f>+M298</f>
        <v>175168</v>
      </c>
      <c r="J318" s="416"/>
      <c r="K318" s="722">
        <v>0.03</v>
      </c>
      <c r="L318" s="416"/>
      <c r="M318" s="712">
        <f t="shared" si="36"/>
        <v>5255.04</v>
      </c>
      <c r="N318" s="416"/>
    </row>
    <row r="319" spans="1:14" ht="12.75" customHeight="1" x14ac:dyDescent="0.2">
      <c r="A319" s="714"/>
      <c r="B319" s="418"/>
      <c r="C319" s="418"/>
      <c r="D319" s="418"/>
      <c r="E319" s="418"/>
      <c r="F319" s="418"/>
      <c r="G319" s="416"/>
      <c r="H319" s="12"/>
      <c r="I319" s="712"/>
      <c r="J319" s="416"/>
      <c r="K319" s="715"/>
      <c r="L319" s="416"/>
      <c r="M319" s="712" t="str">
        <f t="shared" si="36"/>
        <v/>
      </c>
      <c r="N319" s="416"/>
    </row>
    <row r="320" spans="1:14" ht="12.75" customHeight="1" x14ac:dyDescent="0.2">
      <c r="A320" s="714"/>
      <c r="B320" s="418"/>
      <c r="C320" s="418"/>
      <c r="D320" s="418"/>
      <c r="E320" s="418"/>
      <c r="F320" s="418"/>
      <c r="G320" s="416"/>
      <c r="H320" s="12"/>
      <c r="I320" s="712"/>
      <c r="J320" s="416"/>
      <c r="K320" s="715"/>
      <c r="L320" s="416"/>
      <c r="M320" s="712" t="str">
        <f t="shared" si="36"/>
        <v/>
      </c>
      <c r="N320" s="416"/>
    </row>
    <row r="321" spans="1:16" ht="12.75" customHeight="1" x14ac:dyDescent="0.25">
      <c r="A321" s="5"/>
      <c r="B321" s="5"/>
      <c r="C321" s="5"/>
      <c r="D321" s="5"/>
      <c r="E321" s="5"/>
      <c r="F321" s="5"/>
      <c r="G321" s="5"/>
      <c r="H321" s="5"/>
      <c r="I321" s="5"/>
      <c r="J321" s="5"/>
      <c r="K321" s="713" t="s">
        <v>261</v>
      </c>
      <c r="L321" s="416"/>
      <c r="M321" s="712">
        <f>SUM(M316:N320)</f>
        <v>106746.06</v>
      </c>
      <c r="N321" s="416"/>
    </row>
    <row r="322" spans="1:16" ht="12.75" customHeight="1" x14ac:dyDescent="0.25">
      <c r="A322" s="5"/>
      <c r="B322" s="5"/>
      <c r="C322" s="5"/>
      <c r="D322" s="5"/>
      <c r="E322" s="5"/>
      <c r="F322" s="5"/>
      <c r="G322" s="5"/>
      <c r="H322" s="5"/>
      <c r="I322" s="5"/>
      <c r="J322" s="5"/>
      <c r="K322" s="5"/>
      <c r="L322" s="5"/>
      <c r="M322" s="5"/>
      <c r="N322" s="5"/>
    </row>
    <row r="323" spans="1:16" ht="12.75" customHeight="1" x14ac:dyDescent="0.2">
      <c r="A323" s="716" t="s">
        <v>415</v>
      </c>
      <c r="B323" s="418"/>
      <c r="C323" s="418"/>
      <c r="D323" s="418"/>
      <c r="E323" s="418"/>
      <c r="F323" s="418"/>
      <c r="G323" s="418"/>
      <c r="H323" s="418"/>
      <c r="I323" s="418"/>
      <c r="J323" s="418"/>
      <c r="K323" s="418"/>
      <c r="L323" s="418"/>
      <c r="M323" s="418"/>
      <c r="N323" s="416"/>
    </row>
    <row r="324" spans="1:16" ht="12.75" customHeight="1" x14ac:dyDescent="0.2">
      <c r="A324" s="713" t="s">
        <v>39</v>
      </c>
      <c r="B324" s="418"/>
      <c r="C324" s="418"/>
      <c r="D324" s="418"/>
      <c r="E324" s="418"/>
      <c r="F324" s="418"/>
      <c r="G324" s="416"/>
      <c r="H324" s="61" t="s">
        <v>40</v>
      </c>
      <c r="I324" s="717" t="s">
        <v>404</v>
      </c>
      <c r="J324" s="416"/>
      <c r="K324" s="64" t="s">
        <v>253</v>
      </c>
      <c r="L324" s="65" t="s">
        <v>416</v>
      </c>
      <c r="M324" s="717" t="s">
        <v>405</v>
      </c>
      <c r="N324" s="416"/>
    </row>
    <row r="325" spans="1:16" ht="12.75" customHeight="1" x14ac:dyDescent="0.25">
      <c r="A325" s="711" t="s">
        <v>439</v>
      </c>
      <c r="B325" s="418"/>
      <c r="C325" s="418"/>
      <c r="D325" s="418"/>
      <c r="E325" s="418"/>
      <c r="F325" s="418"/>
      <c r="G325" s="416"/>
      <c r="H325" s="12" t="str">
        <f>IF(A325="","",VLOOKUP(A325,AA_Cuadrillas,4,FALSE))</f>
        <v>Cuadrilla</v>
      </c>
      <c r="I325" s="712">
        <f>IF(A325="","",VLOOKUP(A325,AA_Cuadrillas,5,FALSE))</f>
        <v>379362</v>
      </c>
      <c r="J325" s="416"/>
      <c r="K325" s="3">
        <f>IF(A325="","",'04'!$I$2)</f>
        <v>1.88995</v>
      </c>
      <c r="L325" s="66">
        <f>1/5.5</f>
        <v>0.18181818181818182</v>
      </c>
      <c r="M325" s="712">
        <f t="shared" ref="M325:M329" si="37">IF(A325="","",I325*K325*L325)</f>
        <v>130359.12943636364</v>
      </c>
      <c r="N325" s="416"/>
    </row>
    <row r="326" spans="1:16" ht="12.75" customHeight="1" x14ac:dyDescent="0.25">
      <c r="A326" s="711"/>
      <c r="B326" s="418"/>
      <c r="C326" s="418"/>
      <c r="D326" s="418"/>
      <c r="E326" s="418"/>
      <c r="F326" s="418"/>
      <c r="G326" s="416"/>
      <c r="H326" s="12" t="str">
        <f>IF(A326="","",VLOOKUP(A326,AA_Cuadrillas,4,FALSE))</f>
        <v/>
      </c>
      <c r="I326" s="712" t="str">
        <f>IF(A326="","",VLOOKUP(A326,AA_Cuadrillas,5,FALSE))</f>
        <v/>
      </c>
      <c r="J326" s="416"/>
      <c r="K326" s="3" t="str">
        <f>IF(A326="","",'04'!$I$2)</f>
        <v/>
      </c>
      <c r="L326" s="3"/>
      <c r="M326" s="712" t="str">
        <f t="shared" si="37"/>
        <v/>
      </c>
      <c r="N326" s="416"/>
    </row>
    <row r="327" spans="1:16" ht="12.75" customHeight="1" x14ac:dyDescent="0.25">
      <c r="A327" s="711"/>
      <c r="B327" s="418"/>
      <c r="C327" s="418"/>
      <c r="D327" s="418"/>
      <c r="E327" s="418"/>
      <c r="F327" s="418"/>
      <c r="G327" s="416"/>
      <c r="H327" s="12" t="str">
        <f>IF(A327="","",VLOOKUP(A327,AA_Cuadrillas,4,FALSE))</f>
        <v/>
      </c>
      <c r="I327" s="712" t="str">
        <f>IF(A327="","",VLOOKUP(A327,AA_Cuadrillas,5,FALSE))</f>
        <v/>
      </c>
      <c r="J327" s="416"/>
      <c r="K327" s="3" t="str">
        <f>IF(A327="","",'04'!$I$2)</f>
        <v/>
      </c>
      <c r="L327" s="13"/>
      <c r="M327" s="712" t="str">
        <f t="shared" si="37"/>
        <v/>
      </c>
      <c r="N327" s="416"/>
    </row>
    <row r="328" spans="1:16" ht="12.75" customHeight="1" x14ac:dyDescent="0.25">
      <c r="A328" s="711"/>
      <c r="B328" s="418"/>
      <c r="C328" s="418"/>
      <c r="D328" s="418"/>
      <c r="E328" s="418"/>
      <c r="F328" s="418"/>
      <c r="G328" s="416"/>
      <c r="H328" s="12" t="str">
        <f>IF(A328="","",VLOOKUP(A328,AA_Cuadrillas,4,FALSE))</f>
        <v/>
      </c>
      <c r="I328" s="712" t="str">
        <f>IF(A328="","",VLOOKUP(A328,AA_Cuadrillas,5,FALSE))</f>
        <v/>
      </c>
      <c r="J328" s="416"/>
      <c r="K328" s="3" t="str">
        <f>IF(A328="","",'04'!$I$2)</f>
        <v/>
      </c>
      <c r="L328" s="13"/>
      <c r="M328" s="712" t="str">
        <f t="shared" si="37"/>
        <v/>
      </c>
      <c r="N328" s="416"/>
    </row>
    <row r="329" spans="1:16" ht="12.75" customHeight="1" x14ac:dyDescent="0.25">
      <c r="A329" s="711"/>
      <c r="B329" s="418"/>
      <c r="C329" s="418"/>
      <c r="D329" s="418"/>
      <c r="E329" s="418"/>
      <c r="F329" s="418"/>
      <c r="G329" s="416"/>
      <c r="H329" s="12" t="str">
        <f>IF(A329="","",VLOOKUP(A329,AA_Cuadrillas,4,FALSE))</f>
        <v/>
      </c>
      <c r="I329" s="712" t="str">
        <f>IF(A329="","",VLOOKUP(A329,AA_Cuadrillas,5,FALSE))</f>
        <v/>
      </c>
      <c r="J329" s="416"/>
      <c r="K329" s="3" t="str">
        <f>IF(A329="","",'04'!$I$2)</f>
        <v/>
      </c>
      <c r="L329" s="13"/>
      <c r="M329" s="712" t="str">
        <f t="shared" si="37"/>
        <v/>
      </c>
      <c r="N329" s="416"/>
    </row>
    <row r="330" spans="1:16" ht="12.75" customHeight="1" x14ac:dyDescent="0.25">
      <c r="A330" s="5"/>
      <c r="B330" s="5"/>
      <c r="C330" s="5"/>
      <c r="D330" s="5"/>
      <c r="E330" s="5"/>
      <c r="F330" s="5"/>
      <c r="G330" s="5"/>
      <c r="H330" s="5"/>
      <c r="I330" s="5"/>
      <c r="J330" s="5"/>
      <c r="K330" s="713" t="s">
        <v>261</v>
      </c>
      <c r="L330" s="416"/>
      <c r="M330" s="712">
        <f>SUM(M325:N329)</f>
        <v>130359.12943636364</v>
      </c>
      <c r="N330" s="416"/>
    </row>
    <row r="331" spans="1:16" ht="12.75" customHeight="1" x14ac:dyDescent="0.2"/>
    <row r="332" spans="1:16" ht="12.75" customHeight="1" x14ac:dyDescent="0.2">
      <c r="A332" s="787" t="s">
        <v>84</v>
      </c>
      <c r="B332" s="410"/>
      <c r="C332" s="410"/>
      <c r="D332" s="410"/>
      <c r="E332" s="410"/>
      <c r="F332" s="410"/>
      <c r="G332" s="410"/>
      <c r="H332" s="410"/>
      <c r="I332" s="410"/>
      <c r="J332" s="410"/>
      <c r="K332" s="410"/>
      <c r="L332" s="410"/>
      <c r="M332" s="410"/>
      <c r="N332" s="411"/>
      <c r="O332" s="272"/>
      <c r="P332" s="9"/>
    </row>
    <row r="333" spans="1:16" ht="12.75" customHeight="1" x14ac:dyDescent="0.2">
      <c r="A333" s="412"/>
      <c r="B333" s="413"/>
      <c r="C333" s="413"/>
      <c r="D333" s="413"/>
      <c r="E333" s="413"/>
      <c r="F333" s="413"/>
      <c r="G333" s="413"/>
      <c r="H333" s="413"/>
      <c r="I333" s="413"/>
      <c r="J333" s="413"/>
      <c r="K333" s="413"/>
      <c r="L333" s="413"/>
      <c r="M333" s="413"/>
      <c r="N333" s="414"/>
      <c r="O333" s="272"/>
      <c r="P333" s="9"/>
    </row>
    <row r="334" spans="1:16" ht="12.75" customHeight="1" x14ac:dyDescent="0.2">
      <c r="A334" s="49"/>
      <c r="B334" s="49"/>
      <c r="C334" s="49"/>
      <c r="D334" s="49"/>
      <c r="E334" s="49"/>
      <c r="F334" s="49"/>
      <c r="G334" s="49"/>
      <c r="H334" s="49"/>
      <c r="I334" s="49"/>
      <c r="J334" s="49"/>
      <c r="K334" s="49"/>
      <c r="L334" s="49"/>
      <c r="M334" s="49"/>
      <c r="N334" s="49"/>
    </row>
    <row r="335" spans="1:16" ht="12.75" customHeight="1" thickBot="1" x14ac:dyDescent="0.35">
      <c r="A335" s="51" t="str">
        <f>VLOOKUP(A332,'10'!$B$9:$N$100,13,FALSE)</f>
        <v>G006</v>
      </c>
      <c r="B335" s="52" t="str">
        <f>A332</f>
        <v>CONCRETO DE 3000 PSI A TODO COSTO (210 KG/CM2)</v>
      </c>
      <c r="C335" s="53" t="s">
        <v>400</v>
      </c>
      <c r="D335" s="54" t="s">
        <v>420</v>
      </c>
      <c r="E335" s="55" t="s">
        <v>177</v>
      </c>
      <c r="F335" s="59">
        <f>H335+J335+L335+N335</f>
        <v>642178.26956777973</v>
      </c>
      <c r="G335" s="55" t="s">
        <v>349</v>
      </c>
      <c r="H335" s="59">
        <f>M356</f>
        <v>36573.864792181819</v>
      </c>
      <c r="I335" s="55" t="s">
        <v>402</v>
      </c>
      <c r="J335" s="70">
        <f>M347</f>
        <v>378547.5</v>
      </c>
      <c r="K335" s="55" t="s">
        <v>351</v>
      </c>
      <c r="L335" s="59">
        <f>M365</f>
        <v>96697.775339234198</v>
      </c>
      <c r="M335" s="55" t="s">
        <v>352</v>
      </c>
      <c r="N335" s="59">
        <f>M374</f>
        <v>130359.12943636364</v>
      </c>
    </row>
    <row r="336" spans="1:16" ht="12.75" customHeight="1" thickBot="1" x14ac:dyDescent="0.3">
      <c r="A336" s="60"/>
      <c r="B336" s="60"/>
      <c r="C336" s="60"/>
      <c r="D336" s="60"/>
      <c r="E336" s="60"/>
      <c r="F336" s="60"/>
      <c r="G336" s="60"/>
      <c r="J336" s="60"/>
      <c r="K336" s="60"/>
      <c r="L336" s="327" t="s">
        <v>1934</v>
      </c>
      <c r="M336" s="328">
        <f>+F335*'01'!$O$16</f>
        <v>831165.54382118152</v>
      </c>
      <c r="N336" s="60"/>
    </row>
    <row r="337" spans="1:14" ht="12.75" customHeight="1" x14ac:dyDescent="0.2">
      <c r="A337" s="716" t="s">
        <v>403</v>
      </c>
      <c r="B337" s="418"/>
      <c r="C337" s="418"/>
      <c r="D337" s="418"/>
      <c r="E337" s="418"/>
      <c r="F337" s="418"/>
      <c r="G337" s="418"/>
      <c r="H337" s="418"/>
      <c r="I337" s="418"/>
      <c r="J337" s="418"/>
      <c r="K337" s="418"/>
      <c r="L337" s="418"/>
      <c r="M337" s="418"/>
      <c r="N337" s="416"/>
    </row>
    <row r="338" spans="1:14" ht="12.75" customHeight="1" x14ac:dyDescent="0.2">
      <c r="A338" s="713" t="s">
        <v>39</v>
      </c>
      <c r="B338" s="418"/>
      <c r="C338" s="418"/>
      <c r="D338" s="418"/>
      <c r="E338" s="418"/>
      <c r="F338" s="418"/>
      <c r="G338" s="416"/>
      <c r="H338" s="61" t="s">
        <v>40</v>
      </c>
      <c r="I338" s="717" t="s">
        <v>404</v>
      </c>
      <c r="J338" s="416"/>
      <c r="K338" s="717" t="s">
        <v>184</v>
      </c>
      <c r="L338" s="416"/>
      <c r="M338" s="717" t="s">
        <v>405</v>
      </c>
      <c r="N338" s="416"/>
    </row>
    <row r="339" spans="1:14" ht="12.75" customHeight="1" x14ac:dyDescent="0.2">
      <c r="A339" s="714" t="s">
        <v>431</v>
      </c>
      <c r="B339" s="418"/>
      <c r="C339" s="418"/>
      <c r="D339" s="418"/>
      <c r="E339" s="418"/>
      <c r="F339" s="418"/>
      <c r="G339" s="416"/>
      <c r="H339" s="12" t="str">
        <f t="shared" ref="H339:H346" si="38">IF(A339="","",VLOOKUP(A339,AA_Materiales,7,FALSE))</f>
        <v>Kg</v>
      </c>
      <c r="I339" s="712">
        <f t="shared" ref="I339:I346" si="39">IF(A339="","",VLOOKUP(A339,AA_Materiales,8,FALSE))</f>
        <v>761.6</v>
      </c>
      <c r="J339" s="416"/>
      <c r="K339" s="715">
        <v>320</v>
      </c>
      <c r="L339" s="416"/>
      <c r="M339" s="712">
        <f t="shared" ref="M339:M346" si="40">IF(A339="","",I339*K339)</f>
        <v>243712</v>
      </c>
      <c r="N339" s="416"/>
    </row>
    <row r="340" spans="1:14" ht="12.75" customHeight="1" x14ac:dyDescent="0.2">
      <c r="A340" s="714" t="s">
        <v>432</v>
      </c>
      <c r="B340" s="418"/>
      <c r="C340" s="418"/>
      <c r="D340" s="418"/>
      <c r="E340" s="418"/>
      <c r="F340" s="418"/>
      <c r="G340" s="416"/>
      <c r="H340" s="12" t="str">
        <f t="shared" si="38"/>
        <v>m3</v>
      </c>
      <c r="I340" s="712">
        <f t="shared" si="39"/>
        <v>65450</v>
      </c>
      <c r="J340" s="416"/>
      <c r="K340" s="786">
        <v>0.55500000000000005</v>
      </c>
      <c r="L340" s="416"/>
      <c r="M340" s="712">
        <f t="shared" si="40"/>
        <v>36324.75</v>
      </c>
      <c r="N340" s="416"/>
    </row>
    <row r="341" spans="1:14" ht="12.75" customHeight="1" x14ac:dyDescent="0.2">
      <c r="A341" s="714" t="s">
        <v>433</v>
      </c>
      <c r="B341" s="418"/>
      <c r="C341" s="418"/>
      <c r="D341" s="418"/>
      <c r="E341" s="418"/>
      <c r="F341" s="418"/>
      <c r="G341" s="416"/>
      <c r="H341" s="12" t="str">
        <f t="shared" si="38"/>
        <v>m3</v>
      </c>
      <c r="I341" s="712">
        <f t="shared" si="39"/>
        <v>113050</v>
      </c>
      <c r="J341" s="416"/>
      <c r="K341" s="786">
        <v>0.83499999999999996</v>
      </c>
      <c r="L341" s="416"/>
      <c r="M341" s="712">
        <f t="shared" si="40"/>
        <v>94396.75</v>
      </c>
      <c r="N341" s="416"/>
    </row>
    <row r="342" spans="1:14" ht="12.75" customHeight="1" x14ac:dyDescent="0.2">
      <c r="A342" s="714" t="s">
        <v>434</v>
      </c>
      <c r="B342" s="418"/>
      <c r="C342" s="418"/>
      <c r="D342" s="418"/>
      <c r="E342" s="418"/>
      <c r="F342" s="418"/>
      <c r="G342" s="416"/>
      <c r="H342" s="12" t="str">
        <f t="shared" si="38"/>
        <v>Lt</v>
      </c>
      <c r="I342" s="712">
        <f t="shared" si="39"/>
        <v>20</v>
      </c>
      <c r="J342" s="416"/>
      <c r="K342" s="715">
        <v>170</v>
      </c>
      <c r="L342" s="416"/>
      <c r="M342" s="712">
        <f t="shared" si="40"/>
        <v>3400</v>
      </c>
      <c r="N342" s="416"/>
    </row>
    <row r="343" spans="1:14" ht="12.75" customHeight="1" x14ac:dyDescent="0.2">
      <c r="A343" s="714" t="s">
        <v>440</v>
      </c>
      <c r="B343" s="418"/>
      <c r="C343" s="418"/>
      <c r="D343" s="418"/>
      <c r="E343" s="418"/>
      <c r="F343" s="418"/>
      <c r="G343" s="416"/>
      <c r="H343" s="12" t="str">
        <f t="shared" si="38"/>
        <v>m2</v>
      </c>
      <c r="I343" s="712">
        <f t="shared" si="39"/>
        <v>1190</v>
      </c>
      <c r="J343" s="416"/>
      <c r="K343" s="715">
        <v>0.6</v>
      </c>
      <c r="L343" s="416"/>
      <c r="M343" s="712">
        <f t="shared" si="40"/>
        <v>714</v>
      </c>
      <c r="N343" s="416"/>
    </row>
    <row r="344" spans="1:14" ht="12.75" customHeight="1" x14ac:dyDescent="0.2">
      <c r="A344" s="714"/>
      <c r="B344" s="418"/>
      <c r="C344" s="418"/>
      <c r="D344" s="418"/>
      <c r="E344" s="418"/>
      <c r="F344" s="418"/>
      <c r="G344" s="416"/>
      <c r="H344" s="12" t="str">
        <f t="shared" si="38"/>
        <v/>
      </c>
      <c r="I344" s="712" t="str">
        <f t="shared" si="39"/>
        <v/>
      </c>
      <c r="J344" s="416"/>
      <c r="K344" s="715"/>
      <c r="L344" s="416"/>
      <c r="M344" s="712" t="str">
        <f t="shared" si="40"/>
        <v/>
      </c>
      <c r="N344" s="416"/>
    </row>
    <row r="345" spans="1:14" ht="12.75" customHeight="1" x14ac:dyDescent="0.2">
      <c r="A345" s="714"/>
      <c r="B345" s="418"/>
      <c r="C345" s="418"/>
      <c r="D345" s="418"/>
      <c r="E345" s="418"/>
      <c r="F345" s="418"/>
      <c r="G345" s="416"/>
      <c r="H345" s="12" t="str">
        <f t="shared" si="38"/>
        <v/>
      </c>
      <c r="I345" s="712" t="str">
        <f t="shared" si="39"/>
        <v/>
      </c>
      <c r="J345" s="416"/>
      <c r="K345" s="715"/>
      <c r="L345" s="416"/>
      <c r="M345" s="712" t="str">
        <f t="shared" si="40"/>
        <v/>
      </c>
      <c r="N345" s="416"/>
    </row>
    <row r="346" spans="1:14" ht="12.75" customHeight="1" x14ac:dyDescent="0.2">
      <c r="A346" s="714"/>
      <c r="B346" s="418"/>
      <c r="C346" s="418"/>
      <c r="D346" s="418"/>
      <c r="E346" s="418"/>
      <c r="F346" s="418"/>
      <c r="G346" s="416"/>
      <c r="H346" s="12" t="str">
        <f t="shared" si="38"/>
        <v/>
      </c>
      <c r="I346" s="712" t="str">
        <f t="shared" si="39"/>
        <v/>
      </c>
      <c r="J346" s="416"/>
      <c r="K346" s="715"/>
      <c r="L346" s="416"/>
      <c r="M346" s="712" t="str">
        <f t="shared" si="40"/>
        <v/>
      </c>
      <c r="N346" s="416"/>
    </row>
    <row r="347" spans="1:14" ht="12.75" customHeight="1" x14ac:dyDescent="0.25">
      <c r="A347" s="5"/>
      <c r="B347" s="5"/>
      <c r="C347" s="5"/>
      <c r="D347" s="5"/>
      <c r="E347" s="5"/>
      <c r="F347" s="5"/>
      <c r="G347" s="5"/>
      <c r="H347" s="5"/>
      <c r="I347" s="5"/>
      <c r="J347" s="5"/>
      <c r="K347" s="713" t="s">
        <v>261</v>
      </c>
      <c r="L347" s="416"/>
      <c r="M347" s="712">
        <f>SUM(M339:N346)</f>
        <v>378547.5</v>
      </c>
      <c r="N347" s="416"/>
    </row>
    <row r="348" spans="1:14" ht="12.75" customHeight="1" x14ac:dyDescent="0.25">
      <c r="A348" s="5"/>
      <c r="B348" s="5"/>
      <c r="C348" s="5"/>
      <c r="D348" s="5"/>
      <c r="E348" s="5"/>
      <c r="F348" s="5"/>
      <c r="G348" s="5"/>
      <c r="H348" s="5"/>
      <c r="I348" s="5"/>
      <c r="J348" s="5"/>
      <c r="K348" s="5"/>
      <c r="L348" s="5"/>
      <c r="M348" s="5"/>
      <c r="N348" s="5"/>
    </row>
    <row r="349" spans="1:14" ht="12.75" customHeight="1" x14ac:dyDescent="0.2">
      <c r="A349" s="716" t="s">
        <v>410</v>
      </c>
      <c r="B349" s="418"/>
      <c r="C349" s="418"/>
      <c r="D349" s="418"/>
      <c r="E349" s="418"/>
      <c r="F349" s="418"/>
      <c r="G349" s="418"/>
      <c r="H349" s="418"/>
      <c r="I349" s="418"/>
      <c r="J349" s="418"/>
      <c r="K349" s="418"/>
      <c r="L349" s="418"/>
      <c r="M349" s="418"/>
      <c r="N349" s="416"/>
    </row>
    <row r="350" spans="1:14" ht="12.75" customHeight="1" x14ac:dyDescent="0.2">
      <c r="A350" s="713" t="s">
        <v>39</v>
      </c>
      <c r="B350" s="418"/>
      <c r="C350" s="418"/>
      <c r="D350" s="418"/>
      <c r="E350" s="418"/>
      <c r="F350" s="418"/>
      <c r="G350" s="416"/>
      <c r="H350" s="61" t="s">
        <v>40</v>
      </c>
      <c r="I350" s="717" t="s">
        <v>404</v>
      </c>
      <c r="J350" s="416"/>
      <c r="K350" s="717" t="s">
        <v>184</v>
      </c>
      <c r="L350" s="416"/>
      <c r="M350" s="717" t="s">
        <v>405</v>
      </c>
      <c r="N350" s="416"/>
    </row>
    <row r="351" spans="1:14" ht="12.75" customHeight="1" x14ac:dyDescent="0.2">
      <c r="A351" s="714" t="s">
        <v>411</v>
      </c>
      <c r="B351" s="418"/>
      <c r="C351" s="418"/>
      <c r="D351" s="418"/>
      <c r="E351" s="418"/>
      <c r="F351" s="418"/>
      <c r="G351" s="416"/>
      <c r="H351" s="12" t="str">
        <f>IF(A351="","",VLOOKUP(A351,AA_Equipos,7,FALSE))</f>
        <v>% M.O.</v>
      </c>
      <c r="I351" s="712">
        <f>M374</f>
        <v>130359.12943636364</v>
      </c>
      <c r="J351" s="416"/>
      <c r="K351" s="722">
        <v>0.03</v>
      </c>
      <c r="L351" s="416"/>
      <c r="M351" s="712">
        <f t="shared" ref="M351:M355" si="41">IF(A351="","",I351*K351)</f>
        <v>3910.7738830909093</v>
      </c>
      <c r="N351" s="416"/>
    </row>
    <row r="352" spans="1:14" ht="12.75" customHeight="1" x14ac:dyDescent="0.2">
      <c r="A352" s="719" t="s">
        <v>435</v>
      </c>
      <c r="B352" s="418"/>
      <c r="C352" s="418"/>
      <c r="D352" s="418"/>
      <c r="E352" s="418"/>
      <c r="F352" s="418"/>
      <c r="G352" s="416"/>
      <c r="H352" s="12" t="str">
        <f>IF(A352="","",VLOOKUP(A352,AA_Equipos,7,FALSE))</f>
        <v>Dia</v>
      </c>
      <c r="I352" s="712">
        <f>IF(A352="","",VLOOKUP(A352,AA_Equipos,8,FALSE))</f>
        <v>103654</v>
      </c>
      <c r="J352" s="416"/>
      <c r="K352" s="723">
        <f>1/5.5</f>
        <v>0.18181818181818182</v>
      </c>
      <c r="L352" s="416"/>
      <c r="M352" s="712">
        <f t="shared" si="41"/>
        <v>18846.18181818182</v>
      </c>
      <c r="N352" s="416"/>
    </row>
    <row r="353" spans="1:14" ht="12.75" customHeight="1" x14ac:dyDescent="0.2">
      <c r="A353" s="714" t="s">
        <v>441</v>
      </c>
      <c r="B353" s="418"/>
      <c r="C353" s="418"/>
      <c r="D353" s="418"/>
      <c r="E353" s="418"/>
      <c r="F353" s="418"/>
      <c r="G353" s="416"/>
      <c r="H353" s="12" t="str">
        <f>IF(A353="","",VLOOKUP(A353,AA_Equipos,7,FALSE))</f>
        <v>Dia</v>
      </c>
      <c r="I353" s="712">
        <f>IF(A353="","",VLOOKUP(A353,AA_Equipos,8,FALSE))</f>
        <v>75993</v>
      </c>
      <c r="J353" s="416"/>
      <c r="K353" s="786">
        <f>1/5.5</f>
        <v>0.18181818181818182</v>
      </c>
      <c r="L353" s="416"/>
      <c r="M353" s="712">
        <f t="shared" si="41"/>
        <v>13816.909090909092</v>
      </c>
      <c r="N353" s="416"/>
    </row>
    <row r="354" spans="1:14" ht="12.75" customHeight="1" x14ac:dyDescent="0.2">
      <c r="A354" s="714"/>
      <c r="B354" s="418"/>
      <c r="C354" s="418"/>
      <c r="D354" s="418"/>
      <c r="E354" s="418"/>
      <c r="F354" s="418"/>
      <c r="G354" s="416"/>
      <c r="H354" s="12" t="str">
        <f>IF(A354="","",VLOOKUP(A354,AA_Equipos,7,FALSE))</f>
        <v/>
      </c>
      <c r="I354" s="712" t="str">
        <f>IF(A354="","",VLOOKUP(A354,AA_Equipos,8,FALSE))</f>
        <v/>
      </c>
      <c r="J354" s="416"/>
      <c r="K354" s="715"/>
      <c r="L354" s="416"/>
      <c r="M354" s="712" t="str">
        <f t="shared" si="41"/>
        <v/>
      </c>
      <c r="N354" s="416"/>
    </row>
    <row r="355" spans="1:14" ht="12.75" customHeight="1" x14ac:dyDescent="0.2">
      <c r="A355" s="714"/>
      <c r="B355" s="418"/>
      <c r="C355" s="418"/>
      <c r="D355" s="418"/>
      <c r="E355" s="418"/>
      <c r="F355" s="418"/>
      <c r="G355" s="416"/>
      <c r="H355" s="12" t="str">
        <f>IF(A355="","",VLOOKUP(A355,AA_Equipos,7,FALSE))</f>
        <v/>
      </c>
      <c r="I355" s="712" t="str">
        <f>IF(A355="","",VLOOKUP(A355,AA_Equipos,8,FALSE))</f>
        <v/>
      </c>
      <c r="J355" s="416"/>
      <c r="K355" s="715"/>
      <c r="L355" s="416"/>
      <c r="M355" s="712" t="str">
        <f t="shared" si="41"/>
        <v/>
      </c>
      <c r="N355" s="416"/>
    </row>
    <row r="356" spans="1:14" ht="12.75" customHeight="1" x14ac:dyDescent="0.25">
      <c r="A356" s="5"/>
      <c r="B356" s="5"/>
      <c r="C356" s="5"/>
      <c r="D356" s="5"/>
      <c r="E356" s="5"/>
      <c r="F356" s="5"/>
      <c r="G356" s="5"/>
      <c r="H356" s="5"/>
      <c r="I356" s="5"/>
      <c r="J356" s="5"/>
      <c r="K356" s="713" t="s">
        <v>261</v>
      </c>
      <c r="L356" s="416"/>
      <c r="M356" s="712">
        <f>SUM(M351:N355)</f>
        <v>36573.864792181819</v>
      </c>
      <c r="N356" s="416"/>
    </row>
    <row r="357" spans="1:14" ht="12.75" customHeight="1" x14ac:dyDescent="0.25">
      <c r="A357" s="5"/>
      <c r="B357" s="5"/>
      <c r="C357" s="5"/>
      <c r="D357" s="5"/>
      <c r="E357" s="5"/>
      <c r="F357" s="5"/>
      <c r="G357" s="5"/>
      <c r="H357" s="5"/>
      <c r="I357" s="5"/>
      <c r="J357" s="5"/>
      <c r="K357" s="5"/>
      <c r="L357" s="5"/>
      <c r="M357" s="5"/>
      <c r="N357" s="5"/>
    </row>
    <row r="358" spans="1:14" ht="12.75" customHeight="1" x14ac:dyDescent="0.2">
      <c r="A358" s="716" t="s">
        <v>413</v>
      </c>
      <c r="B358" s="418"/>
      <c r="C358" s="418"/>
      <c r="D358" s="418"/>
      <c r="E358" s="418"/>
      <c r="F358" s="418"/>
      <c r="G358" s="418"/>
      <c r="H358" s="418"/>
      <c r="I358" s="418"/>
      <c r="J358" s="418"/>
      <c r="K358" s="418"/>
      <c r="L358" s="418"/>
      <c r="M358" s="418"/>
      <c r="N358" s="416"/>
    </row>
    <row r="359" spans="1:14" ht="12.75" customHeight="1" x14ac:dyDescent="0.2">
      <c r="A359" s="713" t="s">
        <v>39</v>
      </c>
      <c r="B359" s="418"/>
      <c r="C359" s="418"/>
      <c r="D359" s="418"/>
      <c r="E359" s="418"/>
      <c r="F359" s="418"/>
      <c r="G359" s="416"/>
      <c r="H359" s="61" t="s">
        <v>40</v>
      </c>
      <c r="I359" s="717" t="s">
        <v>404</v>
      </c>
      <c r="J359" s="416"/>
      <c r="K359" s="717" t="s">
        <v>184</v>
      </c>
      <c r="L359" s="416"/>
      <c r="M359" s="717" t="s">
        <v>405</v>
      </c>
      <c r="N359" s="416"/>
    </row>
    <row r="360" spans="1:14" ht="12.75" customHeight="1" x14ac:dyDescent="0.2">
      <c r="A360" s="714" t="s">
        <v>442</v>
      </c>
      <c r="B360" s="418"/>
      <c r="C360" s="418"/>
      <c r="D360" s="418"/>
      <c r="E360" s="418"/>
      <c r="F360" s="418"/>
      <c r="G360" s="416"/>
      <c r="H360" s="12" t="s">
        <v>437</v>
      </c>
      <c r="I360" s="712">
        <f>+M356</f>
        <v>36573.864792181819</v>
      </c>
      <c r="J360" s="416"/>
      <c r="K360" s="722">
        <v>0.03</v>
      </c>
      <c r="L360" s="416"/>
      <c r="M360" s="712">
        <f t="shared" ref="M360:M364" si="42">IF(A360="","",I360*K360)</f>
        <v>1097.2159437654545</v>
      </c>
      <c r="N360" s="416"/>
    </row>
    <row r="361" spans="1:14" ht="12.75" customHeight="1" x14ac:dyDescent="0.2">
      <c r="A361" s="788" t="s">
        <v>1534</v>
      </c>
      <c r="B361" s="418"/>
      <c r="C361" s="418"/>
      <c r="D361" s="418"/>
      <c r="E361" s="418"/>
      <c r="F361" s="418"/>
      <c r="G361" s="416"/>
      <c r="H361" s="107" t="s">
        <v>1535</v>
      </c>
      <c r="I361" s="712">
        <f>'13'!$J$68</f>
        <v>2206.6944848867188</v>
      </c>
      <c r="J361" s="416"/>
      <c r="K361" s="715">
        <f>Indice!$M$5</f>
        <v>40</v>
      </c>
      <c r="L361" s="416"/>
      <c r="M361" s="712">
        <f t="shared" si="42"/>
        <v>88267.779395468751</v>
      </c>
      <c r="N361" s="416"/>
    </row>
    <row r="362" spans="1:14" ht="12.75" customHeight="1" x14ac:dyDescent="0.2">
      <c r="A362" s="789" t="s">
        <v>1581</v>
      </c>
      <c r="B362" s="418"/>
      <c r="C362" s="418"/>
      <c r="D362" s="418"/>
      <c r="E362" s="418"/>
      <c r="F362" s="418"/>
      <c r="G362" s="416"/>
      <c r="H362" s="107" t="s">
        <v>13</v>
      </c>
      <c r="I362" s="712">
        <f>+M339+M343</f>
        <v>244426</v>
      </c>
      <c r="J362" s="416"/>
      <c r="K362" s="722">
        <v>0.03</v>
      </c>
      <c r="L362" s="416"/>
      <c r="M362" s="712">
        <f t="shared" si="42"/>
        <v>7332.78</v>
      </c>
      <c r="N362" s="416"/>
    </row>
    <row r="363" spans="1:14" ht="12.75" customHeight="1" x14ac:dyDescent="0.2">
      <c r="A363" s="714"/>
      <c r="B363" s="418"/>
      <c r="C363" s="418"/>
      <c r="D363" s="418"/>
      <c r="E363" s="418"/>
      <c r="F363" s="418"/>
      <c r="G363" s="416"/>
      <c r="H363" s="12"/>
      <c r="I363" s="712"/>
      <c r="J363" s="416"/>
      <c r="K363" s="715"/>
      <c r="L363" s="416"/>
      <c r="M363" s="712" t="str">
        <f t="shared" si="42"/>
        <v/>
      </c>
      <c r="N363" s="416"/>
    </row>
    <row r="364" spans="1:14" ht="12.75" customHeight="1" x14ac:dyDescent="0.2">
      <c r="A364" s="714"/>
      <c r="B364" s="418"/>
      <c r="C364" s="418"/>
      <c r="D364" s="418"/>
      <c r="E364" s="418"/>
      <c r="F364" s="418"/>
      <c r="G364" s="416"/>
      <c r="H364" s="12"/>
      <c r="I364" s="712"/>
      <c r="J364" s="416"/>
      <c r="K364" s="715"/>
      <c r="L364" s="416"/>
      <c r="M364" s="712" t="str">
        <f t="shared" si="42"/>
        <v/>
      </c>
      <c r="N364" s="416"/>
    </row>
    <row r="365" spans="1:14" ht="12.75" customHeight="1" x14ac:dyDescent="0.25">
      <c r="A365" s="5"/>
      <c r="B365" s="5"/>
      <c r="C365" s="5"/>
      <c r="D365" s="5"/>
      <c r="E365" s="5"/>
      <c r="F365" s="5"/>
      <c r="G365" s="5"/>
      <c r="H365" s="5"/>
      <c r="I365" s="5"/>
      <c r="J365" s="5"/>
      <c r="K365" s="713" t="s">
        <v>261</v>
      </c>
      <c r="L365" s="416"/>
      <c r="M365" s="712">
        <f>SUM(M360:N364)</f>
        <v>96697.775339234198</v>
      </c>
      <c r="N365" s="416"/>
    </row>
    <row r="366" spans="1:14" ht="12.75" customHeight="1" x14ac:dyDescent="0.25">
      <c r="A366" s="5"/>
      <c r="B366" s="5"/>
      <c r="C366" s="5"/>
      <c r="D366" s="5"/>
      <c r="E366" s="5"/>
      <c r="F366" s="5"/>
      <c r="G366" s="5"/>
      <c r="H366" s="5"/>
      <c r="I366" s="5"/>
      <c r="J366" s="5"/>
      <c r="K366" s="67"/>
      <c r="L366" s="68"/>
      <c r="M366" s="62"/>
      <c r="N366" s="69"/>
    </row>
    <row r="367" spans="1:14" ht="12.75" customHeight="1" x14ac:dyDescent="0.2">
      <c r="A367" s="716" t="s">
        <v>415</v>
      </c>
      <c r="B367" s="418"/>
      <c r="C367" s="418"/>
      <c r="D367" s="418"/>
      <c r="E367" s="418"/>
      <c r="F367" s="418"/>
      <c r="G367" s="418"/>
      <c r="H367" s="418"/>
      <c r="I367" s="418"/>
      <c r="J367" s="418"/>
      <c r="K367" s="418"/>
      <c r="L367" s="418"/>
      <c r="M367" s="418"/>
      <c r="N367" s="416"/>
    </row>
    <row r="368" spans="1:14" ht="12.75" customHeight="1" x14ac:dyDescent="0.2">
      <c r="A368" s="713" t="s">
        <v>39</v>
      </c>
      <c r="B368" s="418"/>
      <c r="C368" s="418"/>
      <c r="D368" s="418"/>
      <c r="E368" s="418"/>
      <c r="F368" s="418"/>
      <c r="G368" s="416"/>
      <c r="H368" s="61" t="s">
        <v>40</v>
      </c>
      <c r="I368" s="717" t="s">
        <v>404</v>
      </c>
      <c r="J368" s="416"/>
      <c r="K368" s="64" t="s">
        <v>253</v>
      </c>
      <c r="L368" s="65" t="s">
        <v>416</v>
      </c>
      <c r="M368" s="717" t="s">
        <v>405</v>
      </c>
      <c r="N368" s="416"/>
    </row>
    <row r="369" spans="1:16" ht="12.75" customHeight="1" x14ac:dyDescent="0.25">
      <c r="A369" s="711" t="s">
        <v>439</v>
      </c>
      <c r="B369" s="418"/>
      <c r="C369" s="418"/>
      <c r="D369" s="418"/>
      <c r="E369" s="418"/>
      <c r="F369" s="418"/>
      <c r="G369" s="416"/>
      <c r="H369" s="12" t="str">
        <f>IF(A369="","",VLOOKUP(A369,AA_Cuadrillas,4,FALSE))</f>
        <v>Cuadrilla</v>
      </c>
      <c r="I369" s="712">
        <f>IF(A369="","",VLOOKUP(A369,AA_Cuadrillas,5,FALSE))</f>
        <v>379362</v>
      </c>
      <c r="J369" s="416"/>
      <c r="K369" s="3">
        <f>IF(A369="","",'04'!$I$2)</f>
        <v>1.88995</v>
      </c>
      <c r="L369" s="66">
        <f>1/5.5</f>
        <v>0.18181818181818182</v>
      </c>
      <c r="M369" s="712">
        <f t="shared" ref="M369:M373" si="43">IF(A369="","",I369*K369*L369)</f>
        <v>130359.12943636364</v>
      </c>
      <c r="N369" s="416"/>
    </row>
    <row r="370" spans="1:16" ht="12.75" customHeight="1" x14ac:dyDescent="0.25">
      <c r="A370" s="711"/>
      <c r="B370" s="418"/>
      <c r="C370" s="418"/>
      <c r="D370" s="418"/>
      <c r="E370" s="418"/>
      <c r="F370" s="418"/>
      <c r="G370" s="416"/>
      <c r="H370" s="12" t="str">
        <f>IF(A370="","",VLOOKUP(A370,AA_Cuadrillas,4,FALSE))</f>
        <v/>
      </c>
      <c r="I370" s="712" t="str">
        <f>IF(A370="","",VLOOKUP(A370,AA_Cuadrillas,5,FALSE))</f>
        <v/>
      </c>
      <c r="J370" s="416"/>
      <c r="K370" s="3" t="str">
        <f>IF(A370="","",'04'!$I$2)</f>
        <v/>
      </c>
      <c r="L370" s="3"/>
      <c r="M370" s="712" t="str">
        <f t="shared" si="43"/>
        <v/>
      </c>
      <c r="N370" s="416"/>
    </row>
    <row r="371" spans="1:16" ht="12.75" customHeight="1" x14ac:dyDescent="0.25">
      <c r="A371" s="711"/>
      <c r="B371" s="418"/>
      <c r="C371" s="418"/>
      <c r="D371" s="418"/>
      <c r="E371" s="418"/>
      <c r="F371" s="418"/>
      <c r="G371" s="416"/>
      <c r="H371" s="12" t="str">
        <f>IF(A371="","",VLOOKUP(A371,AA_Cuadrillas,4,FALSE))</f>
        <v/>
      </c>
      <c r="I371" s="712" t="str">
        <f>IF(A371="","",VLOOKUP(A371,AA_Cuadrillas,5,FALSE))</f>
        <v/>
      </c>
      <c r="J371" s="416"/>
      <c r="K371" s="3" t="str">
        <f>IF(A371="","",'04'!$I$2)</f>
        <v/>
      </c>
      <c r="L371" s="13"/>
      <c r="M371" s="712" t="str">
        <f t="shared" si="43"/>
        <v/>
      </c>
      <c r="N371" s="416"/>
    </row>
    <row r="372" spans="1:16" ht="12.75" customHeight="1" x14ac:dyDescent="0.25">
      <c r="A372" s="711"/>
      <c r="B372" s="418"/>
      <c r="C372" s="418"/>
      <c r="D372" s="418"/>
      <c r="E372" s="418"/>
      <c r="F372" s="418"/>
      <c r="G372" s="416"/>
      <c r="H372" s="12" t="str">
        <f>IF(A372="","",VLOOKUP(A372,AA_Cuadrillas,4,FALSE))</f>
        <v/>
      </c>
      <c r="I372" s="712" t="str">
        <f>IF(A372="","",VLOOKUP(A372,AA_Cuadrillas,5,FALSE))</f>
        <v/>
      </c>
      <c r="J372" s="416"/>
      <c r="K372" s="3" t="str">
        <f>IF(A372="","",'04'!$I$2)</f>
        <v/>
      </c>
      <c r="L372" s="13"/>
      <c r="M372" s="712" t="str">
        <f t="shared" si="43"/>
        <v/>
      </c>
      <c r="N372" s="416"/>
    </row>
    <row r="373" spans="1:16" ht="12.75" customHeight="1" x14ac:dyDescent="0.25">
      <c r="A373" s="711"/>
      <c r="B373" s="418"/>
      <c r="C373" s="418"/>
      <c r="D373" s="418"/>
      <c r="E373" s="418"/>
      <c r="F373" s="418"/>
      <c r="G373" s="416"/>
      <c r="H373" s="12" t="str">
        <f>IF(A373="","",VLOOKUP(A373,AA_Cuadrillas,4,FALSE))</f>
        <v/>
      </c>
      <c r="I373" s="712" t="str">
        <f>IF(A373="","",VLOOKUP(A373,AA_Cuadrillas,5,FALSE))</f>
        <v/>
      </c>
      <c r="J373" s="416"/>
      <c r="K373" s="3" t="str">
        <f>IF(A373="","",'04'!$I$2)</f>
        <v/>
      </c>
      <c r="L373" s="13"/>
      <c r="M373" s="712" t="str">
        <f t="shared" si="43"/>
        <v/>
      </c>
      <c r="N373" s="416"/>
    </row>
    <row r="374" spans="1:16" ht="12.75" customHeight="1" x14ac:dyDescent="0.25">
      <c r="A374" s="5"/>
      <c r="B374" s="5"/>
      <c r="C374" s="5"/>
      <c r="D374" s="5"/>
      <c r="E374" s="5"/>
      <c r="F374" s="5"/>
      <c r="G374" s="5"/>
      <c r="H374" s="5"/>
      <c r="I374" s="5"/>
      <c r="J374" s="5"/>
      <c r="K374" s="713" t="s">
        <v>261</v>
      </c>
      <c r="L374" s="416"/>
      <c r="M374" s="712">
        <f>SUM(M369:N373)</f>
        <v>130359.12943636364</v>
      </c>
      <c r="N374" s="416"/>
    </row>
    <row r="375" spans="1:16" ht="12.75" customHeight="1" x14ac:dyDescent="0.2">
      <c r="A375" s="9"/>
      <c r="B375" s="9"/>
      <c r="C375" s="9"/>
      <c r="D375" s="9"/>
      <c r="E375" s="9"/>
      <c r="F375" s="9"/>
      <c r="G375" s="9"/>
      <c r="H375" s="9"/>
      <c r="I375" s="9"/>
      <c r="J375" s="9"/>
      <c r="K375" s="9"/>
      <c r="L375" s="9"/>
      <c r="M375" s="9"/>
      <c r="N375" s="9"/>
      <c r="O375" s="9"/>
      <c r="P375" s="9"/>
    </row>
    <row r="376" spans="1:16" ht="12.75" customHeight="1" x14ac:dyDescent="0.2">
      <c r="A376" s="787" t="s">
        <v>66</v>
      </c>
      <c r="B376" s="410"/>
      <c r="C376" s="410"/>
      <c r="D376" s="410"/>
      <c r="E376" s="410"/>
      <c r="F376" s="410"/>
      <c r="G376" s="410"/>
      <c r="H376" s="410"/>
      <c r="I376" s="410"/>
      <c r="J376" s="410"/>
      <c r="K376" s="410"/>
      <c r="L376" s="410"/>
      <c r="M376" s="410"/>
      <c r="N376" s="411"/>
      <c r="O376" s="272"/>
      <c r="P376" s="9"/>
    </row>
    <row r="377" spans="1:16" ht="12.75" customHeight="1" x14ac:dyDescent="0.2">
      <c r="A377" s="412"/>
      <c r="B377" s="413"/>
      <c r="C377" s="413"/>
      <c r="D377" s="413"/>
      <c r="E377" s="413"/>
      <c r="F377" s="413"/>
      <c r="G377" s="413"/>
      <c r="H377" s="413"/>
      <c r="I377" s="413"/>
      <c r="J377" s="413"/>
      <c r="K377" s="413"/>
      <c r="L377" s="413"/>
      <c r="M377" s="413"/>
      <c r="N377" s="414"/>
      <c r="O377" s="272"/>
      <c r="P377" s="9"/>
    </row>
    <row r="378" spans="1:16" ht="12.75" customHeight="1" x14ac:dyDescent="0.2">
      <c r="A378" s="49"/>
      <c r="B378" s="49"/>
      <c r="C378" s="49"/>
      <c r="D378" s="49"/>
      <c r="E378" s="49"/>
      <c r="F378" s="49"/>
      <c r="G378" s="49"/>
      <c r="H378" s="49"/>
      <c r="I378" s="49"/>
      <c r="J378" s="49"/>
      <c r="K378" s="49"/>
      <c r="L378" s="49"/>
      <c r="M378" s="49"/>
      <c r="N378" s="49"/>
    </row>
    <row r="379" spans="1:16" ht="12.75" customHeight="1" thickBot="1" x14ac:dyDescent="0.35">
      <c r="A379" s="51" t="str">
        <f>VLOOKUP(A376,'10'!$B$9:$N$100,13,FALSE)</f>
        <v>G007</v>
      </c>
      <c r="B379" s="52" t="str">
        <f>A376</f>
        <v>SUMINISTRO FIGURADO Y ARMADO DE ACERO DE REFUERZO 60000 PSI (INCLUYE DESPERDICIO DEL 5%)</v>
      </c>
      <c r="C379" s="53" t="s">
        <v>400</v>
      </c>
      <c r="D379" s="54" t="s">
        <v>445</v>
      </c>
      <c r="E379" s="55" t="s">
        <v>177</v>
      </c>
      <c r="F379" s="59">
        <f>H379+J379+L379+N379</f>
        <v>7128.02232826</v>
      </c>
      <c r="G379" s="55" t="s">
        <v>349</v>
      </c>
      <c r="H379" s="59">
        <f>M397</f>
        <v>54.269536260000002</v>
      </c>
      <c r="I379" s="55" t="s">
        <v>402</v>
      </c>
      <c r="J379" s="59">
        <f>M388</f>
        <v>5014.0650000000005</v>
      </c>
      <c r="K379" s="55" t="s">
        <v>351</v>
      </c>
      <c r="L379" s="59">
        <f>M406</f>
        <v>250.70325000000003</v>
      </c>
      <c r="M379" s="55" t="s">
        <v>352</v>
      </c>
      <c r="N379" s="59">
        <f>M415</f>
        <v>1808.9845420000001</v>
      </c>
    </row>
    <row r="380" spans="1:16" ht="12.75" customHeight="1" thickBot="1" x14ac:dyDescent="0.3">
      <c r="A380" s="60"/>
      <c r="B380" s="60"/>
      <c r="C380" s="60"/>
      <c r="D380" s="60"/>
      <c r="E380" s="60"/>
      <c r="F380" s="60"/>
      <c r="G380" s="60"/>
      <c r="J380" s="60"/>
      <c r="K380" s="60"/>
      <c r="L380" s="327" t="s">
        <v>1934</v>
      </c>
      <c r="M380" s="328">
        <f>+F379*'01'!$O$16</f>
        <v>9225.7350265453497</v>
      </c>
      <c r="N380" s="60"/>
    </row>
    <row r="381" spans="1:16" ht="12.75" customHeight="1" x14ac:dyDescent="0.2">
      <c r="A381" s="716" t="s">
        <v>403</v>
      </c>
      <c r="B381" s="418"/>
      <c r="C381" s="418"/>
      <c r="D381" s="418"/>
      <c r="E381" s="418"/>
      <c r="F381" s="418"/>
      <c r="G381" s="418"/>
      <c r="H381" s="418"/>
      <c r="I381" s="418"/>
      <c r="J381" s="418"/>
      <c r="K381" s="418"/>
      <c r="L381" s="418"/>
      <c r="M381" s="418"/>
      <c r="N381" s="416"/>
    </row>
    <row r="382" spans="1:16" ht="12.75" customHeight="1" x14ac:dyDescent="0.2">
      <c r="A382" s="713" t="s">
        <v>39</v>
      </c>
      <c r="B382" s="418"/>
      <c r="C382" s="418"/>
      <c r="D382" s="418"/>
      <c r="E382" s="418"/>
      <c r="F382" s="418"/>
      <c r="G382" s="416"/>
      <c r="H382" s="61" t="s">
        <v>40</v>
      </c>
      <c r="I382" s="717" t="s">
        <v>404</v>
      </c>
      <c r="J382" s="416"/>
      <c r="K382" s="717" t="s">
        <v>184</v>
      </c>
      <c r="L382" s="416"/>
      <c r="M382" s="717" t="s">
        <v>405</v>
      </c>
      <c r="N382" s="416"/>
    </row>
    <row r="383" spans="1:16" ht="12.75" customHeight="1" x14ac:dyDescent="0.2">
      <c r="A383" s="789" t="s">
        <v>446</v>
      </c>
      <c r="B383" s="418"/>
      <c r="C383" s="418"/>
      <c r="D383" s="418"/>
      <c r="E383" s="418"/>
      <c r="F383" s="418"/>
      <c r="G383" s="416"/>
      <c r="H383" s="12" t="str">
        <f>IF(A383="","",VLOOKUP(A383,AA_Materiales,7,FALSE))</f>
        <v>Kg</v>
      </c>
      <c r="I383" s="712">
        <f>IF(A383="","",VLOOKUP(A383,AA_Materiales,8,FALSE))</f>
        <v>4224.5</v>
      </c>
      <c r="J383" s="416"/>
      <c r="K383" s="715">
        <v>1.05</v>
      </c>
      <c r="L383" s="416"/>
      <c r="M383" s="712">
        <f t="shared" ref="M383:M387" si="44">IF(A383="","",I383*K383)</f>
        <v>4435.7250000000004</v>
      </c>
      <c r="N383" s="416"/>
    </row>
    <row r="384" spans="1:16" ht="12.75" customHeight="1" x14ac:dyDescent="0.2">
      <c r="A384" s="714" t="s">
        <v>447</v>
      </c>
      <c r="B384" s="418"/>
      <c r="C384" s="418"/>
      <c r="D384" s="418"/>
      <c r="E384" s="418"/>
      <c r="F384" s="418"/>
      <c r="G384" s="416"/>
      <c r="H384" s="12" t="str">
        <f>IF(A384="","",VLOOKUP(A384,AA_Materiales,7,FALSE))</f>
        <v>Kg</v>
      </c>
      <c r="I384" s="712">
        <f>IF(A384="","",VLOOKUP(A384,AA_Materiales,8,FALSE))</f>
        <v>6426</v>
      </c>
      <c r="J384" s="416"/>
      <c r="K384" s="715">
        <v>0.09</v>
      </c>
      <c r="L384" s="416"/>
      <c r="M384" s="712">
        <f>IF(A384="","",I384*K384)</f>
        <v>578.34</v>
      </c>
      <c r="N384" s="416"/>
    </row>
    <row r="385" spans="1:14" ht="12.75" customHeight="1" x14ac:dyDescent="0.2">
      <c r="A385" s="714"/>
      <c r="B385" s="418"/>
      <c r="C385" s="418"/>
      <c r="D385" s="418"/>
      <c r="E385" s="418"/>
      <c r="F385" s="418"/>
      <c r="G385" s="416"/>
      <c r="H385" s="12" t="str">
        <f>IF(A385="","",VLOOKUP(A385,AA_Materiales,7,FALSE))</f>
        <v/>
      </c>
      <c r="I385" s="712" t="str">
        <f>IF(A385="","",VLOOKUP(A385,AA_Materiales,8,FALSE))</f>
        <v/>
      </c>
      <c r="J385" s="416"/>
      <c r="K385" s="715"/>
      <c r="L385" s="416"/>
      <c r="M385" s="712" t="str">
        <f t="shared" si="44"/>
        <v/>
      </c>
      <c r="N385" s="416"/>
    </row>
    <row r="386" spans="1:14" ht="12.75" customHeight="1" x14ac:dyDescent="0.2">
      <c r="A386" s="714"/>
      <c r="B386" s="418"/>
      <c r="C386" s="418"/>
      <c r="D386" s="418"/>
      <c r="E386" s="418"/>
      <c r="F386" s="418"/>
      <c r="G386" s="416"/>
      <c r="H386" s="12" t="str">
        <f>IF(A386="","",VLOOKUP(A386,AA_Materiales,7,FALSE))</f>
        <v/>
      </c>
      <c r="I386" s="712" t="str">
        <f>IF(A386="","",VLOOKUP(A386,AA_Materiales,8,FALSE))</f>
        <v/>
      </c>
      <c r="J386" s="416"/>
      <c r="K386" s="715"/>
      <c r="L386" s="416"/>
      <c r="M386" s="712" t="str">
        <f t="shared" si="44"/>
        <v/>
      </c>
      <c r="N386" s="416"/>
    </row>
    <row r="387" spans="1:14" ht="12.75" customHeight="1" x14ac:dyDescent="0.2">
      <c r="A387" s="714"/>
      <c r="B387" s="418"/>
      <c r="C387" s="418"/>
      <c r="D387" s="418"/>
      <c r="E387" s="418"/>
      <c r="F387" s="418"/>
      <c r="G387" s="416"/>
      <c r="H387" s="12" t="str">
        <f>IF(A387="","",VLOOKUP(A387,AA_Materiales,7,FALSE))</f>
        <v/>
      </c>
      <c r="I387" s="712" t="str">
        <f>IF(A387="","",VLOOKUP(A387,AA_Materiales,8,FALSE))</f>
        <v/>
      </c>
      <c r="J387" s="416"/>
      <c r="K387" s="715"/>
      <c r="L387" s="416"/>
      <c r="M387" s="712" t="str">
        <f t="shared" si="44"/>
        <v/>
      </c>
      <c r="N387" s="416"/>
    </row>
    <row r="388" spans="1:14" ht="12.75" customHeight="1" x14ac:dyDescent="0.25">
      <c r="A388" s="5"/>
      <c r="B388" s="5"/>
      <c r="C388" s="5"/>
      <c r="D388" s="5"/>
      <c r="E388" s="5"/>
      <c r="F388" s="5"/>
      <c r="G388" s="5"/>
      <c r="H388" s="5"/>
      <c r="I388" s="5"/>
      <c r="J388" s="5"/>
      <c r="K388" s="713" t="s">
        <v>261</v>
      </c>
      <c r="L388" s="416"/>
      <c r="M388" s="712">
        <f>SUM(M383:N387)</f>
        <v>5014.0650000000005</v>
      </c>
      <c r="N388" s="416"/>
    </row>
    <row r="389" spans="1:14" ht="12.75" customHeight="1" x14ac:dyDescent="0.25">
      <c r="A389" s="5"/>
      <c r="B389" s="5"/>
      <c r="C389" s="5"/>
      <c r="D389" s="5"/>
      <c r="E389" s="5"/>
      <c r="F389" s="5"/>
      <c r="G389" s="5"/>
      <c r="H389" s="5"/>
      <c r="I389" s="5"/>
      <c r="J389" s="5"/>
      <c r="K389" s="5"/>
      <c r="L389" s="5"/>
      <c r="M389" s="5"/>
      <c r="N389" s="5"/>
    </row>
    <row r="390" spans="1:14" ht="12.75" customHeight="1" x14ac:dyDescent="0.2">
      <c r="A390" s="716" t="s">
        <v>410</v>
      </c>
      <c r="B390" s="418"/>
      <c r="C390" s="418"/>
      <c r="D390" s="418"/>
      <c r="E390" s="418"/>
      <c r="F390" s="418"/>
      <c r="G390" s="418"/>
      <c r="H390" s="418"/>
      <c r="I390" s="418"/>
      <c r="J390" s="418"/>
      <c r="K390" s="418"/>
      <c r="L390" s="418"/>
      <c r="M390" s="418"/>
      <c r="N390" s="416"/>
    </row>
    <row r="391" spans="1:14" ht="12.75" customHeight="1" x14ac:dyDescent="0.2">
      <c r="A391" s="713" t="s">
        <v>39</v>
      </c>
      <c r="B391" s="418"/>
      <c r="C391" s="418"/>
      <c r="D391" s="418"/>
      <c r="E391" s="418"/>
      <c r="F391" s="418"/>
      <c r="G391" s="416"/>
      <c r="H391" s="61" t="s">
        <v>40</v>
      </c>
      <c r="I391" s="717" t="s">
        <v>404</v>
      </c>
      <c r="J391" s="416"/>
      <c r="K391" s="717" t="s">
        <v>184</v>
      </c>
      <c r="L391" s="416"/>
      <c r="M391" s="717" t="s">
        <v>405</v>
      </c>
      <c r="N391" s="416"/>
    </row>
    <row r="392" spans="1:14" ht="12.75" customHeight="1" x14ac:dyDescent="0.2">
      <c r="A392" s="714" t="s">
        <v>411</v>
      </c>
      <c r="B392" s="418"/>
      <c r="C392" s="418"/>
      <c r="D392" s="418"/>
      <c r="E392" s="418"/>
      <c r="F392" s="418"/>
      <c r="G392" s="416"/>
      <c r="H392" s="12" t="str">
        <f>IF(A392="","",VLOOKUP(A392,AA_Equipos,7,FALSE))</f>
        <v>% M.O.</v>
      </c>
      <c r="I392" s="712">
        <f>M415</f>
        <v>1808.9845420000001</v>
      </c>
      <c r="J392" s="416"/>
      <c r="K392" s="722">
        <v>0.03</v>
      </c>
      <c r="L392" s="416"/>
      <c r="M392" s="712">
        <f t="shared" ref="M392:M396" si="45">IF(A392="","",I392*K392)</f>
        <v>54.269536260000002</v>
      </c>
      <c r="N392" s="416"/>
    </row>
    <row r="393" spans="1:14" ht="12.75" customHeight="1" x14ac:dyDescent="0.2">
      <c r="A393" s="719"/>
      <c r="B393" s="418"/>
      <c r="C393" s="418"/>
      <c r="D393" s="418"/>
      <c r="E393" s="418"/>
      <c r="F393" s="418"/>
      <c r="G393" s="416"/>
      <c r="H393" s="12" t="str">
        <f>IF(A393="","",VLOOKUP(A393,AA_Equipos,7,FALSE))</f>
        <v/>
      </c>
      <c r="I393" s="712" t="str">
        <f>IF(A393="","",VLOOKUP(A393,AA_Equipos,8,FALSE))</f>
        <v/>
      </c>
      <c r="J393" s="416"/>
      <c r="K393" s="723"/>
      <c r="L393" s="416"/>
      <c r="M393" s="712" t="str">
        <f t="shared" si="45"/>
        <v/>
      </c>
      <c r="N393" s="416"/>
    </row>
    <row r="394" spans="1:14" ht="12.75" customHeight="1" x14ac:dyDescent="0.2">
      <c r="A394" s="714"/>
      <c r="B394" s="418"/>
      <c r="C394" s="418"/>
      <c r="D394" s="418"/>
      <c r="E394" s="418"/>
      <c r="F394" s="418"/>
      <c r="G394" s="416"/>
      <c r="H394" s="12" t="str">
        <f>IF(A394="","",VLOOKUP(A394,AA_Equipos,7,FALSE))</f>
        <v/>
      </c>
      <c r="I394" s="712" t="str">
        <f>IF(A394="","",VLOOKUP(A394,AA_Equipos,8,FALSE))</f>
        <v/>
      </c>
      <c r="J394" s="416"/>
      <c r="K394" s="715"/>
      <c r="L394" s="416"/>
      <c r="M394" s="712" t="str">
        <f t="shared" si="45"/>
        <v/>
      </c>
      <c r="N394" s="416"/>
    </row>
    <row r="395" spans="1:14" ht="12.75" customHeight="1" x14ac:dyDescent="0.2">
      <c r="A395" s="714"/>
      <c r="B395" s="418"/>
      <c r="C395" s="418"/>
      <c r="D395" s="418"/>
      <c r="E395" s="418"/>
      <c r="F395" s="418"/>
      <c r="G395" s="416"/>
      <c r="H395" s="12" t="str">
        <f>IF(A395="","",VLOOKUP(A395,AA_Equipos,7,FALSE))</f>
        <v/>
      </c>
      <c r="I395" s="712" t="str">
        <f>IF(A395="","",VLOOKUP(A395,AA_Equipos,8,FALSE))</f>
        <v/>
      </c>
      <c r="J395" s="416"/>
      <c r="K395" s="715"/>
      <c r="L395" s="416"/>
      <c r="M395" s="712" t="str">
        <f t="shared" si="45"/>
        <v/>
      </c>
      <c r="N395" s="416"/>
    </row>
    <row r="396" spans="1:14" ht="12.75" customHeight="1" x14ac:dyDescent="0.2">
      <c r="A396" s="714"/>
      <c r="B396" s="418"/>
      <c r="C396" s="418"/>
      <c r="D396" s="418"/>
      <c r="E396" s="418"/>
      <c r="F396" s="418"/>
      <c r="G396" s="416"/>
      <c r="H396" s="12" t="str">
        <f>IF(A396="","",VLOOKUP(A396,AA_Equipos,7,FALSE))</f>
        <v/>
      </c>
      <c r="I396" s="712" t="str">
        <f>IF(A396="","",VLOOKUP(A396,AA_Equipos,8,FALSE))</f>
        <v/>
      </c>
      <c r="J396" s="416"/>
      <c r="K396" s="715"/>
      <c r="L396" s="416"/>
      <c r="M396" s="712" t="str">
        <f t="shared" si="45"/>
        <v/>
      </c>
      <c r="N396" s="416"/>
    </row>
    <row r="397" spans="1:14" ht="12.75" customHeight="1" x14ac:dyDescent="0.25">
      <c r="A397" s="5"/>
      <c r="B397" s="5"/>
      <c r="C397" s="5"/>
      <c r="D397" s="5"/>
      <c r="E397" s="5"/>
      <c r="F397" s="5"/>
      <c r="G397" s="5"/>
      <c r="H397" s="5"/>
      <c r="I397" s="5"/>
      <c r="J397" s="5"/>
      <c r="K397" s="713" t="s">
        <v>261</v>
      </c>
      <c r="L397" s="416"/>
      <c r="M397" s="712">
        <f>SUM(M392:N396)</f>
        <v>54.269536260000002</v>
      </c>
      <c r="N397" s="416"/>
    </row>
    <row r="398" spans="1:14" ht="12.75" customHeight="1" x14ac:dyDescent="0.25">
      <c r="A398" s="5"/>
      <c r="B398" s="5"/>
      <c r="C398" s="5"/>
      <c r="D398" s="5"/>
      <c r="E398" s="5"/>
      <c r="F398" s="5"/>
      <c r="G398" s="5"/>
      <c r="H398" s="5"/>
      <c r="I398" s="5"/>
      <c r="J398" s="5"/>
      <c r="K398" s="5"/>
      <c r="L398" s="5"/>
      <c r="M398" s="5"/>
      <c r="N398" s="5"/>
    </row>
    <row r="399" spans="1:14" ht="12.75" customHeight="1" x14ac:dyDescent="0.2">
      <c r="A399" s="716" t="s">
        <v>413</v>
      </c>
      <c r="B399" s="418"/>
      <c r="C399" s="418"/>
      <c r="D399" s="418"/>
      <c r="E399" s="418"/>
      <c r="F399" s="418"/>
      <c r="G399" s="418"/>
      <c r="H399" s="418"/>
      <c r="I399" s="418"/>
      <c r="J399" s="418"/>
      <c r="K399" s="418"/>
      <c r="L399" s="418"/>
      <c r="M399" s="418"/>
      <c r="N399" s="416"/>
    </row>
    <row r="400" spans="1:14" ht="12.75" customHeight="1" x14ac:dyDescent="0.2">
      <c r="A400" s="713" t="s">
        <v>39</v>
      </c>
      <c r="B400" s="418"/>
      <c r="C400" s="418"/>
      <c r="D400" s="418"/>
      <c r="E400" s="418"/>
      <c r="F400" s="418"/>
      <c r="G400" s="416"/>
      <c r="H400" s="61" t="s">
        <v>40</v>
      </c>
      <c r="I400" s="717" t="s">
        <v>404</v>
      </c>
      <c r="J400" s="416"/>
      <c r="K400" s="717" t="s">
        <v>184</v>
      </c>
      <c r="L400" s="416"/>
      <c r="M400" s="717" t="s">
        <v>405</v>
      </c>
      <c r="N400" s="416"/>
    </row>
    <row r="401" spans="1:14" ht="12.75" customHeight="1" x14ac:dyDescent="0.2">
      <c r="A401" s="714" t="s">
        <v>443</v>
      </c>
      <c r="B401" s="418"/>
      <c r="C401" s="418"/>
      <c r="D401" s="418"/>
      <c r="E401" s="418"/>
      <c r="F401" s="418"/>
      <c r="G401" s="416"/>
      <c r="H401" s="12" t="s">
        <v>448</v>
      </c>
      <c r="I401" s="712">
        <f>+M388</f>
        <v>5014.0650000000005</v>
      </c>
      <c r="J401" s="416"/>
      <c r="K401" s="722">
        <v>0.05</v>
      </c>
      <c r="L401" s="416"/>
      <c r="M401" s="712">
        <f t="shared" ref="M401:M405" si="46">IF(A401="","",I401*K401)</f>
        <v>250.70325000000003</v>
      </c>
      <c r="N401" s="416"/>
    </row>
    <row r="402" spans="1:14" ht="12.75" customHeight="1" x14ac:dyDescent="0.2">
      <c r="A402" s="719"/>
      <c r="B402" s="418"/>
      <c r="C402" s="418"/>
      <c r="D402" s="418"/>
      <c r="E402" s="418"/>
      <c r="F402" s="418"/>
      <c r="G402" s="416"/>
      <c r="H402" s="12"/>
      <c r="I402" s="712"/>
      <c r="J402" s="416"/>
      <c r="K402" s="723"/>
      <c r="L402" s="416"/>
      <c r="M402" s="712" t="str">
        <f t="shared" si="46"/>
        <v/>
      </c>
      <c r="N402" s="416"/>
    </row>
    <row r="403" spans="1:14" ht="12.75" customHeight="1" x14ac:dyDescent="0.2">
      <c r="A403" s="714"/>
      <c r="B403" s="418"/>
      <c r="C403" s="418"/>
      <c r="D403" s="418"/>
      <c r="E403" s="418"/>
      <c r="F403" s="418"/>
      <c r="G403" s="416"/>
      <c r="H403" s="12"/>
      <c r="I403" s="712"/>
      <c r="J403" s="416"/>
      <c r="K403" s="715"/>
      <c r="L403" s="416"/>
      <c r="M403" s="712" t="str">
        <f t="shared" si="46"/>
        <v/>
      </c>
      <c r="N403" s="416"/>
    </row>
    <row r="404" spans="1:14" ht="12.75" customHeight="1" x14ac:dyDescent="0.2">
      <c r="A404" s="714"/>
      <c r="B404" s="418"/>
      <c r="C404" s="418"/>
      <c r="D404" s="418"/>
      <c r="E404" s="418"/>
      <c r="F404" s="418"/>
      <c r="G404" s="416"/>
      <c r="H404" s="12"/>
      <c r="I404" s="712"/>
      <c r="J404" s="416"/>
      <c r="K404" s="715"/>
      <c r="L404" s="416"/>
      <c r="M404" s="712" t="str">
        <f t="shared" si="46"/>
        <v/>
      </c>
      <c r="N404" s="416"/>
    </row>
    <row r="405" spans="1:14" ht="12.75" customHeight="1" x14ac:dyDescent="0.2">
      <c r="A405" s="714"/>
      <c r="B405" s="418"/>
      <c r="C405" s="418"/>
      <c r="D405" s="418"/>
      <c r="E405" s="418"/>
      <c r="F405" s="418"/>
      <c r="G405" s="416"/>
      <c r="H405" s="12"/>
      <c r="I405" s="712"/>
      <c r="J405" s="416"/>
      <c r="K405" s="715"/>
      <c r="L405" s="416"/>
      <c r="M405" s="712" t="str">
        <f t="shared" si="46"/>
        <v/>
      </c>
      <c r="N405" s="416"/>
    </row>
    <row r="406" spans="1:14" ht="12.75" customHeight="1" x14ac:dyDescent="0.25">
      <c r="A406" s="5"/>
      <c r="B406" s="5"/>
      <c r="C406" s="5"/>
      <c r="D406" s="5"/>
      <c r="E406" s="5"/>
      <c r="F406" s="5"/>
      <c r="G406" s="5"/>
      <c r="H406" s="5"/>
      <c r="I406" s="5"/>
      <c r="J406" s="5"/>
      <c r="K406" s="713" t="s">
        <v>261</v>
      </c>
      <c r="L406" s="416"/>
      <c r="M406" s="712">
        <f>SUM(M401:N405)</f>
        <v>250.70325000000003</v>
      </c>
      <c r="N406" s="416"/>
    </row>
    <row r="407" spans="1:14" ht="12.75" customHeight="1" x14ac:dyDescent="0.25">
      <c r="A407" s="5"/>
      <c r="B407" s="5"/>
      <c r="C407" s="5"/>
      <c r="D407" s="5"/>
      <c r="E407" s="5"/>
      <c r="F407" s="5"/>
      <c r="G407" s="5"/>
      <c r="H407" s="5"/>
      <c r="I407" s="5"/>
      <c r="J407" s="5"/>
      <c r="K407" s="5"/>
      <c r="L407" s="5"/>
      <c r="M407" s="5"/>
      <c r="N407" s="5"/>
    </row>
    <row r="408" spans="1:14" ht="12.75" customHeight="1" x14ac:dyDescent="0.2">
      <c r="A408" s="716" t="s">
        <v>415</v>
      </c>
      <c r="B408" s="418"/>
      <c r="C408" s="418"/>
      <c r="D408" s="418"/>
      <c r="E408" s="418"/>
      <c r="F408" s="418"/>
      <c r="G408" s="418"/>
      <c r="H408" s="418"/>
      <c r="I408" s="418"/>
      <c r="J408" s="418"/>
      <c r="K408" s="418"/>
      <c r="L408" s="418"/>
      <c r="M408" s="418"/>
      <c r="N408" s="416"/>
    </row>
    <row r="409" spans="1:14" ht="12.75" customHeight="1" x14ac:dyDescent="0.2">
      <c r="A409" s="713" t="s">
        <v>39</v>
      </c>
      <c r="B409" s="418"/>
      <c r="C409" s="418"/>
      <c r="D409" s="418"/>
      <c r="E409" s="418"/>
      <c r="F409" s="418"/>
      <c r="G409" s="416"/>
      <c r="H409" s="61" t="s">
        <v>40</v>
      </c>
      <c r="I409" s="717" t="s">
        <v>404</v>
      </c>
      <c r="J409" s="416"/>
      <c r="K409" s="64" t="s">
        <v>253</v>
      </c>
      <c r="L409" s="65" t="s">
        <v>416</v>
      </c>
      <c r="M409" s="717" t="s">
        <v>405</v>
      </c>
      <c r="N409" s="416"/>
    </row>
    <row r="410" spans="1:14" ht="12.75" customHeight="1" x14ac:dyDescent="0.25">
      <c r="A410" s="711" t="s">
        <v>449</v>
      </c>
      <c r="B410" s="418"/>
      <c r="C410" s="418"/>
      <c r="D410" s="418"/>
      <c r="E410" s="418"/>
      <c r="F410" s="418"/>
      <c r="G410" s="416"/>
      <c r="H410" s="12" t="str">
        <f>IF(A410="","",VLOOKUP(A410,AA_Cuadrillas,4,FALSE))</f>
        <v>Cuadrilla</v>
      </c>
      <c r="I410" s="712">
        <f>IF(A410="","",VLOOKUP(A410,AA_Cuadrillas,5,FALSE))</f>
        <v>239290</v>
      </c>
      <c r="J410" s="416"/>
      <c r="K410" s="3">
        <f>IF(A410="","",'04'!$I$2)</f>
        <v>1.88995</v>
      </c>
      <c r="L410" s="66">
        <f>1/250</f>
        <v>4.0000000000000001E-3</v>
      </c>
      <c r="M410" s="712">
        <f t="shared" ref="M410:M414" si="47">IF(A410="","",I410*K410*L410)</f>
        <v>1808.9845420000001</v>
      </c>
      <c r="N410" s="416"/>
    </row>
    <row r="411" spans="1:14" ht="12.75" customHeight="1" x14ac:dyDescent="0.25">
      <c r="A411" s="711"/>
      <c r="B411" s="418"/>
      <c r="C411" s="418"/>
      <c r="D411" s="418"/>
      <c r="E411" s="418"/>
      <c r="F411" s="418"/>
      <c r="G411" s="416"/>
      <c r="H411" s="12" t="str">
        <f>IF(A411="","",VLOOKUP(A411,AA_Cuadrillas,4,FALSE))</f>
        <v/>
      </c>
      <c r="I411" s="712" t="str">
        <f>IF(A411="","",VLOOKUP(A411,AA_Cuadrillas,5,FALSE))</f>
        <v/>
      </c>
      <c r="J411" s="416"/>
      <c r="K411" s="3" t="str">
        <f>IF(A411="","",'04'!$I$2)</f>
        <v/>
      </c>
      <c r="L411" s="3"/>
      <c r="M411" s="712" t="str">
        <f t="shared" si="47"/>
        <v/>
      </c>
      <c r="N411" s="416"/>
    </row>
    <row r="412" spans="1:14" ht="12.75" customHeight="1" x14ac:dyDescent="0.25">
      <c r="A412" s="711"/>
      <c r="B412" s="418"/>
      <c r="C412" s="418"/>
      <c r="D412" s="418"/>
      <c r="E412" s="418"/>
      <c r="F412" s="418"/>
      <c r="G412" s="416"/>
      <c r="H412" s="12" t="str">
        <f>IF(A412="","",VLOOKUP(A412,AA_Cuadrillas,4,FALSE))</f>
        <v/>
      </c>
      <c r="I412" s="712" t="str">
        <f>IF(A412="","",VLOOKUP(A412,AA_Cuadrillas,5,FALSE))</f>
        <v/>
      </c>
      <c r="J412" s="416"/>
      <c r="K412" s="3" t="str">
        <f>IF(A412="","",'04'!$I$2)</f>
        <v/>
      </c>
      <c r="L412" s="13"/>
      <c r="M412" s="712" t="str">
        <f t="shared" si="47"/>
        <v/>
      </c>
      <c r="N412" s="416"/>
    </row>
    <row r="413" spans="1:14" ht="12.75" customHeight="1" x14ac:dyDescent="0.25">
      <c r="A413" s="711"/>
      <c r="B413" s="418"/>
      <c r="C413" s="418"/>
      <c r="D413" s="418"/>
      <c r="E413" s="418"/>
      <c r="F413" s="418"/>
      <c r="G413" s="416"/>
      <c r="H413" s="12" t="str">
        <f>IF(A413="","",VLOOKUP(A413,AA_Cuadrillas,4,FALSE))</f>
        <v/>
      </c>
      <c r="I413" s="712" t="str">
        <f>IF(A413="","",VLOOKUP(A413,AA_Cuadrillas,5,FALSE))</f>
        <v/>
      </c>
      <c r="J413" s="416"/>
      <c r="K413" s="3" t="str">
        <f>IF(A413="","",'04'!$I$2)</f>
        <v/>
      </c>
      <c r="L413" s="13"/>
      <c r="M413" s="712" t="str">
        <f t="shared" si="47"/>
        <v/>
      </c>
      <c r="N413" s="416"/>
    </row>
    <row r="414" spans="1:14" ht="12.75" customHeight="1" x14ac:dyDescent="0.25">
      <c r="A414" s="711"/>
      <c r="B414" s="418"/>
      <c r="C414" s="418"/>
      <c r="D414" s="418"/>
      <c r="E414" s="418"/>
      <c r="F414" s="418"/>
      <c r="G414" s="416"/>
      <c r="H414" s="12" t="str">
        <f>IF(A414="","",VLOOKUP(A414,AA_Cuadrillas,4,FALSE))</f>
        <v/>
      </c>
      <c r="I414" s="712" t="str">
        <f>IF(A414="","",VLOOKUP(A414,AA_Cuadrillas,5,FALSE))</f>
        <v/>
      </c>
      <c r="J414" s="416"/>
      <c r="K414" s="3" t="str">
        <f>IF(A414="","",'04'!$I$2)</f>
        <v/>
      </c>
      <c r="L414" s="13"/>
      <c r="M414" s="712" t="str">
        <f t="shared" si="47"/>
        <v/>
      </c>
      <c r="N414" s="416"/>
    </row>
    <row r="415" spans="1:14" ht="12.75" customHeight="1" x14ac:dyDescent="0.25">
      <c r="A415" s="5"/>
      <c r="B415" s="5"/>
      <c r="C415" s="5"/>
      <c r="D415" s="5"/>
      <c r="E415" s="5"/>
      <c r="F415" s="5"/>
      <c r="G415" s="5"/>
      <c r="H415" s="5"/>
      <c r="I415" s="5"/>
      <c r="J415" s="5"/>
      <c r="K415" s="713" t="s">
        <v>261</v>
      </c>
      <c r="L415" s="416"/>
      <c r="M415" s="712">
        <f>SUM(M410:N414)</f>
        <v>1808.9845420000001</v>
      </c>
      <c r="N415" s="416"/>
    </row>
    <row r="416" spans="1:14" ht="12.75" customHeight="1" x14ac:dyDescent="0.2"/>
    <row r="417" spans="1:16" ht="12.75" customHeight="1" x14ac:dyDescent="0.2">
      <c r="A417" s="785" t="s">
        <v>148</v>
      </c>
      <c r="B417" s="410"/>
      <c r="C417" s="410"/>
      <c r="D417" s="410"/>
      <c r="E417" s="410"/>
      <c r="F417" s="410"/>
      <c r="G417" s="410"/>
      <c r="H417" s="410"/>
      <c r="I417" s="410"/>
      <c r="J417" s="410"/>
      <c r="K417" s="410"/>
      <c r="L417" s="410"/>
      <c r="M417" s="410"/>
      <c r="N417" s="411"/>
      <c r="O417" s="272"/>
      <c r="P417" s="9"/>
    </row>
    <row r="418" spans="1:16" ht="12.75" customHeight="1" x14ac:dyDescent="0.2">
      <c r="A418" s="412"/>
      <c r="B418" s="413"/>
      <c r="C418" s="413"/>
      <c r="D418" s="413"/>
      <c r="E418" s="413"/>
      <c r="F418" s="413"/>
      <c r="G418" s="413"/>
      <c r="H418" s="413"/>
      <c r="I418" s="413"/>
      <c r="J418" s="413"/>
      <c r="K418" s="413"/>
      <c r="L418" s="413"/>
      <c r="M418" s="413"/>
      <c r="N418" s="414"/>
      <c r="O418" s="272"/>
      <c r="P418" s="9"/>
    </row>
    <row r="419" spans="1:16" ht="12.75" customHeight="1" x14ac:dyDescent="0.2">
      <c r="A419" s="49"/>
      <c r="B419" s="49"/>
      <c r="C419" s="49"/>
      <c r="D419" s="49"/>
      <c r="E419" s="49"/>
      <c r="F419" s="49"/>
      <c r="G419" s="49"/>
      <c r="H419" s="49"/>
      <c r="I419" s="49"/>
      <c r="J419" s="49"/>
      <c r="K419" s="49"/>
      <c r="L419" s="49"/>
      <c r="M419" s="49"/>
      <c r="N419" s="49"/>
    </row>
    <row r="420" spans="1:16" ht="12.75" customHeight="1" thickBot="1" x14ac:dyDescent="0.35">
      <c r="A420" s="51" t="str">
        <f>VLOOKUP(A417,'10'!$B$9:$N$100,13,FALSE)</f>
        <v>G044</v>
      </c>
      <c r="B420" s="52" t="str">
        <f>A417</f>
        <v>CERRAMIENTO EN MALLA ESLABONADA APOYADA EN TUBERIA GALVANIZADA Ø2 1/2" (INCLUYE POSTES, SOLDADURA, ÁNGULOS, PINTURA, MATERIALES, HERRAMIENTA MENOR, Y MANO DE OBRA)</v>
      </c>
      <c r="C420" s="53" t="s">
        <v>400</v>
      </c>
      <c r="D420" s="54" t="s">
        <v>450</v>
      </c>
      <c r="E420" s="55" t="s">
        <v>177</v>
      </c>
      <c r="F420" s="59">
        <f>H420+J420+L420+N420</f>
        <v>506647.56346058857</v>
      </c>
      <c r="G420" s="55" t="s">
        <v>349</v>
      </c>
      <c r="H420" s="59">
        <f>M447</f>
        <v>6783.6920325000001</v>
      </c>
      <c r="I420" s="55" t="s">
        <v>402</v>
      </c>
      <c r="J420" s="70">
        <f>M438</f>
        <v>346524.61540615582</v>
      </c>
      <c r="K420" s="55" t="s">
        <v>351</v>
      </c>
      <c r="L420" s="59">
        <f>M456</f>
        <v>17665.415371932791</v>
      </c>
      <c r="M420" s="55" t="s">
        <v>352</v>
      </c>
      <c r="N420" s="59">
        <f>M465</f>
        <v>135673.84065</v>
      </c>
    </row>
    <row r="421" spans="1:16" ht="12.75" customHeight="1" thickBot="1" x14ac:dyDescent="0.3">
      <c r="A421" s="60"/>
      <c r="B421" s="60"/>
      <c r="C421" s="60"/>
      <c r="D421" s="60"/>
      <c r="E421" s="60"/>
      <c r="F421" s="60"/>
      <c r="G421" s="60"/>
      <c r="J421" s="60"/>
      <c r="K421" s="60"/>
      <c r="L421" s="327" t="s">
        <v>1934</v>
      </c>
      <c r="M421" s="328">
        <f>+F420*'01'!$O$16</f>
        <v>655749.37297835504</v>
      </c>
      <c r="N421" s="60"/>
    </row>
    <row r="422" spans="1:16" ht="12.75" customHeight="1" x14ac:dyDescent="0.2">
      <c r="A422" s="716" t="s">
        <v>403</v>
      </c>
      <c r="B422" s="418"/>
      <c r="C422" s="418"/>
      <c r="D422" s="418"/>
      <c r="E422" s="418"/>
      <c r="F422" s="418"/>
      <c r="G422" s="418"/>
      <c r="H422" s="418"/>
      <c r="I422" s="418"/>
      <c r="J422" s="418"/>
      <c r="K422" s="418"/>
      <c r="L422" s="418"/>
      <c r="M422" s="418"/>
      <c r="N422" s="416"/>
    </row>
    <row r="423" spans="1:16" ht="12.75" customHeight="1" x14ac:dyDescent="0.2">
      <c r="A423" s="713" t="s">
        <v>39</v>
      </c>
      <c r="B423" s="418"/>
      <c r="C423" s="418"/>
      <c r="D423" s="418"/>
      <c r="E423" s="418"/>
      <c r="F423" s="418"/>
      <c r="G423" s="416"/>
      <c r="H423" s="61" t="s">
        <v>40</v>
      </c>
      <c r="I423" s="717" t="s">
        <v>404</v>
      </c>
      <c r="J423" s="416"/>
      <c r="K423" s="717" t="s">
        <v>184</v>
      </c>
      <c r="L423" s="416"/>
      <c r="M423" s="717" t="s">
        <v>405</v>
      </c>
      <c r="N423" s="416"/>
    </row>
    <row r="424" spans="1:16" ht="12.75" customHeight="1" x14ac:dyDescent="0.2">
      <c r="A424" s="714" t="s">
        <v>451</v>
      </c>
      <c r="B424" s="418"/>
      <c r="C424" s="418"/>
      <c r="D424" s="418"/>
      <c r="E424" s="418"/>
      <c r="F424" s="418"/>
      <c r="G424" s="416"/>
      <c r="H424" s="12" t="str">
        <f t="shared" ref="H424:H437" si="48">IF(A424="","",VLOOKUP(A424,AA_Materiales,7,FALSE))</f>
        <v>m3</v>
      </c>
      <c r="I424" s="712">
        <f t="shared" ref="I424:I437" si="49">IF(A424="","",VLOOKUP(A424,AA_Materiales,8,FALSE))</f>
        <v>642178.26956777973</v>
      </c>
      <c r="J424" s="416"/>
      <c r="K424" s="715">
        <v>0.14000000000000001</v>
      </c>
      <c r="L424" s="416"/>
      <c r="M424" s="712">
        <f t="shared" ref="M424:M437" si="50">IF(A424="","",I424*K424)</f>
        <v>89904.957739489168</v>
      </c>
      <c r="N424" s="416"/>
    </row>
    <row r="425" spans="1:16" ht="12.75" customHeight="1" x14ac:dyDescent="0.2">
      <c r="A425" s="714" t="s">
        <v>440</v>
      </c>
      <c r="B425" s="418"/>
      <c r="C425" s="418"/>
      <c r="D425" s="418"/>
      <c r="E425" s="418"/>
      <c r="F425" s="418"/>
      <c r="G425" s="416"/>
      <c r="H425" s="12" t="str">
        <f t="shared" si="48"/>
        <v>m2</v>
      </c>
      <c r="I425" s="712">
        <v>12250</v>
      </c>
      <c r="J425" s="416"/>
      <c r="K425" s="715">
        <v>0.84</v>
      </c>
      <c r="L425" s="416"/>
      <c r="M425" s="712">
        <f t="shared" si="50"/>
        <v>10290</v>
      </c>
      <c r="N425" s="416"/>
    </row>
    <row r="426" spans="1:16" ht="12.75" customHeight="1" x14ac:dyDescent="0.2">
      <c r="A426" s="714" t="s">
        <v>452</v>
      </c>
      <c r="B426" s="418"/>
      <c r="C426" s="418"/>
      <c r="D426" s="418"/>
      <c r="E426" s="418"/>
      <c r="F426" s="418"/>
      <c r="G426" s="416"/>
      <c r="H426" s="12" t="str">
        <f t="shared" si="48"/>
        <v>m3</v>
      </c>
      <c r="I426" s="712">
        <f t="shared" si="49"/>
        <v>418293</v>
      </c>
      <c r="J426" s="416"/>
      <c r="K426" s="715">
        <v>0.12</v>
      </c>
      <c r="L426" s="416"/>
      <c r="M426" s="712">
        <f t="shared" si="50"/>
        <v>50195.159999999996</v>
      </c>
      <c r="N426" s="416"/>
    </row>
    <row r="427" spans="1:16" ht="12.75" customHeight="1" x14ac:dyDescent="0.2">
      <c r="A427" s="714" t="s">
        <v>453</v>
      </c>
      <c r="B427" s="418"/>
      <c r="C427" s="418"/>
      <c r="D427" s="418"/>
      <c r="E427" s="418"/>
      <c r="F427" s="418"/>
      <c r="G427" s="416"/>
      <c r="H427" s="12" t="str">
        <f t="shared" si="48"/>
        <v>m2</v>
      </c>
      <c r="I427" s="712">
        <f t="shared" si="49"/>
        <v>17433.5</v>
      </c>
      <c r="J427" s="416"/>
      <c r="K427" s="715">
        <v>1.4</v>
      </c>
      <c r="L427" s="416"/>
      <c r="M427" s="712">
        <f t="shared" si="50"/>
        <v>24406.899999999998</v>
      </c>
      <c r="N427" s="416"/>
    </row>
    <row r="428" spans="1:16" ht="12.75" customHeight="1" x14ac:dyDescent="0.2">
      <c r="A428" s="714" t="s">
        <v>454</v>
      </c>
      <c r="B428" s="418"/>
      <c r="C428" s="418"/>
      <c r="D428" s="418"/>
      <c r="E428" s="418"/>
      <c r="F428" s="418"/>
      <c r="G428" s="416"/>
      <c r="H428" s="12" t="str">
        <f t="shared" si="48"/>
        <v>ml</v>
      </c>
      <c r="I428" s="712">
        <f t="shared" si="49"/>
        <v>11433.333333333334</v>
      </c>
      <c r="J428" s="416"/>
      <c r="K428" s="715">
        <v>0.53</v>
      </c>
      <c r="L428" s="416"/>
      <c r="M428" s="712">
        <f t="shared" si="50"/>
        <v>6059.666666666667</v>
      </c>
      <c r="N428" s="416"/>
    </row>
    <row r="429" spans="1:16" ht="12.75" customHeight="1" x14ac:dyDescent="0.2">
      <c r="A429" s="714" t="s">
        <v>455</v>
      </c>
      <c r="B429" s="418"/>
      <c r="C429" s="418"/>
      <c r="D429" s="418"/>
      <c r="E429" s="418"/>
      <c r="F429" s="418"/>
      <c r="G429" s="416"/>
      <c r="H429" s="12" t="str">
        <f t="shared" si="48"/>
        <v>Unidad</v>
      </c>
      <c r="I429" s="712">
        <f t="shared" si="49"/>
        <v>33201</v>
      </c>
      <c r="J429" s="416"/>
      <c r="K429" s="715">
        <v>0.03</v>
      </c>
      <c r="L429" s="416"/>
      <c r="M429" s="712">
        <f t="shared" si="50"/>
        <v>996.03</v>
      </c>
      <c r="N429" s="416"/>
    </row>
    <row r="430" spans="1:16" ht="12.75" customHeight="1" x14ac:dyDescent="0.2">
      <c r="A430" s="714" t="s">
        <v>456</v>
      </c>
      <c r="B430" s="418"/>
      <c r="C430" s="418"/>
      <c r="D430" s="418"/>
      <c r="E430" s="418"/>
      <c r="F430" s="418"/>
      <c r="G430" s="416"/>
      <c r="H430" s="12" t="str">
        <f t="shared" si="48"/>
        <v>ml</v>
      </c>
      <c r="I430" s="712">
        <f t="shared" si="49"/>
        <v>775.64200000000005</v>
      </c>
      <c r="J430" s="416"/>
      <c r="K430" s="715">
        <v>3</v>
      </c>
      <c r="L430" s="416"/>
      <c r="M430" s="712">
        <f t="shared" si="50"/>
        <v>2326.9260000000004</v>
      </c>
      <c r="N430" s="416"/>
    </row>
    <row r="431" spans="1:16" ht="12.75" customHeight="1" x14ac:dyDescent="0.2">
      <c r="A431" s="714" t="s">
        <v>457</v>
      </c>
      <c r="B431" s="418"/>
      <c r="C431" s="418"/>
      <c r="D431" s="418"/>
      <c r="E431" s="418"/>
      <c r="F431" s="418"/>
      <c r="G431" s="416"/>
      <c r="H431" s="12" t="str">
        <f t="shared" si="48"/>
        <v>Kg</v>
      </c>
      <c r="I431" s="712">
        <f t="shared" si="49"/>
        <v>33201</v>
      </c>
      <c r="J431" s="416"/>
      <c r="K431" s="715">
        <v>0.5</v>
      </c>
      <c r="L431" s="416"/>
      <c r="M431" s="712">
        <f t="shared" si="50"/>
        <v>16600.5</v>
      </c>
      <c r="N431" s="416"/>
    </row>
    <row r="432" spans="1:16" ht="12.75" customHeight="1" x14ac:dyDescent="0.2">
      <c r="A432" s="714" t="s">
        <v>458</v>
      </c>
      <c r="B432" s="418"/>
      <c r="C432" s="418"/>
      <c r="D432" s="418"/>
      <c r="E432" s="418"/>
      <c r="F432" s="418"/>
      <c r="G432" s="416"/>
      <c r="H432" s="12" t="str">
        <f t="shared" si="48"/>
        <v>ml</v>
      </c>
      <c r="I432" s="712">
        <f t="shared" si="49"/>
        <v>39448.5</v>
      </c>
      <c r="J432" s="416"/>
      <c r="K432" s="715">
        <v>0.27</v>
      </c>
      <c r="L432" s="416"/>
      <c r="M432" s="712">
        <f t="shared" si="50"/>
        <v>10651.095000000001</v>
      </c>
      <c r="N432" s="416"/>
    </row>
    <row r="433" spans="1:14" ht="12.75" customHeight="1" x14ac:dyDescent="0.2">
      <c r="A433" s="714" t="s">
        <v>459</v>
      </c>
      <c r="B433" s="418"/>
      <c r="C433" s="418"/>
      <c r="D433" s="418"/>
      <c r="E433" s="418"/>
      <c r="F433" s="418"/>
      <c r="G433" s="416"/>
      <c r="H433" s="12" t="str">
        <f t="shared" si="48"/>
        <v>Galón</v>
      </c>
      <c r="I433" s="712">
        <f t="shared" si="49"/>
        <v>78421</v>
      </c>
      <c r="J433" s="416"/>
      <c r="K433" s="715">
        <v>0.03</v>
      </c>
      <c r="L433" s="416"/>
      <c r="M433" s="712">
        <f t="shared" si="50"/>
        <v>2352.63</v>
      </c>
      <c r="N433" s="416"/>
    </row>
    <row r="434" spans="1:14" ht="12.75" customHeight="1" x14ac:dyDescent="0.2">
      <c r="A434" s="714" t="s">
        <v>446</v>
      </c>
      <c r="B434" s="418"/>
      <c r="C434" s="418"/>
      <c r="D434" s="418"/>
      <c r="E434" s="418"/>
      <c r="F434" s="418"/>
      <c r="G434" s="416"/>
      <c r="H434" s="12" t="str">
        <f t="shared" si="48"/>
        <v>Kg</v>
      </c>
      <c r="I434" s="712">
        <f t="shared" si="49"/>
        <v>4224.5</v>
      </c>
      <c r="J434" s="416"/>
      <c r="K434" s="715">
        <v>13.5</v>
      </c>
      <c r="L434" s="416"/>
      <c r="M434" s="712">
        <f t="shared" si="50"/>
        <v>57030.75</v>
      </c>
      <c r="N434" s="416"/>
    </row>
    <row r="435" spans="1:14" ht="12.75" customHeight="1" x14ac:dyDescent="0.2">
      <c r="A435" s="714" t="s">
        <v>460</v>
      </c>
      <c r="B435" s="418"/>
      <c r="C435" s="418"/>
      <c r="D435" s="418"/>
      <c r="E435" s="418"/>
      <c r="F435" s="418"/>
      <c r="G435" s="416"/>
      <c r="H435" s="12" t="str">
        <f t="shared" si="48"/>
        <v>Unidad</v>
      </c>
      <c r="I435" s="712">
        <f t="shared" si="49"/>
        <v>1547</v>
      </c>
      <c r="J435" s="416"/>
      <c r="K435" s="715">
        <v>40</v>
      </c>
      <c r="L435" s="416"/>
      <c r="M435" s="712">
        <f t="shared" si="50"/>
        <v>61880</v>
      </c>
      <c r="N435" s="416"/>
    </row>
    <row r="436" spans="1:14" ht="12.75" customHeight="1" x14ac:dyDescent="0.2">
      <c r="A436" s="714" t="s">
        <v>461</v>
      </c>
      <c r="B436" s="418"/>
      <c r="C436" s="418"/>
      <c r="D436" s="418"/>
      <c r="E436" s="418"/>
      <c r="F436" s="418"/>
      <c r="G436" s="416"/>
      <c r="H436" s="12" t="str">
        <f t="shared" si="48"/>
        <v>m3</v>
      </c>
      <c r="I436" s="712">
        <f t="shared" si="49"/>
        <v>461000</v>
      </c>
      <c r="J436" s="416"/>
      <c r="K436" s="715">
        <v>0.03</v>
      </c>
      <c r="L436" s="416"/>
      <c r="M436" s="712">
        <f t="shared" si="50"/>
        <v>13830</v>
      </c>
      <c r="N436" s="416"/>
    </row>
    <row r="437" spans="1:14" ht="12.75" customHeight="1" x14ac:dyDescent="0.2">
      <c r="A437" s="714"/>
      <c r="B437" s="418"/>
      <c r="C437" s="418"/>
      <c r="D437" s="418"/>
      <c r="E437" s="418"/>
      <c r="F437" s="418"/>
      <c r="G437" s="416"/>
      <c r="H437" s="12" t="str">
        <f t="shared" si="48"/>
        <v/>
      </c>
      <c r="I437" s="712" t="str">
        <f t="shared" si="49"/>
        <v/>
      </c>
      <c r="J437" s="416"/>
      <c r="K437" s="715"/>
      <c r="L437" s="416"/>
      <c r="M437" s="712" t="str">
        <f t="shared" si="50"/>
        <v/>
      </c>
      <c r="N437" s="416"/>
    </row>
    <row r="438" spans="1:14" ht="12.75" customHeight="1" x14ac:dyDescent="0.25">
      <c r="A438" s="5"/>
      <c r="B438" s="5"/>
      <c r="C438" s="5"/>
      <c r="D438" s="5"/>
      <c r="E438" s="5"/>
      <c r="F438" s="5"/>
      <c r="G438" s="5"/>
      <c r="H438" s="5"/>
      <c r="I438" s="5"/>
      <c r="J438" s="5"/>
      <c r="K438" s="713" t="s">
        <v>261</v>
      </c>
      <c r="L438" s="416"/>
      <c r="M438" s="712">
        <f>SUM(M424:N437)</f>
        <v>346524.61540615582</v>
      </c>
      <c r="N438" s="416"/>
    </row>
    <row r="439" spans="1:14" ht="12.75" customHeight="1" x14ac:dyDescent="0.25">
      <c r="A439" s="5"/>
      <c r="B439" s="5"/>
      <c r="C439" s="5"/>
      <c r="D439" s="5"/>
      <c r="E439" s="5"/>
      <c r="F439" s="5"/>
      <c r="G439" s="5"/>
      <c r="H439" s="5"/>
      <c r="I439" s="5"/>
      <c r="J439" s="5"/>
      <c r="K439" s="5"/>
      <c r="L439" s="5"/>
      <c r="M439" s="5"/>
      <c r="N439" s="5"/>
    </row>
    <row r="440" spans="1:14" ht="12.75" customHeight="1" x14ac:dyDescent="0.2">
      <c r="A440" s="716" t="s">
        <v>410</v>
      </c>
      <c r="B440" s="418"/>
      <c r="C440" s="418"/>
      <c r="D440" s="418"/>
      <c r="E440" s="418"/>
      <c r="F440" s="418"/>
      <c r="G440" s="418"/>
      <c r="H440" s="418"/>
      <c r="I440" s="418"/>
      <c r="J440" s="418"/>
      <c r="K440" s="418"/>
      <c r="L440" s="418"/>
      <c r="M440" s="418"/>
      <c r="N440" s="416"/>
    </row>
    <row r="441" spans="1:14" ht="12.75" customHeight="1" x14ac:dyDescent="0.2">
      <c r="A441" s="713" t="s">
        <v>39</v>
      </c>
      <c r="B441" s="418"/>
      <c r="C441" s="418"/>
      <c r="D441" s="418"/>
      <c r="E441" s="418"/>
      <c r="F441" s="418"/>
      <c r="G441" s="416"/>
      <c r="H441" s="61" t="s">
        <v>40</v>
      </c>
      <c r="I441" s="717" t="s">
        <v>404</v>
      </c>
      <c r="J441" s="416"/>
      <c r="K441" s="717" t="s">
        <v>184</v>
      </c>
      <c r="L441" s="416"/>
      <c r="M441" s="717" t="s">
        <v>405</v>
      </c>
      <c r="N441" s="416"/>
    </row>
    <row r="442" spans="1:14" ht="12.75" customHeight="1" x14ac:dyDescent="0.2">
      <c r="A442" s="714" t="s">
        <v>411</v>
      </c>
      <c r="B442" s="418"/>
      <c r="C442" s="418"/>
      <c r="D442" s="418"/>
      <c r="E442" s="418"/>
      <c r="F442" s="418"/>
      <c r="G442" s="416"/>
      <c r="H442" s="12" t="str">
        <f>IF(A442="","",VLOOKUP(A442,AA_Equipos,7,FALSE))</f>
        <v>% M.O.</v>
      </c>
      <c r="I442" s="712">
        <f>M465</f>
        <v>135673.84065</v>
      </c>
      <c r="J442" s="416"/>
      <c r="K442" s="722">
        <v>0.05</v>
      </c>
      <c r="L442" s="416"/>
      <c r="M442" s="712">
        <f t="shared" ref="M442:M446" si="51">IF(A442="","",I442*K442)</f>
        <v>6783.6920325000001</v>
      </c>
      <c r="N442" s="416"/>
    </row>
    <row r="443" spans="1:14" ht="12.75" customHeight="1" x14ac:dyDescent="0.2">
      <c r="A443" s="719"/>
      <c r="B443" s="418"/>
      <c r="C443" s="418"/>
      <c r="D443" s="418"/>
      <c r="E443" s="418"/>
      <c r="F443" s="418"/>
      <c r="G443" s="416"/>
      <c r="H443" s="12" t="str">
        <f>IF(A443="","",VLOOKUP(A443,AA_Equipos,7,FALSE))</f>
        <v/>
      </c>
      <c r="I443" s="712" t="str">
        <f>IF(A443="","",VLOOKUP(A443,AA_Equipos,8,FALSE))</f>
        <v/>
      </c>
      <c r="J443" s="416"/>
      <c r="K443" s="723"/>
      <c r="L443" s="416"/>
      <c r="M443" s="712" t="str">
        <f t="shared" si="51"/>
        <v/>
      </c>
      <c r="N443" s="416"/>
    </row>
    <row r="444" spans="1:14" ht="12.75" customHeight="1" x14ac:dyDescent="0.2">
      <c r="A444" s="714"/>
      <c r="B444" s="418"/>
      <c r="C444" s="418"/>
      <c r="D444" s="418"/>
      <c r="E444" s="418"/>
      <c r="F444" s="418"/>
      <c r="G444" s="416"/>
      <c r="H444" s="12" t="str">
        <f>IF(A444="","",VLOOKUP(A444,AA_Equipos,7,FALSE))</f>
        <v/>
      </c>
      <c r="I444" s="712" t="str">
        <f>IF(A444="","",VLOOKUP(A444,AA_Equipos,8,FALSE))</f>
        <v/>
      </c>
      <c r="J444" s="416"/>
      <c r="K444" s="715"/>
      <c r="L444" s="416"/>
      <c r="M444" s="712" t="str">
        <f t="shared" si="51"/>
        <v/>
      </c>
      <c r="N444" s="416"/>
    </row>
    <row r="445" spans="1:14" ht="12.75" customHeight="1" x14ac:dyDescent="0.2">
      <c r="A445" s="714"/>
      <c r="B445" s="418"/>
      <c r="C445" s="418"/>
      <c r="D445" s="418"/>
      <c r="E445" s="418"/>
      <c r="F445" s="418"/>
      <c r="G445" s="416"/>
      <c r="H445" s="12" t="str">
        <f>IF(A445="","",VLOOKUP(A445,AA_Equipos,7,FALSE))</f>
        <v/>
      </c>
      <c r="I445" s="712" t="str">
        <f>IF(A445="","",VLOOKUP(A445,AA_Equipos,8,FALSE))</f>
        <v/>
      </c>
      <c r="J445" s="416"/>
      <c r="K445" s="715"/>
      <c r="L445" s="416"/>
      <c r="M445" s="712" t="str">
        <f t="shared" si="51"/>
        <v/>
      </c>
      <c r="N445" s="416"/>
    </row>
    <row r="446" spans="1:14" ht="12.75" customHeight="1" x14ac:dyDescent="0.2">
      <c r="A446" s="714"/>
      <c r="B446" s="418"/>
      <c r="C446" s="418"/>
      <c r="D446" s="418"/>
      <c r="E446" s="418"/>
      <c r="F446" s="418"/>
      <c r="G446" s="416"/>
      <c r="H446" s="12" t="str">
        <f>IF(A446="","",VLOOKUP(A446,AA_Equipos,7,FALSE))</f>
        <v/>
      </c>
      <c r="I446" s="712" t="str">
        <f>IF(A446="","",VLOOKUP(A446,AA_Equipos,8,FALSE))</f>
        <v/>
      </c>
      <c r="J446" s="416"/>
      <c r="K446" s="715"/>
      <c r="L446" s="416"/>
      <c r="M446" s="712" t="str">
        <f t="shared" si="51"/>
        <v/>
      </c>
      <c r="N446" s="416"/>
    </row>
    <row r="447" spans="1:14" ht="12.75" customHeight="1" x14ac:dyDescent="0.25">
      <c r="A447" s="5"/>
      <c r="B447" s="5"/>
      <c r="C447" s="5"/>
      <c r="D447" s="5"/>
      <c r="E447" s="5"/>
      <c r="F447" s="5"/>
      <c r="G447" s="5"/>
      <c r="H447" s="5"/>
      <c r="I447" s="5"/>
      <c r="J447" s="5"/>
      <c r="K447" s="713" t="s">
        <v>261</v>
      </c>
      <c r="L447" s="416"/>
      <c r="M447" s="712">
        <f>SUM(M442:N446)</f>
        <v>6783.6920325000001</v>
      </c>
      <c r="N447" s="416"/>
    </row>
    <row r="448" spans="1:14" ht="12.75" customHeight="1" x14ac:dyDescent="0.25">
      <c r="A448" s="5"/>
      <c r="B448" s="5"/>
      <c r="C448" s="5"/>
      <c r="D448" s="5"/>
      <c r="E448" s="5"/>
      <c r="F448" s="5"/>
      <c r="G448" s="5"/>
      <c r="H448" s="5"/>
      <c r="I448" s="5"/>
      <c r="J448" s="5"/>
      <c r="K448" s="5"/>
      <c r="L448" s="5"/>
      <c r="M448" s="5"/>
      <c r="N448" s="5"/>
    </row>
    <row r="449" spans="1:14" ht="12.75" customHeight="1" x14ac:dyDescent="0.2">
      <c r="A449" s="716" t="s">
        <v>413</v>
      </c>
      <c r="B449" s="418"/>
      <c r="C449" s="418"/>
      <c r="D449" s="418"/>
      <c r="E449" s="418"/>
      <c r="F449" s="418"/>
      <c r="G449" s="418"/>
      <c r="H449" s="418"/>
      <c r="I449" s="418"/>
      <c r="J449" s="418"/>
      <c r="K449" s="418"/>
      <c r="L449" s="418"/>
      <c r="M449" s="418"/>
      <c r="N449" s="416"/>
    </row>
    <row r="450" spans="1:14" ht="12.75" customHeight="1" x14ac:dyDescent="0.2">
      <c r="A450" s="713" t="s">
        <v>39</v>
      </c>
      <c r="B450" s="418"/>
      <c r="C450" s="418"/>
      <c r="D450" s="418"/>
      <c r="E450" s="418"/>
      <c r="F450" s="418"/>
      <c r="G450" s="416"/>
      <c r="H450" s="61" t="s">
        <v>40</v>
      </c>
      <c r="I450" s="717" t="s">
        <v>404</v>
      </c>
      <c r="J450" s="416"/>
      <c r="K450" s="717" t="s">
        <v>184</v>
      </c>
      <c r="L450" s="416"/>
      <c r="M450" s="717" t="s">
        <v>405</v>
      </c>
      <c r="N450" s="416"/>
    </row>
    <row r="451" spans="1:14" ht="12.75" customHeight="1" x14ac:dyDescent="0.2">
      <c r="A451" s="714" t="s">
        <v>438</v>
      </c>
      <c r="B451" s="418"/>
      <c r="C451" s="418"/>
      <c r="D451" s="418"/>
      <c r="E451" s="418"/>
      <c r="F451" s="418"/>
      <c r="G451" s="416"/>
      <c r="H451" s="12" t="s">
        <v>426</v>
      </c>
      <c r="I451" s="712">
        <f>+M438</f>
        <v>346524.61540615582</v>
      </c>
      <c r="J451" s="416"/>
      <c r="K451" s="722">
        <v>0.05</v>
      </c>
      <c r="L451" s="416"/>
      <c r="M451" s="712">
        <f t="shared" ref="M451:M455" si="52">IF(A451="","",I451*K451)</f>
        <v>17326.230770307793</v>
      </c>
      <c r="N451" s="416"/>
    </row>
    <row r="452" spans="1:14" ht="12.75" customHeight="1" x14ac:dyDescent="0.2">
      <c r="A452" s="719" t="s">
        <v>462</v>
      </c>
      <c r="B452" s="418"/>
      <c r="C452" s="418"/>
      <c r="D452" s="418"/>
      <c r="E452" s="418"/>
      <c r="F452" s="418"/>
      <c r="G452" s="416"/>
      <c r="H452" s="12" t="s">
        <v>463</v>
      </c>
      <c r="I452" s="712">
        <f>+M447</f>
        <v>6783.6920325000001</v>
      </c>
      <c r="J452" s="416"/>
      <c r="K452" s="722">
        <v>0.05</v>
      </c>
      <c r="L452" s="416"/>
      <c r="M452" s="712">
        <f t="shared" si="52"/>
        <v>339.18460162500003</v>
      </c>
      <c r="N452" s="416"/>
    </row>
    <row r="453" spans="1:14" ht="12.75" customHeight="1" x14ac:dyDescent="0.2">
      <c r="A453" s="714"/>
      <c r="B453" s="418"/>
      <c r="C453" s="418"/>
      <c r="D453" s="418"/>
      <c r="E453" s="418"/>
      <c r="F453" s="418"/>
      <c r="G453" s="416"/>
      <c r="H453" s="12"/>
      <c r="I453" s="712"/>
      <c r="J453" s="416"/>
      <c r="K453" s="715"/>
      <c r="L453" s="416"/>
      <c r="M453" s="712" t="str">
        <f t="shared" si="52"/>
        <v/>
      </c>
      <c r="N453" s="416"/>
    </row>
    <row r="454" spans="1:14" ht="12.75" customHeight="1" x14ac:dyDescent="0.2">
      <c r="A454" s="714"/>
      <c r="B454" s="418"/>
      <c r="C454" s="418"/>
      <c r="D454" s="418"/>
      <c r="E454" s="418"/>
      <c r="F454" s="418"/>
      <c r="G454" s="416"/>
      <c r="H454" s="12"/>
      <c r="I454" s="712"/>
      <c r="J454" s="416"/>
      <c r="K454" s="715"/>
      <c r="L454" s="416"/>
      <c r="M454" s="712" t="str">
        <f t="shared" si="52"/>
        <v/>
      </c>
      <c r="N454" s="416"/>
    </row>
    <row r="455" spans="1:14" ht="12.75" customHeight="1" x14ac:dyDescent="0.2">
      <c r="A455" s="714"/>
      <c r="B455" s="418"/>
      <c r="C455" s="418"/>
      <c r="D455" s="418"/>
      <c r="E455" s="418"/>
      <c r="F455" s="418"/>
      <c r="G455" s="416"/>
      <c r="H455" s="12"/>
      <c r="I455" s="712"/>
      <c r="J455" s="416"/>
      <c r="K455" s="715"/>
      <c r="L455" s="416"/>
      <c r="M455" s="712" t="str">
        <f t="shared" si="52"/>
        <v/>
      </c>
      <c r="N455" s="416"/>
    </row>
    <row r="456" spans="1:14" ht="12.75" customHeight="1" x14ac:dyDescent="0.25">
      <c r="A456" s="5"/>
      <c r="B456" s="5"/>
      <c r="C456" s="5"/>
      <c r="D456" s="5"/>
      <c r="E456" s="5"/>
      <c r="F456" s="5"/>
      <c r="G456" s="5"/>
      <c r="H456" s="5"/>
      <c r="I456" s="5"/>
      <c r="J456" s="5"/>
      <c r="K456" s="713" t="s">
        <v>261</v>
      </c>
      <c r="L456" s="416"/>
      <c r="M456" s="712">
        <f>SUM(M451:N455)</f>
        <v>17665.415371932791</v>
      </c>
      <c r="N456" s="416"/>
    </row>
    <row r="457" spans="1:14" ht="12.75" customHeight="1" x14ac:dyDescent="0.25">
      <c r="A457" s="5"/>
      <c r="B457" s="5"/>
      <c r="C457" s="5"/>
      <c r="D457" s="5"/>
      <c r="E457" s="5"/>
      <c r="F457" s="5"/>
      <c r="G457" s="5"/>
      <c r="H457" s="5"/>
      <c r="I457" s="5"/>
      <c r="J457" s="5"/>
      <c r="K457" s="5"/>
      <c r="L457" s="5"/>
      <c r="M457" s="5"/>
      <c r="N457" s="5"/>
    </row>
    <row r="458" spans="1:14" ht="12.75" customHeight="1" x14ac:dyDescent="0.2">
      <c r="A458" s="716" t="s">
        <v>415</v>
      </c>
      <c r="B458" s="418"/>
      <c r="C458" s="418"/>
      <c r="D458" s="418"/>
      <c r="E458" s="418"/>
      <c r="F458" s="418"/>
      <c r="G458" s="418"/>
      <c r="H458" s="418"/>
      <c r="I458" s="418"/>
      <c r="J458" s="418"/>
      <c r="K458" s="418"/>
      <c r="L458" s="418"/>
      <c r="M458" s="418"/>
      <c r="N458" s="416"/>
    </row>
    <row r="459" spans="1:14" ht="12.75" customHeight="1" x14ac:dyDescent="0.2">
      <c r="A459" s="713" t="s">
        <v>39</v>
      </c>
      <c r="B459" s="418"/>
      <c r="C459" s="418"/>
      <c r="D459" s="418"/>
      <c r="E459" s="418"/>
      <c r="F459" s="418"/>
      <c r="G459" s="416"/>
      <c r="H459" s="61" t="s">
        <v>40</v>
      </c>
      <c r="I459" s="717" t="s">
        <v>404</v>
      </c>
      <c r="J459" s="416"/>
      <c r="K459" s="64" t="s">
        <v>253</v>
      </c>
      <c r="L459" s="65" t="s">
        <v>416</v>
      </c>
      <c r="M459" s="717" t="s">
        <v>405</v>
      </c>
      <c r="N459" s="416"/>
    </row>
    <row r="460" spans="1:14" ht="12.75" customHeight="1" x14ac:dyDescent="0.25">
      <c r="A460" s="711" t="s">
        <v>449</v>
      </c>
      <c r="B460" s="418"/>
      <c r="C460" s="418"/>
      <c r="D460" s="418"/>
      <c r="E460" s="418"/>
      <c r="F460" s="418"/>
      <c r="G460" s="416"/>
      <c r="H460" s="12" t="str">
        <f>IF(A460="","",VLOOKUP(A460,AA_Cuadrillas,4,FALSE))</f>
        <v>Cuadrilla</v>
      </c>
      <c r="I460" s="712">
        <f>IF(A460="","",VLOOKUP(A460,AA_Cuadrillas,5,FALSE))</f>
        <v>239290</v>
      </c>
      <c r="J460" s="416"/>
      <c r="K460" s="3">
        <f>IF(A460="","",'04'!$I$2)</f>
        <v>1.88995</v>
      </c>
      <c r="L460" s="66">
        <v>0.3</v>
      </c>
      <c r="M460" s="712">
        <f t="shared" ref="M460:M464" si="53">IF(A460="","",I460*K460*L460)</f>
        <v>135673.84065</v>
      </c>
      <c r="N460" s="416"/>
    </row>
    <row r="461" spans="1:14" ht="12.75" customHeight="1" x14ac:dyDescent="0.25">
      <c r="A461" s="711"/>
      <c r="B461" s="418"/>
      <c r="C461" s="418"/>
      <c r="D461" s="418"/>
      <c r="E461" s="418"/>
      <c r="F461" s="418"/>
      <c r="G461" s="416"/>
      <c r="H461" s="12" t="str">
        <f>IF(A461="","",VLOOKUP(A461,AA_Cuadrillas,4,FALSE))</f>
        <v/>
      </c>
      <c r="I461" s="712" t="str">
        <f>IF(A461="","",VLOOKUP(A461,AA_Cuadrillas,5,FALSE))</f>
        <v/>
      </c>
      <c r="J461" s="416"/>
      <c r="K461" s="3" t="str">
        <f>IF(A461="","",'04'!$I$2)</f>
        <v/>
      </c>
      <c r="L461" s="3"/>
      <c r="M461" s="712" t="str">
        <f t="shared" si="53"/>
        <v/>
      </c>
      <c r="N461" s="416"/>
    </row>
    <row r="462" spans="1:14" ht="12.75" customHeight="1" x14ac:dyDescent="0.25">
      <c r="A462" s="711"/>
      <c r="B462" s="418"/>
      <c r="C462" s="418"/>
      <c r="D462" s="418"/>
      <c r="E462" s="418"/>
      <c r="F462" s="418"/>
      <c r="G462" s="416"/>
      <c r="H462" s="12" t="str">
        <f>IF(A462="","",VLOOKUP(A462,AA_Cuadrillas,4,FALSE))</f>
        <v/>
      </c>
      <c r="I462" s="712" t="str">
        <f>IF(A462="","",VLOOKUP(A462,AA_Cuadrillas,5,FALSE))</f>
        <v/>
      </c>
      <c r="J462" s="416"/>
      <c r="K462" s="3" t="str">
        <f>IF(A462="","",'04'!$I$2)</f>
        <v/>
      </c>
      <c r="L462" s="13"/>
      <c r="M462" s="712" t="str">
        <f t="shared" si="53"/>
        <v/>
      </c>
      <c r="N462" s="416"/>
    </row>
    <row r="463" spans="1:14" ht="12.75" customHeight="1" x14ac:dyDescent="0.25">
      <c r="A463" s="711"/>
      <c r="B463" s="418"/>
      <c r="C463" s="418"/>
      <c r="D463" s="418"/>
      <c r="E463" s="418"/>
      <c r="F463" s="418"/>
      <c r="G463" s="416"/>
      <c r="H463" s="12" t="str">
        <f>IF(A463="","",VLOOKUP(A463,AA_Cuadrillas,4,FALSE))</f>
        <v/>
      </c>
      <c r="I463" s="712" t="str">
        <f>IF(A463="","",VLOOKUP(A463,AA_Cuadrillas,5,FALSE))</f>
        <v/>
      </c>
      <c r="J463" s="416"/>
      <c r="K463" s="3" t="str">
        <f>IF(A463="","",'04'!$I$2)</f>
        <v/>
      </c>
      <c r="L463" s="13"/>
      <c r="M463" s="712" t="str">
        <f t="shared" si="53"/>
        <v/>
      </c>
      <c r="N463" s="416"/>
    </row>
    <row r="464" spans="1:14" ht="12.75" customHeight="1" x14ac:dyDescent="0.25">
      <c r="A464" s="711"/>
      <c r="B464" s="418"/>
      <c r="C464" s="418"/>
      <c r="D464" s="418"/>
      <c r="E464" s="418"/>
      <c r="F464" s="418"/>
      <c r="G464" s="416"/>
      <c r="H464" s="12" t="str">
        <f>IF(A464="","",VLOOKUP(A464,AA_Cuadrillas,4,FALSE))</f>
        <v/>
      </c>
      <c r="I464" s="712" t="str">
        <f>IF(A464="","",VLOOKUP(A464,AA_Cuadrillas,5,FALSE))</f>
        <v/>
      </c>
      <c r="J464" s="416"/>
      <c r="K464" s="3" t="str">
        <f>IF(A464="","",'04'!$I$2)</f>
        <v/>
      </c>
      <c r="L464" s="13"/>
      <c r="M464" s="712" t="str">
        <f t="shared" si="53"/>
        <v/>
      </c>
      <c r="N464" s="416"/>
    </row>
    <row r="465" spans="1:16" ht="12.75" customHeight="1" x14ac:dyDescent="0.25">
      <c r="A465" s="5"/>
      <c r="B465" s="5"/>
      <c r="C465" s="5"/>
      <c r="D465" s="5"/>
      <c r="E465" s="5"/>
      <c r="F465" s="5"/>
      <c r="G465" s="5"/>
      <c r="H465" s="5"/>
      <c r="I465" s="5"/>
      <c r="J465" s="5"/>
      <c r="K465" s="713" t="s">
        <v>261</v>
      </c>
      <c r="L465" s="416"/>
      <c r="M465" s="712">
        <f>SUM(M460:N464)</f>
        <v>135673.84065</v>
      </c>
      <c r="N465" s="416"/>
    </row>
    <row r="466" spans="1:16" ht="12.75" customHeight="1" x14ac:dyDescent="0.2">
      <c r="A466" s="49"/>
      <c r="B466" s="49"/>
      <c r="C466" s="49"/>
      <c r="D466" s="49"/>
      <c r="E466" s="49"/>
      <c r="F466" s="49"/>
      <c r="G466" s="49"/>
      <c r="H466" s="49"/>
      <c r="I466" s="49"/>
      <c r="J466" s="49"/>
      <c r="K466" s="49"/>
      <c r="L466" s="49"/>
      <c r="M466" s="49"/>
      <c r="N466" s="49"/>
      <c r="O466" s="9"/>
      <c r="P466" s="9"/>
    </row>
    <row r="467" spans="1:16" ht="12.75" customHeight="1" x14ac:dyDescent="0.2">
      <c r="A467" s="785" t="s">
        <v>55</v>
      </c>
      <c r="B467" s="410"/>
      <c r="C467" s="410"/>
      <c r="D467" s="410"/>
      <c r="E467" s="410"/>
      <c r="F467" s="410"/>
      <c r="G467" s="410"/>
      <c r="H467" s="410"/>
      <c r="I467" s="410"/>
      <c r="J467" s="410"/>
      <c r="K467" s="410"/>
      <c r="L467" s="410"/>
      <c r="M467" s="410"/>
      <c r="N467" s="411"/>
      <c r="O467" s="272"/>
      <c r="P467" s="9"/>
    </row>
    <row r="468" spans="1:16" ht="12.75" customHeight="1" x14ac:dyDescent="0.2">
      <c r="A468" s="412"/>
      <c r="B468" s="413"/>
      <c r="C468" s="413"/>
      <c r="D468" s="413"/>
      <c r="E468" s="413"/>
      <c r="F468" s="413"/>
      <c r="G468" s="413"/>
      <c r="H468" s="413"/>
      <c r="I468" s="413"/>
      <c r="J468" s="413"/>
      <c r="K468" s="413"/>
      <c r="L468" s="413"/>
      <c r="M468" s="413"/>
      <c r="N468" s="414"/>
      <c r="O468" s="272"/>
      <c r="P468" s="9"/>
    </row>
    <row r="469" spans="1:16" ht="12.75" customHeight="1" x14ac:dyDescent="0.2">
      <c r="A469" s="49"/>
      <c r="B469" s="49"/>
      <c r="C469" s="49"/>
      <c r="D469" s="49"/>
      <c r="E469" s="49"/>
      <c r="F469" s="49"/>
      <c r="G469" s="49"/>
      <c r="H469" s="49"/>
      <c r="I469" s="49"/>
      <c r="J469" s="49"/>
      <c r="K469" s="49"/>
      <c r="L469" s="49"/>
      <c r="M469" s="49"/>
      <c r="N469" s="49"/>
    </row>
    <row r="470" spans="1:16" ht="12.75" customHeight="1" thickBot="1" x14ac:dyDescent="0.35">
      <c r="A470" s="51" t="str">
        <f>VLOOKUP(A467,'10'!$B$9:$N$100,13,FALSE)</f>
        <v>G004</v>
      </c>
      <c r="B470" s="52" t="str">
        <f>A467</f>
        <v>RELLENO TIPO II: CON RECEBO SELECCIONADO, COMPACTADO EN CAPAS DE 20 CM, PROCTOR MODIFICADO 95%, A TODO FACTOR (INCLUYE RECEBO, EQUIPOS, HERRAMIENTAS, TRANSPORTE Y MANO DE OBRA)</v>
      </c>
      <c r="C470" s="53" t="s">
        <v>400</v>
      </c>
      <c r="D470" s="54" t="s">
        <v>420</v>
      </c>
      <c r="E470" s="55" t="s">
        <v>177</v>
      </c>
      <c r="F470" s="59">
        <f>H470+J470+L470+N470</f>
        <v>139300.48782583541</v>
      </c>
      <c r="G470" s="55" t="s">
        <v>349</v>
      </c>
      <c r="H470" s="59">
        <f>M489</f>
        <v>4781.8151273333333</v>
      </c>
      <c r="I470" s="55" t="s">
        <v>402</v>
      </c>
      <c r="J470" s="59">
        <f>M480</f>
        <v>37187.5</v>
      </c>
      <c r="K470" s="55" t="s">
        <v>351</v>
      </c>
      <c r="L470" s="59">
        <f>M498</f>
        <v>88506.870151835421</v>
      </c>
      <c r="M470" s="55" t="s">
        <v>352</v>
      </c>
      <c r="N470" s="59">
        <f>M507</f>
        <v>8824.3025466666677</v>
      </c>
    </row>
    <row r="471" spans="1:16" ht="12.75" customHeight="1" thickBot="1" x14ac:dyDescent="0.3">
      <c r="A471" s="60"/>
      <c r="B471" s="60"/>
      <c r="C471" s="60"/>
      <c r="D471" s="60"/>
      <c r="E471" s="60"/>
      <c r="F471" s="60"/>
      <c r="G471" s="60"/>
      <c r="J471" s="60"/>
      <c r="K471" s="60"/>
      <c r="L471" s="327" t="s">
        <v>1934</v>
      </c>
      <c r="M471" s="328">
        <f>+F470*'01'!$O$16</f>
        <v>180295.36532938693</v>
      </c>
      <c r="N471" s="60"/>
    </row>
    <row r="472" spans="1:16" ht="12.75" customHeight="1" x14ac:dyDescent="0.2">
      <c r="A472" s="716" t="s">
        <v>403</v>
      </c>
      <c r="B472" s="418"/>
      <c r="C472" s="418"/>
      <c r="D472" s="418"/>
      <c r="E472" s="418"/>
      <c r="F472" s="418"/>
      <c r="G472" s="418"/>
      <c r="H472" s="418"/>
      <c r="I472" s="418"/>
      <c r="J472" s="418"/>
      <c r="K472" s="418"/>
      <c r="L472" s="418"/>
      <c r="M472" s="418"/>
      <c r="N472" s="416"/>
    </row>
    <row r="473" spans="1:16" ht="12.75" customHeight="1" x14ac:dyDescent="0.2">
      <c r="A473" s="713" t="s">
        <v>39</v>
      </c>
      <c r="B473" s="418"/>
      <c r="C473" s="418"/>
      <c r="D473" s="418"/>
      <c r="E473" s="418"/>
      <c r="F473" s="418"/>
      <c r="G473" s="416"/>
      <c r="H473" s="61" t="s">
        <v>40</v>
      </c>
      <c r="I473" s="717" t="s">
        <v>404</v>
      </c>
      <c r="J473" s="416"/>
      <c r="K473" s="717" t="s">
        <v>184</v>
      </c>
      <c r="L473" s="416"/>
      <c r="M473" s="717" t="s">
        <v>405</v>
      </c>
      <c r="N473" s="416"/>
    </row>
    <row r="474" spans="1:16" ht="12.75" customHeight="1" x14ac:dyDescent="0.2">
      <c r="A474" s="714" t="s">
        <v>464</v>
      </c>
      <c r="B474" s="418"/>
      <c r="C474" s="418"/>
      <c r="D474" s="418"/>
      <c r="E474" s="418"/>
      <c r="F474" s="418"/>
      <c r="G474" s="416"/>
      <c r="H474" s="12" t="str">
        <f t="shared" ref="H474:H479" si="54">IF(A474="","",VLOOKUP(A474,AA_Materiales,7,FALSE))</f>
        <v>m3</v>
      </c>
      <c r="I474" s="712">
        <f t="shared" ref="I474:I479" si="55">IF(A474="","",VLOOKUP(A474,AA_Materiales,8,FALSE))</f>
        <v>29750</v>
      </c>
      <c r="J474" s="416"/>
      <c r="K474" s="715">
        <f>1+Indice!$M$26</f>
        <v>1.25</v>
      </c>
      <c r="L474" s="416"/>
      <c r="M474" s="712">
        <f t="shared" ref="M474:M479" si="56">IF(A474="","",I474*K474)</f>
        <v>37187.5</v>
      </c>
      <c r="N474" s="416"/>
    </row>
    <row r="475" spans="1:16" ht="12.75" customHeight="1" x14ac:dyDescent="0.2">
      <c r="A475" s="714"/>
      <c r="B475" s="418"/>
      <c r="C475" s="418"/>
      <c r="D475" s="418"/>
      <c r="E475" s="418"/>
      <c r="F475" s="418"/>
      <c r="G475" s="416"/>
      <c r="H475" s="12" t="str">
        <f t="shared" si="54"/>
        <v/>
      </c>
      <c r="I475" s="712" t="str">
        <f t="shared" si="55"/>
        <v/>
      </c>
      <c r="J475" s="416"/>
      <c r="K475" s="715"/>
      <c r="L475" s="416"/>
      <c r="M475" s="712" t="str">
        <f t="shared" si="56"/>
        <v/>
      </c>
      <c r="N475" s="416"/>
    </row>
    <row r="476" spans="1:16" ht="12.75" customHeight="1" x14ac:dyDescent="0.2">
      <c r="A476" s="714"/>
      <c r="B476" s="418"/>
      <c r="C476" s="418"/>
      <c r="D476" s="418"/>
      <c r="E476" s="418"/>
      <c r="F476" s="418"/>
      <c r="G476" s="416"/>
      <c r="H476" s="12" t="str">
        <f t="shared" si="54"/>
        <v/>
      </c>
      <c r="I476" s="712" t="str">
        <f t="shared" si="55"/>
        <v/>
      </c>
      <c r="J476" s="416"/>
      <c r="K476" s="715"/>
      <c r="L476" s="416"/>
      <c r="M476" s="712" t="str">
        <f t="shared" si="56"/>
        <v/>
      </c>
      <c r="N476" s="416"/>
    </row>
    <row r="477" spans="1:16" ht="12.75" customHeight="1" x14ac:dyDescent="0.2">
      <c r="A477" s="714"/>
      <c r="B477" s="418"/>
      <c r="C477" s="418"/>
      <c r="D477" s="418"/>
      <c r="E477" s="418"/>
      <c r="F477" s="418"/>
      <c r="G477" s="416"/>
      <c r="H477" s="12" t="str">
        <f t="shared" si="54"/>
        <v/>
      </c>
      <c r="I477" s="712" t="str">
        <f t="shared" si="55"/>
        <v/>
      </c>
      <c r="J477" s="416"/>
      <c r="K477" s="715"/>
      <c r="L477" s="416"/>
      <c r="M477" s="712" t="str">
        <f t="shared" si="56"/>
        <v/>
      </c>
      <c r="N477" s="416"/>
    </row>
    <row r="478" spans="1:16" ht="12.75" customHeight="1" x14ac:dyDescent="0.2">
      <c r="A478" s="714"/>
      <c r="B478" s="418"/>
      <c r="C478" s="418"/>
      <c r="D478" s="418"/>
      <c r="E478" s="418"/>
      <c r="F478" s="418"/>
      <c r="G478" s="416"/>
      <c r="H478" s="12" t="str">
        <f t="shared" si="54"/>
        <v/>
      </c>
      <c r="I478" s="712" t="str">
        <f t="shared" si="55"/>
        <v/>
      </c>
      <c r="J478" s="416"/>
      <c r="K478" s="715"/>
      <c r="L478" s="416"/>
      <c r="M478" s="712" t="str">
        <f t="shared" si="56"/>
        <v/>
      </c>
      <c r="N478" s="416"/>
    </row>
    <row r="479" spans="1:16" ht="12.75" customHeight="1" x14ac:dyDescent="0.2">
      <c r="A479" s="714"/>
      <c r="B479" s="418"/>
      <c r="C479" s="418"/>
      <c r="D479" s="418"/>
      <c r="E479" s="418"/>
      <c r="F479" s="418"/>
      <c r="G479" s="416"/>
      <c r="H479" s="12" t="str">
        <f t="shared" si="54"/>
        <v/>
      </c>
      <c r="I479" s="712" t="str">
        <f t="shared" si="55"/>
        <v/>
      </c>
      <c r="J479" s="416"/>
      <c r="K479" s="715"/>
      <c r="L479" s="416"/>
      <c r="M479" s="712" t="str">
        <f t="shared" si="56"/>
        <v/>
      </c>
      <c r="N479" s="416"/>
    </row>
    <row r="480" spans="1:16" ht="12.75" customHeight="1" x14ac:dyDescent="0.25">
      <c r="A480" s="5"/>
      <c r="B480" s="5"/>
      <c r="C480" s="5"/>
      <c r="D480" s="5"/>
      <c r="E480" s="5"/>
      <c r="F480" s="5"/>
      <c r="G480" s="5"/>
      <c r="H480" s="5"/>
      <c r="I480" s="5"/>
      <c r="J480" s="5"/>
      <c r="K480" s="713" t="s">
        <v>261</v>
      </c>
      <c r="L480" s="416"/>
      <c r="M480" s="712">
        <f>SUM(M474:N479)</f>
        <v>37187.5</v>
      </c>
      <c r="N480" s="416"/>
    </row>
    <row r="481" spans="1:14" ht="12.75" customHeight="1" x14ac:dyDescent="0.25">
      <c r="A481" s="5"/>
      <c r="B481" s="5"/>
      <c r="C481" s="5"/>
      <c r="D481" s="5"/>
      <c r="E481" s="5"/>
      <c r="F481" s="5"/>
      <c r="G481" s="5"/>
      <c r="H481" s="5"/>
      <c r="I481" s="5"/>
      <c r="J481" s="5"/>
      <c r="K481" s="5"/>
      <c r="L481" s="5"/>
      <c r="M481" s="5"/>
      <c r="N481" s="5"/>
    </row>
    <row r="482" spans="1:14" ht="12.75" customHeight="1" x14ac:dyDescent="0.2">
      <c r="A482" s="716" t="s">
        <v>410</v>
      </c>
      <c r="B482" s="418"/>
      <c r="C482" s="418"/>
      <c r="D482" s="418"/>
      <c r="E482" s="418"/>
      <c r="F482" s="418"/>
      <c r="G482" s="418"/>
      <c r="H482" s="418"/>
      <c r="I482" s="418"/>
      <c r="J482" s="418"/>
      <c r="K482" s="418"/>
      <c r="L482" s="418"/>
      <c r="M482" s="418"/>
      <c r="N482" s="416"/>
    </row>
    <row r="483" spans="1:14" ht="12.75" customHeight="1" x14ac:dyDescent="0.2">
      <c r="A483" s="713" t="s">
        <v>39</v>
      </c>
      <c r="B483" s="418"/>
      <c r="C483" s="418"/>
      <c r="D483" s="418"/>
      <c r="E483" s="418"/>
      <c r="F483" s="418"/>
      <c r="G483" s="416"/>
      <c r="H483" s="61" t="s">
        <v>40</v>
      </c>
      <c r="I483" s="717" t="s">
        <v>404</v>
      </c>
      <c r="J483" s="416"/>
      <c r="K483" s="717" t="s">
        <v>184</v>
      </c>
      <c r="L483" s="416"/>
      <c r="M483" s="717" t="s">
        <v>405</v>
      </c>
      <c r="N483" s="416"/>
    </row>
    <row r="484" spans="1:14" ht="12.75" customHeight="1" x14ac:dyDescent="0.2">
      <c r="A484" s="714" t="s">
        <v>411</v>
      </c>
      <c r="B484" s="418"/>
      <c r="C484" s="418"/>
      <c r="D484" s="418"/>
      <c r="E484" s="418"/>
      <c r="F484" s="418"/>
      <c r="G484" s="416"/>
      <c r="H484" s="12" t="str">
        <f>IF(A484="","",VLOOKUP(A484,AA_Equipos,7,FALSE))</f>
        <v>% M.O.</v>
      </c>
      <c r="I484" s="712">
        <f>M507</f>
        <v>8824.3025466666677</v>
      </c>
      <c r="J484" s="416"/>
      <c r="K484" s="722">
        <v>0.05</v>
      </c>
      <c r="L484" s="416"/>
      <c r="M484" s="712">
        <f t="shared" ref="M484:M488" si="57">IF(A484="","",I484*K484)</f>
        <v>441.21512733333338</v>
      </c>
      <c r="N484" s="416"/>
    </row>
    <row r="485" spans="1:14" ht="12.75" customHeight="1" x14ac:dyDescent="0.2">
      <c r="A485" s="719" t="s">
        <v>428</v>
      </c>
      <c r="B485" s="418"/>
      <c r="C485" s="418"/>
      <c r="D485" s="418"/>
      <c r="E485" s="418"/>
      <c r="F485" s="418"/>
      <c r="G485" s="416"/>
      <c r="H485" s="12" t="str">
        <f>IF(A485="","",VLOOKUP(A485,AA_Equipos,7,FALSE))</f>
        <v>Dia</v>
      </c>
      <c r="I485" s="712">
        <f>IF(A485="","",VLOOKUP(A485,AA_Equipos,8,FALSE))</f>
        <v>130218</v>
      </c>
      <c r="J485" s="416"/>
      <c r="K485" s="723">
        <f>1/30</f>
        <v>3.3333333333333333E-2</v>
      </c>
      <c r="L485" s="416"/>
      <c r="M485" s="712">
        <f t="shared" si="57"/>
        <v>4340.6000000000004</v>
      </c>
      <c r="N485" s="416"/>
    </row>
    <row r="486" spans="1:14" ht="12.75" customHeight="1" x14ac:dyDescent="0.2">
      <c r="A486" s="714"/>
      <c r="B486" s="418"/>
      <c r="C486" s="418"/>
      <c r="D486" s="418"/>
      <c r="E486" s="418"/>
      <c r="F486" s="418"/>
      <c r="G486" s="416"/>
      <c r="H486" s="12" t="str">
        <f>IF(A486="","",VLOOKUP(A486,AA_Equipos,7,FALSE))</f>
        <v/>
      </c>
      <c r="I486" s="712" t="str">
        <f>IF(A486="","",VLOOKUP(A486,AA_Equipos,8,FALSE))</f>
        <v/>
      </c>
      <c r="J486" s="416"/>
      <c r="K486" s="786"/>
      <c r="L486" s="416"/>
      <c r="M486" s="712" t="str">
        <f t="shared" si="57"/>
        <v/>
      </c>
      <c r="N486" s="416"/>
    </row>
    <row r="487" spans="1:14" ht="12.75" customHeight="1" x14ac:dyDescent="0.2">
      <c r="A487" s="714"/>
      <c r="B487" s="418"/>
      <c r="C487" s="418"/>
      <c r="D487" s="418"/>
      <c r="E487" s="418"/>
      <c r="F487" s="418"/>
      <c r="G487" s="416"/>
      <c r="H487" s="12" t="str">
        <f>IF(A487="","",VLOOKUP(A487,AA_Equipos,7,FALSE))</f>
        <v/>
      </c>
      <c r="I487" s="712" t="str">
        <f>IF(A487="","",VLOOKUP(A487,AA_Equipos,8,FALSE))</f>
        <v/>
      </c>
      <c r="J487" s="416"/>
      <c r="K487" s="715"/>
      <c r="L487" s="416"/>
      <c r="M487" s="712" t="str">
        <f t="shared" si="57"/>
        <v/>
      </c>
      <c r="N487" s="416"/>
    </row>
    <row r="488" spans="1:14" ht="12.75" customHeight="1" x14ac:dyDescent="0.2">
      <c r="A488" s="714"/>
      <c r="B488" s="418"/>
      <c r="C488" s="418"/>
      <c r="D488" s="418"/>
      <c r="E488" s="418"/>
      <c r="F488" s="418"/>
      <c r="G488" s="416"/>
      <c r="H488" s="12" t="str">
        <f>IF(A488="","",VLOOKUP(A488,AA_Equipos,7,FALSE))</f>
        <v/>
      </c>
      <c r="I488" s="712" t="str">
        <f>IF(A488="","",VLOOKUP(A488,AA_Equipos,8,FALSE))</f>
        <v/>
      </c>
      <c r="J488" s="416"/>
      <c r="K488" s="715"/>
      <c r="L488" s="416"/>
      <c r="M488" s="712" t="str">
        <f t="shared" si="57"/>
        <v/>
      </c>
      <c r="N488" s="416"/>
    </row>
    <row r="489" spans="1:14" ht="12.75" customHeight="1" x14ac:dyDescent="0.25">
      <c r="A489" s="5"/>
      <c r="B489" s="5"/>
      <c r="C489" s="5"/>
      <c r="D489" s="5"/>
      <c r="E489" s="5"/>
      <c r="F489" s="5"/>
      <c r="G489" s="5"/>
      <c r="H489" s="5"/>
      <c r="I489" s="5"/>
      <c r="J489" s="5"/>
      <c r="K489" s="713" t="s">
        <v>261</v>
      </c>
      <c r="L489" s="416"/>
      <c r="M489" s="712">
        <f>SUM(M484:N488)</f>
        <v>4781.8151273333333</v>
      </c>
      <c r="N489" s="416"/>
    </row>
    <row r="490" spans="1:14" ht="12.75" customHeight="1" x14ac:dyDescent="0.25">
      <c r="A490" s="5"/>
      <c r="B490" s="5"/>
      <c r="C490" s="5"/>
      <c r="D490" s="5"/>
      <c r="E490" s="5"/>
      <c r="F490" s="5"/>
      <c r="G490" s="5"/>
      <c r="H490" s="5"/>
      <c r="I490" s="5"/>
      <c r="J490" s="5"/>
      <c r="K490" s="5"/>
      <c r="L490" s="5"/>
      <c r="M490" s="5"/>
      <c r="N490" s="5"/>
    </row>
    <row r="491" spans="1:14" ht="12.75" customHeight="1" x14ac:dyDescent="0.2">
      <c r="A491" s="716" t="s">
        <v>413</v>
      </c>
      <c r="B491" s="418"/>
      <c r="C491" s="418"/>
      <c r="D491" s="418"/>
      <c r="E491" s="418"/>
      <c r="F491" s="418"/>
      <c r="G491" s="418"/>
      <c r="H491" s="418"/>
      <c r="I491" s="418"/>
      <c r="J491" s="418"/>
      <c r="K491" s="418"/>
      <c r="L491" s="418"/>
      <c r="M491" s="418"/>
      <c r="N491" s="416"/>
    </row>
    <row r="492" spans="1:14" ht="12.75" customHeight="1" x14ac:dyDescent="0.2">
      <c r="A492" s="713" t="s">
        <v>39</v>
      </c>
      <c r="B492" s="418"/>
      <c r="C492" s="418"/>
      <c r="D492" s="418"/>
      <c r="E492" s="418"/>
      <c r="F492" s="418"/>
      <c r="G492" s="416"/>
      <c r="H492" s="61" t="s">
        <v>40</v>
      </c>
      <c r="I492" s="717" t="s">
        <v>404</v>
      </c>
      <c r="J492" s="416"/>
      <c r="K492" s="717" t="s">
        <v>184</v>
      </c>
      <c r="L492" s="416"/>
      <c r="M492" s="717" t="s">
        <v>405</v>
      </c>
      <c r="N492" s="416"/>
    </row>
    <row r="493" spans="1:14" ht="12.75" customHeight="1" x14ac:dyDescent="0.2">
      <c r="A493" s="714" t="s">
        <v>425</v>
      </c>
      <c r="B493" s="418"/>
      <c r="C493" s="418"/>
      <c r="D493" s="418"/>
      <c r="E493" s="418"/>
      <c r="F493" s="418"/>
      <c r="G493" s="416"/>
      <c r="H493" s="107" t="s">
        <v>467</v>
      </c>
      <c r="I493" s="712">
        <f>+'13'!$J$68</f>
        <v>2206.6944848867188</v>
      </c>
      <c r="J493" s="416"/>
      <c r="K493" s="715">
        <f>Indice!$M$5</f>
        <v>40</v>
      </c>
      <c r="L493" s="416"/>
      <c r="M493" s="712">
        <f t="shared" ref="M493:M497" si="58">IF(A493="","",I493*K493)</f>
        <v>88267.779395468751</v>
      </c>
      <c r="N493" s="416"/>
    </row>
    <row r="494" spans="1:14" ht="12.75" customHeight="1" x14ac:dyDescent="0.2">
      <c r="A494" s="719" t="s">
        <v>465</v>
      </c>
      <c r="B494" s="418"/>
      <c r="C494" s="418"/>
      <c r="D494" s="418"/>
      <c r="E494" s="418"/>
      <c r="F494" s="418"/>
      <c r="G494" s="416"/>
      <c r="H494" s="12" t="s">
        <v>430</v>
      </c>
      <c r="I494" s="712">
        <f>+M489</f>
        <v>4781.8151273333333</v>
      </c>
      <c r="J494" s="416"/>
      <c r="K494" s="722">
        <v>0.05</v>
      </c>
      <c r="L494" s="416"/>
      <c r="M494" s="712">
        <f t="shared" si="58"/>
        <v>239.09075636666668</v>
      </c>
      <c r="N494" s="416"/>
    </row>
    <row r="495" spans="1:14" ht="12.75" customHeight="1" x14ac:dyDescent="0.2">
      <c r="A495" s="714"/>
      <c r="B495" s="418"/>
      <c r="C495" s="418"/>
      <c r="D495" s="418"/>
      <c r="E495" s="418"/>
      <c r="F495" s="418"/>
      <c r="G495" s="416"/>
      <c r="H495" s="12"/>
      <c r="I495" s="712"/>
      <c r="J495" s="416"/>
      <c r="K495" s="715"/>
      <c r="L495" s="416"/>
      <c r="M495" s="712" t="str">
        <f t="shared" si="58"/>
        <v/>
      </c>
      <c r="N495" s="416"/>
    </row>
    <row r="496" spans="1:14" ht="12.75" customHeight="1" x14ac:dyDescent="0.2">
      <c r="A496" s="714"/>
      <c r="B496" s="418"/>
      <c r="C496" s="418"/>
      <c r="D496" s="418"/>
      <c r="E496" s="418"/>
      <c r="F496" s="418"/>
      <c r="G496" s="416"/>
      <c r="H496" s="12"/>
      <c r="I496" s="712"/>
      <c r="J496" s="416"/>
      <c r="K496" s="715"/>
      <c r="L496" s="416"/>
      <c r="M496" s="712" t="str">
        <f t="shared" si="58"/>
        <v/>
      </c>
      <c r="N496" s="416"/>
    </row>
    <row r="497" spans="1:16" ht="12.75" customHeight="1" x14ac:dyDescent="0.2">
      <c r="A497" s="714"/>
      <c r="B497" s="418"/>
      <c r="C497" s="418"/>
      <c r="D497" s="418"/>
      <c r="E497" s="418"/>
      <c r="F497" s="418"/>
      <c r="G497" s="416"/>
      <c r="H497" s="12"/>
      <c r="I497" s="712"/>
      <c r="J497" s="416"/>
      <c r="K497" s="715"/>
      <c r="L497" s="416"/>
      <c r="M497" s="712" t="str">
        <f t="shared" si="58"/>
        <v/>
      </c>
      <c r="N497" s="416"/>
    </row>
    <row r="498" spans="1:16" ht="12.75" customHeight="1" x14ac:dyDescent="0.25">
      <c r="A498" s="5"/>
      <c r="B498" s="5"/>
      <c r="C498" s="5"/>
      <c r="D498" s="5"/>
      <c r="E498" s="5"/>
      <c r="F498" s="5"/>
      <c r="G498" s="5"/>
      <c r="H498" s="5"/>
      <c r="I498" s="5"/>
      <c r="J498" s="5"/>
      <c r="K498" s="713" t="s">
        <v>261</v>
      </c>
      <c r="L498" s="416"/>
      <c r="M498" s="712">
        <f>SUM(M493:N497)</f>
        <v>88506.870151835421</v>
      </c>
      <c r="N498" s="416"/>
    </row>
    <row r="499" spans="1:16" ht="12.75" customHeight="1" x14ac:dyDescent="0.25">
      <c r="A499" s="5"/>
      <c r="B499" s="5"/>
      <c r="C499" s="5"/>
      <c r="D499" s="5"/>
      <c r="E499" s="5"/>
      <c r="F499" s="5"/>
      <c r="G499" s="5"/>
      <c r="H499" s="5"/>
      <c r="I499" s="5"/>
      <c r="J499" s="5"/>
      <c r="K499" s="5"/>
      <c r="L499" s="5"/>
      <c r="M499" s="5"/>
      <c r="N499" s="5"/>
    </row>
    <row r="500" spans="1:16" ht="12.75" customHeight="1" x14ac:dyDescent="0.2">
      <c r="A500" s="716" t="s">
        <v>415</v>
      </c>
      <c r="B500" s="418"/>
      <c r="C500" s="418"/>
      <c r="D500" s="418"/>
      <c r="E500" s="418"/>
      <c r="F500" s="418"/>
      <c r="G500" s="418"/>
      <c r="H500" s="418"/>
      <c r="I500" s="418"/>
      <c r="J500" s="418"/>
      <c r="K500" s="418"/>
      <c r="L500" s="418"/>
      <c r="M500" s="418"/>
      <c r="N500" s="416"/>
    </row>
    <row r="501" spans="1:16" ht="12.75" customHeight="1" x14ac:dyDescent="0.2">
      <c r="A501" s="713" t="s">
        <v>39</v>
      </c>
      <c r="B501" s="418"/>
      <c r="C501" s="418"/>
      <c r="D501" s="418"/>
      <c r="E501" s="418"/>
      <c r="F501" s="418"/>
      <c r="G501" s="416"/>
      <c r="H501" s="61" t="s">
        <v>40</v>
      </c>
      <c r="I501" s="717" t="s">
        <v>404</v>
      </c>
      <c r="J501" s="416"/>
      <c r="K501" s="64" t="s">
        <v>253</v>
      </c>
      <c r="L501" s="65" t="s">
        <v>416</v>
      </c>
      <c r="M501" s="717" t="s">
        <v>405</v>
      </c>
      <c r="N501" s="416"/>
    </row>
    <row r="502" spans="1:16" ht="12.75" customHeight="1" x14ac:dyDescent="0.25">
      <c r="A502" s="711" t="s">
        <v>466</v>
      </c>
      <c r="B502" s="418"/>
      <c r="C502" s="418"/>
      <c r="D502" s="418"/>
      <c r="E502" s="418"/>
      <c r="F502" s="418"/>
      <c r="G502" s="416"/>
      <c r="H502" s="12" t="str">
        <f>IF(A502="","",VLOOKUP(A502,AA_Cuadrillas,4,FALSE))</f>
        <v>Cuadrilla</v>
      </c>
      <c r="I502" s="712">
        <f>IF(A502="","",VLOOKUP(A502,AA_Cuadrillas,5,FALSE))</f>
        <v>140072</v>
      </c>
      <c r="J502" s="416"/>
      <c r="K502" s="3">
        <f>IF(A502="","",'04'!$I$2)</f>
        <v>1.88995</v>
      </c>
      <c r="L502" s="66">
        <f>1/30</f>
        <v>3.3333333333333333E-2</v>
      </c>
      <c r="M502" s="712">
        <f t="shared" ref="M502:M506" si="59">IF(A502="","",I502*K502*L502)</f>
        <v>8824.3025466666677</v>
      </c>
      <c r="N502" s="416"/>
    </row>
    <row r="503" spans="1:16" ht="12.75" customHeight="1" x14ac:dyDescent="0.25">
      <c r="A503" s="711"/>
      <c r="B503" s="418"/>
      <c r="C503" s="418"/>
      <c r="D503" s="418"/>
      <c r="E503" s="418"/>
      <c r="F503" s="418"/>
      <c r="G503" s="416"/>
      <c r="H503" s="12" t="str">
        <f>IF(A503="","",VLOOKUP(A503,AA_Cuadrillas,4,FALSE))</f>
        <v/>
      </c>
      <c r="I503" s="712" t="str">
        <f>IF(A503="","",VLOOKUP(A503,AA_Cuadrillas,5,FALSE))</f>
        <v/>
      </c>
      <c r="J503" s="416"/>
      <c r="K503" s="3" t="str">
        <f>IF(A503="","",'04'!$I$2)</f>
        <v/>
      </c>
      <c r="L503" s="3"/>
      <c r="M503" s="712" t="str">
        <f t="shared" si="59"/>
        <v/>
      </c>
      <c r="N503" s="416"/>
    </row>
    <row r="504" spans="1:16" ht="12.75" customHeight="1" x14ac:dyDescent="0.25">
      <c r="A504" s="711"/>
      <c r="B504" s="418"/>
      <c r="C504" s="418"/>
      <c r="D504" s="418"/>
      <c r="E504" s="418"/>
      <c r="F504" s="418"/>
      <c r="G504" s="416"/>
      <c r="H504" s="12" t="str">
        <f>IF(A504="","",VLOOKUP(A504,AA_Cuadrillas,4,FALSE))</f>
        <v/>
      </c>
      <c r="I504" s="712" t="str">
        <f>IF(A504="","",VLOOKUP(A504,AA_Cuadrillas,5,FALSE))</f>
        <v/>
      </c>
      <c r="J504" s="416"/>
      <c r="K504" s="3" t="str">
        <f>IF(A504="","",'04'!$I$2)</f>
        <v/>
      </c>
      <c r="L504" s="13"/>
      <c r="M504" s="712" t="str">
        <f t="shared" si="59"/>
        <v/>
      </c>
      <c r="N504" s="416"/>
    </row>
    <row r="505" spans="1:16" ht="12.75" customHeight="1" x14ac:dyDescent="0.25">
      <c r="A505" s="711"/>
      <c r="B505" s="418"/>
      <c r="C505" s="418"/>
      <c r="D505" s="418"/>
      <c r="E505" s="418"/>
      <c r="F505" s="418"/>
      <c r="G505" s="416"/>
      <c r="H505" s="12" t="str">
        <f>IF(A505="","",VLOOKUP(A505,AA_Cuadrillas,4,FALSE))</f>
        <v/>
      </c>
      <c r="I505" s="712" t="str">
        <f>IF(A505="","",VLOOKUP(A505,AA_Cuadrillas,5,FALSE))</f>
        <v/>
      </c>
      <c r="J505" s="416"/>
      <c r="K505" s="3" t="str">
        <f>IF(A505="","",'04'!$I$2)</f>
        <v/>
      </c>
      <c r="L505" s="13"/>
      <c r="M505" s="712" t="str">
        <f t="shared" si="59"/>
        <v/>
      </c>
      <c r="N505" s="416"/>
    </row>
    <row r="506" spans="1:16" ht="12.75" customHeight="1" x14ac:dyDescent="0.25">
      <c r="A506" s="711"/>
      <c r="B506" s="418"/>
      <c r="C506" s="418"/>
      <c r="D506" s="418"/>
      <c r="E506" s="418"/>
      <c r="F506" s="418"/>
      <c r="G506" s="416"/>
      <c r="H506" s="12" t="str">
        <f>IF(A506="","",VLOOKUP(A506,AA_Cuadrillas,4,FALSE))</f>
        <v/>
      </c>
      <c r="I506" s="712" t="str">
        <f>IF(A506="","",VLOOKUP(A506,AA_Cuadrillas,5,FALSE))</f>
        <v/>
      </c>
      <c r="J506" s="416"/>
      <c r="K506" s="3" t="str">
        <f>IF(A506="","",'04'!$I$2)</f>
        <v/>
      </c>
      <c r="L506" s="13"/>
      <c r="M506" s="712" t="str">
        <f t="shared" si="59"/>
        <v/>
      </c>
      <c r="N506" s="416"/>
    </row>
    <row r="507" spans="1:16" ht="12.75" customHeight="1" x14ac:dyDescent="0.25">
      <c r="A507" s="5"/>
      <c r="B507" s="5"/>
      <c r="C507" s="5"/>
      <c r="D507" s="5"/>
      <c r="E507" s="5"/>
      <c r="F507" s="5"/>
      <c r="G507" s="5"/>
      <c r="H507" s="5"/>
      <c r="I507" s="5"/>
      <c r="J507" s="5"/>
      <c r="K507" s="713" t="s">
        <v>261</v>
      </c>
      <c r="L507" s="416"/>
      <c r="M507" s="712">
        <f>SUM(M502:N506)</f>
        <v>8824.3025466666677</v>
      </c>
      <c r="N507" s="416"/>
    </row>
    <row r="508" spans="1:16" ht="12.75" customHeight="1" x14ac:dyDescent="0.2"/>
    <row r="509" spans="1:16" ht="12.75" customHeight="1" x14ac:dyDescent="0.2">
      <c r="A509" s="787" t="s">
        <v>90</v>
      </c>
      <c r="B509" s="410"/>
      <c r="C509" s="410"/>
      <c r="D509" s="410"/>
      <c r="E509" s="410"/>
      <c r="F509" s="410"/>
      <c r="G509" s="410"/>
      <c r="H509" s="410"/>
      <c r="I509" s="410"/>
      <c r="J509" s="410"/>
      <c r="K509" s="410"/>
      <c r="L509" s="410"/>
      <c r="M509" s="410"/>
      <c r="N509" s="411"/>
      <c r="O509" s="272"/>
      <c r="P509" s="9"/>
    </row>
    <row r="510" spans="1:16" ht="12.75" customHeight="1" x14ac:dyDescent="0.2">
      <c r="A510" s="412"/>
      <c r="B510" s="413"/>
      <c r="C510" s="413"/>
      <c r="D510" s="413"/>
      <c r="E510" s="413"/>
      <c r="F510" s="413"/>
      <c r="G510" s="413"/>
      <c r="H510" s="413"/>
      <c r="I510" s="413"/>
      <c r="J510" s="413"/>
      <c r="K510" s="413"/>
      <c r="L510" s="413"/>
      <c r="M510" s="413"/>
      <c r="N510" s="414"/>
      <c r="O510" s="272"/>
      <c r="P510" s="9"/>
    </row>
    <row r="511" spans="1:16" ht="12.75" customHeight="1" x14ac:dyDescent="0.2">
      <c r="A511" s="49"/>
      <c r="B511" s="49"/>
      <c r="C511" s="49"/>
      <c r="D511" s="49"/>
      <c r="E511" s="49"/>
      <c r="F511" s="49"/>
      <c r="G511" s="49"/>
      <c r="H511" s="49"/>
      <c r="I511" s="49"/>
      <c r="J511" s="49"/>
      <c r="K511" s="49"/>
      <c r="L511" s="49"/>
      <c r="M511" s="49"/>
      <c r="N511" s="49"/>
    </row>
    <row r="512" spans="1:16" ht="12.75" customHeight="1" thickBot="1" x14ac:dyDescent="0.35">
      <c r="A512" s="51" t="str">
        <f>VLOOKUP(A509,'10'!$B$9:$N$100,13,FALSE)</f>
        <v>G008</v>
      </c>
      <c r="B512" s="52" t="str">
        <f>A509</f>
        <v>RETIRO DE MATERIAL SOBRANTE HASTA BOTADERO AUTORIZADO, DISTANCIA 5KM (INCLUYE FACTOR DE EXPANSIÓN, CARGUE Y TRANSPORTE DE MATERIAL)</v>
      </c>
      <c r="C512" s="53" t="s">
        <v>400</v>
      </c>
      <c r="D512" s="54" t="s">
        <v>467</v>
      </c>
      <c r="E512" s="55" t="s">
        <v>177</v>
      </c>
      <c r="F512" s="59">
        <f>H512+J512+L512+N512</f>
        <v>4785.0278182200527</v>
      </c>
      <c r="G512" s="55" t="s">
        <v>349</v>
      </c>
      <c r="H512" s="59">
        <f>M531</f>
        <v>2578.3333333333335</v>
      </c>
      <c r="I512" s="55" t="s">
        <v>402</v>
      </c>
      <c r="J512" s="59">
        <f>M522</f>
        <v>0</v>
      </c>
      <c r="K512" s="55" t="s">
        <v>351</v>
      </c>
      <c r="L512" s="59">
        <f>M540</f>
        <v>2206.6944848867188</v>
      </c>
      <c r="M512" s="55" t="s">
        <v>352</v>
      </c>
      <c r="N512" s="59">
        <f>M549</f>
        <v>0</v>
      </c>
    </row>
    <row r="513" spans="1:14" ht="12.75" customHeight="1" thickBot="1" x14ac:dyDescent="0.3">
      <c r="A513" s="60"/>
      <c r="B513" s="60"/>
      <c r="C513" s="60"/>
      <c r="D513" s="60"/>
      <c r="E513" s="60"/>
      <c r="F513" s="60"/>
      <c r="G513" s="60"/>
      <c r="J513" s="60"/>
      <c r="K513" s="60"/>
      <c r="L513" s="327" t="s">
        <v>1934</v>
      </c>
      <c r="M513" s="328">
        <f>+F512*'01'!$O$16</f>
        <v>6193.2183588323314</v>
      </c>
      <c r="N513" s="60"/>
    </row>
    <row r="514" spans="1:14" ht="12.75" customHeight="1" x14ac:dyDescent="0.2">
      <c r="A514" s="716" t="s">
        <v>403</v>
      </c>
      <c r="B514" s="418"/>
      <c r="C514" s="418"/>
      <c r="D514" s="418"/>
      <c r="E514" s="418"/>
      <c r="F514" s="418"/>
      <c r="G514" s="418"/>
      <c r="H514" s="418"/>
      <c r="I514" s="418"/>
      <c r="J514" s="418"/>
      <c r="K514" s="418"/>
      <c r="L514" s="418"/>
      <c r="M514" s="418"/>
      <c r="N514" s="416"/>
    </row>
    <row r="515" spans="1:14" ht="12.75" customHeight="1" x14ac:dyDescent="0.2">
      <c r="A515" s="713" t="s">
        <v>39</v>
      </c>
      <c r="B515" s="418"/>
      <c r="C515" s="418"/>
      <c r="D515" s="418"/>
      <c r="E515" s="418"/>
      <c r="F515" s="418"/>
      <c r="G515" s="416"/>
      <c r="H515" s="61" t="s">
        <v>40</v>
      </c>
      <c r="I515" s="717" t="s">
        <v>404</v>
      </c>
      <c r="J515" s="416"/>
      <c r="K515" s="717" t="s">
        <v>184</v>
      </c>
      <c r="L515" s="416"/>
      <c r="M515" s="717" t="s">
        <v>405</v>
      </c>
      <c r="N515" s="416"/>
    </row>
    <row r="516" spans="1:14" ht="12.75" customHeight="1" x14ac:dyDescent="0.2">
      <c r="A516" s="719"/>
      <c r="B516" s="418"/>
      <c r="C516" s="418"/>
      <c r="D516" s="418"/>
      <c r="E516" s="418"/>
      <c r="F516" s="418"/>
      <c r="G516" s="416"/>
      <c r="H516" s="12" t="str">
        <f t="shared" ref="H516:H521" si="60">IF(A516="","",VLOOKUP(A516,AA_Materiales,7,FALSE))</f>
        <v/>
      </c>
      <c r="I516" s="712" t="str">
        <f t="shared" ref="I516:I521" si="61">IF(A516="","",VLOOKUP(A516,AA_Materiales,8,FALSE))</f>
        <v/>
      </c>
      <c r="J516" s="416"/>
      <c r="K516" s="715"/>
      <c r="L516" s="416"/>
      <c r="M516" s="712" t="str">
        <f t="shared" ref="M516:M521" si="62">IF(A516="","",I516*K516)</f>
        <v/>
      </c>
      <c r="N516" s="416"/>
    </row>
    <row r="517" spans="1:14" ht="12.75" customHeight="1" x14ac:dyDescent="0.2">
      <c r="A517" s="714"/>
      <c r="B517" s="418"/>
      <c r="C517" s="418"/>
      <c r="D517" s="418"/>
      <c r="E517" s="418"/>
      <c r="F517" s="418"/>
      <c r="G517" s="416"/>
      <c r="H517" s="12" t="str">
        <f t="shared" si="60"/>
        <v/>
      </c>
      <c r="I517" s="712" t="str">
        <f t="shared" si="61"/>
        <v/>
      </c>
      <c r="J517" s="416"/>
      <c r="K517" s="715"/>
      <c r="L517" s="416"/>
      <c r="M517" s="712" t="str">
        <f t="shared" si="62"/>
        <v/>
      </c>
      <c r="N517" s="416"/>
    </row>
    <row r="518" spans="1:14" ht="12.75" customHeight="1" x14ac:dyDescent="0.2">
      <c r="A518" s="714"/>
      <c r="B518" s="418"/>
      <c r="C518" s="418"/>
      <c r="D518" s="418"/>
      <c r="E518" s="418"/>
      <c r="F518" s="418"/>
      <c r="G518" s="416"/>
      <c r="H518" s="12" t="str">
        <f t="shared" si="60"/>
        <v/>
      </c>
      <c r="I518" s="712" t="str">
        <f t="shared" si="61"/>
        <v/>
      </c>
      <c r="J518" s="416"/>
      <c r="K518" s="715"/>
      <c r="L518" s="416"/>
      <c r="M518" s="712" t="str">
        <f t="shared" si="62"/>
        <v/>
      </c>
      <c r="N518" s="416"/>
    </row>
    <row r="519" spans="1:14" ht="12.75" customHeight="1" x14ac:dyDescent="0.2">
      <c r="A519" s="714"/>
      <c r="B519" s="418"/>
      <c r="C519" s="418"/>
      <c r="D519" s="418"/>
      <c r="E519" s="418"/>
      <c r="F519" s="418"/>
      <c r="G519" s="416"/>
      <c r="H519" s="12" t="str">
        <f t="shared" si="60"/>
        <v/>
      </c>
      <c r="I519" s="712" t="str">
        <f t="shared" si="61"/>
        <v/>
      </c>
      <c r="J519" s="416"/>
      <c r="K519" s="715"/>
      <c r="L519" s="416"/>
      <c r="M519" s="712" t="str">
        <f t="shared" si="62"/>
        <v/>
      </c>
      <c r="N519" s="416"/>
    </row>
    <row r="520" spans="1:14" ht="12.75" customHeight="1" x14ac:dyDescent="0.2">
      <c r="A520" s="714"/>
      <c r="B520" s="418"/>
      <c r="C520" s="418"/>
      <c r="D520" s="418"/>
      <c r="E520" s="418"/>
      <c r="F520" s="418"/>
      <c r="G520" s="416"/>
      <c r="H520" s="12" t="str">
        <f t="shared" si="60"/>
        <v/>
      </c>
      <c r="I520" s="712" t="str">
        <f t="shared" si="61"/>
        <v/>
      </c>
      <c r="J520" s="416"/>
      <c r="K520" s="715"/>
      <c r="L520" s="416"/>
      <c r="M520" s="712" t="str">
        <f t="shared" si="62"/>
        <v/>
      </c>
      <c r="N520" s="416"/>
    </row>
    <row r="521" spans="1:14" ht="12.75" customHeight="1" x14ac:dyDescent="0.2">
      <c r="A521" s="714"/>
      <c r="B521" s="418"/>
      <c r="C521" s="418"/>
      <c r="D521" s="418"/>
      <c r="E521" s="418"/>
      <c r="F521" s="418"/>
      <c r="G521" s="416"/>
      <c r="H521" s="12" t="str">
        <f t="shared" si="60"/>
        <v/>
      </c>
      <c r="I521" s="712" t="str">
        <f t="shared" si="61"/>
        <v/>
      </c>
      <c r="J521" s="416"/>
      <c r="K521" s="715"/>
      <c r="L521" s="416"/>
      <c r="M521" s="712" t="str">
        <f t="shared" si="62"/>
        <v/>
      </c>
      <c r="N521" s="416"/>
    </row>
    <row r="522" spans="1:14" ht="12.75" customHeight="1" x14ac:dyDescent="0.25">
      <c r="A522" s="5"/>
      <c r="B522" s="5"/>
      <c r="C522" s="5"/>
      <c r="D522" s="5"/>
      <c r="E522" s="5"/>
      <c r="F522" s="5"/>
      <c r="G522" s="5"/>
      <c r="H522" s="5"/>
      <c r="I522" s="5"/>
      <c r="J522" s="5"/>
      <c r="K522" s="713" t="s">
        <v>261</v>
      </c>
      <c r="L522" s="416"/>
      <c r="M522" s="712">
        <f>SUM(M516:N521)</f>
        <v>0</v>
      </c>
      <c r="N522" s="416"/>
    </row>
    <row r="523" spans="1:14" ht="12.75" customHeight="1" x14ac:dyDescent="0.25">
      <c r="A523" s="5"/>
      <c r="B523" s="5"/>
      <c r="C523" s="5"/>
      <c r="D523" s="5"/>
      <c r="E523" s="5"/>
      <c r="F523" s="5"/>
      <c r="G523" s="5"/>
      <c r="H523" s="5"/>
      <c r="I523" s="5"/>
      <c r="J523" s="5"/>
      <c r="K523" s="5"/>
      <c r="L523" s="5"/>
      <c r="M523" s="5"/>
      <c r="N523" s="5"/>
    </row>
    <row r="524" spans="1:14" ht="12.75" customHeight="1" x14ac:dyDescent="0.2">
      <c r="A524" s="716" t="s">
        <v>410</v>
      </c>
      <c r="B524" s="418"/>
      <c r="C524" s="418"/>
      <c r="D524" s="418"/>
      <c r="E524" s="418"/>
      <c r="F524" s="418"/>
      <c r="G524" s="418"/>
      <c r="H524" s="418"/>
      <c r="I524" s="418"/>
      <c r="J524" s="418"/>
      <c r="K524" s="418"/>
      <c r="L524" s="418"/>
      <c r="M524" s="418"/>
      <c r="N524" s="416"/>
    </row>
    <row r="525" spans="1:14" ht="12.75" customHeight="1" x14ac:dyDescent="0.2">
      <c r="A525" s="713" t="s">
        <v>39</v>
      </c>
      <c r="B525" s="418"/>
      <c r="C525" s="418"/>
      <c r="D525" s="418"/>
      <c r="E525" s="418"/>
      <c r="F525" s="418"/>
      <c r="G525" s="416"/>
      <c r="H525" s="61" t="s">
        <v>40</v>
      </c>
      <c r="I525" s="717" t="s">
        <v>404</v>
      </c>
      <c r="J525" s="416"/>
      <c r="K525" s="717" t="s">
        <v>184</v>
      </c>
      <c r="L525" s="416"/>
      <c r="M525" s="717" t="s">
        <v>405</v>
      </c>
      <c r="N525" s="416"/>
    </row>
    <row r="526" spans="1:14" ht="12.75" customHeight="1" x14ac:dyDescent="0.2">
      <c r="A526" s="719" t="s">
        <v>468</v>
      </c>
      <c r="B526" s="418"/>
      <c r="C526" s="418"/>
      <c r="D526" s="418"/>
      <c r="E526" s="418"/>
      <c r="F526" s="418"/>
      <c r="G526" s="416"/>
      <c r="H526" s="12" t="str">
        <f>IF(A526="","",VLOOKUP(A526,AA_Equipos,7,FALSE))</f>
        <v>Hora</v>
      </c>
      <c r="I526" s="712">
        <f>IF(A526="","",VLOOKUP(A526,AA_Equipos,8,FALSE))</f>
        <v>154700</v>
      </c>
      <c r="J526" s="416"/>
      <c r="K526" s="723">
        <f>1/60</f>
        <v>1.6666666666666666E-2</v>
      </c>
      <c r="L526" s="416"/>
      <c r="M526" s="712">
        <f t="shared" ref="M526:M530" si="63">IF(A526="","",I526*K526)</f>
        <v>2578.3333333333335</v>
      </c>
      <c r="N526" s="416"/>
    </row>
    <row r="527" spans="1:14" ht="12.75" customHeight="1" x14ac:dyDescent="0.2">
      <c r="A527" s="719"/>
      <c r="B527" s="418"/>
      <c r="C527" s="418"/>
      <c r="D527" s="418"/>
      <c r="E527" s="418"/>
      <c r="F527" s="418"/>
      <c r="G527" s="416"/>
      <c r="H527" s="12" t="str">
        <f>IF(A527="","",VLOOKUP(A527,AA_Equipos,7,FALSE))</f>
        <v/>
      </c>
      <c r="I527" s="712" t="str">
        <f>IF(A527="","",VLOOKUP(A527,AA_Equipos,8,FALSE))</f>
        <v/>
      </c>
      <c r="J527" s="416"/>
      <c r="K527" s="723"/>
      <c r="L527" s="416"/>
      <c r="M527" s="712" t="str">
        <f t="shared" si="63"/>
        <v/>
      </c>
      <c r="N527" s="416"/>
    </row>
    <row r="528" spans="1:14" ht="12.75" customHeight="1" x14ac:dyDescent="0.2">
      <c r="A528" s="714"/>
      <c r="B528" s="418"/>
      <c r="C528" s="418"/>
      <c r="D528" s="418"/>
      <c r="E528" s="418"/>
      <c r="F528" s="418"/>
      <c r="G528" s="416"/>
      <c r="H528" s="12" t="str">
        <f>IF(A528="","",VLOOKUP(A528,AA_Equipos,7,FALSE))</f>
        <v/>
      </c>
      <c r="I528" s="712" t="str">
        <f>IF(A528="","",VLOOKUP(A528,AA_Equipos,8,FALSE))</f>
        <v/>
      </c>
      <c r="J528" s="416"/>
      <c r="K528" s="786"/>
      <c r="L528" s="416"/>
      <c r="M528" s="712" t="str">
        <f t="shared" si="63"/>
        <v/>
      </c>
      <c r="N528" s="416"/>
    </row>
    <row r="529" spans="1:14" ht="12.75" customHeight="1" x14ac:dyDescent="0.2">
      <c r="A529" s="714"/>
      <c r="B529" s="418"/>
      <c r="C529" s="418"/>
      <c r="D529" s="418"/>
      <c r="E529" s="418"/>
      <c r="F529" s="418"/>
      <c r="G529" s="416"/>
      <c r="H529" s="12" t="str">
        <f>IF(A529="","",VLOOKUP(A529,AA_Equipos,7,FALSE))</f>
        <v/>
      </c>
      <c r="I529" s="712" t="str">
        <f>IF(A529="","",VLOOKUP(A529,AA_Equipos,8,FALSE))</f>
        <v/>
      </c>
      <c r="J529" s="416"/>
      <c r="K529" s="715"/>
      <c r="L529" s="416"/>
      <c r="M529" s="712" t="str">
        <f t="shared" si="63"/>
        <v/>
      </c>
      <c r="N529" s="416"/>
    </row>
    <row r="530" spans="1:14" ht="12.75" customHeight="1" x14ac:dyDescent="0.2">
      <c r="A530" s="714"/>
      <c r="B530" s="418"/>
      <c r="C530" s="418"/>
      <c r="D530" s="418"/>
      <c r="E530" s="418"/>
      <c r="F530" s="418"/>
      <c r="G530" s="416"/>
      <c r="H530" s="12" t="str">
        <f>IF(A530="","",VLOOKUP(A530,AA_Equipos,7,FALSE))</f>
        <v/>
      </c>
      <c r="I530" s="712" t="str">
        <f>IF(A530="","",VLOOKUP(A530,AA_Equipos,8,FALSE))</f>
        <v/>
      </c>
      <c r="J530" s="416"/>
      <c r="K530" s="715"/>
      <c r="L530" s="416"/>
      <c r="M530" s="712" t="str">
        <f t="shared" si="63"/>
        <v/>
      </c>
      <c r="N530" s="416"/>
    </row>
    <row r="531" spans="1:14" ht="12.75" customHeight="1" x14ac:dyDescent="0.25">
      <c r="A531" s="5"/>
      <c r="B531" s="5"/>
      <c r="C531" s="5"/>
      <c r="D531" s="5"/>
      <c r="E531" s="5"/>
      <c r="F531" s="5"/>
      <c r="G531" s="5"/>
      <c r="H531" s="5"/>
      <c r="I531" s="5"/>
      <c r="J531" s="5"/>
      <c r="K531" s="713" t="s">
        <v>261</v>
      </c>
      <c r="L531" s="416"/>
      <c r="M531" s="712">
        <f>SUM(M526:N530)</f>
        <v>2578.3333333333335</v>
      </c>
      <c r="N531" s="416"/>
    </row>
    <row r="532" spans="1:14" ht="12.75" customHeight="1" x14ac:dyDescent="0.25">
      <c r="A532" s="5"/>
      <c r="B532" s="5"/>
      <c r="C532" s="5"/>
      <c r="D532" s="5"/>
      <c r="E532" s="5"/>
      <c r="F532" s="5"/>
      <c r="G532" s="5"/>
      <c r="H532" s="5"/>
      <c r="I532" s="5"/>
      <c r="J532" s="5"/>
      <c r="K532" s="5"/>
      <c r="L532" s="5"/>
      <c r="M532" s="5"/>
      <c r="N532" s="5"/>
    </row>
    <row r="533" spans="1:14" ht="12.75" customHeight="1" x14ac:dyDescent="0.2">
      <c r="A533" s="716" t="s">
        <v>413</v>
      </c>
      <c r="B533" s="418"/>
      <c r="C533" s="418"/>
      <c r="D533" s="418"/>
      <c r="E533" s="418"/>
      <c r="F533" s="418"/>
      <c r="G533" s="418"/>
      <c r="H533" s="418"/>
      <c r="I533" s="418"/>
      <c r="J533" s="418"/>
      <c r="K533" s="418"/>
      <c r="L533" s="418"/>
      <c r="M533" s="418"/>
      <c r="N533" s="416"/>
    </row>
    <row r="534" spans="1:14" ht="12.75" customHeight="1" x14ac:dyDescent="0.2">
      <c r="A534" s="713" t="s">
        <v>39</v>
      </c>
      <c r="B534" s="418"/>
      <c r="C534" s="418"/>
      <c r="D534" s="418"/>
      <c r="E534" s="418"/>
      <c r="F534" s="418"/>
      <c r="G534" s="416"/>
      <c r="H534" s="61" t="s">
        <v>40</v>
      </c>
      <c r="I534" s="717" t="s">
        <v>404</v>
      </c>
      <c r="J534" s="416"/>
      <c r="K534" s="717" t="s">
        <v>184</v>
      </c>
      <c r="L534" s="416"/>
      <c r="M534" s="717" t="s">
        <v>405</v>
      </c>
      <c r="N534" s="416"/>
    </row>
    <row r="535" spans="1:14" ht="12.75" customHeight="1" x14ac:dyDescent="0.2">
      <c r="A535" s="714" t="s">
        <v>469</v>
      </c>
      <c r="B535" s="418"/>
      <c r="C535" s="418"/>
      <c r="D535" s="418"/>
      <c r="E535" s="418"/>
      <c r="F535" s="418"/>
      <c r="G535" s="416"/>
      <c r="H535" s="12" t="s">
        <v>470</v>
      </c>
      <c r="I535" s="712">
        <f>'13'!$J$68</f>
        <v>2206.6944848867188</v>
      </c>
      <c r="J535" s="416"/>
      <c r="K535" s="715">
        <v>1</v>
      </c>
      <c r="L535" s="416"/>
      <c r="M535" s="712">
        <f t="shared" ref="M535:M539" si="64">IF(A535="","",I535*K535)</f>
        <v>2206.6944848867188</v>
      </c>
      <c r="N535" s="416"/>
    </row>
    <row r="536" spans="1:14" ht="12.75" customHeight="1" x14ac:dyDescent="0.2">
      <c r="A536" s="719"/>
      <c r="B536" s="418"/>
      <c r="C536" s="418"/>
      <c r="D536" s="418"/>
      <c r="E536" s="418"/>
      <c r="F536" s="418"/>
      <c r="G536" s="416"/>
      <c r="H536" s="12"/>
      <c r="I536" s="712"/>
      <c r="J536" s="416"/>
      <c r="K536" s="722"/>
      <c r="L536" s="416"/>
      <c r="M536" s="712" t="str">
        <f t="shared" si="64"/>
        <v/>
      </c>
      <c r="N536" s="416"/>
    </row>
    <row r="537" spans="1:14" ht="12.75" customHeight="1" x14ac:dyDescent="0.2">
      <c r="A537" s="714"/>
      <c r="B537" s="418"/>
      <c r="C537" s="418"/>
      <c r="D537" s="418"/>
      <c r="E537" s="418"/>
      <c r="F537" s="418"/>
      <c r="G537" s="416"/>
      <c r="H537" s="12"/>
      <c r="I537" s="712"/>
      <c r="J537" s="416"/>
      <c r="K537" s="715"/>
      <c r="L537" s="416"/>
      <c r="M537" s="712" t="str">
        <f t="shared" si="64"/>
        <v/>
      </c>
      <c r="N537" s="416"/>
    </row>
    <row r="538" spans="1:14" ht="12.75" customHeight="1" x14ac:dyDescent="0.2">
      <c r="A538" s="714"/>
      <c r="B538" s="418"/>
      <c r="C538" s="418"/>
      <c r="D538" s="418"/>
      <c r="E538" s="418"/>
      <c r="F538" s="418"/>
      <c r="G538" s="416"/>
      <c r="H538" s="12"/>
      <c r="I538" s="712"/>
      <c r="J538" s="416"/>
      <c r="K538" s="715"/>
      <c r="L538" s="416"/>
      <c r="M538" s="712" t="str">
        <f t="shared" si="64"/>
        <v/>
      </c>
      <c r="N538" s="416"/>
    </row>
    <row r="539" spans="1:14" ht="12.75" customHeight="1" x14ac:dyDescent="0.2">
      <c r="A539" s="714"/>
      <c r="B539" s="418"/>
      <c r="C539" s="418"/>
      <c r="D539" s="418"/>
      <c r="E539" s="418"/>
      <c r="F539" s="418"/>
      <c r="G539" s="416"/>
      <c r="H539" s="12"/>
      <c r="I539" s="712"/>
      <c r="J539" s="416"/>
      <c r="K539" s="715"/>
      <c r="L539" s="416"/>
      <c r="M539" s="712" t="str">
        <f t="shared" si="64"/>
        <v/>
      </c>
      <c r="N539" s="416"/>
    </row>
    <row r="540" spans="1:14" ht="12.75" customHeight="1" x14ac:dyDescent="0.25">
      <c r="A540" s="5"/>
      <c r="B540" s="5"/>
      <c r="C540" s="5"/>
      <c r="D540" s="5"/>
      <c r="E540" s="5"/>
      <c r="F540" s="5"/>
      <c r="G540" s="5"/>
      <c r="H540" s="5"/>
      <c r="I540" s="5"/>
      <c r="J540" s="5"/>
      <c r="K540" s="713" t="s">
        <v>261</v>
      </c>
      <c r="L540" s="416"/>
      <c r="M540" s="712">
        <f>SUM(M535:N539)</f>
        <v>2206.6944848867188</v>
      </c>
      <c r="N540" s="416"/>
    </row>
    <row r="541" spans="1:14" ht="12.75" customHeight="1" x14ac:dyDescent="0.25">
      <c r="A541" s="5"/>
      <c r="B541" s="5"/>
      <c r="C541" s="5"/>
      <c r="D541" s="5"/>
      <c r="E541" s="5"/>
      <c r="F541" s="5"/>
      <c r="G541" s="5"/>
      <c r="H541" s="5"/>
      <c r="I541" s="5"/>
      <c r="J541" s="5"/>
      <c r="K541" s="5"/>
      <c r="L541" s="5"/>
      <c r="M541" s="5"/>
      <c r="N541" s="5"/>
    </row>
    <row r="542" spans="1:14" ht="12.75" customHeight="1" x14ac:dyDescent="0.2">
      <c r="A542" s="716" t="s">
        <v>415</v>
      </c>
      <c r="B542" s="418"/>
      <c r="C542" s="418"/>
      <c r="D542" s="418"/>
      <c r="E542" s="418"/>
      <c r="F542" s="418"/>
      <c r="G542" s="418"/>
      <c r="H542" s="418"/>
      <c r="I542" s="418"/>
      <c r="J542" s="418"/>
      <c r="K542" s="418"/>
      <c r="L542" s="418"/>
      <c r="M542" s="418"/>
      <c r="N542" s="416"/>
    </row>
    <row r="543" spans="1:14" ht="12.75" customHeight="1" x14ac:dyDescent="0.2">
      <c r="A543" s="713" t="s">
        <v>39</v>
      </c>
      <c r="B543" s="418"/>
      <c r="C543" s="418"/>
      <c r="D543" s="418"/>
      <c r="E543" s="418"/>
      <c r="F543" s="418"/>
      <c r="G543" s="416"/>
      <c r="H543" s="61" t="s">
        <v>40</v>
      </c>
      <c r="I543" s="717" t="s">
        <v>404</v>
      </c>
      <c r="J543" s="416"/>
      <c r="K543" s="64" t="s">
        <v>253</v>
      </c>
      <c r="L543" s="65" t="s">
        <v>416</v>
      </c>
      <c r="M543" s="717" t="s">
        <v>405</v>
      </c>
      <c r="N543" s="416"/>
    </row>
    <row r="544" spans="1:14" ht="12.75" customHeight="1" x14ac:dyDescent="0.25">
      <c r="A544" s="711"/>
      <c r="B544" s="418"/>
      <c r="C544" s="418"/>
      <c r="D544" s="418"/>
      <c r="E544" s="418"/>
      <c r="F544" s="418"/>
      <c r="G544" s="416"/>
      <c r="H544" s="12" t="str">
        <f>IF(A544="","",VLOOKUP(A544,AA_Cuadrillas,4,FALSE))</f>
        <v/>
      </c>
      <c r="I544" s="712" t="str">
        <f>IF(A544="","",VLOOKUP(A544,AA_Cuadrillas,5,FALSE))</f>
        <v/>
      </c>
      <c r="J544" s="416"/>
      <c r="K544" s="3" t="str">
        <f>IF(A544="","",'04'!$I$2)</f>
        <v/>
      </c>
      <c r="L544" s="66"/>
      <c r="M544" s="712" t="str">
        <f t="shared" ref="M544:M548" si="65">IF(A544="","",I544*K544*L544)</f>
        <v/>
      </c>
      <c r="N544" s="416"/>
    </row>
    <row r="545" spans="1:16" ht="12.75" customHeight="1" x14ac:dyDescent="0.25">
      <c r="A545" s="711"/>
      <c r="B545" s="418"/>
      <c r="C545" s="418"/>
      <c r="D545" s="418"/>
      <c r="E545" s="418"/>
      <c r="F545" s="418"/>
      <c r="G545" s="416"/>
      <c r="H545" s="12" t="str">
        <f>IF(A545="","",VLOOKUP(A545,AA_Cuadrillas,4,FALSE))</f>
        <v/>
      </c>
      <c r="I545" s="712" t="str">
        <f>IF(A545="","",VLOOKUP(A545,AA_Cuadrillas,5,FALSE))</f>
        <v/>
      </c>
      <c r="J545" s="416"/>
      <c r="K545" s="3" t="str">
        <f>IF(A545="","",'04'!$I$2)</f>
        <v/>
      </c>
      <c r="L545" s="3"/>
      <c r="M545" s="712" t="str">
        <f t="shared" si="65"/>
        <v/>
      </c>
      <c r="N545" s="416"/>
    </row>
    <row r="546" spans="1:16" ht="12.75" customHeight="1" x14ac:dyDescent="0.25">
      <c r="A546" s="711"/>
      <c r="B546" s="418"/>
      <c r="C546" s="418"/>
      <c r="D546" s="418"/>
      <c r="E546" s="418"/>
      <c r="F546" s="418"/>
      <c r="G546" s="416"/>
      <c r="H546" s="12" t="str">
        <f>IF(A546="","",VLOOKUP(A546,AA_Cuadrillas,4,FALSE))</f>
        <v/>
      </c>
      <c r="I546" s="712" t="str">
        <f>IF(A546="","",VLOOKUP(A546,AA_Cuadrillas,5,FALSE))</f>
        <v/>
      </c>
      <c r="J546" s="416"/>
      <c r="K546" s="3" t="str">
        <f>IF(A546="","",'04'!$I$2)</f>
        <v/>
      </c>
      <c r="L546" s="13"/>
      <c r="M546" s="712" t="str">
        <f t="shared" si="65"/>
        <v/>
      </c>
      <c r="N546" s="416"/>
    </row>
    <row r="547" spans="1:16" ht="12.75" customHeight="1" x14ac:dyDescent="0.25">
      <c r="A547" s="711"/>
      <c r="B547" s="418"/>
      <c r="C547" s="418"/>
      <c r="D547" s="418"/>
      <c r="E547" s="418"/>
      <c r="F547" s="418"/>
      <c r="G547" s="416"/>
      <c r="H547" s="12" t="str">
        <f>IF(A547="","",VLOOKUP(A547,AA_Cuadrillas,4,FALSE))</f>
        <v/>
      </c>
      <c r="I547" s="712" t="str">
        <f>IF(A547="","",VLOOKUP(A547,AA_Cuadrillas,5,FALSE))</f>
        <v/>
      </c>
      <c r="J547" s="416"/>
      <c r="K547" s="3" t="str">
        <f>IF(A547="","",'04'!$I$2)</f>
        <v/>
      </c>
      <c r="L547" s="13"/>
      <c r="M547" s="712" t="str">
        <f t="shared" si="65"/>
        <v/>
      </c>
      <c r="N547" s="416"/>
    </row>
    <row r="548" spans="1:16" ht="12.75" customHeight="1" x14ac:dyDescent="0.25">
      <c r="A548" s="711"/>
      <c r="B548" s="418"/>
      <c r="C548" s="418"/>
      <c r="D548" s="418"/>
      <c r="E548" s="418"/>
      <c r="F548" s="418"/>
      <c r="G548" s="416"/>
      <c r="H548" s="12" t="str">
        <f>IF(A548="","",VLOOKUP(A548,AA_Cuadrillas,4,FALSE))</f>
        <v/>
      </c>
      <c r="I548" s="712" t="str">
        <f>IF(A548="","",VLOOKUP(A548,AA_Cuadrillas,5,FALSE))</f>
        <v/>
      </c>
      <c r="J548" s="416"/>
      <c r="K548" s="3" t="str">
        <f>IF(A548="","",'04'!$I$2)</f>
        <v/>
      </c>
      <c r="L548" s="13"/>
      <c r="M548" s="712" t="str">
        <f t="shared" si="65"/>
        <v/>
      </c>
      <c r="N548" s="416"/>
    </row>
    <row r="549" spans="1:16" ht="12.75" customHeight="1" x14ac:dyDescent="0.25">
      <c r="A549" s="5"/>
      <c r="B549" s="5"/>
      <c r="C549" s="5"/>
      <c r="D549" s="5"/>
      <c r="E549" s="5"/>
      <c r="F549" s="5"/>
      <c r="G549" s="5"/>
      <c r="H549" s="5"/>
      <c r="I549" s="5"/>
      <c r="J549" s="5"/>
      <c r="K549" s="713" t="s">
        <v>261</v>
      </c>
      <c r="L549" s="416"/>
      <c r="M549" s="712">
        <f>SUM(M544:N548)</f>
        <v>0</v>
      </c>
      <c r="N549" s="416"/>
    </row>
    <row r="550" spans="1:16" ht="12.75" customHeight="1" x14ac:dyDescent="0.2"/>
    <row r="551" spans="1:16" ht="12.75" customHeight="1" x14ac:dyDescent="0.2">
      <c r="A551" s="784" t="s">
        <v>92</v>
      </c>
      <c r="B551" s="410"/>
      <c r="C551" s="410"/>
      <c r="D551" s="410"/>
      <c r="E551" s="410"/>
      <c r="F551" s="410"/>
      <c r="G551" s="410"/>
      <c r="H551" s="410"/>
      <c r="I551" s="410"/>
      <c r="J551" s="410"/>
      <c r="K551" s="410"/>
      <c r="L551" s="410"/>
      <c r="M551" s="410"/>
      <c r="N551" s="411"/>
      <c r="O551" s="272"/>
      <c r="P551" s="9"/>
    </row>
    <row r="552" spans="1:16" ht="12.75" customHeight="1" x14ac:dyDescent="0.2">
      <c r="A552" s="412"/>
      <c r="B552" s="413"/>
      <c r="C552" s="413"/>
      <c r="D552" s="413"/>
      <c r="E552" s="413"/>
      <c r="F552" s="413"/>
      <c r="G552" s="413"/>
      <c r="H552" s="413"/>
      <c r="I552" s="413"/>
      <c r="J552" s="413"/>
      <c r="K552" s="413"/>
      <c r="L552" s="413"/>
      <c r="M552" s="413"/>
      <c r="N552" s="414"/>
      <c r="O552" s="272"/>
      <c r="P552" s="9"/>
    </row>
    <row r="553" spans="1:16" ht="12.75" customHeight="1" x14ac:dyDescent="0.2">
      <c r="A553" s="49"/>
      <c r="B553" s="49"/>
      <c r="C553" s="49"/>
      <c r="D553" s="49"/>
      <c r="E553" s="49"/>
      <c r="F553" s="49"/>
      <c r="G553" s="49"/>
      <c r="H553" s="49"/>
      <c r="I553" s="49"/>
      <c r="J553" s="49"/>
      <c r="K553" s="49"/>
      <c r="L553" s="49"/>
      <c r="M553" s="49"/>
      <c r="N553" s="49"/>
    </row>
    <row r="554" spans="1:16" ht="12.75" customHeight="1" thickBot="1" x14ac:dyDescent="0.35">
      <c r="A554" s="51" t="str">
        <f>VLOOKUP(A551,'10'!$B$9:$N$100,13,FALSE)</f>
        <v>G009</v>
      </c>
      <c r="B554" s="52" t="str">
        <f>A551</f>
        <v>DISPOSICIÓN DE MATERIAL PROVENIENTE DE EXCAVACIÓN (INCLUYE TRANSPORTE)</v>
      </c>
      <c r="C554" s="53" t="s">
        <v>400</v>
      </c>
      <c r="D554" s="54" t="s">
        <v>420</v>
      </c>
      <c r="E554" s="55" t="s">
        <v>177</v>
      </c>
      <c r="F554" s="59">
        <f>H554+J554+L554+N554</f>
        <v>6737.2845638750005</v>
      </c>
      <c r="G554" s="55" t="s">
        <v>349</v>
      </c>
      <c r="H554" s="59">
        <f>M573</f>
        <v>82.727836375000024</v>
      </c>
      <c r="I554" s="55" t="s">
        <v>402</v>
      </c>
      <c r="J554" s="59">
        <f>M564</f>
        <v>5000</v>
      </c>
      <c r="K554" s="55" t="s">
        <v>351</v>
      </c>
      <c r="L554" s="59">
        <f>M582</f>
        <v>0</v>
      </c>
      <c r="M554" s="55" t="s">
        <v>352</v>
      </c>
      <c r="N554" s="59">
        <f>M591</f>
        <v>1654.5567275000003</v>
      </c>
    </row>
    <row r="555" spans="1:16" ht="12.75" customHeight="1" thickBot="1" x14ac:dyDescent="0.3">
      <c r="A555" s="60"/>
      <c r="B555" s="60"/>
      <c r="C555" s="60"/>
      <c r="D555" s="60"/>
      <c r="E555" s="60"/>
      <c r="F555" s="60"/>
      <c r="G555" s="60"/>
      <c r="J555" s="60"/>
      <c r="K555" s="60"/>
      <c r="L555" s="327" t="s">
        <v>1934</v>
      </c>
      <c r="M555" s="328">
        <f>+F554*'01'!$O$16</f>
        <v>8720.0066613592826</v>
      </c>
      <c r="N555" s="60"/>
    </row>
    <row r="556" spans="1:16" ht="12.75" customHeight="1" x14ac:dyDescent="0.2">
      <c r="A556" s="716" t="s">
        <v>403</v>
      </c>
      <c r="B556" s="418"/>
      <c r="C556" s="418"/>
      <c r="D556" s="418"/>
      <c r="E556" s="418"/>
      <c r="F556" s="418"/>
      <c r="G556" s="418"/>
      <c r="H556" s="418"/>
      <c r="I556" s="418"/>
      <c r="J556" s="418"/>
      <c r="K556" s="418"/>
      <c r="L556" s="418"/>
      <c r="M556" s="418"/>
      <c r="N556" s="416"/>
    </row>
    <row r="557" spans="1:16" ht="12.75" customHeight="1" x14ac:dyDescent="0.2">
      <c r="A557" s="713" t="s">
        <v>39</v>
      </c>
      <c r="B557" s="418"/>
      <c r="C557" s="418"/>
      <c r="D557" s="418"/>
      <c r="E557" s="418"/>
      <c r="F557" s="418"/>
      <c r="G557" s="416"/>
      <c r="H557" s="61" t="s">
        <v>40</v>
      </c>
      <c r="I557" s="717" t="s">
        <v>404</v>
      </c>
      <c r="J557" s="416"/>
      <c r="K557" s="717" t="s">
        <v>184</v>
      </c>
      <c r="L557" s="416"/>
      <c r="M557" s="717" t="s">
        <v>405</v>
      </c>
      <c r="N557" s="416"/>
    </row>
    <row r="558" spans="1:16" ht="12.75" customHeight="1" x14ac:dyDescent="0.2">
      <c r="A558" s="788" t="s">
        <v>1587</v>
      </c>
      <c r="B558" s="418"/>
      <c r="C558" s="418"/>
      <c r="D558" s="418"/>
      <c r="E558" s="418"/>
      <c r="F558" s="418"/>
      <c r="G558" s="416"/>
      <c r="H558" s="12" t="str">
        <f t="shared" ref="H558:H563" si="66">IF(A558="","",VLOOKUP(A558,AA_Materiales,7,FALSE))</f>
        <v>m3</v>
      </c>
      <c r="I558" s="712">
        <f t="shared" ref="I558:I563" si="67">IF(A558="","",VLOOKUP(A558,AA_Materiales,8,FALSE))</f>
        <v>5000</v>
      </c>
      <c r="J558" s="416"/>
      <c r="K558" s="715">
        <v>1</v>
      </c>
      <c r="L558" s="416"/>
      <c r="M558" s="712">
        <f t="shared" ref="M558:M563" si="68">IF(A558="","",I558*K558)</f>
        <v>5000</v>
      </c>
      <c r="N558" s="416"/>
    </row>
    <row r="559" spans="1:16" ht="12.75" customHeight="1" x14ac:dyDescent="0.2">
      <c r="A559" s="714"/>
      <c r="B559" s="418"/>
      <c r="C559" s="418"/>
      <c r="D559" s="418"/>
      <c r="E559" s="418"/>
      <c r="F559" s="418"/>
      <c r="G559" s="416"/>
      <c r="H559" s="12" t="str">
        <f t="shared" si="66"/>
        <v/>
      </c>
      <c r="I559" s="712" t="str">
        <f t="shared" si="67"/>
        <v/>
      </c>
      <c r="J559" s="416"/>
      <c r="K559" s="715"/>
      <c r="L559" s="416"/>
      <c r="M559" s="712" t="str">
        <f t="shared" si="68"/>
        <v/>
      </c>
      <c r="N559" s="416"/>
    </row>
    <row r="560" spans="1:16" ht="12.75" customHeight="1" x14ac:dyDescent="0.2">
      <c r="A560" s="714"/>
      <c r="B560" s="418"/>
      <c r="C560" s="418"/>
      <c r="D560" s="418"/>
      <c r="E560" s="418"/>
      <c r="F560" s="418"/>
      <c r="G560" s="416"/>
      <c r="H560" s="12" t="str">
        <f t="shared" si="66"/>
        <v/>
      </c>
      <c r="I560" s="712" t="str">
        <f t="shared" si="67"/>
        <v/>
      </c>
      <c r="J560" s="416"/>
      <c r="K560" s="715"/>
      <c r="L560" s="416"/>
      <c r="M560" s="712" t="str">
        <f t="shared" si="68"/>
        <v/>
      </c>
      <c r="N560" s="416"/>
    </row>
    <row r="561" spans="1:14" ht="12.75" customHeight="1" x14ac:dyDescent="0.2">
      <c r="A561" s="714"/>
      <c r="B561" s="418"/>
      <c r="C561" s="418"/>
      <c r="D561" s="418"/>
      <c r="E561" s="418"/>
      <c r="F561" s="418"/>
      <c r="G561" s="416"/>
      <c r="H561" s="12" t="str">
        <f t="shared" si="66"/>
        <v/>
      </c>
      <c r="I561" s="712" t="str">
        <f t="shared" si="67"/>
        <v/>
      </c>
      <c r="J561" s="416"/>
      <c r="K561" s="715"/>
      <c r="L561" s="416"/>
      <c r="M561" s="712" t="str">
        <f t="shared" si="68"/>
        <v/>
      </c>
      <c r="N561" s="416"/>
    </row>
    <row r="562" spans="1:14" ht="12.75" customHeight="1" x14ac:dyDescent="0.2">
      <c r="A562" s="714"/>
      <c r="B562" s="418"/>
      <c r="C562" s="418"/>
      <c r="D562" s="418"/>
      <c r="E562" s="418"/>
      <c r="F562" s="418"/>
      <c r="G562" s="416"/>
      <c r="H562" s="12" t="str">
        <f t="shared" si="66"/>
        <v/>
      </c>
      <c r="I562" s="712" t="str">
        <f t="shared" si="67"/>
        <v/>
      </c>
      <c r="J562" s="416"/>
      <c r="K562" s="715"/>
      <c r="L562" s="416"/>
      <c r="M562" s="712" t="str">
        <f t="shared" si="68"/>
        <v/>
      </c>
      <c r="N562" s="416"/>
    </row>
    <row r="563" spans="1:14" ht="12.75" customHeight="1" x14ac:dyDescent="0.2">
      <c r="A563" s="714"/>
      <c r="B563" s="418"/>
      <c r="C563" s="418"/>
      <c r="D563" s="418"/>
      <c r="E563" s="418"/>
      <c r="F563" s="418"/>
      <c r="G563" s="416"/>
      <c r="H563" s="12" t="str">
        <f t="shared" si="66"/>
        <v/>
      </c>
      <c r="I563" s="712" t="str">
        <f t="shared" si="67"/>
        <v/>
      </c>
      <c r="J563" s="416"/>
      <c r="K563" s="715"/>
      <c r="L563" s="416"/>
      <c r="M563" s="712" t="str">
        <f t="shared" si="68"/>
        <v/>
      </c>
      <c r="N563" s="416"/>
    </row>
    <row r="564" spans="1:14" ht="12.75" customHeight="1" x14ac:dyDescent="0.25">
      <c r="A564" s="5"/>
      <c r="B564" s="5"/>
      <c r="C564" s="5"/>
      <c r="D564" s="5"/>
      <c r="E564" s="5"/>
      <c r="F564" s="5"/>
      <c r="G564" s="5"/>
      <c r="H564" s="5"/>
      <c r="I564" s="5"/>
      <c r="J564" s="5"/>
      <c r="K564" s="713" t="s">
        <v>261</v>
      </c>
      <c r="L564" s="416"/>
      <c r="M564" s="712">
        <f>SUM(M558:N563)</f>
        <v>5000</v>
      </c>
      <c r="N564" s="416"/>
    </row>
    <row r="565" spans="1:14" ht="12.75" customHeight="1" x14ac:dyDescent="0.25">
      <c r="A565" s="5"/>
      <c r="B565" s="5"/>
      <c r="C565" s="5"/>
      <c r="D565" s="5"/>
      <c r="E565" s="5"/>
      <c r="F565" s="5"/>
      <c r="G565" s="5"/>
      <c r="H565" s="5"/>
      <c r="I565" s="5"/>
      <c r="J565" s="5"/>
      <c r="K565" s="5"/>
      <c r="L565" s="5"/>
      <c r="M565" s="5"/>
      <c r="N565" s="5"/>
    </row>
    <row r="566" spans="1:14" ht="12.75" customHeight="1" x14ac:dyDescent="0.2">
      <c r="A566" s="716" t="s">
        <v>410</v>
      </c>
      <c r="B566" s="418"/>
      <c r="C566" s="418"/>
      <c r="D566" s="418"/>
      <c r="E566" s="418"/>
      <c r="F566" s="418"/>
      <c r="G566" s="418"/>
      <c r="H566" s="418"/>
      <c r="I566" s="418"/>
      <c r="J566" s="418"/>
      <c r="K566" s="418"/>
      <c r="L566" s="418"/>
      <c r="M566" s="418"/>
      <c r="N566" s="416"/>
    </row>
    <row r="567" spans="1:14" ht="12.75" customHeight="1" x14ac:dyDescent="0.2">
      <c r="A567" s="713" t="s">
        <v>39</v>
      </c>
      <c r="B567" s="418"/>
      <c r="C567" s="418"/>
      <c r="D567" s="418"/>
      <c r="E567" s="418"/>
      <c r="F567" s="418"/>
      <c r="G567" s="416"/>
      <c r="H567" s="61" t="s">
        <v>40</v>
      </c>
      <c r="I567" s="717" t="s">
        <v>404</v>
      </c>
      <c r="J567" s="416"/>
      <c r="K567" s="717" t="s">
        <v>184</v>
      </c>
      <c r="L567" s="416"/>
      <c r="M567" s="717" t="s">
        <v>405</v>
      </c>
      <c r="N567" s="416"/>
    </row>
    <row r="568" spans="1:14" ht="12.75" customHeight="1" x14ac:dyDescent="0.2">
      <c r="A568" s="714" t="s">
        <v>411</v>
      </c>
      <c r="B568" s="418"/>
      <c r="C568" s="418"/>
      <c r="D568" s="418"/>
      <c r="E568" s="418"/>
      <c r="F568" s="418"/>
      <c r="G568" s="416"/>
      <c r="H568" s="12" t="str">
        <f>IF(A568="","",VLOOKUP(A568,AA_Equipos,7,FALSE))</f>
        <v>% M.O.</v>
      </c>
      <c r="I568" s="712">
        <f>+M591</f>
        <v>1654.5567275000003</v>
      </c>
      <c r="J568" s="416"/>
      <c r="K568" s="722">
        <v>0.05</v>
      </c>
      <c r="L568" s="416"/>
      <c r="M568" s="712">
        <f t="shared" ref="M568:M572" si="69">IF(A568="","",I568*K568)</f>
        <v>82.727836375000024</v>
      </c>
      <c r="N568" s="416"/>
    </row>
    <row r="569" spans="1:14" ht="12.75" customHeight="1" x14ac:dyDescent="0.2">
      <c r="A569" s="719"/>
      <c r="B569" s="418"/>
      <c r="C569" s="418"/>
      <c r="D569" s="418"/>
      <c r="E569" s="418"/>
      <c r="F569" s="418"/>
      <c r="G569" s="416"/>
      <c r="H569" s="12"/>
      <c r="I569" s="712"/>
      <c r="J569" s="416"/>
      <c r="K569" s="723"/>
      <c r="L569" s="416"/>
      <c r="M569" s="712" t="str">
        <f t="shared" si="69"/>
        <v/>
      </c>
      <c r="N569" s="416"/>
    </row>
    <row r="570" spans="1:14" ht="12.75" customHeight="1" x14ac:dyDescent="0.2">
      <c r="A570" s="714"/>
      <c r="B570" s="418"/>
      <c r="C570" s="418"/>
      <c r="D570" s="418"/>
      <c r="E570" s="418"/>
      <c r="F570" s="418"/>
      <c r="G570" s="416"/>
      <c r="H570" s="12" t="str">
        <f>IF(A570="","",VLOOKUP(A570,AA_Equipos,7,FALSE))</f>
        <v/>
      </c>
      <c r="I570" s="712" t="str">
        <f>IF(A570="","",VLOOKUP(A570,AA_Equipos,8,FALSE))</f>
        <v/>
      </c>
      <c r="J570" s="416"/>
      <c r="K570" s="786"/>
      <c r="L570" s="416"/>
      <c r="M570" s="712" t="str">
        <f t="shared" si="69"/>
        <v/>
      </c>
      <c r="N570" s="416"/>
    </row>
    <row r="571" spans="1:14" ht="12.75" customHeight="1" x14ac:dyDescent="0.2">
      <c r="A571" s="714"/>
      <c r="B571" s="418"/>
      <c r="C571" s="418"/>
      <c r="D571" s="418"/>
      <c r="E571" s="418"/>
      <c r="F571" s="418"/>
      <c r="G571" s="416"/>
      <c r="H571" s="12" t="str">
        <f>IF(A571="","",VLOOKUP(A571,AA_Equipos,7,FALSE))</f>
        <v/>
      </c>
      <c r="I571" s="712" t="str">
        <f>IF(A571="","",VLOOKUP(A571,AA_Equipos,8,FALSE))</f>
        <v/>
      </c>
      <c r="J571" s="416"/>
      <c r="K571" s="715"/>
      <c r="L571" s="416"/>
      <c r="M571" s="712" t="str">
        <f t="shared" si="69"/>
        <v/>
      </c>
      <c r="N571" s="416"/>
    </row>
    <row r="572" spans="1:14" ht="12.75" customHeight="1" x14ac:dyDescent="0.2">
      <c r="A572" s="714"/>
      <c r="B572" s="418"/>
      <c r="C572" s="418"/>
      <c r="D572" s="418"/>
      <c r="E572" s="418"/>
      <c r="F572" s="418"/>
      <c r="G572" s="416"/>
      <c r="H572" s="12" t="str">
        <f>IF(A572="","",VLOOKUP(A572,AA_Equipos,7,FALSE))</f>
        <v/>
      </c>
      <c r="I572" s="712" t="str">
        <f>IF(A572="","",VLOOKUP(A572,AA_Equipos,8,FALSE))</f>
        <v/>
      </c>
      <c r="J572" s="416"/>
      <c r="K572" s="715"/>
      <c r="L572" s="416"/>
      <c r="M572" s="712" t="str">
        <f t="shared" si="69"/>
        <v/>
      </c>
      <c r="N572" s="416"/>
    </row>
    <row r="573" spans="1:14" ht="12.75" customHeight="1" x14ac:dyDescent="0.25">
      <c r="A573" s="5"/>
      <c r="B573" s="5"/>
      <c r="C573" s="5"/>
      <c r="D573" s="5"/>
      <c r="E573" s="5"/>
      <c r="F573" s="5"/>
      <c r="G573" s="5"/>
      <c r="H573" s="5"/>
      <c r="I573" s="5"/>
      <c r="J573" s="5"/>
      <c r="K573" s="713" t="s">
        <v>261</v>
      </c>
      <c r="L573" s="416"/>
      <c r="M573" s="712">
        <f>SUM(M568:N572)</f>
        <v>82.727836375000024</v>
      </c>
      <c r="N573" s="416"/>
    </row>
    <row r="574" spans="1:14" ht="12.75" customHeight="1" x14ac:dyDescent="0.25">
      <c r="A574" s="5"/>
      <c r="B574" s="5"/>
      <c r="C574" s="5"/>
      <c r="D574" s="5"/>
      <c r="E574" s="5"/>
      <c r="F574" s="5"/>
      <c r="G574" s="5"/>
      <c r="H574" s="5"/>
      <c r="I574" s="5"/>
      <c r="J574" s="5"/>
      <c r="K574" s="5"/>
      <c r="L574" s="5"/>
      <c r="M574" s="5"/>
      <c r="N574" s="5"/>
    </row>
    <row r="575" spans="1:14" ht="12.75" customHeight="1" x14ac:dyDescent="0.2">
      <c r="A575" s="716" t="s">
        <v>413</v>
      </c>
      <c r="B575" s="418"/>
      <c r="C575" s="418"/>
      <c r="D575" s="418"/>
      <c r="E575" s="418"/>
      <c r="F575" s="418"/>
      <c r="G575" s="418"/>
      <c r="H575" s="418"/>
      <c r="I575" s="418"/>
      <c r="J575" s="418"/>
      <c r="K575" s="418"/>
      <c r="L575" s="418"/>
      <c r="M575" s="418"/>
      <c r="N575" s="416"/>
    </row>
    <row r="576" spans="1:14" ht="12.75" customHeight="1" x14ac:dyDescent="0.2">
      <c r="A576" s="713" t="s">
        <v>39</v>
      </c>
      <c r="B576" s="418"/>
      <c r="C576" s="418"/>
      <c r="D576" s="418"/>
      <c r="E576" s="418"/>
      <c r="F576" s="418"/>
      <c r="G576" s="416"/>
      <c r="H576" s="61" t="s">
        <v>40</v>
      </c>
      <c r="I576" s="717" t="s">
        <v>404</v>
      </c>
      <c r="J576" s="416"/>
      <c r="K576" s="717" t="s">
        <v>184</v>
      </c>
      <c r="L576" s="416"/>
      <c r="M576" s="717" t="s">
        <v>405</v>
      </c>
      <c r="N576" s="416"/>
    </row>
    <row r="577" spans="1:14" ht="12.75" customHeight="1" x14ac:dyDescent="0.2">
      <c r="A577" s="714"/>
      <c r="B577" s="418"/>
      <c r="C577" s="418"/>
      <c r="D577" s="418"/>
      <c r="E577" s="418"/>
      <c r="F577" s="418"/>
      <c r="G577" s="416"/>
      <c r="H577" s="12"/>
      <c r="I577" s="712"/>
      <c r="J577" s="416"/>
      <c r="K577" s="715"/>
      <c r="L577" s="416"/>
      <c r="M577" s="712" t="str">
        <f t="shared" ref="M577:M581" si="70">IF(A577="","",I577*K577)</f>
        <v/>
      </c>
      <c r="N577" s="416"/>
    </row>
    <row r="578" spans="1:14" ht="12.75" customHeight="1" x14ac:dyDescent="0.2">
      <c r="A578" s="719"/>
      <c r="B578" s="418"/>
      <c r="C578" s="418"/>
      <c r="D578" s="418"/>
      <c r="E578" s="418"/>
      <c r="F578" s="418"/>
      <c r="G578" s="416"/>
      <c r="H578" s="12"/>
      <c r="I578" s="712"/>
      <c r="J578" s="416"/>
      <c r="K578" s="722"/>
      <c r="L578" s="416"/>
      <c r="M578" s="712" t="str">
        <f t="shared" si="70"/>
        <v/>
      </c>
      <c r="N578" s="416"/>
    </row>
    <row r="579" spans="1:14" ht="12.75" customHeight="1" x14ac:dyDescent="0.2">
      <c r="A579" s="714"/>
      <c r="B579" s="418"/>
      <c r="C579" s="418"/>
      <c r="D579" s="418"/>
      <c r="E579" s="418"/>
      <c r="F579" s="418"/>
      <c r="G579" s="416"/>
      <c r="H579" s="12"/>
      <c r="I579" s="712"/>
      <c r="J579" s="416"/>
      <c r="K579" s="715"/>
      <c r="L579" s="416"/>
      <c r="M579" s="712" t="str">
        <f t="shared" si="70"/>
        <v/>
      </c>
      <c r="N579" s="416"/>
    </row>
    <row r="580" spans="1:14" ht="12.75" customHeight="1" x14ac:dyDescent="0.2">
      <c r="A580" s="714"/>
      <c r="B580" s="418"/>
      <c r="C580" s="418"/>
      <c r="D580" s="418"/>
      <c r="E580" s="418"/>
      <c r="F580" s="418"/>
      <c r="G580" s="416"/>
      <c r="H580" s="12"/>
      <c r="I580" s="712"/>
      <c r="J580" s="416"/>
      <c r="K580" s="715"/>
      <c r="L580" s="416"/>
      <c r="M580" s="712" t="str">
        <f t="shared" si="70"/>
        <v/>
      </c>
      <c r="N580" s="416"/>
    </row>
    <row r="581" spans="1:14" ht="12.75" customHeight="1" x14ac:dyDescent="0.2">
      <c r="A581" s="714"/>
      <c r="B581" s="418"/>
      <c r="C581" s="418"/>
      <c r="D581" s="418"/>
      <c r="E581" s="418"/>
      <c r="F581" s="418"/>
      <c r="G581" s="416"/>
      <c r="H581" s="12"/>
      <c r="I581" s="712"/>
      <c r="J581" s="416"/>
      <c r="K581" s="715"/>
      <c r="L581" s="416"/>
      <c r="M581" s="712" t="str">
        <f t="shared" si="70"/>
        <v/>
      </c>
      <c r="N581" s="416"/>
    </row>
    <row r="582" spans="1:14" ht="12.75" customHeight="1" x14ac:dyDescent="0.25">
      <c r="A582" s="5"/>
      <c r="B582" s="5"/>
      <c r="C582" s="5"/>
      <c r="D582" s="5"/>
      <c r="E582" s="5"/>
      <c r="F582" s="5"/>
      <c r="G582" s="5"/>
      <c r="H582" s="5"/>
      <c r="I582" s="5"/>
      <c r="J582" s="5"/>
      <c r="K582" s="713" t="s">
        <v>261</v>
      </c>
      <c r="L582" s="416"/>
      <c r="M582" s="712">
        <f>SUM(M577:N581)</f>
        <v>0</v>
      </c>
      <c r="N582" s="416"/>
    </row>
    <row r="583" spans="1:14" ht="12.75" customHeight="1" x14ac:dyDescent="0.25">
      <c r="A583" s="5"/>
      <c r="B583" s="5"/>
      <c r="C583" s="5"/>
      <c r="D583" s="5"/>
      <c r="E583" s="5"/>
      <c r="F583" s="5"/>
      <c r="G583" s="5"/>
      <c r="H583" s="5"/>
      <c r="I583" s="5"/>
      <c r="J583" s="5"/>
      <c r="K583" s="5"/>
      <c r="L583" s="5"/>
      <c r="M583" s="5"/>
      <c r="N583" s="5"/>
    </row>
    <row r="584" spans="1:14" ht="12.75" customHeight="1" x14ac:dyDescent="0.2">
      <c r="A584" s="716" t="s">
        <v>415</v>
      </c>
      <c r="B584" s="418"/>
      <c r="C584" s="418"/>
      <c r="D584" s="418"/>
      <c r="E584" s="418"/>
      <c r="F584" s="418"/>
      <c r="G584" s="418"/>
      <c r="H584" s="418"/>
      <c r="I584" s="418"/>
      <c r="J584" s="418"/>
      <c r="K584" s="418"/>
      <c r="L584" s="418"/>
      <c r="M584" s="418"/>
      <c r="N584" s="416"/>
    </row>
    <row r="585" spans="1:14" ht="12.75" customHeight="1" x14ac:dyDescent="0.2">
      <c r="A585" s="713" t="s">
        <v>39</v>
      </c>
      <c r="B585" s="418"/>
      <c r="C585" s="418"/>
      <c r="D585" s="418"/>
      <c r="E585" s="418"/>
      <c r="F585" s="418"/>
      <c r="G585" s="416"/>
      <c r="H585" s="61" t="s">
        <v>40</v>
      </c>
      <c r="I585" s="717" t="s">
        <v>404</v>
      </c>
      <c r="J585" s="416"/>
      <c r="K585" s="64" t="s">
        <v>253</v>
      </c>
      <c r="L585" s="65" t="s">
        <v>416</v>
      </c>
      <c r="M585" s="717" t="s">
        <v>405</v>
      </c>
      <c r="N585" s="416"/>
    </row>
    <row r="586" spans="1:14" ht="12.75" customHeight="1" x14ac:dyDescent="0.25">
      <c r="A586" s="711" t="s">
        <v>421</v>
      </c>
      <c r="B586" s="418"/>
      <c r="C586" s="418"/>
      <c r="D586" s="418"/>
      <c r="E586" s="418"/>
      <c r="F586" s="418"/>
      <c r="G586" s="416"/>
      <c r="H586" s="12" t="str">
        <f>IF(A586="","",VLOOKUP(A586,AA_Cuadrillas,4,FALSE))</f>
        <v>Cuadrilla</v>
      </c>
      <c r="I586" s="712">
        <f>IF(A586="","",VLOOKUP(A586,AA_Cuadrillas,5,FALSE))</f>
        <v>70036</v>
      </c>
      <c r="J586" s="416"/>
      <c r="K586" s="3">
        <f>IF(A586="","",'04'!$I$2)</f>
        <v>1.88995</v>
      </c>
      <c r="L586" s="66">
        <v>1.2500000000000001E-2</v>
      </c>
      <c r="M586" s="712">
        <f t="shared" ref="M586:M590" si="71">IF(A586="","",I586*K586*L586)</f>
        <v>1654.5567275000003</v>
      </c>
      <c r="N586" s="416"/>
    </row>
    <row r="587" spans="1:14" ht="12.75" customHeight="1" x14ac:dyDescent="0.25">
      <c r="A587" s="711"/>
      <c r="B587" s="418"/>
      <c r="C587" s="418"/>
      <c r="D587" s="418"/>
      <c r="E587" s="418"/>
      <c r="F587" s="418"/>
      <c r="G587" s="416"/>
      <c r="H587" s="12" t="str">
        <f>IF(A587="","",VLOOKUP(A587,AA_Cuadrillas,4,FALSE))</f>
        <v/>
      </c>
      <c r="I587" s="712" t="str">
        <f>IF(A587="","",VLOOKUP(A587,AA_Cuadrillas,5,FALSE))</f>
        <v/>
      </c>
      <c r="J587" s="416"/>
      <c r="K587" s="3" t="str">
        <f>IF(A587="","",'04'!$I$2)</f>
        <v/>
      </c>
      <c r="L587" s="3"/>
      <c r="M587" s="712" t="str">
        <f t="shared" si="71"/>
        <v/>
      </c>
      <c r="N587" s="416"/>
    </row>
    <row r="588" spans="1:14" ht="12.75" customHeight="1" x14ac:dyDescent="0.25">
      <c r="A588" s="711"/>
      <c r="B588" s="418"/>
      <c r="C588" s="418"/>
      <c r="D588" s="418"/>
      <c r="E588" s="418"/>
      <c r="F588" s="418"/>
      <c r="G588" s="416"/>
      <c r="H588" s="12" t="str">
        <f>IF(A588="","",VLOOKUP(A588,AA_Cuadrillas,4,FALSE))</f>
        <v/>
      </c>
      <c r="I588" s="712" t="str">
        <f>IF(A588="","",VLOOKUP(A588,AA_Cuadrillas,5,FALSE))</f>
        <v/>
      </c>
      <c r="J588" s="416"/>
      <c r="K588" s="3" t="str">
        <f>IF(A588="","",'04'!$I$2)</f>
        <v/>
      </c>
      <c r="L588" s="13"/>
      <c r="M588" s="712" t="str">
        <f t="shared" si="71"/>
        <v/>
      </c>
      <c r="N588" s="416"/>
    </row>
    <row r="589" spans="1:14" ht="12.75" customHeight="1" x14ac:dyDescent="0.25">
      <c r="A589" s="711"/>
      <c r="B589" s="418"/>
      <c r="C589" s="418"/>
      <c r="D589" s="418"/>
      <c r="E589" s="418"/>
      <c r="F589" s="418"/>
      <c r="G589" s="416"/>
      <c r="H589" s="12" t="str">
        <f>IF(A589="","",VLOOKUP(A589,AA_Cuadrillas,4,FALSE))</f>
        <v/>
      </c>
      <c r="I589" s="712" t="str">
        <f>IF(A589="","",VLOOKUP(A589,AA_Cuadrillas,5,FALSE))</f>
        <v/>
      </c>
      <c r="J589" s="416"/>
      <c r="K589" s="3" t="str">
        <f>IF(A589="","",'04'!$I$2)</f>
        <v/>
      </c>
      <c r="L589" s="13"/>
      <c r="M589" s="712" t="str">
        <f t="shared" si="71"/>
        <v/>
      </c>
      <c r="N589" s="416"/>
    </row>
    <row r="590" spans="1:14" ht="12.75" customHeight="1" x14ac:dyDescent="0.25">
      <c r="A590" s="711"/>
      <c r="B590" s="418"/>
      <c r="C590" s="418"/>
      <c r="D590" s="418"/>
      <c r="E590" s="418"/>
      <c r="F590" s="418"/>
      <c r="G590" s="416"/>
      <c r="H590" s="12" t="str">
        <f>IF(A590="","",VLOOKUP(A590,AA_Cuadrillas,4,FALSE))</f>
        <v/>
      </c>
      <c r="I590" s="712" t="str">
        <f>IF(A590="","",VLOOKUP(A590,AA_Cuadrillas,5,FALSE))</f>
        <v/>
      </c>
      <c r="J590" s="416"/>
      <c r="K590" s="3" t="str">
        <f>IF(A590="","",'04'!$I$2)</f>
        <v/>
      </c>
      <c r="L590" s="13"/>
      <c r="M590" s="712" t="str">
        <f t="shared" si="71"/>
        <v/>
      </c>
      <c r="N590" s="416"/>
    </row>
    <row r="591" spans="1:14" ht="12.75" customHeight="1" x14ac:dyDescent="0.25">
      <c r="A591" s="5"/>
      <c r="B591" s="5"/>
      <c r="C591" s="5"/>
      <c r="D591" s="5"/>
      <c r="E591" s="5"/>
      <c r="F591" s="5"/>
      <c r="G591" s="5"/>
      <c r="H591" s="5"/>
      <c r="I591" s="5"/>
      <c r="J591" s="5"/>
      <c r="K591" s="713" t="s">
        <v>261</v>
      </c>
      <c r="L591" s="416"/>
      <c r="M591" s="712">
        <f>SUM(M586:N590)</f>
        <v>1654.5567275000003</v>
      </c>
      <c r="N591" s="416"/>
    </row>
    <row r="592" spans="1:14" ht="12.75" customHeight="1" x14ac:dyDescent="0.2"/>
    <row r="593" spans="1:16" ht="12.75" customHeight="1" x14ac:dyDescent="0.2">
      <c r="A593" s="785" t="s">
        <v>77</v>
      </c>
      <c r="B593" s="410"/>
      <c r="C593" s="410"/>
      <c r="D593" s="410"/>
      <c r="E593" s="410"/>
      <c r="F593" s="410"/>
      <c r="G593" s="410"/>
      <c r="H593" s="410"/>
      <c r="I593" s="410"/>
      <c r="J593" s="410"/>
      <c r="K593" s="410"/>
      <c r="L593" s="410"/>
      <c r="M593" s="410"/>
      <c r="N593" s="411"/>
      <c r="O593" s="272"/>
      <c r="P593" s="9"/>
    </row>
    <row r="594" spans="1:16" ht="12.75" customHeight="1" x14ac:dyDescent="0.2">
      <c r="A594" s="412"/>
      <c r="B594" s="413"/>
      <c r="C594" s="413"/>
      <c r="D594" s="413"/>
      <c r="E594" s="413"/>
      <c r="F594" s="413"/>
      <c r="G594" s="413"/>
      <c r="H594" s="413"/>
      <c r="I594" s="413"/>
      <c r="J594" s="413"/>
      <c r="K594" s="413"/>
      <c r="L594" s="413"/>
      <c r="M594" s="413"/>
      <c r="N594" s="414"/>
      <c r="O594" s="272"/>
      <c r="P594" s="9"/>
    </row>
    <row r="595" spans="1:16" ht="12.75" customHeight="1" x14ac:dyDescent="0.2">
      <c r="A595" s="49"/>
      <c r="B595" s="49"/>
      <c r="C595" s="49"/>
      <c r="D595" s="49"/>
      <c r="E595" s="49"/>
      <c r="F595" s="49"/>
      <c r="G595" s="49"/>
      <c r="H595" s="49"/>
      <c r="I595" s="49"/>
      <c r="J595" s="49"/>
      <c r="K595" s="49"/>
      <c r="L595" s="49"/>
      <c r="M595" s="49"/>
      <c r="N595" s="49"/>
    </row>
    <row r="596" spans="1:16" ht="12.75" customHeight="1" thickBot="1" x14ac:dyDescent="0.35">
      <c r="A596" s="51" t="str">
        <f>VLOOKUP(A593,'10'!$B$9:$N$100,13,FALSE)</f>
        <v>G039</v>
      </c>
      <c r="B596" s="52" t="str">
        <f>A593</f>
        <v>SUMINISTRO E INSTALACIÓN PASOS PARA ESCALERA DE GATO EN VARILLA PRD-60 DE 3/4" ANTIDESLIZANTE CON ANCLAJE DENTADO, REFUERZO, Y TRANCA PIE. L=0,30 M AN= 0,30 (INCLUYE MATERIALES, EQUIPOS Y  MANO DE OBRA)</v>
      </c>
      <c r="C596" s="53" t="s">
        <v>400</v>
      </c>
      <c r="D596" s="54" t="s">
        <v>475</v>
      </c>
      <c r="E596" s="55" t="s">
        <v>177</v>
      </c>
      <c r="F596" s="59">
        <f>H596+J596+L596+N596</f>
        <v>115255.28385825001</v>
      </c>
      <c r="G596" s="55" t="s">
        <v>349</v>
      </c>
      <c r="H596" s="59">
        <f>M615</f>
        <v>3049.7039932500002</v>
      </c>
      <c r="I596" s="55" t="s">
        <v>402</v>
      </c>
      <c r="J596" s="59">
        <f>M606</f>
        <v>91630</v>
      </c>
      <c r="K596" s="55" t="s">
        <v>351</v>
      </c>
      <c r="L596" s="59">
        <f>M624</f>
        <v>4581.5</v>
      </c>
      <c r="M596" s="55" t="s">
        <v>352</v>
      </c>
      <c r="N596" s="59">
        <f>M633</f>
        <v>15994.079865000002</v>
      </c>
    </row>
    <row r="597" spans="1:16" ht="12.75" customHeight="1" thickBot="1" x14ac:dyDescent="0.3">
      <c r="A597" s="60"/>
      <c r="B597" s="60"/>
      <c r="C597" s="60"/>
      <c r="D597" s="60"/>
      <c r="E597" s="60"/>
      <c r="F597" s="60"/>
      <c r="G597" s="60"/>
      <c r="J597" s="60"/>
      <c r="K597" s="60"/>
      <c r="L597" s="327" t="s">
        <v>1934</v>
      </c>
      <c r="M597" s="328">
        <f>+F596*'01'!$O$16</f>
        <v>149173.87464820786</v>
      </c>
      <c r="N597" s="60"/>
    </row>
    <row r="598" spans="1:16" ht="12.75" customHeight="1" x14ac:dyDescent="0.2">
      <c r="A598" s="716" t="s">
        <v>403</v>
      </c>
      <c r="B598" s="418"/>
      <c r="C598" s="418"/>
      <c r="D598" s="418"/>
      <c r="E598" s="418"/>
      <c r="F598" s="418"/>
      <c r="G598" s="418"/>
      <c r="H598" s="418"/>
      <c r="I598" s="418"/>
      <c r="J598" s="418"/>
      <c r="K598" s="418"/>
      <c r="L598" s="418"/>
      <c r="M598" s="418"/>
      <c r="N598" s="416"/>
    </row>
    <row r="599" spans="1:16" ht="12.75" customHeight="1" x14ac:dyDescent="0.2">
      <c r="A599" s="713" t="s">
        <v>39</v>
      </c>
      <c r="B599" s="418"/>
      <c r="C599" s="418"/>
      <c r="D599" s="418"/>
      <c r="E599" s="418"/>
      <c r="F599" s="418"/>
      <c r="G599" s="416"/>
      <c r="H599" s="61" t="s">
        <v>40</v>
      </c>
      <c r="I599" s="717" t="s">
        <v>404</v>
      </c>
      <c r="J599" s="416"/>
      <c r="K599" s="717" t="s">
        <v>184</v>
      </c>
      <c r="L599" s="416"/>
      <c r="M599" s="717" t="s">
        <v>405</v>
      </c>
      <c r="N599" s="416"/>
    </row>
    <row r="600" spans="1:16" ht="40.5" customHeight="1" x14ac:dyDescent="0.2">
      <c r="A600" s="719" t="s">
        <v>476</v>
      </c>
      <c r="B600" s="418"/>
      <c r="C600" s="418"/>
      <c r="D600" s="418"/>
      <c r="E600" s="418"/>
      <c r="F600" s="418"/>
      <c r="G600" s="416"/>
      <c r="H600" s="12" t="str">
        <f t="shared" ref="H600:H605" si="72">IF(A600="","",VLOOKUP(A600,AA_Materiales,7,FALSE))</f>
        <v>Unidad</v>
      </c>
      <c r="I600" s="712">
        <f t="shared" ref="I600:I605" si="73">IF(A600="","",VLOOKUP(A600,AA_Materiales,8,FALSE))</f>
        <v>91630</v>
      </c>
      <c r="J600" s="416"/>
      <c r="K600" s="715">
        <v>1</v>
      </c>
      <c r="L600" s="416"/>
      <c r="M600" s="712">
        <f t="shared" ref="M600:M605" si="74">IF(A600="","",I600*K600)</f>
        <v>91630</v>
      </c>
      <c r="N600" s="416"/>
    </row>
    <row r="601" spans="1:16" ht="12.75" customHeight="1" x14ac:dyDescent="0.2">
      <c r="A601" s="719"/>
      <c r="B601" s="418"/>
      <c r="C601" s="418"/>
      <c r="D601" s="418"/>
      <c r="E601" s="418"/>
      <c r="F601" s="418"/>
      <c r="G601" s="416"/>
      <c r="H601" s="12" t="str">
        <f t="shared" si="72"/>
        <v/>
      </c>
      <c r="I601" s="712" t="str">
        <f t="shared" si="73"/>
        <v/>
      </c>
      <c r="J601" s="416"/>
      <c r="K601" s="715"/>
      <c r="L601" s="416"/>
      <c r="M601" s="712" t="str">
        <f t="shared" si="74"/>
        <v/>
      </c>
      <c r="N601" s="416"/>
    </row>
    <row r="602" spans="1:16" ht="12.75" customHeight="1" x14ac:dyDescent="0.2">
      <c r="A602" s="719"/>
      <c r="B602" s="418"/>
      <c r="C602" s="418"/>
      <c r="D602" s="418"/>
      <c r="E602" s="418"/>
      <c r="F602" s="418"/>
      <c r="G602" s="416"/>
      <c r="H602" s="12" t="str">
        <f t="shared" si="72"/>
        <v/>
      </c>
      <c r="I602" s="712" t="str">
        <f t="shared" si="73"/>
        <v/>
      </c>
      <c r="J602" s="416"/>
      <c r="K602" s="715"/>
      <c r="L602" s="416"/>
      <c r="M602" s="712" t="str">
        <f t="shared" si="74"/>
        <v/>
      </c>
      <c r="N602" s="416"/>
    </row>
    <row r="603" spans="1:16" ht="12.75" customHeight="1" x14ac:dyDescent="0.2">
      <c r="A603" s="719"/>
      <c r="B603" s="418"/>
      <c r="C603" s="418"/>
      <c r="D603" s="418"/>
      <c r="E603" s="418"/>
      <c r="F603" s="418"/>
      <c r="G603" s="416"/>
      <c r="H603" s="12" t="str">
        <f t="shared" si="72"/>
        <v/>
      </c>
      <c r="I603" s="712" t="str">
        <f t="shared" si="73"/>
        <v/>
      </c>
      <c r="J603" s="416"/>
      <c r="K603" s="715"/>
      <c r="L603" s="416"/>
      <c r="M603" s="712" t="str">
        <f t="shared" si="74"/>
        <v/>
      </c>
      <c r="N603" s="416"/>
    </row>
    <row r="604" spans="1:16" ht="12.75" customHeight="1" x14ac:dyDescent="0.2">
      <c r="A604" s="719"/>
      <c r="B604" s="418"/>
      <c r="C604" s="418"/>
      <c r="D604" s="418"/>
      <c r="E604" s="418"/>
      <c r="F604" s="418"/>
      <c r="G604" s="416"/>
      <c r="H604" s="12" t="str">
        <f t="shared" si="72"/>
        <v/>
      </c>
      <c r="I604" s="712" t="str">
        <f t="shared" si="73"/>
        <v/>
      </c>
      <c r="J604" s="416"/>
      <c r="K604" s="715"/>
      <c r="L604" s="416"/>
      <c r="M604" s="712" t="str">
        <f t="shared" si="74"/>
        <v/>
      </c>
      <c r="N604" s="416"/>
    </row>
    <row r="605" spans="1:16" ht="12.75" customHeight="1" x14ac:dyDescent="0.2">
      <c r="A605" s="719"/>
      <c r="B605" s="418"/>
      <c r="C605" s="418"/>
      <c r="D605" s="418"/>
      <c r="E605" s="418"/>
      <c r="F605" s="418"/>
      <c r="G605" s="416"/>
      <c r="H605" s="12" t="str">
        <f t="shared" si="72"/>
        <v/>
      </c>
      <c r="I605" s="712" t="str">
        <f t="shared" si="73"/>
        <v/>
      </c>
      <c r="J605" s="416"/>
      <c r="K605" s="715"/>
      <c r="L605" s="416"/>
      <c r="M605" s="712" t="str">
        <f t="shared" si="74"/>
        <v/>
      </c>
      <c r="N605" s="416"/>
    </row>
    <row r="606" spans="1:16" ht="12.75" customHeight="1" x14ac:dyDescent="0.25">
      <c r="A606" s="5"/>
      <c r="B606" s="5"/>
      <c r="C606" s="5"/>
      <c r="D606" s="5"/>
      <c r="E606" s="5"/>
      <c r="F606" s="5"/>
      <c r="G606" s="5"/>
      <c r="H606" s="5"/>
      <c r="I606" s="5"/>
      <c r="J606" s="5"/>
      <c r="K606" s="713" t="s">
        <v>261</v>
      </c>
      <c r="L606" s="416"/>
      <c r="M606" s="712">
        <f>SUM(M600:N605)</f>
        <v>91630</v>
      </c>
      <c r="N606" s="416"/>
    </row>
    <row r="607" spans="1:16" ht="12.75" customHeight="1" x14ac:dyDescent="0.25">
      <c r="A607" s="5"/>
      <c r="B607" s="5"/>
      <c r="C607" s="5"/>
      <c r="D607" s="5"/>
      <c r="E607" s="5"/>
      <c r="F607" s="5"/>
      <c r="G607" s="5"/>
      <c r="H607" s="5"/>
      <c r="I607" s="5"/>
      <c r="J607" s="5"/>
      <c r="K607" s="5"/>
      <c r="L607" s="5"/>
      <c r="M607" s="5"/>
      <c r="N607" s="5"/>
    </row>
    <row r="608" spans="1:16" ht="12.75" customHeight="1" x14ac:dyDescent="0.2">
      <c r="A608" s="716" t="s">
        <v>410</v>
      </c>
      <c r="B608" s="418"/>
      <c r="C608" s="418"/>
      <c r="D608" s="418"/>
      <c r="E608" s="418"/>
      <c r="F608" s="418"/>
      <c r="G608" s="418"/>
      <c r="H608" s="418"/>
      <c r="I608" s="418"/>
      <c r="J608" s="418"/>
      <c r="K608" s="418"/>
      <c r="L608" s="418"/>
      <c r="M608" s="418"/>
      <c r="N608" s="416"/>
    </row>
    <row r="609" spans="1:14" ht="12.75" customHeight="1" x14ac:dyDescent="0.2">
      <c r="A609" s="713" t="s">
        <v>39</v>
      </c>
      <c r="B609" s="418"/>
      <c r="C609" s="418"/>
      <c r="D609" s="418"/>
      <c r="E609" s="418"/>
      <c r="F609" s="418"/>
      <c r="G609" s="416"/>
      <c r="H609" s="61" t="s">
        <v>40</v>
      </c>
      <c r="I609" s="717" t="s">
        <v>404</v>
      </c>
      <c r="J609" s="416"/>
      <c r="K609" s="717" t="s">
        <v>184</v>
      </c>
      <c r="L609" s="416"/>
      <c r="M609" s="717" t="s">
        <v>405</v>
      </c>
      <c r="N609" s="416"/>
    </row>
    <row r="610" spans="1:14" ht="12.75" customHeight="1" x14ac:dyDescent="0.2">
      <c r="A610" s="714" t="s">
        <v>411</v>
      </c>
      <c r="B610" s="418"/>
      <c r="C610" s="418"/>
      <c r="D610" s="418"/>
      <c r="E610" s="418"/>
      <c r="F610" s="418"/>
      <c r="G610" s="416"/>
      <c r="H610" s="12" t="str">
        <f>IF(A610="","",VLOOKUP(A610,AA_Equipos,7,FALSE))</f>
        <v>% M.O.</v>
      </c>
      <c r="I610" s="712">
        <f>+M633</f>
        <v>15994.079865000002</v>
      </c>
      <c r="J610" s="416"/>
      <c r="K610" s="722">
        <v>0.05</v>
      </c>
      <c r="L610" s="416"/>
      <c r="M610" s="712">
        <f t="shared" ref="M610:M614" si="75">IF(A610="","",I610*K610)</f>
        <v>799.70399325000017</v>
      </c>
      <c r="N610" s="416"/>
    </row>
    <row r="611" spans="1:14" ht="12.75" customHeight="1" x14ac:dyDescent="0.2">
      <c r="A611" s="719" t="s">
        <v>477</v>
      </c>
      <c r="B611" s="418"/>
      <c r="C611" s="418"/>
      <c r="D611" s="418"/>
      <c r="E611" s="418"/>
      <c r="F611" s="418"/>
      <c r="G611" s="416"/>
      <c r="H611" s="12" t="str">
        <f>IF(A611="","",VLOOKUP(A611,AA_Equipos,7,FALSE))</f>
        <v>Día</v>
      </c>
      <c r="I611" s="712">
        <f>IF(A611="","",VLOOKUP(A611,AA_Equipos,8,FALSE))</f>
        <v>60000</v>
      </c>
      <c r="J611" s="416"/>
      <c r="K611" s="723">
        <f>1/30</f>
        <v>3.3333333333333333E-2</v>
      </c>
      <c r="L611" s="416"/>
      <c r="M611" s="712">
        <f t="shared" si="75"/>
        <v>2000</v>
      </c>
      <c r="N611" s="416"/>
    </row>
    <row r="612" spans="1:14" ht="12.75" customHeight="1" x14ac:dyDescent="0.2">
      <c r="A612" s="719" t="s">
        <v>478</v>
      </c>
      <c r="B612" s="418"/>
      <c r="C612" s="418"/>
      <c r="D612" s="418"/>
      <c r="E612" s="418"/>
      <c r="F612" s="418"/>
      <c r="G612" s="416"/>
      <c r="H612" s="12" t="str">
        <f>IF(A612="","",VLOOKUP(A612,AA_Equipos,7,FALSE))</f>
        <v>Hora</v>
      </c>
      <c r="I612" s="712">
        <f>IF(A612="","",VLOOKUP(A612,AA_Equipos,8,FALSE))</f>
        <v>12500</v>
      </c>
      <c r="J612" s="416"/>
      <c r="K612" s="786">
        <f>1/50</f>
        <v>0.02</v>
      </c>
      <c r="L612" s="416"/>
      <c r="M612" s="712">
        <f t="shared" si="75"/>
        <v>250</v>
      </c>
      <c r="N612" s="416"/>
    </row>
    <row r="613" spans="1:14" ht="12.75" customHeight="1" x14ac:dyDescent="0.2">
      <c r="A613" s="714"/>
      <c r="B613" s="418"/>
      <c r="C613" s="418"/>
      <c r="D613" s="418"/>
      <c r="E613" s="418"/>
      <c r="F613" s="418"/>
      <c r="G613" s="416"/>
      <c r="H613" s="12" t="str">
        <f>IF(A613="","",VLOOKUP(A613,AA_Equipos,7,FALSE))</f>
        <v/>
      </c>
      <c r="I613" s="712" t="str">
        <f>IF(A613="","",VLOOKUP(A613,AA_Equipos,8,FALSE))</f>
        <v/>
      </c>
      <c r="J613" s="416"/>
      <c r="K613" s="715"/>
      <c r="L613" s="416"/>
      <c r="M613" s="712" t="str">
        <f t="shared" si="75"/>
        <v/>
      </c>
      <c r="N613" s="416"/>
    </row>
    <row r="614" spans="1:14" ht="12.75" customHeight="1" x14ac:dyDescent="0.2">
      <c r="A614" s="714"/>
      <c r="B614" s="418"/>
      <c r="C614" s="418"/>
      <c r="D614" s="418"/>
      <c r="E614" s="418"/>
      <c r="F614" s="418"/>
      <c r="G614" s="416"/>
      <c r="H614" s="12" t="str">
        <f>IF(A614="","",VLOOKUP(A614,AA_Equipos,7,FALSE))</f>
        <v/>
      </c>
      <c r="I614" s="712" t="str">
        <f>IF(A614="","",VLOOKUP(A614,AA_Equipos,8,FALSE))</f>
        <v/>
      </c>
      <c r="J614" s="416"/>
      <c r="K614" s="715"/>
      <c r="L614" s="416"/>
      <c r="M614" s="712" t="str">
        <f t="shared" si="75"/>
        <v/>
      </c>
      <c r="N614" s="416"/>
    </row>
    <row r="615" spans="1:14" ht="12.75" customHeight="1" x14ac:dyDescent="0.25">
      <c r="A615" s="5"/>
      <c r="B615" s="5"/>
      <c r="C615" s="5"/>
      <c r="D615" s="5"/>
      <c r="E615" s="5"/>
      <c r="F615" s="5"/>
      <c r="G615" s="5"/>
      <c r="H615" s="5"/>
      <c r="I615" s="5"/>
      <c r="J615" s="5"/>
      <c r="K615" s="713" t="s">
        <v>261</v>
      </c>
      <c r="L615" s="416"/>
      <c r="M615" s="712">
        <f>SUM(M610:N614)</f>
        <v>3049.7039932500002</v>
      </c>
      <c r="N615" s="416"/>
    </row>
    <row r="616" spans="1:14" ht="12.75" customHeight="1" x14ac:dyDescent="0.25">
      <c r="A616" s="5"/>
      <c r="B616" s="5"/>
      <c r="C616" s="5"/>
      <c r="D616" s="5"/>
      <c r="E616" s="5"/>
      <c r="F616" s="5"/>
      <c r="G616" s="5"/>
      <c r="H616" s="5"/>
      <c r="I616" s="5"/>
      <c r="J616" s="5"/>
      <c r="K616" s="5"/>
      <c r="L616" s="5"/>
      <c r="M616" s="5"/>
      <c r="N616" s="5"/>
    </row>
    <row r="617" spans="1:14" ht="12.75" customHeight="1" x14ac:dyDescent="0.2">
      <c r="A617" s="716" t="s">
        <v>413</v>
      </c>
      <c r="B617" s="418"/>
      <c r="C617" s="418"/>
      <c r="D617" s="418"/>
      <c r="E617" s="418"/>
      <c r="F617" s="418"/>
      <c r="G617" s="418"/>
      <c r="H617" s="418"/>
      <c r="I617" s="418"/>
      <c r="J617" s="418"/>
      <c r="K617" s="418"/>
      <c r="L617" s="418"/>
      <c r="M617" s="418"/>
      <c r="N617" s="416"/>
    </row>
    <row r="618" spans="1:14" ht="12.75" customHeight="1" x14ac:dyDescent="0.2">
      <c r="A618" s="713" t="s">
        <v>39</v>
      </c>
      <c r="B618" s="418"/>
      <c r="C618" s="418"/>
      <c r="D618" s="418"/>
      <c r="E618" s="418"/>
      <c r="F618" s="418"/>
      <c r="G618" s="416"/>
      <c r="H618" s="61" t="s">
        <v>40</v>
      </c>
      <c r="I618" s="717" t="s">
        <v>404</v>
      </c>
      <c r="J618" s="416"/>
      <c r="K618" s="717" t="s">
        <v>184</v>
      </c>
      <c r="L618" s="416"/>
      <c r="M618" s="717" t="s">
        <v>405</v>
      </c>
      <c r="N618" s="416"/>
    </row>
    <row r="619" spans="1:14" ht="12.75" customHeight="1" x14ac:dyDescent="0.2">
      <c r="A619" s="714" t="s">
        <v>443</v>
      </c>
      <c r="B619" s="418"/>
      <c r="C619" s="418"/>
      <c r="D619" s="418"/>
      <c r="E619" s="418"/>
      <c r="F619" s="418"/>
      <c r="G619" s="416"/>
      <c r="H619" s="12" t="s">
        <v>426</v>
      </c>
      <c r="I619" s="712">
        <f>+M606</f>
        <v>91630</v>
      </c>
      <c r="J619" s="416"/>
      <c r="K619" s="722">
        <v>0.05</v>
      </c>
      <c r="L619" s="416"/>
      <c r="M619" s="712">
        <f t="shared" ref="M619:M623" si="76">IF(A619="","",I619*K619)</f>
        <v>4581.5</v>
      </c>
      <c r="N619" s="416"/>
    </row>
    <row r="620" spans="1:14" ht="12.75" customHeight="1" x14ac:dyDescent="0.2">
      <c r="A620" s="719"/>
      <c r="B620" s="418"/>
      <c r="C620" s="418"/>
      <c r="D620" s="418"/>
      <c r="E620" s="418"/>
      <c r="F620" s="418"/>
      <c r="G620" s="416"/>
      <c r="H620" s="12"/>
      <c r="I620" s="712"/>
      <c r="J620" s="416"/>
      <c r="K620" s="722"/>
      <c r="L620" s="416"/>
      <c r="M620" s="712" t="str">
        <f t="shared" si="76"/>
        <v/>
      </c>
      <c r="N620" s="416"/>
    </row>
    <row r="621" spans="1:14" ht="12.75" customHeight="1" x14ac:dyDescent="0.2">
      <c r="A621" s="714"/>
      <c r="B621" s="418"/>
      <c r="C621" s="418"/>
      <c r="D621" s="418"/>
      <c r="E621" s="418"/>
      <c r="F621" s="418"/>
      <c r="G621" s="416"/>
      <c r="H621" s="12"/>
      <c r="I621" s="712"/>
      <c r="J621" s="416"/>
      <c r="K621" s="715"/>
      <c r="L621" s="416"/>
      <c r="M621" s="712" t="str">
        <f t="shared" si="76"/>
        <v/>
      </c>
      <c r="N621" s="416"/>
    </row>
    <row r="622" spans="1:14" ht="12.75" customHeight="1" x14ac:dyDescent="0.2">
      <c r="A622" s="714"/>
      <c r="B622" s="418"/>
      <c r="C622" s="418"/>
      <c r="D622" s="418"/>
      <c r="E622" s="418"/>
      <c r="F622" s="418"/>
      <c r="G622" s="416"/>
      <c r="H622" s="12"/>
      <c r="I622" s="712"/>
      <c r="J622" s="416"/>
      <c r="K622" s="715"/>
      <c r="L622" s="416"/>
      <c r="M622" s="712" t="str">
        <f t="shared" si="76"/>
        <v/>
      </c>
      <c r="N622" s="416"/>
    </row>
    <row r="623" spans="1:14" ht="12.75" customHeight="1" x14ac:dyDescent="0.2">
      <c r="A623" s="714"/>
      <c r="B623" s="418"/>
      <c r="C623" s="418"/>
      <c r="D623" s="418"/>
      <c r="E623" s="418"/>
      <c r="F623" s="418"/>
      <c r="G623" s="416"/>
      <c r="H623" s="12"/>
      <c r="I623" s="712"/>
      <c r="J623" s="416"/>
      <c r="K623" s="715"/>
      <c r="L623" s="416"/>
      <c r="M623" s="712" t="str">
        <f t="shared" si="76"/>
        <v/>
      </c>
      <c r="N623" s="416"/>
    </row>
    <row r="624" spans="1:14" ht="12.75" customHeight="1" x14ac:dyDescent="0.25">
      <c r="A624" s="5"/>
      <c r="B624" s="5"/>
      <c r="C624" s="5"/>
      <c r="D624" s="5"/>
      <c r="E624" s="5"/>
      <c r="F624" s="5"/>
      <c r="G624" s="5"/>
      <c r="H624" s="5"/>
      <c r="I624" s="5"/>
      <c r="J624" s="5"/>
      <c r="K624" s="713" t="s">
        <v>261</v>
      </c>
      <c r="L624" s="416"/>
      <c r="M624" s="712">
        <f>SUM(M619:N623)</f>
        <v>4581.5</v>
      </c>
      <c r="N624" s="416"/>
    </row>
    <row r="625" spans="1:16" ht="12.75" customHeight="1" x14ac:dyDescent="0.25">
      <c r="A625" s="5"/>
      <c r="B625" s="5"/>
      <c r="C625" s="5"/>
      <c r="D625" s="5"/>
      <c r="E625" s="5"/>
      <c r="F625" s="5"/>
      <c r="G625" s="5"/>
      <c r="H625" s="5"/>
      <c r="I625" s="5"/>
      <c r="J625" s="5"/>
      <c r="K625" s="5"/>
      <c r="L625" s="5"/>
      <c r="M625" s="5"/>
      <c r="N625" s="5"/>
    </row>
    <row r="626" spans="1:16" ht="12.75" customHeight="1" x14ac:dyDescent="0.2">
      <c r="A626" s="716" t="s">
        <v>415</v>
      </c>
      <c r="B626" s="418"/>
      <c r="C626" s="418"/>
      <c r="D626" s="418"/>
      <c r="E626" s="418"/>
      <c r="F626" s="418"/>
      <c r="G626" s="418"/>
      <c r="H626" s="418"/>
      <c r="I626" s="418"/>
      <c r="J626" s="418"/>
      <c r="K626" s="418"/>
      <c r="L626" s="418"/>
      <c r="M626" s="418"/>
      <c r="N626" s="416"/>
    </row>
    <row r="627" spans="1:16" ht="12.75" customHeight="1" x14ac:dyDescent="0.2">
      <c r="A627" s="713" t="s">
        <v>39</v>
      </c>
      <c r="B627" s="418"/>
      <c r="C627" s="418"/>
      <c r="D627" s="418"/>
      <c r="E627" s="418"/>
      <c r="F627" s="418"/>
      <c r="G627" s="416"/>
      <c r="H627" s="61" t="s">
        <v>40</v>
      </c>
      <c r="I627" s="717" t="s">
        <v>404</v>
      </c>
      <c r="J627" s="416"/>
      <c r="K627" s="64" t="s">
        <v>253</v>
      </c>
      <c r="L627" s="65" t="s">
        <v>416</v>
      </c>
      <c r="M627" s="717" t="s">
        <v>405</v>
      </c>
      <c r="N627" s="416"/>
    </row>
    <row r="628" spans="1:16" ht="12.75" customHeight="1" x14ac:dyDescent="0.25">
      <c r="A628" s="711" t="s">
        <v>427</v>
      </c>
      <c r="B628" s="418"/>
      <c r="C628" s="418"/>
      <c r="D628" s="418"/>
      <c r="E628" s="418"/>
      <c r="F628" s="418"/>
      <c r="G628" s="416"/>
      <c r="H628" s="12" t="str">
        <f>IF(A628="","",VLOOKUP(A628,AA_Cuadrillas,4,FALSE))</f>
        <v>Cuadrilla</v>
      </c>
      <c r="I628" s="712">
        <f>IF(A628="","",VLOOKUP(A628,AA_Cuadrillas,5,FALSE))</f>
        <v>169254</v>
      </c>
      <c r="J628" s="416"/>
      <c r="K628" s="3">
        <f>IF(A628="","",'04'!$I$2)</f>
        <v>1.88995</v>
      </c>
      <c r="L628" s="71">
        <f>1/20</f>
        <v>0.05</v>
      </c>
      <c r="M628" s="712">
        <f t="shared" ref="M628:M632" si="77">IF(A628="","",I628*K628*L628)</f>
        <v>15994.079865000002</v>
      </c>
      <c r="N628" s="416"/>
    </row>
    <row r="629" spans="1:16" ht="12.75" customHeight="1" x14ac:dyDescent="0.25">
      <c r="A629" s="711"/>
      <c r="B629" s="418"/>
      <c r="C629" s="418"/>
      <c r="D629" s="418"/>
      <c r="E629" s="418"/>
      <c r="F629" s="418"/>
      <c r="G629" s="416"/>
      <c r="H629" s="12" t="str">
        <f>IF(A629="","",VLOOKUP(A629,AA_Cuadrillas,4,FALSE))</f>
        <v/>
      </c>
      <c r="I629" s="712" t="str">
        <f>IF(A629="","",VLOOKUP(A629,AA_Cuadrillas,5,FALSE))</f>
        <v/>
      </c>
      <c r="J629" s="416"/>
      <c r="K629" s="3" t="str">
        <f>IF(A629="","",'04'!$I$2)</f>
        <v/>
      </c>
      <c r="L629" s="3"/>
      <c r="M629" s="712" t="str">
        <f t="shared" si="77"/>
        <v/>
      </c>
      <c r="N629" s="416"/>
    </row>
    <row r="630" spans="1:16" ht="12.75" customHeight="1" x14ac:dyDescent="0.25">
      <c r="A630" s="711"/>
      <c r="B630" s="418"/>
      <c r="C630" s="418"/>
      <c r="D630" s="418"/>
      <c r="E630" s="418"/>
      <c r="F630" s="418"/>
      <c r="G630" s="416"/>
      <c r="H630" s="12" t="str">
        <f>IF(A630="","",VLOOKUP(A630,AA_Cuadrillas,4,FALSE))</f>
        <v/>
      </c>
      <c r="I630" s="712" t="str">
        <f>IF(A630="","",VLOOKUP(A630,AA_Cuadrillas,5,FALSE))</f>
        <v/>
      </c>
      <c r="J630" s="416"/>
      <c r="K630" s="3" t="str">
        <f>IF(A630="","",'04'!$I$2)</f>
        <v/>
      </c>
      <c r="L630" s="13"/>
      <c r="M630" s="712" t="str">
        <f t="shared" si="77"/>
        <v/>
      </c>
      <c r="N630" s="416"/>
    </row>
    <row r="631" spans="1:16" ht="12.75" customHeight="1" x14ac:dyDescent="0.25">
      <c r="A631" s="711"/>
      <c r="B631" s="418"/>
      <c r="C631" s="418"/>
      <c r="D631" s="418"/>
      <c r="E631" s="418"/>
      <c r="F631" s="418"/>
      <c r="G631" s="416"/>
      <c r="H631" s="12" t="str">
        <f>IF(A631="","",VLOOKUP(A631,AA_Cuadrillas,4,FALSE))</f>
        <v/>
      </c>
      <c r="I631" s="712" t="str">
        <f>IF(A631="","",VLOOKUP(A631,AA_Cuadrillas,5,FALSE))</f>
        <v/>
      </c>
      <c r="J631" s="416"/>
      <c r="K631" s="3" t="str">
        <f>IF(A631="","",'04'!$I$2)</f>
        <v/>
      </c>
      <c r="L631" s="13"/>
      <c r="M631" s="712" t="str">
        <f t="shared" si="77"/>
        <v/>
      </c>
      <c r="N631" s="416"/>
    </row>
    <row r="632" spans="1:16" ht="12.75" customHeight="1" x14ac:dyDescent="0.25">
      <c r="A632" s="711"/>
      <c r="B632" s="418"/>
      <c r="C632" s="418"/>
      <c r="D632" s="418"/>
      <c r="E632" s="418"/>
      <c r="F632" s="418"/>
      <c r="G632" s="416"/>
      <c r="H632" s="12" t="str">
        <f>IF(A632="","",VLOOKUP(A632,AA_Cuadrillas,4,FALSE))</f>
        <v/>
      </c>
      <c r="I632" s="712" t="str">
        <f>IF(A632="","",VLOOKUP(A632,AA_Cuadrillas,5,FALSE))</f>
        <v/>
      </c>
      <c r="J632" s="416"/>
      <c r="K632" s="3" t="str">
        <f>IF(A632="","",'04'!$I$2)</f>
        <v/>
      </c>
      <c r="L632" s="13"/>
      <c r="M632" s="712" t="str">
        <f t="shared" si="77"/>
        <v/>
      </c>
      <c r="N632" s="416"/>
    </row>
    <row r="633" spans="1:16" ht="12.75" customHeight="1" x14ac:dyDescent="0.25">
      <c r="A633" s="5"/>
      <c r="B633" s="5"/>
      <c r="C633" s="5"/>
      <c r="D633" s="5"/>
      <c r="E633" s="5"/>
      <c r="F633" s="5"/>
      <c r="G633" s="5"/>
      <c r="H633" s="5"/>
      <c r="I633" s="5"/>
      <c r="J633" s="5"/>
      <c r="K633" s="713" t="s">
        <v>261</v>
      </c>
      <c r="L633" s="416"/>
      <c r="M633" s="712">
        <f>SUM(M628:N632)</f>
        <v>15994.079865000002</v>
      </c>
      <c r="N633" s="416"/>
    </row>
    <row r="634" spans="1:16" ht="12.75" customHeight="1" x14ac:dyDescent="0.2"/>
    <row r="635" spans="1:16" ht="12.75" customHeight="1" x14ac:dyDescent="0.2">
      <c r="A635" s="764" t="s">
        <v>483</v>
      </c>
      <c r="B635" s="765"/>
      <c r="C635" s="765"/>
      <c r="D635" s="765"/>
      <c r="E635" s="765"/>
      <c r="F635" s="765"/>
      <c r="G635" s="765"/>
      <c r="H635" s="765"/>
      <c r="I635" s="765"/>
      <c r="J635" s="765"/>
      <c r="K635" s="765"/>
      <c r="L635" s="765"/>
      <c r="M635" s="765"/>
      <c r="N635" s="766"/>
      <c r="O635" s="272"/>
      <c r="P635" s="9"/>
    </row>
    <row r="636" spans="1:16" ht="12.75" customHeight="1" x14ac:dyDescent="0.2">
      <c r="A636" s="767"/>
      <c r="B636" s="768"/>
      <c r="C636" s="768"/>
      <c r="D636" s="768"/>
      <c r="E636" s="768"/>
      <c r="F636" s="768"/>
      <c r="G636" s="768"/>
      <c r="H636" s="768"/>
      <c r="I636" s="768"/>
      <c r="J636" s="768"/>
      <c r="K636" s="768"/>
      <c r="L636" s="768"/>
      <c r="M636" s="768"/>
      <c r="N636" s="769"/>
      <c r="O636" s="272"/>
      <c r="P636" s="9"/>
    </row>
    <row r="637" spans="1:16" ht="12.75" customHeight="1" x14ac:dyDescent="0.2">
      <c r="A637" s="49"/>
      <c r="B637" s="49"/>
      <c r="C637" s="49"/>
      <c r="D637" s="49"/>
      <c r="E637" s="49"/>
      <c r="F637" s="49"/>
      <c r="G637" s="49"/>
      <c r="H637" s="49"/>
      <c r="I637" s="49"/>
      <c r="J637" s="49"/>
      <c r="K637" s="49"/>
      <c r="L637" s="49"/>
      <c r="M637" s="49"/>
      <c r="N637" s="49"/>
    </row>
    <row r="638" spans="1:16" ht="12.75" customHeight="1" thickBot="1" x14ac:dyDescent="0.35">
      <c r="A638" s="51" t="str">
        <f>VLOOKUP(A635,'10'!$B$9:$N$100,13,FALSE)</f>
        <v>G032</v>
      </c>
      <c r="B638" s="52" t="str">
        <f>A635</f>
        <v>SUMINISTRO E INSTALACIÓN DE NIPLE PASAMURO DE Ø6" EN HIERRO DUCTIL (INCLUYE MATERIALES, HERRAMIENTAS Y MANO DE OBRA)</v>
      </c>
      <c r="C638" s="53" t="s">
        <v>400</v>
      </c>
      <c r="D638" s="54" t="s">
        <v>475</v>
      </c>
      <c r="E638" s="55" t="s">
        <v>177</v>
      </c>
      <c r="F638" s="59">
        <f>H638+J638+L638+N638</f>
        <v>488568.91929125</v>
      </c>
      <c r="G638" s="55" t="s">
        <v>349</v>
      </c>
      <c r="H638" s="59">
        <f>M657</f>
        <v>3998.5199662500004</v>
      </c>
      <c r="I638" s="55" t="s">
        <v>402</v>
      </c>
      <c r="J638" s="70">
        <f>M648</f>
        <v>404600</v>
      </c>
      <c r="K638" s="55" t="s">
        <v>351</v>
      </c>
      <c r="L638" s="59">
        <f>M666</f>
        <v>0</v>
      </c>
      <c r="M638" s="55" t="s">
        <v>352</v>
      </c>
      <c r="N638" s="59">
        <f>M675</f>
        <v>79970.399325000006</v>
      </c>
    </row>
    <row r="639" spans="1:16" ht="12.75" customHeight="1" thickBot="1" x14ac:dyDescent="0.3">
      <c r="A639" s="60"/>
      <c r="B639" s="60"/>
      <c r="C639" s="60"/>
      <c r="D639" s="60"/>
      <c r="E639" s="60"/>
      <c r="F639" s="60"/>
      <c r="G639" s="60"/>
      <c r="J639" s="60"/>
      <c r="K639" s="60"/>
      <c r="L639" s="327" t="s">
        <v>1934</v>
      </c>
      <c r="M639" s="328">
        <f>+F638*'01'!$O$16</f>
        <v>632350.34684395872</v>
      </c>
      <c r="N639" s="60"/>
    </row>
    <row r="640" spans="1:16" ht="12.75" customHeight="1" x14ac:dyDescent="0.2">
      <c r="A640" s="761" t="s">
        <v>403</v>
      </c>
      <c r="B640" s="762"/>
      <c r="C640" s="762"/>
      <c r="D640" s="762"/>
      <c r="E640" s="762"/>
      <c r="F640" s="762"/>
      <c r="G640" s="762"/>
      <c r="H640" s="762"/>
      <c r="I640" s="762"/>
      <c r="J640" s="762"/>
      <c r="K640" s="762"/>
      <c r="L640" s="762"/>
      <c r="M640" s="762"/>
      <c r="N640" s="763"/>
    </row>
    <row r="641" spans="1:14" ht="12.75" customHeight="1" x14ac:dyDescent="0.2">
      <c r="A641" s="753" t="s">
        <v>39</v>
      </c>
      <c r="B641" s="760"/>
      <c r="C641" s="760"/>
      <c r="D641" s="760"/>
      <c r="E641" s="760"/>
      <c r="F641" s="760"/>
      <c r="G641" s="754"/>
      <c r="H641" s="61" t="s">
        <v>40</v>
      </c>
      <c r="I641" s="755" t="s">
        <v>404</v>
      </c>
      <c r="J641" s="756"/>
      <c r="K641" s="755" t="s">
        <v>184</v>
      </c>
      <c r="L641" s="756"/>
      <c r="M641" s="755" t="s">
        <v>405</v>
      </c>
      <c r="N641" s="756"/>
    </row>
    <row r="642" spans="1:14" ht="12.75" customHeight="1" x14ac:dyDescent="0.2">
      <c r="A642" s="775" t="s">
        <v>484</v>
      </c>
      <c r="B642" s="776"/>
      <c r="C642" s="776"/>
      <c r="D642" s="776"/>
      <c r="E642" s="776"/>
      <c r="F642" s="776"/>
      <c r="G642" s="777"/>
      <c r="H642" s="12" t="str">
        <f t="shared" ref="H642:H647" si="78">IF(A642="","",VLOOKUP(A642,AA_Materiales,7,FALSE))</f>
        <v>Unidad</v>
      </c>
      <c r="I642" s="749">
        <f t="shared" ref="I642:I647" si="79">IF(A642="","",VLOOKUP(A642,AA_Materiales,8,FALSE))</f>
        <v>404600</v>
      </c>
      <c r="J642" s="750"/>
      <c r="K642" s="751">
        <v>1</v>
      </c>
      <c r="L642" s="752"/>
      <c r="M642" s="749">
        <f t="shared" ref="M642:M647" si="80">IF(A642="","",I642*K642)</f>
        <v>404600</v>
      </c>
      <c r="N642" s="750"/>
    </row>
    <row r="643" spans="1:14" ht="12.75" customHeight="1" x14ac:dyDescent="0.2">
      <c r="A643" s="775"/>
      <c r="B643" s="776"/>
      <c r="C643" s="776"/>
      <c r="D643" s="776"/>
      <c r="E643" s="776"/>
      <c r="F643" s="776"/>
      <c r="G643" s="777"/>
      <c r="H643" s="12" t="str">
        <f t="shared" si="78"/>
        <v/>
      </c>
      <c r="I643" s="749" t="str">
        <f t="shared" si="79"/>
        <v/>
      </c>
      <c r="J643" s="750"/>
      <c r="K643" s="751"/>
      <c r="L643" s="752"/>
      <c r="M643" s="749" t="str">
        <f t="shared" si="80"/>
        <v/>
      </c>
      <c r="N643" s="750"/>
    </row>
    <row r="644" spans="1:14" ht="12.75" customHeight="1" x14ac:dyDescent="0.2">
      <c r="A644" s="775"/>
      <c r="B644" s="776"/>
      <c r="C644" s="776"/>
      <c r="D644" s="776"/>
      <c r="E644" s="776"/>
      <c r="F644" s="776"/>
      <c r="G644" s="777"/>
      <c r="H644" s="12" t="str">
        <f t="shared" si="78"/>
        <v/>
      </c>
      <c r="I644" s="749" t="str">
        <f t="shared" si="79"/>
        <v/>
      </c>
      <c r="J644" s="750"/>
      <c r="K644" s="751"/>
      <c r="L644" s="752"/>
      <c r="M644" s="749" t="str">
        <f t="shared" si="80"/>
        <v/>
      </c>
      <c r="N644" s="750"/>
    </row>
    <row r="645" spans="1:14" ht="12.75" customHeight="1" x14ac:dyDescent="0.2">
      <c r="A645" s="775"/>
      <c r="B645" s="776"/>
      <c r="C645" s="776"/>
      <c r="D645" s="776"/>
      <c r="E645" s="776"/>
      <c r="F645" s="776"/>
      <c r="G645" s="777"/>
      <c r="H645" s="12" t="str">
        <f t="shared" si="78"/>
        <v/>
      </c>
      <c r="I645" s="749" t="str">
        <f t="shared" si="79"/>
        <v/>
      </c>
      <c r="J645" s="750"/>
      <c r="K645" s="751"/>
      <c r="L645" s="752"/>
      <c r="M645" s="749" t="str">
        <f t="shared" si="80"/>
        <v/>
      </c>
      <c r="N645" s="750"/>
    </row>
    <row r="646" spans="1:14" ht="12.75" customHeight="1" x14ac:dyDescent="0.2">
      <c r="A646" s="775"/>
      <c r="B646" s="776"/>
      <c r="C646" s="776"/>
      <c r="D646" s="776"/>
      <c r="E646" s="776"/>
      <c r="F646" s="776"/>
      <c r="G646" s="777"/>
      <c r="H646" s="12" t="str">
        <f t="shared" si="78"/>
        <v/>
      </c>
      <c r="I646" s="749" t="str">
        <f t="shared" si="79"/>
        <v/>
      </c>
      <c r="J646" s="750"/>
      <c r="K646" s="751"/>
      <c r="L646" s="752"/>
      <c r="M646" s="749" t="str">
        <f t="shared" si="80"/>
        <v/>
      </c>
      <c r="N646" s="750"/>
    </row>
    <row r="647" spans="1:14" ht="12.75" customHeight="1" x14ac:dyDescent="0.2">
      <c r="A647" s="775"/>
      <c r="B647" s="776"/>
      <c r="C647" s="776"/>
      <c r="D647" s="776"/>
      <c r="E647" s="776"/>
      <c r="F647" s="776"/>
      <c r="G647" s="777"/>
      <c r="H647" s="12" t="str">
        <f t="shared" si="78"/>
        <v/>
      </c>
      <c r="I647" s="749" t="str">
        <f t="shared" si="79"/>
        <v/>
      </c>
      <c r="J647" s="750"/>
      <c r="K647" s="751"/>
      <c r="L647" s="752"/>
      <c r="M647" s="749" t="str">
        <f t="shared" si="80"/>
        <v/>
      </c>
      <c r="N647" s="750"/>
    </row>
    <row r="648" spans="1:14" ht="12.75" customHeight="1" x14ac:dyDescent="0.25">
      <c r="A648" s="5"/>
      <c r="B648" s="5"/>
      <c r="C648" s="5"/>
      <c r="D648" s="5"/>
      <c r="E648" s="5"/>
      <c r="F648" s="5"/>
      <c r="G648" s="5"/>
      <c r="H648" s="5"/>
      <c r="I648" s="5"/>
      <c r="J648" s="5"/>
      <c r="K648" s="753" t="s">
        <v>261</v>
      </c>
      <c r="L648" s="754"/>
      <c r="M648" s="749">
        <f>SUM(M642:N647)</f>
        <v>404600</v>
      </c>
      <c r="N648" s="750"/>
    </row>
    <row r="649" spans="1:14" ht="12.75" customHeight="1" x14ac:dyDescent="0.25">
      <c r="A649" s="5"/>
      <c r="B649" s="5"/>
      <c r="C649" s="5"/>
      <c r="D649" s="5"/>
      <c r="E649" s="5"/>
      <c r="F649" s="5"/>
      <c r="G649" s="5"/>
      <c r="H649" s="5"/>
      <c r="I649" s="5"/>
      <c r="J649" s="5"/>
      <c r="K649" s="5"/>
      <c r="L649" s="5"/>
      <c r="M649" s="5"/>
      <c r="N649" s="5"/>
    </row>
    <row r="650" spans="1:14" ht="12.75" customHeight="1" x14ac:dyDescent="0.2">
      <c r="A650" s="761" t="s">
        <v>410</v>
      </c>
      <c r="B650" s="762"/>
      <c r="C650" s="762"/>
      <c r="D650" s="762"/>
      <c r="E650" s="762"/>
      <c r="F650" s="762"/>
      <c r="G650" s="762"/>
      <c r="H650" s="762"/>
      <c r="I650" s="762"/>
      <c r="J650" s="762"/>
      <c r="K650" s="762"/>
      <c r="L650" s="762"/>
      <c r="M650" s="762"/>
      <c r="N650" s="763"/>
    </row>
    <row r="651" spans="1:14" ht="12.75" customHeight="1" x14ac:dyDescent="0.2">
      <c r="A651" s="753" t="s">
        <v>39</v>
      </c>
      <c r="B651" s="760"/>
      <c r="C651" s="760"/>
      <c r="D651" s="760"/>
      <c r="E651" s="760"/>
      <c r="F651" s="760"/>
      <c r="G651" s="754"/>
      <c r="H651" s="61" t="s">
        <v>40</v>
      </c>
      <c r="I651" s="755" t="s">
        <v>404</v>
      </c>
      <c r="J651" s="756"/>
      <c r="K651" s="755" t="s">
        <v>184</v>
      </c>
      <c r="L651" s="756"/>
      <c r="M651" s="755" t="s">
        <v>405</v>
      </c>
      <c r="N651" s="756"/>
    </row>
    <row r="652" spans="1:14" ht="12.75" customHeight="1" x14ac:dyDescent="0.2">
      <c r="A652" s="757" t="s">
        <v>411</v>
      </c>
      <c r="B652" s="758"/>
      <c r="C652" s="758"/>
      <c r="D652" s="758"/>
      <c r="E652" s="758"/>
      <c r="F652" s="758"/>
      <c r="G652" s="759"/>
      <c r="H652" s="12" t="str">
        <f>IF(A652="","",VLOOKUP(A652,AA_Equipos,7,FALSE))</f>
        <v>% M.O.</v>
      </c>
      <c r="I652" s="749">
        <f>+M675</f>
        <v>79970.399325000006</v>
      </c>
      <c r="J652" s="750"/>
      <c r="K652" s="773">
        <v>0.05</v>
      </c>
      <c r="L652" s="774"/>
      <c r="M652" s="749">
        <f t="shared" ref="M652:M656" si="81">IF(A652="","",I652*K652)</f>
        <v>3998.5199662500004</v>
      </c>
      <c r="N652" s="750"/>
    </row>
    <row r="653" spans="1:14" ht="12.75" customHeight="1" x14ac:dyDescent="0.2">
      <c r="A653" s="775"/>
      <c r="B653" s="776"/>
      <c r="C653" s="776"/>
      <c r="D653" s="776"/>
      <c r="E653" s="776"/>
      <c r="F653" s="776"/>
      <c r="G653" s="777"/>
      <c r="H653" s="12" t="str">
        <f>IF(A653="","",VLOOKUP(A653,AA_Equipos,7,FALSE))</f>
        <v/>
      </c>
      <c r="I653" s="749" t="str">
        <f>IF(A653="","",VLOOKUP(A653,AA_Equipos,8,FALSE))</f>
        <v/>
      </c>
      <c r="J653" s="750"/>
      <c r="K653" s="792"/>
      <c r="L653" s="793"/>
      <c r="M653" s="749" t="str">
        <f t="shared" si="81"/>
        <v/>
      </c>
      <c r="N653" s="750"/>
    </row>
    <row r="654" spans="1:14" ht="12.75" customHeight="1" x14ac:dyDescent="0.2">
      <c r="A654" s="757"/>
      <c r="B654" s="758"/>
      <c r="C654" s="758"/>
      <c r="D654" s="758"/>
      <c r="E654" s="758"/>
      <c r="F654" s="758"/>
      <c r="G654" s="759"/>
      <c r="H654" s="12" t="str">
        <f>IF(A654="","",VLOOKUP(A654,AA_Equipos,7,FALSE))</f>
        <v/>
      </c>
      <c r="I654" s="749" t="str">
        <f>IF(A654="","",VLOOKUP(A654,AA_Equipos,8,FALSE))</f>
        <v/>
      </c>
      <c r="J654" s="750"/>
      <c r="K654" s="790"/>
      <c r="L654" s="791"/>
      <c r="M654" s="749" t="str">
        <f t="shared" si="81"/>
        <v/>
      </c>
      <c r="N654" s="750"/>
    </row>
    <row r="655" spans="1:14" ht="12.75" customHeight="1" x14ac:dyDescent="0.2">
      <c r="A655" s="757"/>
      <c r="B655" s="758"/>
      <c r="C655" s="758"/>
      <c r="D655" s="758"/>
      <c r="E655" s="758"/>
      <c r="F655" s="758"/>
      <c r="G655" s="759"/>
      <c r="H655" s="12" t="str">
        <f>IF(A655="","",VLOOKUP(A655,AA_Equipos,7,FALSE))</f>
        <v/>
      </c>
      <c r="I655" s="749" t="str">
        <f>IF(A655="","",VLOOKUP(A655,AA_Equipos,8,FALSE))</f>
        <v/>
      </c>
      <c r="J655" s="750"/>
      <c r="K655" s="751"/>
      <c r="L655" s="752"/>
      <c r="M655" s="749" t="str">
        <f t="shared" si="81"/>
        <v/>
      </c>
      <c r="N655" s="750"/>
    </row>
    <row r="656" spans="1:14" ht="12.75" customHeight="1" x14ac:dyDescent="0.2">
      <c r="A656" s="757"/>
      <c r="B656" s="758"/>
      <c r="C656" s="758"/>
      <c r="D656" s="758"/>
      <c r="E656" s="758"/>
      <c r="F656" s="758"/>
      <c r="G656" s="759"/>
      <c r="H656" s="12" t="str">
        <f>IF(A656="","",VLOOKUP(A656,AA_Equipos,7,FALSE))</f>
        <v/>
      </c>
      <c r="I656" s="749" t="str">
        <f>IF(A656="","",VLOOKUP(A656,AA_Equipos,8,FALSE))</f>
        <v/>
      </c>
      <c r="J656" s="750"/>
      <c r="K656" s="751"/>
      <c r="L656" s="752"/>
      <c r="M656" s="749" t="str">
        <f t="shared" si="81"/>
        <v/>
      </c>
      <c r="N656" s="750"/>
    </row>
    <row r="657" spans="1:14" ht="12.75" customHeight="1" x14ac:dyDescent="0.25">
      <c r="A657" s="5"/>
      <c r="B657" s="5"/>
      <c r="C657" s="5"/>
      <c r="D657" s="5"/>
      <c r="E657" s="5"/>
      <c r="F657" s="5"/>
      <c r="G657" s="5"/>
      <c r="H657" s="5"/>
      <c r="I657" s="5"/>
      <c r="J657" s="5"/>
      <c r="K657" s="753" t="s">
        <v>261</v>
      </c>
      <c r="L657" s="754"/>
      <c r="M657" s="749">
        <f>SUM(M652:N656)</f>
        <v>3998.5199662500004</v>
      </c>
      <c r="N657" s="750"/>
    </row>
    <row r="658" spans="1:14" ht="12.75" customHeight="1" x14ac:dyDescent="0.25">
      <c r="A658" s="5"/>
      <c r="B658" s="5"/>
      <c r="C658" s="5"/>
      <c r="D658" s="5"/>
      <c r="E658" s="5"/>
      <c r="F658" s="5"/>
      <c r="G658" s="5"/>
      <c r="H658" s="5"/>
      <c r="I658" s="5"/>
      <c r="J658" s="5"/>
      <c r="K658" s="5"/>
      <c r="L658" s="5"/>
      <c r="M658" s="5"/>
      <c r="N658" s="5"/>
    </row>
    <row r="659" spans="1:14" ht="12.75" customHeight="1" x14ac:dyDescent="0.2">
      <c r="A659" s="761" t="s">
        <v>413</v>
      </c>
      <c r="B659" s="762"/>
      <c r="C659" s="762"/>
      <c r="D659" s="762"/>
      <c r="E659" s="762"/>
      <c r="F659" s="762"/>
      <c r="G659" s="762"/>
      <c r="H659" s="762"/>
      <c r="I659" s="762"/>
      <c r="J659" s="762"/>
      <c r="K659" s="762"/>
      <c r="L659" s="762"/>
      <c r="M659" s="762"/>
      <c r="N659" s="763"/>
    </row>
    <row r="660" spans="1:14" ht="12.75" customHeight="1" x14ac:dyDescent="0.2">
      <c r="A660" s="753" t="s">
        <v>39</v>
      </c>
      <c r="B660" s="760"/>
      <c r="C660" s="760"/>
      <c r="D660" s="760"/>
      <c r="E660" s="760"/>
      <c r="F660" s="760"/>
      <c r="G660" s="754"/>
      <c r="H660" s="61" t="s">
        <v>40</v>
      </c>
      <c r="I660" s="755" t="s">
        <v>404</v>
      </c>
      <c r="J660" s="756"/>
      <c r="K660" s="755" t="s">
        <v>184</v>
      </c>
      <c r="L660" s="756"/>
      <c r="M660" s="755" t="s">
        <v>405</v>
      </c>
      <c r="N660" s="756"/>
    </row>
    <row r="661" spans="1:14" ht="12.75" customHeight="1" x14ac:dyDescent="0.2">
      <c r="A661" s="757"/>
      <c r="B661" s="758"/>
      <c r="C661" s="758"/>
      <c r="D661" s="758"/>
      <c r="E661" s="758"/>
      <c r="F661" s="758"/>
      <c r="G661" s="759"/>
      <c r="H661" s="12"/>
      <c r="I661" s="749"/>
      <c r="J661" s="750"/>
      <c r="K661" s="773"/>
      <c r="L661" s="774"/>
      <c r="M661" s="749" t="str">
        <f t="shared" ref="M661:M665" si="82">IF(A661="","",I661*K661)</f>
        <v/>
      </c>
      <c r="N661" s="750"/>
    </row>
    <row r="662" spans="1:14" ht="12.75" customHeight="1" x14ac:dyDescent="0.2">
      <c r="A662" s="775"/>
      <c r="B662" s="776"/>
      <c r="C662" s="776"/>
      <c r="D662" s="776"/>
      <c r="E662" s="776"/>
      <c r="F662" s="776"/>
      <c r="G662" s="777"/>
      <c r="H662" s="12"/>
      <c r="I662" s="749"/>
      <c r="J662" s="750"/>
      <c r="K662" s="773"/>
      <c r="L662" s="774"/>
      <c r="M662" s="749" t="str">
        <f t="shared" si="82"/>
        <v/>
      </c>
      <c r="N662" s="750"/>
    </row>
    <row r="663" spans="1:14" ht="12.75" customHeight="1" x14ac:dyDescent="0.2">
      <c r="A663" s="757"/>
      <c r="B663" s="758"/>
      <c r="C663" s="758"/>
      <c r="D663" s="758"/>
      <c r="E663" s="758"/>
      <c r="F663" s="758"/>
      <c r="G663" s="759"/>
      <c r="H663" s="12"/>
      <c r="I663" s="749"/>
      <c r="J663" s="750"/>
      <c r="K663" s="751"/>
      <c r="L663" s="752"/>
      <c r="M663" s="749" t="str">
        <f t="shared" si="82"/>
        <v/>
      </c>
      <c r="N663" s="750"/>
    </row>
    <row r="664" spans="1:14" ht="12.75" customHeight="1" x14ac:dyDescent="0.2">
      <c r="A664" s="757"/>
      <c r="B664" s="758"/>
      <c r="C664" s="758"/>
      <c r="D664" s="758"/>
      <c r="E664" s="758"/>
      <c r="F664" s="758"/>
      <c r="G664" s="759"/>
      <c r="H664" s="12"/>
      <c r="I664" s="749"/>
      <c r="J664" s="750"/>
      <c r="K664" s="751"/>
      <c r="L664" s="752"/>
      <c r="M664" s="749" t="str">
        <f t="shared" si="82"/>
        <v/>
      </c>
      <c r="N664" s="750"/>
    </row>
    <row r="665" spans="1:14" ht="12.75" customHeight="1" x14ac:dyDescent="0.2">
      <c r="A665" s="757"/>
      <c r="B665" s="758"/>
      <c r="C665" s="758"/>
      <c r="D665" s="758"/>
      <c r="E665" s="758"/>
      <c r="F665" s="758"/>
      <c r="G665" s="759"/>
      <c r="H665" s="12"/>
      <c r="I665" s="749"/>
      <c r="J665" s="750"/>
      <c r="K665" s="751"/>
      <c r="L665" s="752"/>
      <c r="M665" s="749" t="str">
        <f t="shared" si="82"/>
        <v/>
      </c>
      <c r="N665" s="750"/>
    </row>
    <row r="666" spans="1:14" ht="12.75" customHeight="1" x14ac:dyDescent="0.25">
      <c r="A666" s="5"/>
      <c r="B666" s="5"/>
      <c r="C666" s="5"/>
      <c r="D666" s="5"/>
      <c r="E666" s="5"/>
      <c r="F666" s="5"/>
      <c r="G666" s="5"/>
      <c r="H666" s="5"/>
      <c r="I666" s="5"/>
      <c r="J666" s="5"/>
      <c r="K666" s="753" t="s">
        <v>261</v>
      </c>
      <c r="L666" s="754"/>
      <c r="M666" s="749">
        <f>SUM(M661:N665)</f>
        <v>0</v>
      </c>
      <c r="N666" s="750"/>
    </row>
    <row r="667" spans="1:14" ht="12.75" customHeight="1" x14ac:dyDescent="0.25">
      <c r="A667" s="5"/>
      <c r="B667" s="5"/>
      <c r="C667" s="5"/>
      <c r="D667" s="5"/>
      <c r="E667" s="5"/>
      <c r="F667" s="5"/>
      <c r="G667" s="5"/>
      <c r="H667" s="5"/>
      <c r="I667" s="5"/>
      <c r="J667" s="5"/>
      <c r="K667" s="5"/>
      <c r="L667" s="5"/>
      <c r="M667" s="5"/>
      <c r="N667" s="5"/>
    </row>
    <row r="668" spans="1:14" ht="12.75" customHeight="1" x14ac:dyDescent="0.2">
      <c r="A668" s="761" t="s">
        <v>415</v>
      </c>
      <c r="B668" s="762"/>
      <c r="C668" s="762"/>
      <c r="D668" s="762"/>
      <c r="E668" s="762"/>
      <c r="F668" s="762"/>
      <c r="G668" s="762"/>
      <c r="H668" s="762"/>
      <c r="I668" s="762"/>
      <c r="J668" s="762"/>
      <c r="K668" s="762"/>
      <c r="L668" s="762"/>
      <c r="M668" s="762"/>
      <c r="N668" s="763"/>
    </row>
    <row r="669" spans="1:14" ht="12.75" customHeight="1" x14ac:dyDescent="0.2">
      <c r="A669" s="753" t="s">
        <v>39</v>
      </c>
      <c r="B669" s="760"/>
      <c r="C669" s="760"/>
      <c r="D669" s="760"/>
      <c r="E669" s="760"/>
      <c r="F669" s="760"/>
      <c r="G669" s="754"/>
      <c r="H669" s="61" t="s">
        <v>40</v>
      </c>
      <c r="I669" s="755" t="s">
        <v>404</v>
      </c>
      <c r="J669" s="756"/>
      <c r="K669" s="64" t="s">
        <v>253</v>
      </c>
      <c r="L669" s="65" t="s">
        <v>416</v>
      </c>
      <c r="M669" s="755" t="s">
        <v>405</v>
      </c>
      <c r="N669" s="756"/>
    </row>
    <row r="670" spans="1:14" ht="12.75" customHeight="1" x14ac:dyDescent="0.25">
      <c r="A670" s="770" t="s">
        <v>427</v>
      </c>
      <c r="B670" s="771"/>
      <c r="C670" s="771"/>
      <c r="D670" s="771"/>
      <c r="E670" s="771"/>
      <c r="F670" s="771"/>
      <c r="G670" s="772"/>
      <c r="H670" s="12" t="str">
        <f>IF(A670="","",VLOOKUP(A670,AA_Cuadrillas,4,FALSE))</f>
        <v>Cuadrilla</v>
      </c>
      <c r="I670" s="749">
        <f>IF(A670="","",VLOOKUP(A670,AA_Cuadrillas,5,FALSE))</f>
        <v>169254</v>
      </c>
      <c r="J670" s="750"/>
      <c r="K670" s="3">
        <f>IF(A670="","",'04'!$I$2)</f>
        <v>1.88995</v>
      </c>
      <c r="L670" s="71">
        <v>0.25</v>
      </c>
      <c r="M670" s="749">
        <f t="shared" ref="M670:M674" si="83">IF(A670="","",I670*K670*L670)</f>
        <v>79970.399325000006</v>
      </c>
      <c r="N670" s="750"/>
    </row>
    <row r="671" spans="1:14" ht="12.75" customHeight="1" x14ac:dyDescent="0.25">
      <c r="A671" s="770"/>
      <c r="B671" s="771"/>
      <c r="C671" s="771"/>
      <c r="D671" s="771"/>
      <c r="E671" s="771"/>
      <c r="F671" s="771"/>
      <c r="G671" s="772"/>
      <c r="H671" s="12" t="str">
        <f>IF(A671="","",VLOOKUP(A671,AA_Cuadrillas,4,FALSE))</f>
        <v/>
      </c>
      <c r="I671" s="749" t="str">
        <f>IF(A671="","",VLOOKUP(A671,AA_Cuadrillas,5,FALSE))</f>
        <v/>
      </c>
      <c r="J671" s="750"/>
      <c r="K671" s="3" t="str">
        <f>IF(A671="","",'04'!$I$2)</f>
        <v/>
      </c>
      <c r="L671" s="3"/>
      <c r="M671" s="749" t="str">
        <f t="shared" si="83"/>
        <v/>
      </c>
      <c r="N671" s="750"/>
    </row>
    <row r="672" spans="1:14" ht="12.75" customHeight="1" x14ac:dyDescent="0.25">
      <c r="A672" s="770"/>
      <c r="B672" s="771"/>
      <c r="C672" s="771"/>
      <c r="D672" s="771"/>
      <c r="E672" s="771"/>
      <c r="F672" s="771"/>
      <c r="G672" s="772"/>
      <c r="H672" s="12" t="str">
        <f>IF(A672="","",VLOOKUP(A672,AA_Cuadrillas,4,FALSE))</f>
        <v/>
      </c>
      <c r="I672" s="749" t="str">
        <f>IF(A672="","",VLOOKUP(A672,AA_Cuadrillas,5,FALSE))</f>
        <v/>
      </c>
      <c r="J672" s="750"/>
      <c r="K672" s="3" t="str">
        <f>IF(A672="","",'04'!$I$2)</f>
        <v/>
      </c>
      <c r="L672" s="13"/>
      <c r="M672" s="749" t="str">
        <f t="shared" si="83"/>
        <v/>
      </c>
      <c r="N672" s="750"/>
    </row>
    <row r="673" spans="1:16" ht="12.75" customHeight="1" x14ac:dyDescent="0.25">
      <c r="A673" s="770"/>
      <c r="B673" s="771"/>
      <c r="C673" s="771"/>
      <c r="D673" s="771"/>
      <c r="E673" s="771"/>
      <c r="F673" s="771"/>
      <c r="G673" s="772"/>
      <c r="H673" s="12" t="str">
        <f>IF(A673="","",VLOOKUP(A673,AA_Cuadrillas,4,FALSE))</f>
        <v/>
      </c>
      <c r="I673" s="749" t="str">
        <f>IF(A673="","",VLOOKUP(A673,AA_Cuadrillas,5,FALSE))</f>
        <v/>
      </c>
      <c r="J673" s="750"/>
      <c r="K673" s="3" t="str">
        <f>IF(A673="","",'04'!$I$2)</f>
        <v/>
      </c>
      <c r="L673" s="13"/>
      <c r="M673" s="749" t="str">
        <f t="shared" si="83"/>
        <v/>
      </c>
      <c r="N673" s="750"/>
    </row>
    <row r="674" spans="1:16" ht="12.75" customHeight="1" x14ac:dyDescent="0.25">
      <c r="A674" s="770"/>
      <c r="B674" s="771"/>
      <c r="C674" s="771"/>
      <c r="D674" s="771"/>
      <c r="E674" s="771"/>
      <c r="F674" s="771"/>
      <c r="G674" s="772"/>
      <c r="H674" s="12" t="str">
        <f>IF(A674="","",VLOOKUP(A674,AA_Cuadrillas,4,FALSE))</f>
        <v/>
      </c>
      <c r="I674" s="749" t="str">
        <f>IF(A674="","",VLOOKUP(A674,AA_Cuadrillas,5,FALSE))</f>
        <v/>
      </c>
      <c r="J674" s="750"/>
      <c r="K674" s="3" t="str">
        <f>IF(A674="","",'04'!$I$2)</f>
        <v/>
      </c>
      <c r="L674" s="13"/>
      <c r="M674" s="749" t="str">
        <f t="shared" si="83"/>
        <v/>
      </c>
      <c r="N674" s="750"/>
    </row>
    <row r="675" spans="1:16" ht="12.75" customHeight="1" x14ac:dyDescent="0.25">
      <c r="A675" s="5"/>
      <c r="B675" s="5"/>
      <c r="C675" s="5"/>
      <c r="D675" s="5"/>
      <c r="E675" s="5"/>
      <c r="F675" s="5"/>
      <c r="G675" s="5"/>
      <c r="H675" s="5"/>
      <c r="I675" s="5"/>
      <c r="J675" s="5"/>
      <c r="K675" s="753" t="s">
        <v>261</v>
      </c>
      <c r="L675" s="754"/>
      <c r="M675" s="749">
        <f>SUM(M670:N674)</f>
        <v>79970.399325000006</v>
      </c>
      <c r="N675" s="750"/>
    </row>
    <row r="676" spans="1:16" ht="12.75" customHeight="1" x14ac:dyDescent="0.2"/>
    <row r="677" spans="1:16" ht="12.75" customHeight="1" x14ac:dyDescent="0.2">
      <c r="A677" s="787" t="s">
        <v>89</v>
      </c>
      <c r="B677" s="410"/>
      <c r="C677" s="410"/>
      <c r="D677" s="410"/>
      <c r="E677" s="410"/>
      <c r="F677" s="410"/>
      <c r="G677" s="410"/>
      <c r="H677" s="410"/>
      <c r="I677" s="410"/>
      <c r="J677" s="410"/>
      <c r="K677" s="410"/>
      <c r="L677" s="410"/>
      <c r="M677" s="410"/>
      <c r="N677" s="411"/>
      <c r="O677" s="272"/>
      <c r="P677" s="9"/>
    </row>
    <row r="678" spans="1:16" ht="12.75" customHeight="1" x14ac:dyDescent="0.2">
      <c r="A678" s="412"/>
      <c r="B678" s="413"/>
      <c r="C678" s="413"/>
      <c r="D678" s="413"/>
      <c r="E678" s="413"/>
      <c r="F678" s="413"/>
      <c r="G678" s="413"/>
      <c r="H678" s="413"/>
      <c r="I678" s="413"/>
      <c r="J678" s="413"/>
      <c r="K678" s="413"/>
      <c r="L678" s="413"/>
      <c r="M678" s="413"/>
      <c r="N678" s="414"/>
      <c r="O678" s="272"/>
      <c r="P678" s="9"/>
    </row>
    <row r="679" spans="1:16" ht="12.75" customHeight="1" x14ac:dyDescent="0.2">
      <c r="A679" s="49"/>
      <c r="B679" s="49"/>
      <c r="C679" s="49"/>
      <c r="D679" s="49"/>
      <c r="E679" s="49"/>
      <c r="F679" s="49"/>
      <c r="G679" s="49"/>
      <c r="H679" s="49"/>
      <c r="I679" s="49"/>
      <c r="J679" s="49"/>
      <c r="K679" s="49"/>
      <c r="L679" s="49"/>
      <c r="M679" s="49"/>
      <c r="N679" s="49"/>
    </row>
    <row r="680" spans="1:16" ht="12.75" customHeight="1" thickBot="1" x14ac:dyDescent="0.35">
      <c r="A680" s="51" t="str">
        <f>VLOOKUP(A677,'10'!$B$9:$N$100,13,FALSE)</f>
        <v>G003</v>
      </c>
      <c r="B680" s="52" t="str">
        <f>A677</f>
        <v>RELLENO CON ARENA PARA BASE DE TUBERÍA (INCLUYE MATERIALES, TRANSPORTE Y MANO DE OBRA)</v>
      </c>
      <c r="C680" s="53" t="s">
        <v>400</v>
      </c>
      <c r="D680" s="54" t="s">
        <v>420</v>
      </c>
      <c r="E680" s="55" t="s">
        <v>177</v>
      </c>
      <c r="F680" s="59">
        <f>H680+J680+L680+N680</f>
        <v>176109.49120646875</v>
      </c>
      <c r="G680" s="55" t="s">
        <v>349</v>
      </c>
      <c r="H680" s="59">
        <f>M699</f>
        <v>1066.2719910000001</v>
      </c>
      <c r="I680" s="55" t="s">
        <v>402</v>
      </c>
      <c r="J680" s="59">
        <f>M690</f>
        <v>65450</v>
      </c>
      <c r="K680" s="55" t="s">
        <v>351</v>
      </c>
      <c r="L680" s="59">
        <f>M708</f>
        <v>88267.779395468751</v>
      </c>
      <c r="M680" s="55" t="s">
        <v>352</v>
      </c>
      <c r="N680" s="59">
        <f>M717</f>
        <v>21325.43982</v>
      </c>
    </row>
    <row r="681" spans="1:16" ht="12.75" customHeight="1" thickBot="1" x14ac:dyDescent="0.3">
      <c r="A681" s="60"/>
      <c r="B681" s="60"/>
      <c r="C681" s="60"/>
      <c r="D681" s="60"/>
      <c r="E681" s="60"/>
      <c r="F681" s="60"/>
      <c r="G681" s="60"/>
      <c r="J681" s="60"/>
      <c r="K681" s="60"/>
      <c r="L681" s="327" t="s">
        <v>1934</v>
      </c>
      <c r="M681" s="328">
        <f>+F680*'01'!$O$16</f>
        <v>227936.92650051074</v>
      </c>
      <c r="N681" s="60"/>
    </row>
    <row r="682" spans="1:16" ht="12.75" customHeight="1" x14ac:dyDescent="0.2">
      <c r="A682" s="716" t="s">
        <v>403</v>
      </c>
      <c r="B682" s="418"/>
      <c r="C682" s="418"/>
      <c r="D682" s="418"/>
      <c r="E682" s="418"/>
      <c r="F682" s="418"/>
      <c r="G682" s="418"/>
      <c r="H682" s="418"/>
      <c r="I682" s="418"/>
      <c r="J682" s="418"/>
      <c r="K682" s="418"/>
      <c r="L682" s="418"/>
      <c r="M682" s="418"/>
      <c r="N682" s="416"/>
    </row>
    <row r="683" spans="1:16" ht="12.75" customHeight="1" x14ac:dyDescent="0.2">
      <c r="A683" s="713" t="s">
        <v>39</v>
      </c>
      <c r="B683" s="418"/>
      <c r="C683" s="418"/>
      <c r="D683" s="418"/>
      <c r="E683" s="418"/>
      <c r="F683" s="418"/>
      <c r="G683" s="416"/>
      <c r="H683" s="61" t="s">
        <v>40</v>
      </c>
      <c r="I683" s="717" t="s">
        <v>404</v>
      </c>
      <c r="J683" s="416"/>
      <c r="K683" s="717" t="s">
        <v>184</v>
      </c>
      <c r="L683" s="416"/>
      <c r="M683" s="717" t="s">
        <v>405</v>
      </c>
      <c r="N683" s="416"/>
    </row>
    <row r="684" spans="1:16" ht="12.75" customHeight="1" x14ac:dyDescent="0.2">
      <c r="A684" s="719" t="s">
        <v>432</v>
      </c>
      <c r="B684" s="418"/>
      <c r="C684" s="418"/>
      <c r="D684" s="418"/>
      <c r="E684" s="418"/>
      <c r="F684" s="418"/>
      <c r="G684" s="416"/>
      <c r="H684" s="12" t="str">
        <f t="shared" ref="H684:H689" si="84">IF(A684="","",VLOOKUP(A684,AA_Materiales,7,FALSE))</f>
        <v>m3</v>
      </c>
      <c r="I684" s="712">
        <f t="shared" ref="I684:I689" si="85">IF(A684="","",VLOOKUP(A684,AA_Materiales,8,FALSE))</f>
        <v>65450</v>
      </c>
      <c r="J684" s="416"/>
      <c r="K684" s="715">
        <v>1</v>
      </c>
      <c r="L684" s="416"/>
      <c r="M684" s="712">
        <f t="shared" ref="M684:M689" si="86">IF(A684="","",I684*K684)</f>
        <v>65450</v>
      </c>
      <c r="N684" s="416"/>
    </row>
    <row r="685" spans="1:16" ht="12.75" customHeight="1" x14ac:dyDescent="0.2">
      <c r="A685" s="719"/>
      <c r="B685" s="418"/>
      <c r="C685" s="418"/>
      <c r="D685" s="418"/>
      <c r="E685" s="418"/>
      <c r="F685" s="418"/>
      <c r="G685" s="416"/>
      <c r="H685" s="12" t="str">
        <f t="shared" si="84"/>
        <v/>
      </c>
      <c r="I685" s="712" t="str">
        <f t="shared" si="85"/>
        <v/>
      </c>
      <c r="J685" s="416"/>
      <c r="K685" s="715"/>
      <c r="L685" s="416"/>
      <c r="M685" s="712" t="str">
        <f t="shared" si="86"/>
        <v/>
      </c>
      <c r="N685" s="416"/>
    </row>
    <row r="686" spans="1:16" ht="12.75" customHeight="1" x14ac:dyDescent="0.2">
      <c r="A686" s="719"/>
      <c r="B686" s="418"/>
      <c r="C686" s="418"/>
      <c r="D686" s="418"/>
      <c r="E686" s="418"/>
      <c r="F686" s="418"/>
      <c r="G686" s="416"/>
      <c r="H686" s="12" t="str">
        <f t="shared" si="84"/>
        <v/>
      </c>
      <c r="I686" s="712" t="str">
        <f t="shared" si="85"/>
        <v/>
      </c>
      <c r="J686" s="416"/>
      <c r="K686" s="715"/>
      <c r="L686" s="416"/>
      <c r="M686" s="712" t="str">
        <f t="shared" si="86"/>
        <v/>
      </c>
      <c r="N686" s="416"/>
    </row>
    <row r="687" spans="1:16" ht="12.75" customHeight="1" x14ac:dyDescent="0.2">
      <c r="A687" s="719"/>
      <c r="B687" s="418"/>
      <c r="C687" s="418"/>
      <c r="D687" s="418"/>
      <c r="E687" s="418"/>
      <c r="F687" s="418"/>
      <c r="G687" s="416"/>
      <c r="H687" s="12" t="str">
        <f t="shared" si="84"/>
        <v/>
      </c>
      <c r="I687" s="712" t="str">
        <f t="shared" si="85"/>
        <v/>
      </c>
      <c r="J687" s="416"/>
      <c r="K687" s="715"/>
      <c r="L687" s="416"/>
      <c r="M687" s="712" t="str">
        <f t="shared" si="86"/>
        <v/>
      </c>
      <c r="N687" s="416"/>
    </row>
    <row r="688" spans="1:16" ht="12.75" customHeight="1" x14ac:dyDescent="0.2">
      <c r="A688" s="719"/>
      <c r="B688" s="418"/>
      <c r="C688" s="418"/>
      <c r="D688" s="418"/>
      <c r="E688" s="418"/>
      <c r="F688" s="418"/>
      <c r="G688" s="416"/>
      <c r="H688" s="12" t="str">
        <f t="shared" si="84"/>
        <v/>
      </c>
      <c r="I688" s="712" t="str">
        <f t="shared" si="85"/>
        <v/>
      </c>
      <c r="J688" s="416"/>
      <c r="K688" s="715"/>
      <c r="L688" s="416"/>
      <c r="M688" s="712" t="str">
        <f t="shared" si="86"/>
        <v/>
      </c>
      <c r="N688" s="416"/>
    </row>
    <row r="689" spans="1:14" ht="12.75" customHeight="1" x14ac:dyDescent="0.2">
      <c r="A689" s="719"/>
      <c r="B689" s="418"/>
      <c r="C689" s="418"/>
      <c r="D689" s="418"/>
      <c r="E689" s="418"/>
      <c r="F689" s="418"/>
      <c r="G689" s="416"/>
      <c r="H689" s="12" t="str">
        <f t="shared" si="84"/>
        <v/>
      </c>
      <c r="I689" s="712" t="str">
        <f t="shared" si="85"/>
        <v/>
      </c>
      <c r="J689" s="416"/>
      <c r="K689" s="715"/>
      <c r="L689" s="416"/>
      <c r="M689" s="712" t="str">
        <f t="shared" si="86"/>
        <v/>
      </c>
      <c r="N689" s="416"/>
    </row>
    <row r="690" spans="1:14" ht="12.75" customHeight="1" x14ac:dyDescent="0.25">
      <c r="A690" s="5"/>
      <c r="B690" s="5"/>
      <c r="C690" s="5"/>
      <c r="D690" s="5"/>
      <c r="E690" s="5"/>
      <c r="F690" s="5"/>
      <c r="G690" s="5"/>
      <c r="H690" s="5"/>
      <c r="I690" s="5"/>
      <c r="J690" s="5"/>
      <c r="K690" s="713" t="s">
        <v>261</v>
      </c>
      <c r="L690" s="416"/>
      <c r="M690" s="712">
        <f>SUM(M684:N689)</f>
        <v>65450</v>
      </c>
      <c r="N690" s="416"/>
    </row>
    <row r="691" spans="1:14" ht="12.75" customHeight="1" x14ac:dyDescent="0.25">
      <c r="A691" s="5"/>
      <c r="B691" s="5"/>
      <c r="C691" s="5"/>
      <c r="D691" s="5"/>
      <c r="E691" s="5"/>
      <c r="F691" s="5"/>
      <c r="G691" s="5"/>
      <c r="H691" s="5"/>
      <c r="I691" s="5"/>
      <c r="J691" s="5"/>
      <c r="K691" s="5"/>
      <c r="L691" s="5"/>
      <c r="M691" s="5"/>
      <c r="N691" s="5"/>
    </row>
    <row r="692" spans="1:14" ht="12.75" customHeight="1" x14ac:dyDescent="0.2">
      <c r="A692" s="716" t="s">
        <v>410</v>
      </c>
      <c r="B692" s="418"/>
      <c r="C692" s="418"/>
      <c r="D692" s="418"/>
      <c r="E692" s="418"/>
      <c r="F692" s="418"/>
      <c r="G692" s="418"/>
      <c r="H692" s="418"/>
      <c r="I692" s="418"/>
      <c r="J692" s="418"/>
      <c r="K692" s="418"/>
      <c r="L692" s="418"/>
      <c r="M692" s="418"/>
      <c r="N692" s="416"/>
    </row>
    <row r="693" spans="1:14" ht="12.75" customHeight="1" x14ac:dyDescent="0.2">
      <c r="A693" s="713" t="s">
        <v>39</v>
      </c>
      <c r="B693" s="418"/>
      <c r="C693" s="418"/>
      <c r="D693" s="418"/>
      <c r="E693" s="418"/>
      <c r="F693" s="418"/>
      <c r="G693" s="416"/>
      <c r="H693" s="61" t="s">
        <v>40</v>
      </c>
      <c r="I693" s="717" t="s">
        <v>404</v>
      </c>
      <c r="J693" s="416"/>
      <c r="K693" s="717" t="s">
        <v>184</v>
      </c>
      <c r="L693" s="416"/>
      <c r="M693" s="717" t="s">
        <v>405</v>
      </c>
      <c r="N693" s="416"/>
    </row>
    <row r="694" spans="1:14" ht="12.75" customHeight="1" x14ac:dyDescent="0.2">
      <c r="A694" s="714" t="s">
        <v>411</v>
      </c>
      <c r="B694" s="418"/>
      <c r="C694" s="418"/>
      <c r="D694" s="418"/>
      <c r="E694" s="418"/>
      <c r="F694" s="418"/>
      <c r="G694" s="416"/>
      <c r="H694" s="12" t="str">
        <f>IF(A694="","",VLOOKUP(A694,AA_Equipos,7,FALSE))</f>
        <v>% M.O.</v>
      </c>
      <c r="I694" s="712">
        <f>+M717</f>
        <v>21325.43982</v>
      </c>
      <c r="J694" s="416"/>
      <c r="K694" s="722">
        <v>0.05</v>
      </c>
      <c r="L694" s="416"/>
      <c r="M694" s="712">
        <f t="shared" ref="M694:M698" si="87">IF(A694="","",I694*K694)</f>
        <v>1066.2719910000001</v>
      </c>
      <c r="N694" s="416"/>
    </row>
    <row r="695" spans="1:14" ht="12.75" customHeight="1" x14ac:dyDescent="0.2">
      <c r="A695" s="719"/>
      <c r="B695" s="418"/>
      <c r="C695" s="418"/>
      <c r="D695" s="418"/>
      <c r="E695" s="418"/>
      <c r="F695" s="418"/>
      <c r="G695" s="416"/>
      <c r="H695" s="12" t="str">
        <f>IF(A695="","",VLOOKUP(A695,AA_Equipos,7,FALSE))</f>
        <v/>
      </c>
      <c r="I695" s="712" t="str">
        <f>IF(A695="","",VLOOKUP(A695,AA_Equipos,8,FALSE))</f>
        <v/>
      </c>
      <c r="J695" s="416"/>
      <c r="K695" s="723"/>
      <c r="L695" s="416"/>
      <c r="M695" s="712" t="str">
        <f t="shared" si="87"/>
        <v/>
      </c>
      <c r="N695" s="416"/>
    </row>
    <row r="696" spans="1:14" ht="12.75" customHeight="1" x14ac:dyDescent="0.2">
      <c r="A696" s="714"/>
      <c r="B696" s="418"/>
      <c r="C696" s="418"/>
      <c r="D696" s="418"/>
      <c r="E696" s="418"/>
      <c r="F696" s="418"/>
      <c r="G696" s="416"/>
      <c r="H696" s="12" t="str">
        <f>IF(A696="","",VLOOKUP(A696,AA_Equipos,7,FALSE))</f>
        <v/>
      </c>
      <c r="I696" s="712" t="str">
        <f>IF(A696="","",VLOOKUP(A696,AA_Equipos,8,FALSE))</f>
        <v/>
      </c>
      <c r="J696" s="416"/>
      <c r="K696" s="786"/>
      <c r="L696" s="416"/>
      <c r="M696" s="712" t="str">
        <f t="shared" si="87"/>
        <v/>
      </c>
      <c r="N696" s="416"/>
    </row>
    <row r="697" spans="1:14" ht="12.75" customHeight="1" x14ac:dyDescent="0.2">
      <c r="A697" s="714"/>
      <c r="B697" s="418"/>
      <c r="C697" s="418"/>
      <c r="D697" s="418"/>
      <c r="E697" s="418"/>
      <c r="F697" s="418"/>
      <c r="G697" s="416"/>
      <c r="H697" s="12" t="str">
        <f>IF(A697="","",VLOOKUP(A697,AA_Equipos,7,FALSE))</f>
        <v/>
      </c>
      <c r="I697" s="712" t="str">
        <f>IF(A697="","",VLOOKUP(A697,AA_Equipos,8,FALSE))</f>
        <v/>
      </c>
      <c r="J697" s="416"/>
      <c r="K697" s="715"/>
      <c r="L697" s="416"/>
      <c r="M697" s="712" t="str">
        <f t="shared" si="87"/>
        <v/>
      </c>
      <c r="N697" s="416"/>
    </row>
    <row r="698" spans="1:14" ht="12.75" customHeight="1" x14ac:dyDescent="0.2">
      <c r="A698" s="714"/>
      <c r="B698" s="418"/>
      <c r="C698" s="418"/>
      <c r="D698" s="418"/>
      <c r="E698" s="418"/>
      <c r="F698" s="418"/>
      <c r="G698" s="416"/>
      <c r="H698" s="12" t="str">
        <f>IF(A698="","",VLOOKUP(A698,AA_Equipos,7,FALSE))</f>
        <v/>
      </c>
      <c r="I698" s="712" t="str">
        <f>IF(A698="","",VLOOKUP(A698,AA_Equipos,8,FALSE))</f>
        <v/>
      </c>
      <c r="J698" s="416"/>
      <c r="K698" s="715"/>
      <c r="L698" s="416"/>
      <c r="M698" s="712" t="str">
        <f t="shared" si="87"/>
        <v/>
      </c>
      <c r="N698" s="416"/>
    </row>
    <row r="699" spans="1:14" ht="12.75" customHeight="1" x14ac:dyDescent="0.25">
      <c r="A699" s="5"/>
      <c r="B699" s="5"/>
      <c r="C699" s="5"/>
      <c r="D699" s="5"/>
      <c r="E699" s="5"/>
      <c r="F699" s="5"/>
      <c r="G699" s="5"/>
      <c r="H699" s="5"/>
      <c r="I699" s="5"/>
      <c r="J699" s="5"/>
      <c r="K699" s="713" t="s">
        <v>261</v>
      </c>
      <c r="L699" s="416"/>
      <c r="M699" s="712">
        <f>SUM(M694:N698)</f>
        <v>1066.2719910000001</v>
      </c>
      <c r="N699" s="416"/>
    </row>
    <row r="700" spans="1:14" ht="12.75" customHeight="1" x14ac:dyDescent="0.25">
      <c r="A700" s="5"/>
      <c r="B700" s="5"/>
      <c r="C700" s="5"/>
      <c r="D700" s="5"/>
      <c r="E700" s="5"/>
      <c r="F700" s="5"/>
      <c r="G700" s="5"/>
      <c r="H700" s="5"/>
      <c r="I700" s="5"/>
      <c r="J700" s="5"/>
      <c r="K700" s="5"/>
      <c r="L700" s="5"/>
      <c r="M700" s="5"/>
      <c r="N700" s="5"/>
    </row>
    <row r="701" spans="1:14" ht="12.75" customHeight="1" x14ac:dyDescent="0.2">
      <c r="A701" s="716" t="s">
        <v>413</v>
      </c>
      <c r="B701" s="418"/>
      <c r="C701" s="418"/>
      <c r="D701" s="418"/>
      <c r="E701" s="418"/>
      <c r="F701" s="418"/>
      <c r="G701" s="418"/>
      <c r="H701" s="418"/>
      <c r="I701" s="418"/>
      <c r="J701" s="418"/>
      <c r="K701" s="418"/>
      <c r="L701" s="418"/>
      <c r="M701" s="418"/>
      <c r="N701" s="416"/>
    </row>
    <row r="702" spans="1:14" ht="12.75" customHeight="1" x14ac:dyDescent="0.2">
      <c r="A702" s="713" t="s">
        <v>39</v>
      </c>
      <c r="B702" s="418"/>
      <c r="C702" s="418"/>
      <c r="D702" s="418"/>
      <c r="E702" s="418"/>
      <c r="F702" s="418"/>
      <c r="G702" s="416"/>
      <c r="H702" s="61" t="s">
        <v>40</v>
      </c>
      <c r="I702" s="717" t="s">
        <v>404</v>
      </c>
      <c r="J702" s="416"/>
      <c r="K702" s="717" t="s">
        <v>184</v>
      </c>
      <c r="L702" s="416"/>
      <c r="M702" s="717" t="s">
        <v>405</v>
      </c>
      <c r="N702" s="416"/>
    </row>
    <row r="703" spans="1:14" ht="12.75" customHeight="1" x14ac:dyDescent="0.2">
      <c r="A703" s="714" t="s">
        <v>443</v>
      </c>
      <c r="B703" s="418"/>
      <c r="C703" s="418"/>
      <c r="D703" s="418"/>
      <c r="E703" s="418"/>
      <c r="F703" s="418"/>
      <c r="G703" s="416"/>
      <c r="H703" s="12" t="s">
        <v>467</v>
      </c>
      <c r="I703" s="712">
        <f>'13'!$J$68</f>
        <v>2206.6944848867188</v>
      </c>
      <c r="J703" s="416"/>
      <c r="K703" s="715">
        <f>+Indice!$M$5</f>
        <v>40</v>
      </c>
      <c r="L703" s="416"/>
      <c r="M703" s="712">
        <f t="shared" ref="M703:M707" si="88">IF(A703="","",I703*K703)</f>
        <v>88267.779395468751</v>
      </c>
      <c r="N703" s="416"/>
    </row>
    <row r="704" spans="1:14" ht="12.75" customHeight="1" x14ac:dyDescent="0.2">
      <c r="A704" s="719"/>
      <c r="B704" s="418"/>
      <c r="C704" s="418"/>
      <c r="D704" s="418"/>
      <c r="E704" s="418"/>
      <c r="F704" s="418"/>
      <c r="G704" s="416"/>
      <c r="H704" s="12"/>
      <c r="I704" s="712"/>
      <c r="J704" s="416"/>
      <c r="K704" s="722"/>
      <c r="L704" s="416"/>
      <c r="M704" s="712" t="str">
        <f t="shared" si="88"/>
        <v/>
      </c>
      <c r="N704" s="416"/>
    </row>
    <row r="705" spans="1:16" ht="12.75" customHeight="1" x14ac:dyDescent="0.2">
      <c r="A705" s="714"/>
      <c r="B705" s="418"/>
      <c r="C705" s="418"/>
      <c r="D705" s="418"/>
      <c r="E705" s="418"/>
      <c r="F705" s="418"/>
      <c r="G705" s="416"/>
      <c r="H705" s="12"/>
      <c r="I705" s="712"/>
      <c r="J705" s="416"/>
      <c r="K705" s="715"/>
      <c r="L705" s="416"/>
      <c r="M705" s="712" t="str">
        <f t="shared" si="88"/>
        <v/>
      </c>
      <c r="N705" s="416"/>
    </row>
    <row r="706" spans="1:16" ht="12.75" customHeight="1" x14ac:dyDescent="0.2">
      <c r="A706" s="714"/>
      <c r="B706" s="418"/>
      <c r="C706" s="418"/>
      <c r="D706" s="418"/>
      <c r="E706" s="418"/>
      <c r="F706" s="418"/>
      <c r="G706" s="416"/>
      <c r="H706" s="12"/>
      <c r="I706" s="712"/>
      <c r="J706" s="416"/>
      <c r="K706" s="715"/>
      <c r="L706" s="416"/>
      <c r="M706" s="712" t="str">
        <f t="shared" si="88"/>
        <v/>
      </c>
      <c r="N706" s="416"/>
    </row>
    <row r="707" spans="1:16" ht="12.75" customHeight="1" x14ac:dyDescent="0.2">
      <c r="A707" s="714"/>
      <c r="B707" s="418"/>
      <c r="C707" s="418"/>
      <c r="D707" s="418"/>
      <c r="E707" s="418"/>
      <c r="F707" s="418"/>
      <c r="G707" s="416"/>
      <c r="H707" s="12"/>
      <c r="I707" s="712"/>
      <c r="J707" s="416"/>
      <c r="K707" s="715"/>
      <c r="L707" s="416"/>
      <c r="M707" s="712" t="str">
        <f t="shared" si="88"/>
        <v/>
      </c>
      <c r="N707" s="416"/>
    </row>
    <row r="708" spans="1:16" ht="12.75" customHeight="1" x14ac:dyDescent="0.25">
      <c r="A708" s="5"/>
      <c r="B708" s="5"/>
      <c r="C708" s="5"/>
      <c r="D708" s="5"/>
      <c r="E708" s="5"/>
      <c r="F708" s="5"/>
      <c r="G708" s="5"/>
      <c r="H708" s="5"/>
      <c r="I708" s="5"/>
      <c r="J708" s="5"/>
      <c r="K708" s="713" t="s">
        <v>261</v>
      </c>
      <c r="L708" s="416"/>
      <c r="M708" s="712">
        <f>SUM(M703:N707)</f>
        <v>88267.779395468751</v>
      </c>
      <c r="N708" s="416"/>
    </row>
    <row r="709" spans="1:16" ht="12.75" customHeight="1" x14ac:dyDescent="0.25">
      <c r="A709" s="5"/>
      <c r="B709" s="5"/>
      <c r="C709" s="5"/>
      <c r="D709" s="5"/>
      <c r="E709" s="5"/>
      <c r="F709" s="5"/>
      <c r="G709" s="5"/>
      <c r="H709" s="5"/>
      <c r="I709" s="5"/>
      <c r="J709" s="5"/>
      <c r="K709" s="5"/>
      <c r="L709" s="5"/>
      <c r="M709" s="5"/>
      <c r="N709" s="5"/>
    </row>
    <row r="710" spans="1:16" ht="12.75" customHeight="1" x14ac:dyDescent="0.2">
      <c r="A710" s="716" t="s">
        <v>415</v>
      </c>
      <c r="B710" s="418"/>
      <c r="C710" s="418"/>
      <c r="D710" s="418"/>
      <c r="E710" s="418"/>
      <c r="F710" s="418"/>
      <c r="G710" s="418"/>
      <c r="H710" s="418"/>
      <c r="I710" s="418"/>
      <c r="J710" s="418"/>
      <c r="K710" s="418"/>
      <c r="L710" s="418"/>
      <c r="M710" s="418"/>
      <c r="N710" s="416"/>
    </row>
    <row r="711" spans="1:16" ht="12.75" customHeight="1" x14ac:dyDescent="0.2">
      <c r="A711" s="713" t="s">
        <v>39</v>
      </c>
      <c r="B711" s="418"/>
      <c r="C711" s="418"/>
      <c r="D711" s="418"/>
      <c r="E711" s="418"/>
      <c r="F711" s="418"/>
      <c r="G711" s="416"/>
      <c r="H711" s="61" t="s">
        <v>40</v>
      </c>
      <c r="I711" s="717" t="s">
        <v>404</v>
      </c>
      <c r="J711" s="416"/>
      <c r="K711" s="64" t="s">
        <v>253</v>
      </c>
      <c r="L711" s="65" t="s">
        <v>416</v>
      </c>
      <c r="M711" s="717" t="s">
        <v>405</v>
      </c>
      <c r="N711" s="416"/>
    </row>
    <row r="712" spans="1:16" ht="12.75" customHeight="1" x14ac:dyDescent="0.25">
      <c r="A712" s="711" t="s">
        <v>427</v>
      </c>
      <c r="B712" s="418"/>
      <c r="C712" s="418"/>
      <c r="D712" s="418"/>
      <c r="E712" s="418"/>
      <c r="F712" s="418"/>
      <c r="G712" s="416"/>
      <c r="H712" s="12" t="str">
        <f>IF(A712="","",VLOOKUP(A712,AA_Cuadrillas,4,FALSE))</f>
        <v>Cuadrilla</v>
      </c>
      <c r="I712" s="712">
        <f>IF(A712="","",VLOOKUP(A712,AA_Cuadrillas,5,FALSE))</f>
        <v>169254</v>
      </c>
      <c r="J712" s="416"/>
      <c r="K712" s="3">
        <f>IF(A712="","",'04'!$I$2)</f>
        <v>1.88995</v>
      </c>
      <c r="L712" s="71">
        <f>1/15</f>
        <v>6.6666666666666666E-2</v>
      </c>
      <c r="M712" s="712">
        <f t="shared" ref="M712:M716" si="89">IF(A712="","",I712*K712*L712)</f>
        <v>21325.43982</v>
      </c>
      <c r="N712" s="416"/>
    </row>
    <row r="713" spans="1:16" ht="12.75" customHeight="1" x14ac:dyDescent="0.25">
      <c r="A713" s="711"/>
      <c r="B713" s="418"/>
      <c r="C713" s="418"/>
      <c r="D713" s="418"/>
      <c r="E713" s="418"/>
      <c r="F713" s="418"/>
      <c r="G713" s="416"/>
      <c r="H713" s="12" t="str">
        <f>IF(A713="","",VLOOKUP(A713,AA_Cuadrillas,4,FALSE))</f>
        <v/>
      </c>
      <c r="I713" s="712" t="str">
        <f>IF(A713="","",VLOOKUP(A713,AA_Cuadrillas,5,FALSE))</f>
        <v/>
      </c>
      <c r="J713" s="416"/>
      <c r="K713" s="3" t="str">
        <f>IF(A713="","",'04'!$I$2)</f>
        <v/>
      </c>
      <c r="L713" s="3"/>
      <c r="M713" s="712" t="str">
        <f t="shared" si="89"/>
        <v/>
      </c>
      <c r="N713" s="416"/>
    </row>
    <row r="714" spans="1:16" ht="12.75" customHeight="1" x14ac:dyDescent="0.25">
      <c r="A714" s="711"/>
      <c r="B714" s="418"/>
      <c r="C714" s="418"/>
      <c r="D714" s="418"/>
      <c r="E714" s="418"/>
      <c r="F714" s="418"/>
      <c r="G714" s="416"/>
      <c r="H714" s="12" t="str">
        <f>IF(A714="","",VLOOKUP(A714,AA_Cuadrillas,4,FALSE))</f>
        <v/>
      </c>
      <c r="I714" s="712" t="str">
        <f>IF(A714="","",VLOOKUP(A714,AA_Cuadrillas,5,FALSE))</f>
        <v/>
      </c>
      <c r="J714" s="416"/>
      <c r="K714" s="3" t="str">
        <f>IF(A714="","",'04'!$I$2)</f>
        <v/>
      </c>
      <c r="L714" s="13"/>
      <c r="M714" s="712" t="str">
        <f t="shared" si="89"/>
        <v/>
      </c>
      <c r="N714" s="416"/>
    </row>
    <row r="715" spans="1:16" ht="12.75" customHeight="1" x14ac:dyDescent="0.25">
      <c r="A715" s="711"/>
      <c r="B715" s="418"/>
      <c r="C715" s="418"/>
      <c r="D715" s="418"/>
      <c r="E715" s="418"/>
      <c r="F715" s="418"/>
      <c r="G715" s="416"/>
      <c r="H715" s="12" t="str">
        <f>IF(A715="","",VLOOKUP(A715,AA_Cuadrillas,4,FALSE))</f>
        <v/>
      </c>
      <c r="I715" s="712" t="str">
        <f>IF(A715="","",VLOOKUP(A715,AA_Cuadrillas,5,FALSE))</f>
        <v/>
      </c>
      <c r="J715" s="416"/>
      <c r="K715" s="3" t="str">
        <f>IF(A715="","",'04'!$I$2)</f>
        <v/>
      </c>
      <c r="L715" s="13"/>
      <c r="M715" s="712" t="str">
        <f t="shared" si="89"/>
        <v/>
      </c>
      <c r="N715" s="416"/>
    </row>
    <row r="716" spans="1:16" ht="12.75" customHeight="1" x14ac:dyDescent="0.25">
      <c r="A716" s="711"/>
      <c r="B716" s="418"/>
      <c r="C716" s="418"/>
      <c r="D716" s="418"/>
      <c r="E716" s="418"/>
      <c r="F716" s="418"/>
      <c r="G716" s="416"/>
      <c r="H716" s="12" t="str">
        <f>IF(A716="","",VLOOKUP(A716,AA_Cuadrillas,4,FALSE))</f>
        <v/>
      </c>
      <c r="I716" s="712" t="str">
        <f>IF(A716="","",VLOOKUP(A716,AA_Cuadrillas,5,FALSE))</f>
        <v/>
      </c>
      <c r="J716" s="416"/>
      <c r="K716" s="3" t="str">
        <f>IF(A716="","",'04'!$I$2)</f>
        <v/>
      </c>
      <c r="L716" s="13"/>
      <c r="M716" s="712" t="str">
        <f t="shared" si="89"/>
        <v/>
      </c>
      <c r="N716" s="416"/>
    </row>
    <row r="717" spans="1:16" ht="12.75" customHeight="1" x14ac:dyDescent="0.25">
      <c r="A717" s="5"/>
      <c r="B717" s="5"/>
      <c r="C717" s="5"/>
      <c r="D717" s="5"/>
      <c r="E717" s="5"/>
      <c r="F717" s="5"/>
      <c r="G717" s="5"/>
      <c r="H717" s="5"/>
      <c r="I717" s="5"/>
      <c r="J717" s="5"/>
      <c r="K717" s="713" t="s">
        <v>261</v>
      </c>
      <c r="L717" s="416"/>
      <c r="M717" s="712">
        <f>SUM(M712:N716)</f>
        <v>21325.43982</v>
      </c>
      <c r="N717" s="416"/>
    </row>
    <row r="718" spans="1:16" ht="12.75" customHeight="1" x14ac:dyDescent="0.2"/>
    <row r="719" spans="1:16" ht="12.75" customHeight="1" x14ac:dyDescent="0.2">
      <c r="A719" s="787" t="s">
        <v>139</v>
      </c>
      <c r="B719" s="410"/>
      <c r="C719" s="410"/>
      <c r="D719" s="410"/>
      <c r="E719" s="410"/>
      <c r="F719" s="410"/>
      <c r="G719" s="410"/>
      <c r="H719" s="410"/>
      <c r="I719" s="410"/>
      <c r="J719" s="410"/>
      <c r="K719" s="410"/>
      <c r="L719" s="410"/>
      <c r="M719" s="410"/>
      <c r="N719" s="411"/>
      <c r="O719" s="272"/>
      <c r="P719" s="9"/>
    </row>
    <row r="720" spans="1:16" ht="12.75" customHeight="1" x14ac:dyDescent="0.2">
      <c r="A720" s="412"/>
      <c r="B720" s="413"/>
      <c r="C720" s="413"/>
      <c r="D720" s="413"/>
      <c r="E720" s="413"/>
      <c r="F720" s="413"/>
      <c r="G720" s="413"/>
      <c r="H720" s="413"/>
      <c r="I720" s="413"/>
      <c r="J720" s="413"/>
      <c r="K720" s="413"/>
      <c r="L720" s="413"/>
      <c r="M720" s="413"/>
      <c r="N720" s="414"/>
      <c r="O720" s="272"/>
      <c r="P720" s="9"/>
    </row>
    <row r="721" spans="1:14" ht="12.75" customHeight="1" x14ac:dyDescent="0.2">
      <c r="A721" s="49"/>
      <c r="B721" s="49"/>
      <c r="C721" s="49"/>
      <c r="D721" s="49"/>
      <c r="E721" s="49"/>
      <c r="F721" s="49"/>
      <c r="G721" s="49"/>
      <c r="H721" s="49"/>
      <c r="I721" s="49"/>
      <c r="J721" s="49"/>
      <c r="K721" s="49"/>
      <c r="L721" s="49"/>
      <c r="M721" s="49"/>
      <c r="N721" s="49"/>
    </row>
    <row r="722" spans="1:14" ht="12.75" customHeight="1" thickBot="1" x14ac:dyDescent="0.35">
      <c r="A722" s="51" t="str">
        <f>VLOOKUP(A719,'10'!$B$9:$N$100,13,FALSE)</f>
        <v>G035</v>
      </c>
      <c r="B722" s="52" t="str">
        <f>A719</f>
        <v>SUMINISTRO E INSTALACIÓN CODO 90° Ø10" EN HIERRO DUCTIL (INCLUYE MATERIALES, HERRAMIENTAS Y MANO DE OBRA)</v>
      </c>
      <c r="C722" s="53" t="s">
        <v>400</v>
      </c>
      <c r="D722" s="54" t="s">
        <v>475</v>
      </c>
      <c r="E722" s="55" t="s">
        <v>177</v>
      </c>
      <c r="F722" s="59">
        <f>H722+J722+L722+N722</f>
        <v>3547333.82529925</v>
      </c>
      <c r="G722" s="55" t="s">
        <v>349</v>
      </c>
      <c r="H722" s="59">
        <f>M743</f>
        <v>6287.3250142500001</v>
      </c>
      <c r="I722" s="55" t="s">
        <v>402</v>
      </c>
      <c r="J722" s="72">
        <f>M734</f>
        <v>3415300</v>
      </c>
      <c r="K722" s="55" t="s">
        <v>351</v>
      </c>
      <c r="L722" s="59">
        <f>M752</f>
        <v>0</v>
      </c>
      <c r="M722" s="55" t="s">
        <v>352</v>
      </c>
      <c r="N722" s="59">
        <f>M761</f>
        <v>125746.500285</v>
      </c>
    </row>
    <row r="723" spans="1:14" ht="12.75" customHeight="1" thickBot="1" x14ac:dyDescent="0.3">
      <c r="A723" s="60"/>
      <c r="B723" s="60"/>
      <c r="C723" s="60"/>
      <c r="D723" s="60"/>
      <c r="E723" s="60"/>
      <c r="F723" s="60"/>
      <c r="G723" s="60"/>
      <c r="J723" s="60"/>
      <c r="K723" s="60"/>
      <c r="L723" s="327" t="s">
        <v>1934</v>
      </c>
      <c r="M723" s="328">
        <f>+F722*'01'!$O$16</f>
        <v>4591282.1840025326</v>
      </c>
      <c r="N723" s="60"/>
    </row>
    <row r="724" spans="1:14" ht="12.75" customHeight="1" x14ac:dyDescent="0.2">
      <c r="A724" s="716" t="s">
        <v>403</v>
      </c>
      <c r="B724" s="418"/>
      <c r="C724" s="418"/>
      <c r="D724" s="418"/>
      <c r="E724" s="418"/>
      <c r="F724" s="418"/>
      <c r="G724" s="418"/>
      <c r="H724" s="418"/>
      <c r="I724" s="418"/>
      <c r="J724" s="418"/>
      <c r="K724" s="418"/>
      <c r="L724" s="418"/>
      <c r="M724" s="418"/>
      <c r="N724" s="416"/>
    </row>
    <row r="725" spans="1:14" ht="12.75" customHeight="1" x14ac:dyDescent="0.2">
      <c r="A725" s="713" t="s">
        <v>39</v>
      </c>
      <c r="B725" s="418"/>
      <c r="C725" s="418"/>
      <c r="D725" s="418"/>
      <c r="E725" s="418"/>
      <c r="F725" s="418"/>
      <c r="G725" s="416"/>
      <c r="H725" s="61" t="s">
        <v>40</v>
      </c>
      <c r="I725" s="717" t="s">
        <v>404</v>
      </c>
      <c r="J725" s="416"/>
      <c r="K725" s="717" t="s">
        <v>184</v>
      </c>
      <c r="L725" s="416"/>
      <c r="M725" s="717" t="s">
        <v>405</v>
      </c>
      <c r="N725" s="416"/>
    </row>
    <row r="726" spans="1:14" ht="12.75" customHeight="1" x14ac:dyDescent="0.2">
      <c r="A726" s="719" t="s">
        <v>485</v>
      </c>
      <c r="B726" s="418"/>
      <c r="C726" s="418"/>
      <c r="D726" s="418"/>
      <c r="E726" s="418"/>
      <c r="F726" s="418"/>
      <c r="G726" s="416"/>
      <c r="H726" s="12" t="str">
        <f t="shared" ref="H726:H733" si="90">IF(A726="","",VLOOKUP(A726,AA_Materiales,7,FALSE))</f>
        <v>Unidad</v>
      </c>
      <c r="I726" s="712">
        <f t="shared" ref="I726:I733" si="91">IF(A726="","",VLOOKUP(A726,AA_Materiales,8,FALSE))</f>
        <v>3415300</v>
      </c>
      <c r="J726" s="416"/>
      <c r="K726" s="715">
        <v>1</v>
      </c>
      <c r="L726" s="416"/>
      <c r="M726" s="712">
        <f t="shared" ref="M726:M733" si="92">IF(A726="","",I726*K726)</f>
        <v>3415300</v>
      </c>
      <c r="N726" s="416"/>
    </row>
    <row r="727" spans="1:14" ht="12.75" customHeight="1" x14ac:dyDescent="0.2">
      <c r="A727" s="719"/>
      <c r="B727" s="418"/>
      <c r="C727" s="418"/>
      <c r="D727" s="418"/>
      <c r="E727" s="418"/>
      <c r="F727" s="418"/>
      <c r="G727" s="416"/>
      <c r="H727" s="12" t="str">
        <f t="shared" si="90"/>
        <v/>
      </c>
      <c r="I727" s="712" t="str">
        <f t="shared" si="91"/>
        <v/>
      </c>
      <c r="J727" s="416"/>
      <c r="K727" s="715"/>
      <c r="L727" s="416"/>
      <c r="M727" s="712" t="str">
        <f t="shared" si="92"/>
        <v/>
      </c>
      <c r="N727" s="416"/>
    </row>
    <row r="728" spans="1:14" ht="12.75" customHeight="1" x14ac:dyDescent="0.2">
      <c r="A728" s="719"/>
      <c r="B728" s="418"/>
      <c r="C728" s="418"/>
      <c r="D728" s="418"/>
      <c r="E728" s="418"/>
      <c r="F728" s="418"/>
      <c r="G728" s="416"/>
      <c r="H728" s="12" t="str">
        <f t="shared" si="90"/>
        <v/>
      </c>
      <c r="I728" s="712" t="str">
        <f t="shared" si="91"/>
        <v/>
      </c>
      <c r="J728" s="416"/>
      <c r="K728" s="715"/>
      <c r="L728" s="416"/>
      <c r="M728" s="712" t="str">
        <f t="shared" si="92"/>
        <v/>
      </c>
      <c r="N728" s="416"/>
    </row>
    <row r="729" spans="1:14" ht="12.75" customHeight="1" x14ac:dyDescent="0.2">
      <c r="A729" s="719"/>
      <c r="B729" s="418"/>
      <c r="C729" s="418"/>
      <c r="D729" s="418"/>
      <c r="E729" s="418"/>
      <c r="F729" s="418"/>
      <c r="G729" s="416"/>
      <c r="H729" s="12" t="str">
        <f t="shared" si="90"/>
        <v/>
      </c>
      <c r="I729" s="712" t="str">
        <f t="shared" si="91"/>
        <v/>
      </c>
      <c r="J729" s="416"/>
      <c r="K729" s="715"/>
      <c r="L729" s="416"/>
      <c r="M729" s="712" t="str">
        <f t="shared" si="92"/>
        <v/>
      </c>
      <c r="N729" s="416"/>
    </row>
    <row r="730" spans="1:14" ht="12.75" customHeight="1" x14ac:dyDescent="0.2">
      <c r="A730" s="719"/>
      <c r="B730" s="418"/>
      <c r="C730" s="418"/>
      <c r="D730" s="418"/>
      <c r="E730" s="418"/>
      <c r="F730" s="418"/>
      <c r="G730" s="416"/>
      <c r="H730" s="12" t="str">
        <f t="shared" si="90"/>
        <v/>
      </c>
      <c r="I730" s="712" t="str">
        <f t="shared" si="91"/>
        <v/>
      </c>
      <c r="J730" s="416"/>
      <c r="K730" s="715"/>
      <c r="L730" s="416"/>
      <c r="M730" s="712" t="str">
        <f t="shared" si="92"/>
        <v/>
      </c>
      <c r="N730" s="416"/>
    </row>
    <row r="731" spans="1:14" ht="12.75" customHeight="1" x14ac:dyDescent="0.2">
      <c r="A731" s="719"/>
      <c r="B731" s="418"/>
      <c r="C731" s="418"/>
      <c r="D731" s="418"/>
      <c r="E731" s="418"/>
      <c r="F731" s="418"/>
      <c r="G731" s="416"/>
      <c r="H731" s="12" t="str">
        <f t="shared" si="90"/>
        <v/>
      </c>
      <c r="I731" s="712" t="str">
        <f t="shared" si="91"/>
        <v/>
      </c>
      <c r="J731" s="416"/>
      <c r="K731" s="715"/>
      <c r="L731" s="416"/>
      <c r="M731" s="712" t="str">
        <f t="shared" si="92"/>
        <v/>
      </c>
      <c r="N731" s="416"/>
    </row>
    <row r="732" spans="1:14" ht="12.75" customHeight="1" x14ac:dyDescent="0.2">
      <c r="A732" s="719"/>
      <c r="B732" s="418"/>
      <c r="C732" s="418"/>
      <c r="D732" s="418"/>
      <c r="E732" s="418"/>
      <c r="F732" s="418"/>
      <c r="G732" s="416"/>
      <c r="H732" s="12" t="str">
        <f t="shared" si="90"/>
        <v/>
      </c>
      <c r="I732" s="712" t="str">
        <f t="shared" si="91"/>
        <v/>
      </c>
      <c r="J732" s="416"/>
      <c r="K732" s="715"/>
      <c r="L732" s="416"/>
      <c r="M732" s="712" t="str">
        <f t="shared" si="92"/>
        <v/>
      </c>
      <c r="N732" s="416"/>
    </row>
    <row r="733" spans="1:14" ht="12.75" customHeight="1" x14ac:dyDescent="0.2">
      <c r="A733" s="719"/>
      <c r="B733" s="418"/>
      <c r="C733" s="418"/>
      <c r="D733" s="418"/>
      <c r="E733" s="418"/>
      <c r="F733" s="418"/>
      <c r="G733" s="416"/>
      <c r="H733" s="12" t="str">
        <f t="shared" si="90"/>
        <v/>
      </c>
      <c r="I733" s="712" t="str">
        <f t="shared" si="91"/>
        <v/>
      </c>
      <c r="J733" s="416"/>
      <c r="K733" s="715"/>
      <c r="L733" s="416"/>
      <c r="M733" s="712" t="str">
        <f t="shared" si="92"/>
        <v/>
      </c>
      <c r="N733" s="416"/>
    </row>
    <row r="734" spans="1:14" ht="12.75" customHeight="1" x14ac:dyDescent="0.25">
      <c r="A734" s="5"/>
      <c r="B734" s="5"/>
      <c r="C734" s="5"/>
      <c r="D734" s="5"/>
      <c r="E734" s="5"/>
      <c r="F734" s="5"/>
      <c r="G734" s="5"/>
      <c r="H734" s="5"/>
      <c r="I734" s="5"/>
      <c r="J734" s="5"/>
      <c r="K734" s="713" t="s">
        <v>261</v>
      </c>
      <c r="L734" s="416"/>
      <c r="M734" s="712">
        <f>SUM(M726:N733)</f>
        <v>3415300</v>
      </c>
      <c r="N734" s="416"/>
    </row>
    <row r="735" spans="1:14" ht="12.75" customHeight="1" x14ac:dyDescent="0.25">
      <c r="A735" s="5"/>
      <c r="B735" s="5"/>
      <c r="C735" s="5"/>
      <c r="D735" s="5"/>
      <c r="E735" s="5"/>
      <c r="F735" s="5"/>
      <c r="G735" s="5"/>
      <c r="H735" s="5"/>
      <c r="I735" s="5"/>
      <c r="J735" s="5"/>
      <c r="K735" s="5"/>
      <c r="L735" s="5"/>
      <c r="M735" s="5"/>
      <c r="N735" s="5"/>
    </row>
    <row r="736" spans="1:14" ht="12.75" customHeight="1" x14ac:dyDescent="0.2">
      <c r="A736" s="716" t="s">
        <v>410</v>
      </c>
      <c r="B736" s="418"/>
      <c r="C736" s="418"/>
      <c r="D736" s="418"/>
      <c r="E736" s="418"/>
      <c r="F736" s="418"/>
      <c r="G736" s="418"/>
      <c r="H736" s="418"/>
      <c r="I736" s="418"/>
      <c r="J736" s="418"/>
      <c r="K736" s="418"/>
      <c r="L736" s="418"/>
      <c r="M736" s="418"/>
      <c r="N736" s="416"/>
    </row>
    <row r="737" spans="1:14" ht="12.75" customHeight="1" x14ac:dyDescent="0.2">
      <c r="A737" s="713" t="s">
        <v>39</v>
      </c>
      <c r="B737" s="418"/>
      <c r="C737" s="418"/>
      <c r="D737" s="418"/>
      <c r="E737" s="418"/>
      <c r="F737" s="418"/>
      <c r="G737" s="416"/>
      <c r="H737" s="61" t="s">
        <v>40</v>
      </c>
      <c r="I737" s="717" t="s">
        <v>404</v>
      </c>
      <c r="J737" s="416"/>
      <c r="K737" s="717" t="s">
        <v>184</v>
      </c>
      <c r="L737" s="416"/>
      <c r="M737" s="717" t="s">
        <v>405</v>
      </c>
      <c r="N737" s="416"/>
    </row>
    <row r="738" spans="1:14" ht="12.75" customHeight="1" x14ac:dyDescent="0.2">
      <c r="A738" s="714" t="s">
        <v>411</v>
      </c>
      <c r="B738" s="418"/>
      <c r="C738" s="418"/>
      <c r="D738" s="418"/>
      <c r="E738" s="418"/>
      <c r="F738" s="418"/>
      <c r="G738" s="416"/>
      <c r="H738" s="12" t="str">
        <f>IF(A738="","",VLOOKUP(A738,AA_Equipos,7,FALSE))</f>
        <v>% M.O.</v>
      </c>
      <c r="I738" s="712">
        <f>+M761</f>
        <v>125746.500285</v>
      </c>
      <c r="J738" s="416"/>
      <c r="K738" s="722">
        <v>0.05</v>
      </c>
      <c r="L738" s="416"/>
      <c r="M738" s="712">
        <f t="shared" ref="M738:M742" si="93">IF(A738="","",I738*K738)</f>
        <v>6287.3250142500001</v>
      </c>
      <c r="N738" s="416"/>
    </row>
    <row r="739" spans="1:14" ht="12.75" customHeight="1" x14ac:dyDescent="0.2">
      <c r="A739" s="719"/>
      <c r="B739" s="418"/>
      <c r="C739" s="418"/>
      <c r="D739" s="418"/>
      <c r="E739" s="418"/>
      <c r="F739" s="418"/>
      <c r="G739" s="416"/>
      <c r="H739" s="12" t="str">
        <f>IF(A739="","",VLOOKUP(A739,AA_Equipos,7,FALSE))</f>
        <v/>
      </c>
      <c r="I739" s="712" t="str">
        <f>IF(A739="","",VLOOKUP(A739,AA_Equipos,8,FALSE))</f>
        <v/>
      </c>
      <c r="J739" s="416"/>
      <c r="K739" s="723"/>
      <c r="L739" s="416"/>
      <c r="M739" s="712" t="str">
        <f t="shared" si="93"/>
        <v/>
      </c>
      <c r="N739" s="416"/>
    </row>
    <row r="740" spans="1:14" ht="12.75" customHeight="1" x14ac:dyDescent="0.2">
      <c r="A740" s="714"/>
      <c r="B740" s="418"/>
      <c r="C740" s="418"/>
      <c r="D740" s="418"/>
      <c r="E740" s="418"/>
      <c r="F740" s="418"/>
      <c r="G740" s="416"/>
      <c r="H740" s="12" t="str">
        <f>IF(A740="","",VLOOKUP(A740,AA_Equipos,7,FALSE))</f>
        <v/>
      </c>
      <c r="I740" s="712" t="str">
        <f>IF(A740="","",VLOOKUP(A740,AA_Equipos,8,FALSE))</f>
        <v/>
      </c>
      <c r="J740" s="416"/>
      <c r="K740" s="786"/>
      <c r="L740" s="416"/>
      <c r="M740" s="712" t="str">
        <f t="shared" si="93"/>
        <v/>
      </c>
      <c r="N740" s="416"/>
    </row>
    <row r="741" spans="1:14" ht="12.75" customHeight="1" x14ac:dyDescent="0.2">
      <c r="A741" s="714"/>
      <c r="B741" s="418"/>
      <c r="C741" s="418"/>
      <c r="D741" s="418"/>
      <c r="E741" s="418"/>
      <c r="F741" s="418"/>
      <c r="G741" s="416"/>
      <c r="H741" s="12" t="str">
        <f>IF(A741="","",VLOOKUP(A741,AA_Equipos,7,FALSE))</f>
        <v/>
      </c>
      <c r="I741" s="712" t="str">
        <f>IF(A741="","",VLOOKUP(A741,AA_Equipos,8,FALSE))</f>
        <v/>
      </c>
      <c r="J741" s="416"/>
      <c r="K741" s="715"/>
      <c r="L741" s="416"/>
      <c r="M741" s="712" t="str">
        <f t="shared" si="93"/>
        <v/>
      </c>
      <c r="N741" s="416"/>
    </row>
    <row r="742" spans="1:14" ht="12.75" customHeight="1" x14ac:dyDescent="0.2">
      <c r="A742" s="714"/>
      <c r="B742" s="418"/>
      <c r="C742" s="418"/>
      <c r="D742" s="418"/>
      <c r="E742" s="418"/>
      <c r="F742" s="418"/>
      <c r="G742" s="416"/>
      <c r="H742" s="12" t="str">
        <f>IF(A742="","",VLOOKUP(A742,AA_Equipos,7,FALSE))</f>
        <v/>
      </c>
      <c r="I742" s="712" t="str">
        <f>IF(A742="","",VLOOKUP(A742,AA_Equipos,8,FALSE))</f>
        <v/>
      </c>
      <c r="J742" s="416"/>
      <c r="K742" s="715"/>
      <c r="L742" s="416"/>
      <c r="M742" s="712" t="str">
        <f t="shared" si="93"/>
        <v/>
      </c>
      <c r="N742" s="416"/>
    </row>
    <row r="743" spans="1:14" ht="12.75" customHeight="1" x14ac:dyDescent="0.25">
      <c r="A743" s="5"/>
      <c r="B743" s="5"/>
      <c r="C743" s="5"/>
      <c r="D743" s="5"/>
      <c r="E743" s="5"/>
      <c r="F743" s="5"/>
      <c r="G743" s="5"/>
      <c r="H743" s="5"/>
      <c r="I743" s="5"/>
      <c r="J743" s="5"/>
      <c r="K743" s="713" t="s">
        <v>261</v>
      </c>
      <c r="L743" s="416"/>
      <c r="M743" s="712">
        <f>SUM(M738:N742)</f>
        <v>6287.3250142500001</v>
      </c>
      <c r="N743" s="416"/>
    </row>
    <row r="744" spans="1:14" ht="12.75" customHeight="1" x14ac:dyDescent="0.25">
      <c r="A744" s="5"/>
      <c r="B744" s="5"/>
      <c r="C744" s="5"/>
      <c r="D744" s="5"/>
      <c r="E744" s="5"/>
      <c r="F744" s="5"/>
      <c r="G744" s="5"/>
      <c r="H744" s="5"/>
      <c r="I744" s="5"/>
      <c r="J744" s="5"/>
      <c r="K744" s="5"/>
      <c r="L744" s="5"/>
      <c r="M744" s="5"/>
      <c r="N744" s="5"/>
    </row>
    <row r="745" spans="1:14" ht="12.75" customHeight="1" x14ac:dyDescent="0.2">
      <c r="A745" s="716" t="s">
        <v>413</v>
      </c>
      <c r="B745" s="418"/>
      <c r="C745" s="418"/>
      <c r="D745" s="418"/>
      <c r="E745" s="418"/>
      <c r="F745" s="418"/>
      <c r="G745" s="418"/>
      <c r="H745" s="418"/>
      <c r="I745" s="418"/>
      <c r="J745" s="418"/>
      <c r="K745" s="418"/>
      <c r="L745" s="418"/>
      <c r="M745" s="418"/>
      <c r="N745" s="416"/>
    </row>
    <row r="746" spans="1:14" ht="12.75" customHeight="1" x14ac:dyDescent="0.2">
      <c r="A746" s="713" t="s">
        <v>39</v>
      </c>
      <c r="B746" s="418"/>
      <c r="C746" s="418"/>
      <c r="D746" s="418"/>
      <c r="E746" s="418"/>
      <c r="F746" s="418"/>
      <c r="G746" s="416"/>
      <c r="H746" s="61" t="s">
        <v>40</v>
      </c>
      <c r="I746" s="717" t="s">
        <v>404</v>
      </c>
      <c r="J746" s="416"/>
      <c r="K746" s="717" t="s">
        <v>184</v>
      </c>
      <c r="L746" s="416"/>
      <c r="M746" s="717" t="s">
        <v>405</v>
      </c>
      <c r="N746" s="416"/>
    </row>
    <row r="747" spans="1:14" ht="12.75" customHeight="1" x14ac:dyDescent="0.2">
      <c r="A747" s="714"/>
      <c r="B747" s="418"/>
      <c r="C747" s="418"/>
      <c r="D747" s="418"/>
      <c r="E747" s="418"/>
      <c r="F747" s="418"/>
      <c r="G747" s="416"/>
      <c r="H747" s="12"/>
      <c r="I747" s="712"/>
      <c r="J747" s="416"/>
      <c r="K747" s="722"/>
      <c r="L747" s="416"/>
      <c r="M747" s="712" t="str">
        <f t="shared" ref="M747:M751" si="94">IF(A747="","",I747*K747)</f>
        <v/>
      </c>
      <c r="N747" s="416"/>
    </row>
    <row r="748" spans="1:14" ht="12.75" customHeight="1" x14ac:dyDescent="0.2">
      <c r="A748" s="719"/>
      <c r="B748" s="418"/>
      <c r="C748" s="418"/>
      <c r="D748" s="418"/>
      <c r="E748" s="418"/>
      <c r="F748" s="418"/>
      <c r="G748" s="416"/>
      <c r="H748" s="12"/>
      <c r="I748" s="712"/>
      <c r="J748" s="416"/>
      <c r="K748" s="722"/>
      <c r="L748" s="416"/>
      <c r="M748" s="712" t="str">
        <f t="shared" si="94"/>
        <v/>
      </c>
      <c r="N748" s="416"/>
    </row>
    <row r="749" spans="1:14" ht="12.75" customHeight="1" x14ac:dyDescent="0.2">
      <c r="A749" s="714"/>
      <c r="B749" s="418"/>
      <c r="C749" s="418"/>
      <c r="D749" s="418"/>
      <c r="E749" s="418"/>
      <c r="F749" s="418"/>
      <c r="G749" s="416"/>
      <c r="H749" s="12"/>
      <c r="I749" s="712"/>
      <c r="J749" s="416"/>
      <c r="K749" s="715"/>
      <c r="L749" s="416"/>
      <c r="M749" s="712" t="str">
        <f t="shared" si="94"/>
        <v/>
      </c>
      <c r="N749" s="416"/>
    </row>
    <row r="750" spans="1:14" ht="12.75" customHeight="1" x14ac:dyDescent="0.2">
      <c r="A750" s="714"/>
      <c r="B750" s="418"/>
      <c r="C750" s="418"/>
      <c r="D750" s="418"/>
      <c r="E750" s="418"/>
      <c r="F750" s="418"/>
      <c r="G750" s="416"/>
      <c r="H750" s="12"/>
      <c r="I750" s="712"/>
      <c r="J750" s="416"/>
      <c r="K750" s="715"/>
      <c r="L750" s="416"/>
      <c r="M750" s="712" t="str">
        <f t="shared" si="94"/>
        <v/>
      </c>
      <c r="N750" s="416"/>
    </row>
    <row r="751" spans="1:14" ht="12.75" customHeight="1" x14ac:dyDescent="0.2">
      <c r="A751" s="714"/>
      <c r="B751" s="418"/>
      <c r="C751" s="418"/>
      <c r="D751" s="418"/>
      <c r="E751" s="418"/>
      <c r="F751" s="418"/>
      <c r="G751" s="416"/>
      <c r="H751" s="12"/>
      <c r="I751" s="712"/>
      <c r="J751" s="416"/>
      <c r="K751" s="715"/>
      <c r="L751" s="416"/>
      <c r="M751" s="712" t="str">
        <f t="shared" si="94"/>
        <v/>
      </c>
      <c r="N751" s="416"/>
    </row>
    <row r="752" spans="1:14" ht="12.75" customHeight="1" x14ac:dyDescent="0.25">
      <c r="A752" s="5"/>
      <c r="B752" s="5"/>
      <c r="C752" s="5"/>
      <c r="D752" s="5"/>
      <c r="E752" s="5"/>
      <c r="F752" s="5"/>
      <c r="G752" s="5"/>
      <c r="H752" s="5"/>
      <c r="I752" s="5"/>
      <c r="J752" s="5"/>
      <c r="K752" s="713" t="s">
        <v>261</v>
      </c>
      <c r="L752" s="416"/>
      <c r="M752" s="712">
        <f>SUM(M747:N751)</f>
        <v>0</v>
      </c>
      <c r="N752" s="416"/>
    </row>
    <row r="753" spans="1:16" ht="12.75" customHeight="1" x14ac:dyDescent="0.25">
      <c r="A753" s="5"/>
      <c r="B753" s="5"/>
      <c r="C753" s="5"/>
      <c r="D753" s="5"/>
      <c r="E753" s="5"/>
      <c r="F753" s="5"/>
      <c r="G753" s="5"/>
      <c r="H753" s="5"/>
      <c r="I753" s="5"/>
      <c r="J753" s="5"/>
      <c r="K753" s="5"/>
      <c r="L753" s="5"/>
      <c r="M753" s="5"/>
      <c r="N753" s="5"/>
    </row>
    <row r="754" spans="1:16" ht="12.75" customHeight="1" x14ac:dyDescent="0.2">
      <c r="A754" s="716" t="s">
        <v>415</v>
      </c>
      <c r="B754" s="418"/>
      <c r="C754" s="418"/>
      <c r="D754" s="418"/>
      <c r="E754" s="418"/>
      <c r="F754" s="418"/>
      <c r="G754" s="418"/>
      <c r="H754" s="418"/>
      <c r="I754" s="418"/>
      <c r="J754" s="418"/>
      <c r="K754" s="418"/>
      <c r="L754" s="418"/>
      <c r="M754" s="418"/>
      <c r="N754" s="416"/>
    </row>
    <row r="755" spans="1:16" ht="12.75" customHeight="1" x14ac:dyDescent="0.2">
      <c r="A755" s="713" t="s">
        <v>39</v>
      </c>
      <c r="B755" s="418"/>
      <c r="C755" s="418"/>
      <c r="D755" s="418"/>
      <c r="E755" s="418"/>
      <c r="F755" s="418"/>
      <c r="G755" s="416"/>
      <c r="H755" s="61" t="s">
        <v>40</v>
      </c>
      <c r="I755" s="717" t="s">
        <v>404</v>
      </c>
      <c r="J755" s="416"/>
      <c r="K755" s="64" t="s">
        <v>253</v>
      </c>
      <c r="L755" s="65" t="s">
        <v>416</v>
      </c>
      <c r="M755" s="717" t="s">
        <v>405</v>
      </c>
      <c r="N755" s="416"/>
    </row>
    <row r="756" spans="1:16" ht="12.75" customHeight="1" x14ac:dyDescent="0.25">
      <c r="A756" s="711" t="s">
        <v>479</v>
      </c>
      <c r="B756" s="418"/>
      <c r="C756" s="418"/>
      <c r="D756" s="418"/>
      <c r="E756" s="418"/>
      <c r="F756" s="418"/>
      <c r="G756" s="416"/>
      <c r="H756" s="12" t="str">
        <f>IF(A756="","",VLOOKUP(A756,AA_Cuadrillas,4,FALSE))</f>
        <v>Cuadrilla</v>
      </c>
      <c r="I756" s="712">
        <f>IF(A756="","",VLOOKUP(A756,AA_Cuadrillas,5,FALSE))</f>
        <v>221781</v>
      </c>
      <c r="J756" s="416"/>
      <c r="K756" s="3">
        <f>IF(A756="","",'04'!$I$2)</f>
        <v>1.88995</v>
      </c>
      <c r="L756" s="71">
        <v>0.3</v>
      </c>
      <c r="M756" s="712">
        <f t="shared" ref="M756:M760" si="95">IF(A756="","",I756*K756*L756)</f>
        <v>125746.500285</v>
      </c>
      <c r="N756" s="416"/>
    </row>
    <row r="757" spans="1:16" ht="12.75" customHeight="1" x14ac:dyDescent="0.25">
      <c r="A757" s="711"/>
      <c r="B757" s="418"/>
      <c r="C757" s="418"/>
      <c r="D757" s="418"/>
      <c r="E757" s="418"/>
      <c r="F757" s="418"/>
      <c r="G757" s="416"/>
      <c r="H757" s="12" t="str">
        <f>IF(A757="","",VLOOKUP(A757,AA_Cuadrillas,4,FALSE))</f>
        <v/>
      </c>
      <c r="I757" s="712" t="str">
        <f>IF(A757="","",VLOOKUP(A757,AA_Cuadrillas,5,FALSE))</f>
        <v/>
      </c>
      <c r="J757" s="416"/>
      <c r="K757" s="3" t="str">
        <f>IF(A757="","",'04'!$I$2)</f>
        <v/>
      </c>
      <c r="L757" s="3"/>
      <c r="M757" s="712" t="str">
        <f t="shared" si="95"/>
        <v/>
      </c>
      <c r="N757" s="416"/>
    </row>
    <row r="758" spans="1:16" ht="12.75" customHeight="1" x14ac:dyDescent="0.25">
      <c r="A758" s="711"/>
      <c r="B758" s="418"/>
      <c r="C758" s="418"/>
      <c r="D758" s="418"/>
      <c r="E758" s="418"/>
      <c r="F758" s="418"/>
      <c r="G758" s="416"/>
      <c r="H758" s="12" t="str">
        <f>IF(A758="","",VLOOKUP(A758,AA_Cuadrillas,4,FALSE))</f>
        <v/>
      </c>
      <c r="I758" s="712" t="str">
        <f>IF(A758="","",VLOOKUP(A758,AA_Cuadrillas,5,FALSE))</f>
        <v/>
      </c>
      <c r="J758" s="416"/>
      <c r="K758" s="3" t="str">
        <f>IF(A758="","",'04'!$I$2)</f>
        <v/>
      </c>
      <c r="L758" s="13"/>
      <c r="M758" s="712" t="str">
        <f t="shared" si="95"/>
        <v/>
      </c>
      <c r="N758" s="416"/>
    </row>
    <row r="759" spans="1:16" ht="12.75" customHeight="1" x14ac:dyDescent="0.25">
      <c r="A759" s="711"/>
      <c r="B759" s="418"/>
      <c r="C759" s="418"/>
      <c r="D759" s="418"/>
      <c r="E759" s="418"/>
      <c r="F759" s="418"/>
      <c r="G759" s="416"/>
      <c r="H759" s="12" t="str">
        <f>IF(A759="","",VLOOKUP(A759,AA_Cuadrillas,4,FALSE))</f>
        <v/>
      </c>
      <c r="I759" s="712" t="str">
        <f>IF(A759="","",VLOOKUP(A759,AA_Cuadrillas,5,FALSE))</f>
        <v/>
      </c>
      <c r="J759" s="416"/>
      <c r="K759" s="3" t="str">
        <f>IF(A759="","",'04'!$I$2)</f>
        <v/>
      </c>
      <c r="L759" s="13"/>
      <c r="M759" s="712" t="str">
        <f t="shared" si="95"/>
        <v/>
      </c>
      <c r="N759" s="416"/>
    </row>
    <row r="760" spans="1:16" ht="12.75" customHeight="1" x14ac:dyDescent="0.25">
      <c r="A760" s="711"/>
      <c r="B760" s="418"/>
      <c r="C760" s="418"/>
      <c r="D760" s="418"/>
      <c r="E760" s="418"/>
      <c r="F760" s="418"/>
      <c r="G760" s="416"/>
      <c r="H760" s="12" t="str">
        <f>IF(A760="","",VLOOKUP(A760,AA_Cuadrillas,4,FALSE))</f>
        <v/>
      </c>
      <c r="I760" s="712" t="str">
        <f>IF(A760="","",VLOOKUP(A760,AA_Cuadrillas,5,FALSE))</f>
        <v/>
      </c>
      <c r="J760" s="416"/>
      <c r="K760" s="3" t="str">
        <f>IF(A760="","",'04'!$I$2)</f>
        <v/>
      </c>
      <c r="L760" s="13"/>
      <c r="M760" s="712" t="str">
        <f t="shared" si="95"/>
        <v/>
      </c>
      <c r="N760" s="416"/>
    </row>
    <row r="761" spans="1:16" ht="12.75" customHeight="1" x14ac:dyDescent="0.25">
      <c r="A761" s="5"/>
      <c r="B761" s="5"/>
      <c r="C761" s="5"/>
      <c r="D761" s="5"/>
      <c r="E761" s="5"/>
      <c r="F761" s="5"/>
      <c r="G761" s="5"/>
      <c r="H761" s="5"/>
      <c r="I761" s="5"/>
      <c r="J761" s="5"/>
      <c r="K761" s="713" t="s">
        <v>261</v>
      </c>
      <c r="L761" s="416"/>
      <c r="M761" s="712">
        <f>SUM(M756:N760)</f>
        <v>125746.500285</v>
      </c>
      <c r="N761" s="416"/>
    </row>
    <row r="762" spans="1:16" ht="12.75" customHeight="1" x14ac:dyDescent="0.2"/>
    <row r="763" spans="1:16" ht="12.75" customHeight="1" x14ac:dyDescent="0.2">
      <c r="A763" s="787" t="s">
        <v>143</v>
      </c>
      <c r="B763" s="410"/>
      <c r="C763" s="410"/>
      <c r="D763" s="410"/>
      <c r="E763" s="410"/>
      <c r="F763" s="410"/>
      <c r="G763" s="410"/>
      <c r="H763" s="410"/>
      <c r="I763" s="410"/>
      <c r="J763" s="410"/>
      <c r="K763" s="410"/>
      <c r="L763" s="410"/>
      <c r="M763" s="410"/>
      <c r="N763" s="411"/>
      <c r="O763" s="272"/>
      <c r="P763" s="9"/>
    </row>
    <row r="764" spans="1:16" ht="12.75" customHeight="1" x14ac:dyDescent="0.2">
      <c r="A764" s="412"/>
      <c r="B764" s="413"/>
      <c r="C764" s="413"/>
      <c r="D764" s="413"/>
      <c r="E764" s="413"/>
      <c r="F764" s="413"/>
      <c r="G764" s="413"/>
      <c r="H764" s="413"/>
      <c r="I764" s="413"/>
      <c r="J764" s="413"/>
      <c r="K764" s="413"/>
      <c r="L764" s="413"/>
      <c r="M764" s="413"/>
      <c r="N764" s="414"/>
      <c r="O764" s="272"/>
      <c r="P764" s="9"/>
    </row>
    <row r="765" spans="1:16" ht="12.75" customHeight="1" x14ac:dyDescent="0.2">
      <c r="A765" s="49"/>
      <c r="B765" s="49"/>
      <c r="C765" s="49"/>
      <c r="D765" s="49"/>
      <c r="E765" s="49"/>
      <c r="F765" s="49"/>
      <c r="G765" s="49"/>
      <c r="H765" s="49"/>
      <c r="I765" s="49"/>
      <c r="J765" s="49"/>
      <c r="K765" s="49"/>
      <c r="L765" s="49"/>
      <c r="M765" s="49"/>
      <c r="N765" s="49"/>
    </row>
    <row r="766" spans="1:16" ht="12.75" customHeight="1" thickBot="1" x14ac:dyDescent="0.35">
      <c r="A766" s="51" t="str">
        <f>VLOOKUP(A763,'10'!$B$9:$N$100,13,FALSE)</f>
        <v>G037</v>
      </c>
      <c r="B766" s="52" t="str">
        <f>A763</f>
        <v>SUMINISTRO E INSTALACIÓN TEE 90° Ø10" EN HIERRO DUCTIL (INCLUYE MATERIALES, HERRAMIENTAS Y MANO DE OBRA)</v>
      </c>
      <c r="C766" s="53" t="s">
        <v>400</v>
      </c>
      <c r="D766" s="54" t="s">
        <v>475</v>
      </c>
      <c r="E766" s="55" t="s">
        <v>177</v>
      </c>
      <c r="F766" s="59">
        <f>H766+J766+L766+N766</f>
        <v>4221275.1135990005</v>
      </c>
      <c r="G766" s="55" t="s">
        <v>349</v>
      </c>
      <c r="H766" s="59">
        <f>M787</f>
        <v>5956.404219</v>
      </c>
      <c r="I766" s="55" t="s">
        <v>402</v>
      </c>
      <c r="J766" s="72">
        <f>M778</f>
        <v>4096190.625</v>
      </c>
      <c r="K766" s="55" t="s">
        <v>351</v>
      </c>
      <c r="L766" s="59">
        <f>M796</f>
        <v>0</v>
      </c>
      <c r="M766" s="55" t="s">
        <v>352</v>
      </c>
      <c r="N766" s="59">
        <f>M805</f>
        <v>119128.08438</v>
      </c>
    </row>
    <row r="767" spans="1:16" ht="12.75" customHeight="1" thickBot="1" x14ac:dyDescent="0.3">
      <c r="A767" s="60"/>
      <c r="B767" s="60"/>
      <c r="C767" s="60"/>
      <c r="D767" s="60"/>
      <c r="E767" s="60"/>
      <c r="F767" s="60"/>
      <c r="G767" s="60"/>
      <c r="J767" s="60"/>
      <c r="K767" s="60"/>
      <c r="L767" s="327" t="s">
        <v>1934</v>
      </c>
      <c r="M767" s="328">
        <f>+F766*'01'!$O$16</f>
        <v>5463558.3165633949</v>
      </c>
      <c r="N767" s="60"/>
    </row>
    <row r="768" spans="1:16" ht="12.75" customHeight="1" x14ac:dyDescent="0.2">
      <c r="A768" s="716" t="s">
        <v>403</v>
      </c>
      <c r="B768" s="418"/>
      <c r="C768" s="418"/>
      <c r="D768" s="418"/>
      <c r="E768" s="418"/>
      <c r="F768" s="418"/>
      <c r="G768" s="418"/>
      <c r="H768" s="418"/>
      <c r="I768" s="418"/>
      <c r="J768" s="418"/>
      <c r="K768" s="418"/>
      <c r="L768" s="418"/>
      <c r="M768" s="418"/>
      <c r="N768" s="416"/>
    </row>
    <row r="769" spans="1:14" ht="12.75" customHeight="1" x14ac:dyDescent="0.2">
      <c r="A769" s="713" t="s">
        <v>39</v>
      </c>
      <c r="B769" s="418"/>
      <c r="C769" s="418"/>
      <c r="D769" s="418"/>
      <c r="E769" s="418"/>
      <c r="F769" s="418"/>
      <c r="G769" s="416"/>
      <c r="H769" s="61" t="s">
        <v>40</v>
      </c>
      <c r="I769" s="717" t="s">
        <v>404</v>
      </c>
      <c r="J769" s="416"/>
      <c r="K769" s="717" t="s">
        <v>184</v>
      </c>
      <c r="L769" s="416"/>
      <c r="M769" s="717" t="s">
        <v>405</v>
      </c>
      <c r="N769" s="416"/>
    </row>
    <row r="770" spans="1:14" ht="12.75" customHeight="1" x14ac:dyDescent="0.2">
      <c r="A770" s="719" t="s">
        <v>486</v>
      </c>
      <c r="B770" s="418"/>
      <c r="C770" s="418"/>
      <c r="D770" s="418"/>
      <c r="E770" s="418"/>
      <c r="F770" s="418"/>
      <c r="G770" s="416"/>
      <c r="H770" s="12" t="str">
        <f t="shared" ref="H770:H777" si="96">IF(A770="","",VLOOKUP(A770,AA_Materiales,7,FALSE))</f>
        <v>Unidad</v>
      </c>
      <c r="I770" s="712">
        <f t="shared" ref="I770:I777" si="97">IF(A770="","",VLOOKUP(A770,AA_Materiales,8,FALSE))</f>
        <v>4094790</v>
      </c>
      <c r="J770" s="416"/>
      <c r="K770" s="715">
        <v>1</v>
      </c>
      <c r="L770" s="416"/>
      <c r="M770" s="712">
        <f t="shared" ref="M770:M777" si="98">IF(A770="","",I770*K770)</f>
        <v>4094790</v>
      </c>
      <c r="N770" s="416"/>
    </row>
    <row r="771" spans="1:14" ht="12.75" customHeight="1" x14ac:dyDescent="0.2">
      <c r="A771" s="719" t="s">
        <v>487</v>
      </c>
      <c r="B771" s="418"/>
      <c r="C771" s="418"/>
      <c r="D771" s="418"/>
      <c r="E771" s="418"/>
      <c r="F771" s="418"/>
      <c r="G771" s="416"/>
      <c r="H771" s="12" t="str">
        <f t="shared" si="96"/>
        <v>Unidad</v>
      </c>
      <c r="I771" s="712">
        <f t="shared" si="97"/>
        <v>28012.5</v>
      </c>
      <c r="J771" s="416"/>
      <c r="K771" s="715">
        <v>0.05</v>
      </c>
      <c r="L771" s="416"/>
      <c r="M771" s="712">
        <f t="shared" si="98"/>
        <v>1400.625</v>
      </c>
      <c r="N771" s="416"/>
    </row>
    <row r="772" spans="1:14" ht="12.75" customHeight="1" x14ac:dyDescent="0.2">
      <c r="A772" s="719"/>
      <c r="B772" s="418"/>
      <c r="C772" s="418"/>
      <c r="D772" s="418"/>
      <c r="E772" s="418"/>
      <c r="F772" s="418"/>
      <c r="G772" s="416"/>
      <c r="H772" s="12" t="str">
        <f t="shared" si="96"/>
        <v/>
      </c>
      <c r="I772" s="712" t="str">
        <f t="shared" si="97"/>
        <v/>
      </c>
      <c r="J772" s="416"/>
      <c r="K772" s="715"/>
      <c r="L772" s="416"/>
      <c r="M772" s="712" t="str">
        <f t="shared" si="98"/>
        <v/>
      </c>
      <c r="N772" s="416"/>
    </row>
    <row r="773" spans="1:14" ht="12.75" customHeight="1" x14ac:dyDescent="0.2">
      <c r="A773" s="719"/>
      <c r="B773" s="418"/>
      <c r="C773" s="418"/>
      <c r="D773" s="418"/>
      <c r="E773" s="418"/>
      <c r="F773" s="418"/>
      <c r="G773" s="416"/>
      <c r="H773" s="12" t="str">
        <f t="shared" si="96"/>
        <v/>
      </c>
      <c r="I773" s="712" t="str">
        <f t="shared" si="97"/>
        <v/>
      </c>
      <c r="J773" s="416"/>
      <c r="K773" s="715"/>
      <c r="L773" s="416"/>
      <c r="M773" s="712" t="str">
        <f t="shared" si="98"/>
        <v/>
      </c>
      <c r="N773" s="416"/>
    </row>
    <row r="774" spans="1:14" ht="12.75" customHeight="1" x14ac:dyDescent="0.2">
      <c r="A774" s="719"/>
      <c r="B774" s="418"/>
      <c r="C774" s="418"/>
      <c r="D774" s="418"/>
      <c r="E774" s="418"/>
      <c r="F774" s="418"/>
      <c r="G774" s="416"/>
      <c r="H774" s="12" t="str">
        <f t="shared" si="96"/>
        <v/>
      </c>
      <c r="I774" s="712" t="str">
        <f t="shared" si="97"/>
        <v/>
      </c>
      <c r="J774" s="416"/>
      <c r="K774" s="715"/>
      <c r="L774" s="416"/>
      <c r="M774" s="712" t="str">
        <f t="shared" si="98"/>
        <v/>
      </c>
      <c r="N774" s="416"/>
    </row>
    <row r="775" spans="1:14" ht="12.75" customHeight="1" x14ac:dyDescent="0.2">
      <c r="A775" s="719"/>
      <c r="B775" s="418"/>
      <c r="C775" s="418"/>
      <c r="D775" s="418"/>
      <c r="E775" s="418"/>
      <c r="F775" s="418"/>
      <c r="G775" s="416"/>
      <c r="H775" s="12" t="str">
        <f t="shared" si="96"/>
        <v/>
      </c>
      <c r="I775" s="712" t="str">
        <f t="shared" si="97"/>
        <v/>
      </c>
      <c r="J775" s="416"/>
      <c r="K775" s="715"/>
      <c r="L775" s="416"/>
      <c r="M775" s="712" t="str">
        <f t="shared" si="98"/>
        <v/>
      </c>
      <c r="N775" s="416"/>
    </row>
    <row r="776" spans="1:14" ht="12.75" customHeight="1" x14ac:dyDescent="0.2">
      <c r="A776" s="719"/>
      <c r="B776" s="418"/>
      <c r="C776" s="418"/>
      <c r="D776" s="418"/>
      <c r="E776" s="418"/>
      <c r="F776" s="418"/>
      <c r="G776" s="416"/>
      <c r="H776" s="12" t="str">
        <f t="shared" si="96"/>
        <v/>
      </c>
      <c r="I776" s="712" t="str">
        <f t="shared" si="97"/>
        <v/>
      </c>
      <c r="J776" s="416"/>
      <c r="K776" s="715"/>
      <c r="L776" s="416"/>
      <c r="M776" s="712" t="str">
        <f t="shared" si="98"/>
        <v/>
      </c>
      <c r="N776" s="416"/>
    </row>
    <row r="777" spans="1:14" ht="12.75" customHeight="1" x14ac:dyDescent="0.2">
      <c r="A777" s="719"/>
      <c r="B777" s="418"/>
      <c r="C777" s="418"/>
      <c r="D777" s="418"/>
      <c r="E777" s="418"/>
      <c r="F777" s="418"/>
      <c r="G777" s="416"/>
      <c r="H777" s="12" t="str">
        <f t="shared" si="96"/>
        <v/>
      </c>
      <c r="I777" s="712" t="str">
        <f t="shared" si="97"/>
        <v/>
      </c>
      <c r="J777" s="416"/>
      <c r="K777" s="715"/>
      <c r="L777" s="416"/>
      <c r="M777" s="712" t="str">
        <f t="shared" si="98"/>
        <v/>
      </c>
      <c r="N777" s="416"/>
    </row>
    <row r="778" spans="1:14" ht="12.75" customHeight="1" x14ac:dyDescent="0.25">
      <c r="A778" s="5"/>
      <c r="B778" s="5"/>
      <c r="C778" s="5"/>
      <c r="D778" s="5"/>
      <c r="E778" s="5"/>
      <c r="F778" s="5"/>
      <c r="G778" s="5"/>
      <c r="H778" s="5"/>
      <c r="I778" s="5"/>
      <c r="J778" s="5"/>
      <c r="K778" s="713" t="s">
        <v>261</v>
      </c>
      <c r="L778" s="416"/>
      <c r="M778" s="712">
        <f>SUM(M770:N777)</f>
        <v>4096190.625</v>
      </c>
      <c r="N778" s="416"/>
    </row>
    <row r="779" spans="1:14" ht="12.75" customHeight="1" x14ac:dyDescent="0.25">
      <c r="A779" s="5"/>
      <c r="B779" s="5"/>
      <c r="C779" s="5"/>
      <c r="D779" s="5"/>
      <c r="E779" s="5"/>
      <c r="F779" s="5"/>
      <c r="G779" s="5"/>
      <c r="H779" s="5"/>
      <c r="I779" s="5"/>
      <c r="J779" s="5"/>
      <c r="K779" s="5"/>
      <c r="L779" s="5"/>
      <c r="M779" s="5"/>
      <c r="N779" s="5"/>
    </row>
    <row r="780" spans="1:14" ht="12.75" customHeight="1" x14ac:dyDescent="0.2">
      <c r="A780" s="716" t="s">
        <v>410</v>
      </c>
      <c r="B780" s="418"/>
      <c r="C780" s="418"/>
      <c r="D780" s="418"/>
      <c r="E780" s="418"/>
      <c r="F780" s="418"/>
      <c r="G780" s="418"/>
      <c r="H780" s="418"/>
      <c r="I780" s="418"/>
      <c r="J780" s="418"/>
      <c r="K780" s="418"/>
      <c r="L780" s="418"/>
      <c r="M780" s="418"/>
      <c r="N780" s="416"/>
    </row>
    <row r="781" spans="1:14" ht="12.75" customHeight="1" x14ac:dyDescent="0.2">
      <c r="A781" s="713" t="s">
        <v>39</v>
      </c>
      <c r="B781" s="418"/>
      <c r="C781" s="418"/>
      <c r="D781" s="418"/>
      <c r="E781" s="418"/>
      <c r="F781" s="418"/>
      <c r="G781" s="416"/>
      <c r="H781" s="61" t="s">
        <v>40</v>
      </c>
      <c r="I781" s="717" t="s">
        <v>404</v>
      </c>
      <c r="J781" s="416"/>
      <c r="K781" s="717" t="s">
        <v>184</v>
      </c>
      <c r="L781" s="416"/>
      <c r="M781" s="717" t="s">
        <v>405</v>
      </c>
      <c r="N781" s="416"/>
    </row>
    <row r="782" spans="1:14" ht="12.75" customHeight="1" x14ac:dyDescent="0.2">
      <c r="A782" s="714" t="s">
        <v>411</v>
      </c>
      <c r="B782" s="418"/>
      <c r="C782" s="418"/>
      <c r="D782" s="418"/>
      <c r="E782" s="418"/>
      <c r="F782" s="418"/>
      <c r="G782" s="416"/>
      <c r="H782" s="12" t="str">
        <f>IF(A782="","",VLOOKUP(A782,AA_Equipos,7,FALSE))</f>
        <v>% M.O.</v>
      </c>
      <c r="I782" s="712">
        <f>+M805</f>
        <v>119128.08438</v>
      </c>
      <c r="J782" s="416"/>
      <c r="K782" s="722">
        <v>0.05</v>
      </c>
      <c r="L782" s="416"/>
      <c r="M782" s="712">
        <f t="shared" ref="M782:M786" si="99">IF(A782="","",I782*K782)</f>
        <v>5956.404219</v>
      </c>
      <c r="N782" s="416"/>
    </row>
    <row r="783" spans="1:14" ht="12.75" customHeight="1" x14ac:dyDescent="0.2">
      <c r="A783" s="719"/>
      <c r="B783" s="418"/>
      <c r="C783" s="418"/>
      <c r="D783" s="418"/>
      <c r="E783" s="418"/>
      <c r="F783" s="418"/>
      <c r="G783" s="416"/>
      <c r="H783" s="12" t="str">
        <f>IF(A783="","",VLOOKUP(A783,AA_Equipos,7,FALSE))</f>
        <v/>
      </c>
      <c r="I783" s="712" t="str">
        <f>IF(A783="","",VLOOKUP(A783,AA_Equipos,8,FALSE))</f>
        <v/>
      </c>
      <c r="J783" s="416"/>
      <c r="K783" s="723"/>
      <c r="L783" s="416"/>
      <c r="M783" s="712" t="str">
        <f t="shared" si="99"/>
        <v/>
      </c>
      <c r="N783" s="416"/>
    </row>
    <row r="784" spans="1:14" ht="12.75" customHeight="1" x14ac:dyDescent="0.2">
      <c r="A784" s="714"/>
      <c r="B784" s="418"/>
      <c r="C784" s="418"/>
      <c r="D784" s="418"/>
      <c r="E784" s="418"/>
      <c r="F784" s="418"/>
      <c r="G784" s="416"/>
      <c r="H784" s="12" t="str">
        <f>IF(A784="","",VLOOKUP(A784,AA_Equipos,7,FALSE))</f>
        <v/>
      </c>
      <c r="I784" s="712" t="str">
        <f>IF(A784="","",VLOOKUP(A784,AA_Equipos,8,FALSE))</f>
        <v/>
      </c>
      <c r="J784" s="416"/>
      <c r="K784" s="786"/>
      <c r="L784" s="416"/>
      <c r="M784" s="712" t="str">
        <f t="shared" si="99"/>
        <v/>
      </c>
      <c r="N784" s="416"/>
    </row>
    <row r="785" spans="1:14" ht="12.75" customHeight="1" x14ac:dyDescent="0.2">
      <c r="A785" s="714"/>
      <c r="B785" s="418"/>
      <c r="C785" s="418"/>
      <c r="D785" s="418"/>
      <c r="E785" s="418"/>
      <c r="F785" s="418"/>
      <c r="G785" s="416"/>
      <c r="H785" s="12" t="str">
        <f>IF(A785="","",VLOOKUP(A785,AA_Equipos,7,FALSE))</f>
        <v/>
      </c>
      <c r="I785" s="712" t="str">
        <f>IF(A785="","",VLOOKUP(A785,AA_Equipos,8,FALSE))</f>
        <v/>
      </c>
      <c r="J785" s="416"/>
      <c r="K785" s="715"/>
      <c r="L785" s="416"/>
      <c r="M785" s="712" t="str">
        <f t="shared" si="99"/>
        <v/>
      </c>
      <c r="N785" s="416"/>
    </row>
    <row r="786" spans="1:14" ht="12.75" customHeight="1" x14ac:dyDescent="0.2">
      <c r="A786" s="714"/>
      <c r="B786" s="418"/>
      <c r="C786" s="418"/>
      <c r="D786" s="418"/>
      <c r="E786" s="418"/>
      <c r="F786" s="418"/>
      <c r="G786" s="416"/>
      <c r="H786" s="12" t="str">
        <f>IF(A786="","",VLOOKUP(A786,AA_Equipos,7,FALSE))</f>
        <v/>
      </c>
      <c r="I786" s="712" t="str">
        <f>IF(A786="","",VLOOKUP(A786,AA_Equipos,8,FALSE))</f>
        <v/>
      </c>
      <c r="J786" s="416"/>
      <c r="K786" s="715"/>
      <c r="L786" s="416"/>
      <c r="M786" s="712" t="str">
        <f t="shared" si="99"/>
        <v/>
      </c>
      <c r="N786" s="416"/>
    </row>
    <row r="787" spans="1:14" ht="12.75" customHeight="1" x14ac:dyDescent="0.25">
      <c r="A787" s="5"/>
      <c r="B787" s="5"/>
      <c r="C787" s="5"/>
      <c r="D787" s="5"/>
      <c r="E787" s="5"/>
      <c r="F787" s="5"/>
      <c r="G787" s="5"/>
      <c r="H787" s="5"/>
      <c r="I787" s="5"/>
      <c r="J787" s="5"/>
      <c r="K787" s="713" t="s">
        <v>261</v>
      </c>
      <c r="L787" s="416"/>
      <c r="M787" s="712">
        <f>SUM(M782:N786)</f>
        <v>5956.404219</v>
      </c>
      <c r="N787" s="416"/>
    </row>
    <row r="788" spans="1:14" ht="12.75" customHeight="1" x14ac:dyDescent="0.25">
      <c r="A788" s="5"/>
      <c r="B788" s="5"/>
      <c r="C788" s="5"/>
      <c r="D788" s="5"/>
      <c r="E788" s="5"/>
      <c r="F788" s="5"/>
      <c r="G788" s="5"/>
      <c r="H788" s="5"/>
      <c r="I788" s="5"/>
      <c r="J788" s="5"/>
      <c r="K788" s="5"/>
      <c r="L788" s="5"/>
      <c r="M788" s="5"/>
      <c r="N788" s="5"/>
    </row>
    <row r="789" spans="1:14" ht="12.75" customHeight="1" x14ac:dyDescent="0.2">
      <c r="A789" s="716" t="s">
        <v>413</v>
      </c>
      <c r="B789" s="418"/>
      <c r="C789" s="418"/>
      <c r="D789" s="418"/>
      <c r="E789" s="418"/>
      <c r="F789" s="418"/>
      <c r="G789" s="418"/>
      <c r="H789" s="418"/>
      <c r="I789" s="418"/>
      <c r="J789" s="418"/>
      <c r="K789" s="418"/>
      <c r="L789" s="418"/>
      <c r="M789" s="418"/>
      <c r="N789" s="416"/>
    </row>
    <row r="790" spans="1:14" ht="12.75" customHeight="1" x14ac:dyDescent="0.2">
      <c r="A790" s="713" t="s">
        <v>39</v>
      </c>
      <c r="B790" s="418"/>
      <c r="C790" s="418"/>
      <c r="D790" s="418"/>
      <c r="E790" s="418"/>
      <c r="F790" s="418"/>
      <c r="G790" s="416"/>
      <c r="H790" s="61" t="s">
        <v>40</v>
      </c>
      <c r="I790" s="717" t="s">
        <v>404</v>
      </c>
      <c r="J790" s="416"/>
      <c r="K790" s="717" t="s">
        <v>184</v>
      </c>
      <c r="L790" s="416"/>
      <c r="M790" s="717" t="s">
        <v>405</v>
      </c>
      <c r="N790" s="416"/>
    </row>
    <row r="791" spans="1:14" ht="12.75" customHeight="1" x14ac:dyDescent="0.2">
      <c r="A791" s="714"/>
      <c r="B791" s="418"/>
      <c r="C791" s="418"/>
      <c r="D791" s="418"/>
      <c r="E791" s="418"/>
      <c r="F791" s="418"/>
      <c r="G791" s="416"/>
      <c r="H791" s="12"/>
      <c r="I791" s="712"/>
      <c r="J791" s="416"/>
      <c r="K791" s="722"/>
      <c r="L791" s="416"/>
      <c r="M791" s="712" t="str">
        <f t="shared" ref="M791:M795" si="100">IF(A791="","",I791*K791)</f>
        <v/>
      </c>
      <c r="N791" s="416"/>
    </row>
    <row r="792" spans="1:14" ht="12.75" customHeight="1" x14ac:dyDescent="0.2">
      <c r="A792" s="719"/>
      <c r="B792" s="418"/>
      <c r="C792" s="418"/>
      <c r="D792" s="418"/>
      <c r="E792" s="418"/>
      <c r="F792" s="418"/>
      <c r="G792" s="416"/>
      <c r="H792" s="12"/>
      <c r="I792" s="712"/>
      <c r="J792" s="416"/>
      <c r="K792" s="722"/>
      <c r="L792" s="416"/>
      <c r="M792" s="712" t="str">
        <f t="shared" si="100"/>
        <v/>
      </c>
      <c r="N792" s="416"/>
    </row>
    <row r="793" spans="1:14" ht="12.75" customHeight="1" x14ac:dyDescent="0.2">
      <c r="A793" s="714"/>
      <c r="B793" s="418"/>
      <c r="C793" s="418"/>
      <c r="D793" s="418"/>
      <c r="E793" s="418"/>
      <c r="F793" s="418"/>
      <c r="G793" s="416"/>
      <c r="H793" s="12"/>
      <c r="I793" s="712"/>
      <c r="J793" s="416"/>
      <c r="K793" s="715"/>
      <c r="L793" s="416"/>
      <c r="M793" s="712" t="str">
        <f t="shared" si="100"/>
        <v/>
      </c>
      <c r="N793" s="416"/>
    </row>
    <row r="794" spans="1:14" ht="12.75" customHeight="1" x14ac:dyDescent="0.2">
      <c r="A794" s="714"/>
      <c r="B794" s="418"/>
      <c r="C794" s="418"/>
      <c r="D794" s="418"/>
      <c r="E794" s="418"/>
      <c r="F794" s="418"/>
      <c r="G794" s="416"/>
      <c r="H794" s="12"/>
      <c r="I794" s="712"/>
      <c r="J794" s="416"/>
      <c r="K794" s="715"/>
      <c r="L794" s="416"/>
      <c r="M794" s="712" t="str">
        <f t="shared" si="100"/>
        <v/>
      </c>
      <c r="N794" s="416"/>
    </row>
    <row r="795" spans="1:14" ht="12.75" customHeight="1" x14ac:dyDescent="0.2">
      <c r="A795" s="714"/>
      <c r="B795" s="418"/>
      <c r="C795" s="418"/>
      <c r="D795" s="418"/>
      <c r="E795" s="418"/>
      <c r="F795" s="418"/>
      <c r="G795" s="416"/>
      <c r="H795" s="12"/>
      <c r="I795" s="712"/>
      <c r="J795" s="416"/>
      <c r="K795" s="715"/>
      <c r="L795" s="416"/>
      <c r="M795" s="712" t="str">
        <f t="shared" si="100"/>
        <v/>
      </c>
      <c r="N795" s="416"/>
    </row>
    <row r="796" spans="1:14" ht="12.75" customHeight="1" x14ac:dyDescent="0.25">
      <c r="A796" s="5"/>
      <c r="B796" s="5"/>
      <c r="C796" s="5"/>
      <c r="D796" s="5"/>
      <c r="E796" s="5"/>
      <c r="F796" s="5"/>
      <c r="G796" s="5"/>
      <c r="H796" s="5"/>
      <c r="I796" s="5"/>
      <c r="J796" s="5"/>
      <c r="K796" s="713" t="s">
        <v>261</v>
      </c>
      <c r="L796" s="416"/>
      <c r="M796" s="712">
        <f>SUM(M791:N795)</f>
        <v>0</v>
      </c>
      <c r="N796" s="416"/>
    </row>
    <row r="797" spans="1:14" ht="12.75" customHeight="1" x14ac:dyDescent="0.25">
      <c r="A797" s="5"/>
      <c r="B797" s="5"/>
      <c r="C797" s="5"/>
      <c r="D797" s="5"/>
      <c r="E797" s="5"/>
      <c r="F797" s="5"/>
      <c r="G797" s="5"/>
      <c r="H797" s="5"/>
      <c r="I797" s="5"/>
      <c r="J797" s="5"/>
      <c r="K797" s="5"/>
      <c r="L797" s="5"/>
      <c r="M797" s="5"/>
      <c r="N797" s="5"/>
    </row>
    <row r="798" spans="1:14" ht="12.75" customHeight="1" x14ac:dyDescent="0.2">
      <c r="A798" s="716" t="s">
        <v>415</v>
      </c>
      <c r="B798" s="418"/>
      <c r="C798" s="418"/>
      <c r="D798" s="418"/>
      <c r="E798" s="418"/>
      <c r="F798" s="418"/>
      <c r="G798" s="418"/>
      <c r="H798" s="418"/>
      <c r="I798" s="418"/>
      <c r="J798" s="418"/>
      <c r="K798" s="418"/>
      <c r="L798" s="418"/>
      <c r="M798" s="418"/>
      <c r="N798" s="416"/>
    </row>
    <row r="799" spans="1:14" ht="12.75" customHeight="1" x14ac:dyDescent="0.2">
      <c r="A799" s="713" t="s">
        <v>39</v>
      </c>
      <c r="B799" s="418"/>
      <c r="C799" s="418"/>
      <c r="D799" s="418"/>
      <c r="E799" s="418"/>
      <c r="F799" s="418"/>
      <c r="G799" s="416"/>
      <c r="H799" s="61" t="s">
        <v>40</v>
      </c>
      <c r="I799" s="717" t="s">
        <v>404</v>
      </c>
      <c r="J799" s="416"/>
      <c r="K799" s="64" t="s">
        <v>253</v>
      </c>
      <c r="L799" s="65" t="s">
        <v>416</v>
      </c>
      <c r="M799" s="717" t="s">
        <v>405</v>
      </c>
      <c r="N799" s="416"/>
    </row>
    <row r="800" spans="1:14" ht="12.75" customHeight="1" x14ac:dyDescent="0.25">
      <c r="A800" s="711" t="s">
        <v>488</v>
      </c>
      <c r="B800" s="418"/>
      <c r="C800" s="418"/>
      <c r="D800" s="418"/>
      <c r="E800" s="418"/>
      <c r="F800" s="418"/>
      <c r="G800" s="416"/>
      <c r="H800" s="12" t="str">
        <f>IF(A800="","",VLOOKUP(A800,AA_Cuadrillas,4,FALSE))</f>
        <v>Cuadrilla</v>
      </c>
      <c r="I800" s="712">
        <f>IF(A800="","",VLOOKUP(A800,AA_Cuadrillas,5,FALSE))</f>
        <v>210108</v>
      </c>
      <c r="J800" s="416"/>
      <c r="K800" s="3">
        <f>IF(A800="","",'04'!$I$2)</f>
        <v>1.88995</v>
      </c>
      <c r="L800" s="71">
        <v>0.3</v>
      </c>
      <c r="M800" s="712">
        <f t="shared" ref="M800:M804" si="101">IF(A800="","",I800*K800*L800)</f>
        <v>119128.08438</v>
      </c>
      <c r="N800" s="416"/>
    </row>
    <row r="801" spans="1:16" ht="12.75" customHeight="1" x14ac:dyDescent="0.25">
      <c r="A801" s="711"/>
      <c r="B801" s="418"/>
      <c r="C801" s="418"/>
      <c r="D801" s="418"/>
      <c r="E801" s="418"/>
      <c r="F801" s="418"/>
      <c r="G801" s="416"/>
      <c r="H801" s="12" t="str">
        <f>IF(A801="","",VLOOKUP(A801,AA_Cuadrillas,4,FALSE))</f>
        <v/>
      </c>
      <c r="I801" s="712" t="str">
        <f>IF(A801="","",VLOOKUP(A801,AA_Cuadrillas,5,FALSE))</f>
        <v/>
      </c>
      <c r="J801" s="416"/>
      <c r="K801" s="3" t="str">
        <f>IF(A801="","",'04'!$I$2)</f>
        <v/>
      </c>
      <c r="L801" s="3"/>
      <c r="M801" s="712" t="str">
        <f t="shared" si="101"/>
        <v/>
      </c>
      <c r="N801" s="416"/>
    </row>
    <row r="802" spans="1:16" ht="12.75" customHeight="1" x14ac:dyDescent="0.25">
      <c r="A802" s="711"/>
      <c r="B802" s="418"/>
      <c r="C802" s="418"/>
      <c r="D802" s="418"/>
      <c r="E802" s="418"/>
      <c r="F802" s="418"/>
      <c r="G802" s="416"/>
      <c r="H802" s="12" t="str">
        <f>IF(A802="","",VLOOKUP(A802,AA_Cuadrillas,4,FALSE))</f>
        <v/>
      </c>
      <c r="I802" s="712" t="str">
        <f>IF(A802="","",VLOOKUP(A802,AA_Cuadrillas,5,FALSE))</f>
        <v/>
      </c>
      <c r="J802" s="416"/>
      <c r="K802" s="3" t="str">
        <f>IF(A802="","",'04'!$I$2)</f>
        <v/>
      </c>
      <c r="L802" s="13"/>
      <c r="M802" s="712" t="str">
        <f t="shared" si="101"/>
        <v/>
      </c>
      <c r="N802" s="416"/>
    </row>
    <row r="803" spans="1:16" ht="12.75" customHeight="1" x14ac:dyDescent="0.25">
      <c r="A803" s="711"/>
      <c r="B803" s="418"/>
      <c r="C803" s="418"/>
      <c r="D803" s="418"/>
      <c r="E803" s="418"/>
      <c r="F803" s="418"/>
      <c r="G803" s="416"/>
      <c r="H803" s="12" t="str">
        <f>IF(A803="","",VLOOKUP(A803,AA_Cuadrillas,4,FALSE))</f>
        <v/>
      </c>
      <c r="I803" s="712" t="str">
        <f>IF(A803="","",VLOOKUP(A803,AA_Cuadrillas,5,FALSE))</f>
        <v/>
      </c>
      <c r="J803" s="416"/>
      <c r="K803" s="3" t="str">
        <f>IF(A803="","",'04'!$I$2)</f>
        <v/>
      </c>
      <c r="L803" s="13"/>
      <c r="M803" s="712" t="str">
        <f t="shared" si="101"/>
        <v/>
      </c>
      <c r="N803" s="416"/>
    </row>
    <row r="804" spans="1:16" ht="12.75" customHeight="1" x14ac:dyDescent="0.25">
      <c r="A804" s="711"/>
      <c r="B804" s="418"/>
      <c r="C804" s="418"/>
      <c r="D804" s="418"/>
      <c r="E804" s="418"/>
      <c r="F804" s="418"/>
      <c r="G804" s="416"/>
      <c r="H804" s="12" t="str">
        <f>IF(A804="","",VLOOKUP(A804,AA_Cuadrillas,4,FALSE))</f>
        <v/>
      </c>
      <c r="I804" s="712" t="str">
        <f>IF(A804="","",VLOOKUP(A804,AA_Cuadrillas,5,FALSE))</f>
        <v/>
      </c>
      <c r="J804" s="416"/>
      <c r="K804" s="3" t="str">
        <f>IF(A804="","",'04'!$I$2)</f>
        <v/>
      </c>
      <c r="L804" s="13"/>
      <c r="M804" s="712" t="str">
        <f t="shared" si="101"/>
        <v/>
      </c>
      <c r="N804" s="416"/>
    </row>
    <row r="805" spans="1:16" ht="12.75" customHeight="1" x14ac:dyDescent="0.25">
      <c r="A805" s="5"/>
      <c r="B805" s="5"/>
      <c r="C805" s="5"/>
      <c r="D805" s="5"/>
      <c r="E805" s="5"/>
      <c r="F805" s="5"/>
      <c r="G805" s="5"/>
      <c r="H805" s="5"/>
      <c r="I805" s="5"/>
      <c r="J805" s="5"/>
      <c r="K805" s="713" t="s">
        <v>261</v>
      </c>
      <c r="L805" s="416"/>
      <c r="M805" s="712">
        <f>SUM(M800:N804)</f>
        <v>119128.08438</v>
      </c>
      <c r="N805" s="416"/>
    </row>
    <row r="806" spans="1:16" ht="12.75" customHeight="1" x14ac:dyDescent="0.2"/>
    <row r="807" spans="1:16" ht="12.75" customHeight="1" x14ac:dyDescent="0.2">
      <c r="A807" s="787" t="s">
        <v>129</v>
      </c>
      <c r="B807" s="410"/>
      <c r="C807" s="410"/>
      <c r="D807" s="410"/>
      <c r="E807" s="410"/>
      <c r="F807" s="410"/>
      <c r="G807" s="410"/>
      <c r="H807" s="410"/>
      <c r="I807" s="410"/>
      <c r="J807" s="410"/>
      <c r="K807" s="410"/>
      <c r="L807" s="410"/>
      <c r="M807" s="410"/>
      <c r="N807" s="411"/>
      <c r="O807" s="272"/>
      <c r="P807" s="9"/>
    </row>
    <row r="808" spans="1:16" ht="12.75" customHeight="1" x14ac:dyDescent="0.2">
      <c r="A808" s="412"/>
      <c r="B808" s="413"/>
      <c r="C808" s="413"/>
      <c r="D808" s="413"/>
      <c r="E808" s="413"/>
      <c r="F808" s="413"/>
      <c r="G808" s="413"/>
      <c r="H808" s="413"/>
      <c r="I808" s="413"/>
      <c r="J808" s="413"/>
      <c r="K808" s="413"/>
      <c r="L808" s="413"/>
      <c r="M808" s="413"/>
      <c r="N808" s="414"/>
      <c r="O808" s="272"/>
      <c r="P808" s="9"/>
    </row>
    <row r="809" spans="1:16" ht="12.75" customHeight="1" x14ac:dyDescent="0.2">
      <c r="A809" s="49"/>
      <c r="B809" s="49"/>
      <c r="C809" s="49"/>
      <c r="D809" s="49"/>
      <c r="E809" s="49"/>
      <c r="F809" s="49"/>
      <c r="G809" s="49"/>
      <c r="H809" s="49"/>
      <c r="I809" s="49"/>
      <c r="J809" s="49"/>
      <c r="K809" s="49"/>
      <c r="L809" s="49"/>
      <c r="M809" s="49"/>
      <c r="N809" s="49"/>
    </row>
    <row r="810" spans="1:16" ht="12.75" customHeight="1" thickBot="1" x14ac:dyDescent="0.35">
      <c r="A810" s="51" t="str">
        <f>VLOOKUP(A807,'10'!$B$9:$N$100,13,FALSE)</f>
        <v>G029</v>
      </c>
      <c r="B810" s="52" t="str">
        <f>A807</f>
        <v>SUMINISTRO E INSTALACIÓN DE VÁLVULA DE COMPUERTA CON VOLANTE Ø10" EN HIERRO DUCTIL (INCLUYE MATERIALES, HERRAMIENTAS Y MANO DE OBRA)</v>
      </c>
      <c r="C810" s="53" t="s">
        <v>400</v>
      </c>
      <c r="D810" s="54" t="s">
        <v>475</v>
      </c>
      <c r="E810" s="55" t="s">
        <v>177</v>
      </c>
      <c r="F810" s="59">
        <f>H810+J810+L810+N810</f>
        <v>5594133.82529925</v>
      </c>
      <c r="G810" s="55" t="s">
        <v>349</v>
      </c>
      <c r="H810" s="59">
        <f>M831</f>
        <v>6287.3250142500001</v>
      </c>
      <c r="I810" s="55" t="s">
        <v>402</v>
      </c>
      <c r="J810" s="72">
        <f>M822</f>
        <v>5462100</v>
      </c>
      <c r="K810" s="55" t="s">
        <v>351</v>
      </c>
      <c r="L810" s="59">
        <f>M840</f>
        <v>0</v>
      </c>
      <c r="M810" s="55" t="s">
        <v>352</v>
      </c>
      <c r="N810" s="59">
        <f>M849</f>
        <v>125746.500285</v>
      </c>
    </row>
    <row r="811" spans="1:16" ht="12.75" customHeight="1" thickBot="1" x14ac:dyDescent="0.3">
      <c r="A811" s="60"/>
      <c r="B811" s="60"/>
      <c r="C811" s="60"/>
      <c r="D811" s="60"/>
      <c r="E811" s="60"/>
      <c r="F811" s="60"/>
      <c r="G811" s="60"/>
      <c r="J811" s="60"/>
      <c r="K811" s="60"/>
      <c r="L811" s="327" t="s">
        <v>1934</v>
      </c>
      <c r="M811" s="328">
        <f>+F810*'01'!$O$16</f>
        <v>7240436.9681378054</v>
      </c>
      <c r="N811" s="60"/>
    </row>
    <row r="812" spans="1:16" ht="12.75" customHeight="1" x14ac:dyDescent="0.2">
      <c r="A812" s="716" t="s">
        <v>403</v>
      </c>
      <c r="B812" s="418"/>
      <c r="C812" s="418"/>
      <c r="D812" s="418"/>
      <c r="E812" s="418"/>
      <c r="F812" s="418"/>
      <c r="G812" s="418"/>
      <c r="H812" s="418"/>
      <c r="I812" s="418"/>
      <c r="J812" s="418"/>
      <c r="K812" s="418"/>
      <c r="L812" s="418"/>
      <c r="M812" s="418"/>
      <c r="N812" s="416"/>
    </row>
    <row r="813" spans="1:16" ht="12.75" customHeight="1" x14ac:dyDescent="0.2">
      <c r="A813" s="713" t="s">
        <v>39</v>
      </c>
      <c r="B813" s="418"/>
      <c r="C813" s="418"/>
      <c r="D813" s="418"/>
      <c r="E813" s="418"/>
      <c r="F813" s="418"/>
      <c r="G813" s="416"/>
      <c r="H813" s="61" t="s">
        <v>40</v>
      </c>
      <c r="I813" s="717" t="s">
        <v>404</v>
      </c>
      <c r="J813" s="416"/>
      <c r="K813" s="717" t="s">
        <v>184</v>
      </c>
      <c r="L813" s="416"/>
      <c r="M813" s="717" t="s">
        <v>405</v>
      </c>
      <c r="N813" s="416"/>
    </row>
    <row r="814" spans="1:16" ht="12.75" customHeight="1" x14ac:dyDescent="0.2">
      <c r="A814" s="719" t="s">
        <v>489</v>
      </c>
      <c r="B814" s="418"/>
      <c r="C814" s="418"/>
      <c r="D814" s="418"/>
      <c r="E814" s="418"/>
      <c r="F814" s="418"/>
      <c r="G814" s="416"/>
      <c r="H814" s="12" t="str">
        <f t="shared" ref="H814:H821" si="102">IF(A814="","",VLOOKUP(A814,AA_Materiales,7,FALSE))</f>
        <v>Unidad</v>
      </c>
      <c r="I814" s="712">
        <f t="shared" ref="I814:I821" si="103">IF(A814="","",VLOOKUP(A814,AA_Materiales,8,FALSE))</f>
        <v>5462100</v>
      </c>
      <c r="J814" s="416"/>
      <c r="K814" s="715">
        <v>1</v>
      </c>
      <c r="L814" s="416"/>
      <c r="M814" s="712">
        <f t="shared" ref="M814:M821" si="104">IF(A814="","",I814*K814)</f>
        <v>5462100</v>
      </c>
      <c r="N814" s="416"/>
    </row>
    <row r="815" spans="1:16" ht="12.75" customHeight="1" x14ac:dyDescent="0.2">
      <c r="A815" s="719"/>
      <c r="B815" s="418"/>
      <c r="C815" s="418"/>
      <c r="D815" s="418"/>
      <c r="E815" s="418"/>
      <c r="F815" s="418"/>
      <c r="G815" s="416"/>
      <c r="H815" s="12" t="str">
        <f t="shared" si="102"/>
        <v/>
      </c>
      <c r="I815" s="712" t="str">
        <f t="shared" si="103"/>
        <v/>
      </c>
      <c r="J815" s="416"/>
      <c r="K815" s="715"/>
      <c r="L815" s="416"/>
      <c r="M815" s="712" t="str">
        <f t="shared" si="104"/>
        <v/>
      </c>
      <c r="N815" s="416"/>
    </row>
    <row r="816" spans="1:16" ht="12.75" customHeight="1" x14ac:dyDescent="0.2">
      <c r="A816" s="719"/>
      <c r="B816" s="418"/>
      <c r="C816" s="418"/>
      <c r="D816" s="418"/>
      <c r="E816" s="418"/>
      <c r="F816" s="418"/>
      <c r="G816" s="416"/>
      <c r="H816" s="12" t="str">
        <f t="shared" si="102"/>
        <v/>
      </c>
      <c r="I816" s="712" t="str">
        <f t="shared" si="103"/>
        <v/>
      </c>
      <c r="J816" s="416"/>
      <c r="K816" s="715"/>
      <c r="L816" s="416"/>
      <c r="M816" s="712" t="str">
        <f t="shared" si="104"/>
        <v/>
      </c>
      <c r="N816" s="416"/>
    </row>
    <row r="817" spans="1:14" ht="12.75" customHeight="1" x14ac:dyDescent="0.2">
      <c r="A817" s="719"/>
      <c r="B817" s="418"/>
      <c r="C817" s="418"/>
      <c r="D817" s="418"/>
      <c r="E817" s="418"/>
      <c r="F817" s="418"/>
      <c r="G817" s="416"/>
      <c r="H817" s="12" t="str">
        <f t="shared" si="102"/>
        <v/>
      </c>
      <c r="I817" s="712" t="str">
        <f t="shared" si="103"/>
        <v/>
      </c>
      <c r="J817" s="416"/>
      <c r="K817" s="715"/>
      <c r="L817" s="416"/>
      <c r="M817" s="712" t="str">
        <f t="shared" si="104"/>
        <v/>
      </c>
      <c r="N817" s="416"/>
    </row>
    <row r="818" spans="1:14" ht="12.75" customHeight="1" x14ac:dyDescent="0.2">
      <c r="A818" s="719"/>
      <c r="B818" s="418"/>
      <c r="C818" s="418"/>
      <c r="D818" s="418"/>
      <c r="E818" s="418"/>
      <c r="F818" s="418"/>
      <c r="G818" s="416"/>
      <c r="H818" s="12" t="str">
        <f t="shared" si="102"/>
        <v/>
      </c>
      <c r="I818" s="712" t="str">
        <f t="shared" si="103"/>
        <v/>
      </c>
      <c r="J818" s="416"/>
      <c r="K818" s="715"/>
      <c r="L818" s="416"/>
      <c r="M818" s="712" t="str">
        <f t="shared" si="104"/>
        <v/>
      </c>
      <c r="N818" s="416"/>
    </row>
    <row r="819" spans="1:14" ht="12.75" customHeight="1" x14ac:dyDescent="0.2">
      <c r="A819" s="719"/>
      <c r="B819" s="418"/>
      <c r="C819" s="418"/>
      <c r="D819" s="418"/>
      <c r="E819" s="418"/>
      <c r="F819" s="418"/>
      <c r="G819" s="416"/>
      <c r="H819" s="12" t="str">
        <f t="shared" si="102"/>
        <v/>
      </c>
      <c r="I819" s="712" t="str">
        <f t="shared" si="103"/>
        <v/>
      </c>
      <c r="J819" s="416"/>
      <c r="K819" s="715"/>
      <c r="L819" s="416"/>
      <c r="M819" s="712" t="str">
        <f t="shared" si="104"/>
        <v/>
      </c>
      <c r="N819" s="416"/>
    </row>
    <row r="820" spans="1:14" ht="12.75" customHeight="1" x14ac:dyDescent="0.2">
      <c r="A820" s="719"/>
      <c r="B820" s="418"/>
      <c r="C820" s="418"/>
      <c r="D820" s="418"/>
      <c r="E820" s="418"/>
      <c r="F820" s="418"/>
      <c r="G820" s="416"/>
      <c r="H820" s="12" t="str">
        <f t="shared" si="102"/>
        <v/>
      </c>
      <c r="I820" s="712" t="str">
        <f t="shared" si="103"/>
        <v/>
      </c>
      <c r="J820" s="416"/>
      <c r="K820" s="715"/>
      <c r="L820" s="416"/>
      <c r="M820" s="712" t="str">
        <f t="shared" si="104"/>
        <v/>
      </c>
      <c r="N820" s="416"/>
    </row>
    <row r="821" spans="1:14" ht="12.75" customHeight="1" x14ac:dyDescent="0.2">
      <c r="A821" s="719"/>
      <c r="B821" s="418"/>
      <c r="C821" s="418"/>
      <c r="D821" s="418"/>
      <c r="E821" s="418"/>
      <c r="F821" s="418"/>
      <c r="G821" s="416"/>
      <c r="H821" s="12" t="str">
        <f t="shared" si="102"/>
        <v/>
      </c>
      <c r="I821" s="712" t="str">
        <f t="shared" si="103"/>
        <v/>
      </c>
      <c r="J821" s="416"/>
      <c r="K821" s="715"/>
      <c r="L821" s="416"/>
      <c r="M821" s="712" t="str">
        <f t="shared" si="104"/>
        <v/>
      </c>
      <c r="N821" s="416"/>
    </row>
    <row r="822" spans="1:14" ht="12.75" customHeight="1" x14ac:dyDescent="0.25">
      <c r="A822" s="5"/>
      <c r="B822" s="5"/>
      <c r="C822" s="5"/>
      <c r="D822" s="5"/>
      <c r="E822" s="5"/>
      <c r="F822" s="5"/>
      <c r="G822" s="5"/>
      <c r="H822" s="5"/>
      <c r="I822" s="5"/>
      <c r="J822" s="5"/>
      <c r="K822" s="713" t="s">
        <v>261</v>
      </c>
      <c r="L822" s="416"/>
      <c r="M822" s="712">
        <f>SUM(M814:N821)</f>
        <v>5462100</v>
      </c>
      <c r="N822" s="416"/>
    </row>
    <row r="823" spans="1:14" ht="12.75" customHeight="1" x14ac:dyDescent="0.25">
      <c r="A823" s="5"/>
      <c r="B823" s="5"/>
      <c r="C823" s="5"/>
      <c r="D823" s="5"/>
      <c r="E823" s="5"/>
      <c r="F823" s="5"/>
      <c r="G823" s="5"/>
      <c r="H823" s="5"/>
      <c r="I823" s="5"/>
      <c r="J823" s="5"/>
      <c r="K823" s="5"/>
      <c r="L823" s="5"/>
      <c r="M823" s="5"/>
      <c r="N823" s="5"/>
    </row>
    <row r="824" spans="1:14" ht="12.75" customHeight="1" x14ac:dyDescent="0.2">
      <c r="A824" s="716" t="s">
        <v>410</v>
      </c>
      <c r="B824" s="418"/>
      <c r="C824" s="418"/>
      <c r="D824" s="418"/>
      <c r="E824" s="418"/>
      <c r="F824" s="418"/>
      <c r="G824" s="418"/>
      <c r="H824" s="418"/>
      <c r="I824" s="418"/>
      <c r="J824" s="418"/>
      <c r="K824" s="418"/>
      <c r="L824" s="418"/>
      <c r="M824" s="418"/>
      <c r="N824" s="416"/>
    </row>
    <row r="825" spans="1:14" ht="12.75" customHeight="1" x14ac:dyDescent="0.2">
      <c r="A825" s="713" t="s">
        <v>39</v>
      </c>
      <c r="B825" s="418"/>
      <c r="C825" s="418"/>
      <c r="D825" s="418"/>
      <c r="E825" s="418"/>
      <c r="F825" s="418"/>
      <c r="G825" s="416"/>
      <c r="H825" s="61" t="s">
        <v>40</v>
      </c>
      <c r="I825" s="717" t="s">
        <v>404</v>
      </c>
      <c r="J825" s="416"/>
      <c r="K825" s="717" t="s">
        <v>184</v>
      </c>
      <c r="L825" s="416"/>
      <c r="M825" s="717" t="s">
        <v>405</v>
      </c>
      <c r="N825" s="416"/>
    </row>
    <row r="826" spans="1:14" ht="12.75" customHeight="1" x14ac:dyDescent="0.2">
      <c r="A826" s="714" t="s">
        <v>411</v>
      </c>
      <c r="B826" s="418"/>
      <c r="C826" s="418"/>
      <c r="D826" s="418"/>
      <c r="E826" s="418"/>
      <c r="F826" s="418"/>
      <c r="G826" s="416"/>
      <c r="H826" s="12" t="str">
        <f>IF(A826="","",VLOOKUP(A826,AA_Equipos,7,FALSE))</f>
        <v>% M.O.</v>
      </c>
      <c r="I826" s="712">
        <f>+M849</f>
        <v>125746.500285</v>
      </c>
      <c r="J826" s="416"/>
      <c r="K826" s="722">
        <v>0.05</v>
      </c>
      <c r="L826" s="416"/>
      <c r="M826" s="712">
        <f t="shared" ref="M826:M830" si="105">IF(A826="","",I826*K826)</f>
        <v>6287.3250142500001</v>
      </c>
      <c r="N826" s="416"/>
    </row>
    <row r="827" spans="1:14" ht="12.75" customHeight="1" x14ac:dyDescent="0.2">
      <c r="A827" s="719"/>
      <c r="B827" s="418"/>
      <c r="C827" s="418"/>
      <c r="D827" s="418"/>
      <c r="E827" s="418"/>
      <c r="F827" s="418"/>
      <c r="G827" s="416"/>
      <c r="H827" s="12" t="str">
        <f>IF(A827="","",VLOOKUP(A827,AA_Equipos,7,FALSE))</f>
        <v/>
      </c>
      <c r="I827" s="712" t="str">
        <f>IF(A827="","",VLOOKUP(A827,AA_Equipos,8,FALSE))</f>
        <v/>
      </c>
      <c r="J827" s="416"/>
      <c r="K827" s="723"/>
      <c r="L827" s="416"/>
      <c r="M827" s="712" t="str">
        <f t="shared" si="105"/>
        <v/>
      </c>
      <c r="N827" s="416"/>
    </row>
    <row r="828" spans="1:14" ht="12.75" customHeight="1" x14ac:dyDescent="0.2">
      <c r="A828" s="714"/>
      <c r="B828" s="418"/>
      <c r="C828" s="418"/>
      <c r="D828" s="418"/>
      <c r="E828" s="418"/>
      <c r="F828" s="418"/>
      <c r="G828" s="416"/>
      <c r="H828" s="12" t="str">
        <f>IF(A828="","",VLOOKUP(A828,AA_Equipos,7,FALSE))</f>
        <v/>
      </c>
      <c r="I828" s="712" t="str">
        <f>IF(A828="","",VLOOKUP(A828,AA_Equipos,8,FALSE))</f>
        <v/>
      </c>
      <c r="J828" s="416"/>
      <c r="K828" s="786"/>
      <c r="L828" s="416"/>
      <c r="M828" s="712" t="str">
        <f t="shared" si="105"/>
        <v/>
      </c>
      <c r="N828" s="416"/>
    </row>
    <row r="829" spans="1:14" ht="12.75" customHeight="1" x14ac:dyDescent="0.2">
      <c r="A829" s="714"/>
      <c r="B829" s="418"/>
      <c r="C829" s="418"/>
      <c r="D829" s="418"/>
      <c r="E829" s="418"/>
      <c r="F829" s="418"/>
      <c r="G829" s="416"/>
      <c r="H829" s="12" t="str">
        <f>IF(A829="","",VLOOKUP(A829,AA_Equipos,7,FALSE))</f>
        <v/>
      </c>
      <c r="I829" s="712" t="str">
        <f>IF(A829="","",VLOOKUP(A829,AA_Equipos,8,FALSE))</f>
        <v/>
      </c>
      <c r="J829" s="416"/>
      <c r="K829" s="715"/>
      <c r="L829" s="416"/>
      <c r="M829" s="712" t="str">
        <f t="shared" si="105"/>
        <v/>
      </c>
      <c r="N829" s="416"/>
    </row>
    <row r="830" spans="1:14" ht="12.75" customHeight="1" x14ac:dyDescent="0.2">
      <c r="A830" s="714"/>
      <c r="B830" s="418"/>
      <c r="C830" s="418"/>
      <c r="D830" s="418"/>
      <c r="E830" s="418"/>
      <c r="F830" s="418"/>
      <c r="G830" s="416"/>
      <c r="H830" s="12" t="str">
        <f>IF(A830="","",VLOOKUP(A830,AA_Equipos,7,FALSE))</f>
        <v/>
      </c>
      <c r="I830" s="712" t="str">
        <f>IF(A830="","",VLOOKUP(A830,AA_Equipos,8,FALSE))</f>
        <v/>
      </c>
      <c r="J830" s="416"/>
      <c r="K830" s="715"/>
      <c r="L830" s="416"/>
      <c r="M830" s="712" t="str">
        <f t="shared" si="105"/>
        <v/>
      </c>
      <c r="N830" s="416"/>
    </row>
    <row r="831" spans="1:14" ht="12.75" customHeight="1" x14ac:dyDescent="0.25">
      <c r="A831" s="5"/>
      <c r="B831" s="5"/>
      <c r="C831" s="5"/>
      <c r="D831" s="5"/>
      <c r="E831" s="5"/>
      <c r="F831" s="5"/>
      <c r="G831" s="5"/>
      <c r="H831" s="5"/>
      <c r="I831" s="5"/>
      <c r="J831" s="5"/>
      <c r="K831" s="713" t="s">
        <v>261</v>
      </c>
      <c r="L831" s="416"/>
      <c r="M831" s="712">
        <f>SUM(M826:N830)</f>
        <v>6287.3250142500001</v>
      </c>
      <c r="N831" s="416"/>
    </row>
    <row r="832" spans="1:14" ht="12.75" customHeight="1" x14ac:dyDescent="0.25">
      <c r="A832" s="5"/>
      <c r="B832" s="5"/>
      <c r="C832" s="5"/>
      <c r="D832" s="5"/>
      <c r="E832" s="5"/>
      <c r="F832" s="5"/>
      <c r="G832" s="5"/>
      <c r="H832" s="5"/>
      <c r="I832" s="5"/>
      <c r="J832" s="5"/>
      <c r="K832" s="5"/>
      <c r="L832" s="5"/>
      <c r="M832" s="5"/>
      <c r="N832" s="5"/>
    </row>
    <row r="833" spans="1:14" ht="12.75" customHeight="1" x14ac:dyDescent="0.2">
      <c r="A833" s="716" t="s">
        <v>413</v>
      </c>
      <c r="B833" s="418"/>
      <c r="C833" s="418"/>
      <c r="D833" s="418"/>
      <c r="E833" s="418"/>
      <c r="F833" s="418"/>
      <c r="G833" s="418"/>
      <c r="H833" s="418"/>
      <c r="I833" s="418"/>
      <c r="J833" s="418"/>
      <c r="K833" s="418"/>
      <c r="L833" s="418"/>
      <c r="M833" s="418"/>
      <c r="N833" s="416"/>
    </row>
    <row r="834" spans="1:14" ht="12.75" customHeight="1" x14ac:dyDescent="0.2">
      <c r="A834" s="713" t="s">
        <v>39</v>
      </c>
      <c r="B834" s="418"/>
      <c r="C834" s="418"/>
      <c r="D834" s="418"/>
      <c r="E834" s="418"/>
      <c r="F834" s="418"/>
      <c r="G834" s="416"/>
      <c r="H834" s="61" t="s">
        <v>40</v>
      </c>
      <c r="I834" s="717" t="s">
        <v>404</v>
      </c>
      <c r="J834" s="416"/>
      <c r="K834" s="717" t="s">
        <v>184</v>
      </c>
      <c r="L834" s="416"/>
      <c r="M834" s="717" t="s">
        <v>405</v>
      </c>
      <c r="N834" s="416"/>
    </row>
    <row r="835" spans="1:14" ht="12.75" customHeight="1" x14ac:dyDescent="0.2">
      <c r="A835" s="714"/>
      <c r="B835" s="418"/>
      <c r="C835" s="418"/>
      <c r="D835" s="418"/>
      <c r="E835" s="418"/>
      <c r="F835" s="418"/>
      <c r="G835" s="416"/>
      <c r="H835" s="12"/>
      <c r="I835" s="712"/>
      <c r="J835" s="416"/>
      <c r="K835" s="722"/>
      <c r="L835" s="416"/>
      <c r="M835" s="712" t="str">
        <f t="shared" ref="M835:M839" si="106">IF(A835="","",I835*K835)</f>
        <v/>
      </c>
      <c r="N835" s="416"/>
    </row>
    <row r="836" spans="1:14" ht="12.75" customHeight="1" x14ac:dyDescent="0.2">
      <c r="A836" s="719"/>
      <c r="B836" s="418"/>
      <c r="C836" s="418"/>
      <c r="D836" s="418"/>
      <c r="E836" s="418"/>
      <c r="F836" s="418"/>
      <c r="G836" s="416"/>
      <c r="H836" s="12"/>
      <c r="I836" s="712"/>
      <c r="J836" s="416"/>
      <c r="K836" s="722"/>
      <c r="L836" s="416"/>
      <c r="M836" s="712" t="str">
        <f t="shared" si="106"/>
        <v/>
      </c>
      <c r="N836" s="416"/>
    </row>
    <row r="837" spans="1:14" ht="12.75" customHeight="1" x14ac:dyDescent="0.2">
      <c r="A837" s="714"/>
      <c r="B837" s="418"/>
      <c r="C837" s="418"/>
      <c r="D837" s="418"/>
      <c r="E837" s="418"/>
      <c r="F837" s="418"/>
      <c r="G837" s="416"/>
      <c r="H837" s="12"/>
      <c r="I837" s="712"/>
      <c r="J837" s="416"/>
      <c r="K837" s="715"/>
      <c r="L837" s="416"/>
      <c r="M837" s="712" t="str">
        <f t="shared" si="106"/>
        <v/>
      </c>
      <c r="N837" s="416"/>
    </row>
    <row r="838" spans="1:14" ht="12.75" customHeight="1" x14ac:dyDescent="0.2">
      <c r="A838" s="714"/>
      <c r="B838" s="418"/>
      <c r="C838" s="418"/>
      <c r="D838" s="418"/>
      <c r="E838" s="418"/>
      <c r="F838" s="418"/>
      <c r="G838" s="416"/>
      <c r="H838" s="12"/>
      <c r="I838" s="712"/>
      <c r="J838" s="416"/>
      <c r="K838" s="715"/>
      <c r="L838" s="416"/>
      <c r="M838" s="712" t="str">
        <f t="shared" si="106"/>
        <v/>
      </c>
      <c r="N838" s="416"/>
    </row>
    <row r="839" spans="1:14" ht="12.75" customHeight="1" x14ac:dyDescent="0.2">
      <c r="A839" s="714"/>
      <c r="B839" s="418"/>
      <c r="C839" s="418"/>
      <c r="D839" s="418"/>
      <c r="E839" s="418"/>
      <c r="F839" s="418"/>
      <c r="G839" s="416"/>
      <c r="H839" s="12"/>
      <c r="I839" s="712"/>
      <c r="J839" s="416"/>
      <c r="K839" s="715"/>
      <c r="L839" s="416"/>
      <c r="M839" s="712" t="str">
        <f t="shared" si="106"/>
        <v/>
      </c>
      <c r="N839" s="416"/>
    </row>
    <row r="840" spans="1:14" ht="12.75" customHeight="1" x14ac:dyDescent="0.25">
      <c r="A840" s="5"/>
      <c r="B840" s="5"/>
      <c r="C840" s="5"/>
      <c r="D840" s="5"/>
      <c r="E840" s="5"/>
      <c r="F840" s="5"/>
      <c r="G840" s="5"/>
      <c r="H840" s="5"/>
      <c r="I840" s="5"/>
      <c r="J840" s="5"/>
      <c r="K840" s="713" t="s">
        <v>261</v>
      </c>
      <c r="L840" s="416"/>
      <c r="M840" s="712">
        <f>SUM(M835:N839)</f>
        <v>0</v>
      </c>
      <c r="N840" s="416"/>
    </row>
    <row r="841" spans="1:14" ht="12.75" customHeight="1" x14ac:dyDescent="0.25">
      <c r="A841" s="5"/>
      <c r="B841" s="5"/>
      <c r="C841" s="5"/>
      <c r="D841" s="5"/>
      <c r="E841" s="5"/>
      <c r="F841" s="5"/>
      <c r="G841" s="5"/>
      <c r="H841" s="5"/>
      <c r="I841" s="5"/>
      <c r="J841" s="5"/>
      <c r="K841" s="5"/>
      <c r="L841" s="5"/>
      <c r="M841" s="5"/>
      <c r="N841" s="5"/>
    </row>
    <row r="842" spans="1:14" ht="12.75" customHeight="1" x14ac:dyDescent="0.2">
      <c r="A842" s="716" t="s">
        <v>415</v>
      </c>
      <c r="B842" s="418"/>
      <c r="C842" s="418"/>
      <c r="D842" s="418"/>
      <c r="E842" s="418"/>
      <c r="F842" s="418"/>
      <c r="G842" s="418"/>
      <c r="H842" s="418"/>
      <c r="I842" s="418"/>
      <c r="J842" s="418"/>
      <c r="K842" s="418"/>
      <c r="L842" s="418"/>
      <c r="M842" s="418"/>
      <c r="N842" s="416"/>
    </row>
    <row r="843" spans="1:14" ht="12.75" customHeight="1" x14ac:dyDescent="0.2">
      <c r="A843" s="713" t="s">
        <v>39</v>
      </c>
      <c r="B843" s="418"/>
      <c r="C843" s="418"/>
      <c r="D843" s="418"/>
      <c r="E843" s="418"/>
      <c r="F843" s="418"/>
      <c r="G843" s="416"/>
      <c r="H843" s="61" t="s">
        <v>40</v>
      </c>
      <c r="I843" s="717" t="s">
        <v>404</v>
      </c>
      <c r="J843" s="416"/>
      <c r="K843" s="64" t="s">
        <v>253</v>
      </c>
      <c r="L843" s="65" t="s">
        <v>416</v>
      </c>
      <c r="M843" s="717" t="s">
        <v>405</v>
      </c>
      <c r="N843" s="416"/>
    </row>
    <row r="844" spans="1:14" ht="12.75" customHeight="1" x14ac:dyDescent="0.25">
      <c r="A844" s="711" t="s">
        <v>479</v>
      </c>
      <c r="B844" s="418"/>
      <c r="C844" s="418"/>
      <c r="D844" s="418"/>
      <c r="E844" s="418"/>
      <c r="F844" s="418"/>
      <c r="G844" s="416"/>
      <c r="H844" s="12" t="str">
        <f>IF(A844="","",VLOOKUP(A844,AA_Cuadrillas,4,FALSE))</f>
        <v>Cuadrilla</v>
      </c>
      <c r="I844" s="712">
        <f>IF(A844="","",VLOOKUP(A844,AA_Cuadrillas,5,FALSE))</f>
        <v>221781</v>
      </c>
      <c r="J844" s="416"/>
      <c r="K844" s="3">
        <f>IF(A844="","",'04'!$I$2)</f>
        <v>1.88995</v>
      </c>
      <c r="L844" s="71">
        <v>0.3</v>
      </c>
      <c r="M844" s="712">
        <f t="shared" ref="M844:M848" si="107">IF(A844="","",I844*K844*L844)</f>
        <v>125746.500285</v>
      </c>
      <c r="N844" s="416"/>
    </row>
    <row r="845" spans="1:14" ht="12.75" customHeight="1" x14ac:dyDescent="0.25">
      <c r="A845" s="711"/>
      <c r="B845" s="418"/>
      <c r="C845" s="418"/>
      <c r="D845" s="418"/>
      <c r="E845" s="418"/>
      <c r="F845" s="418"/>
      <c r="G845" s="416"/>
      <c r="H845" s="12" t="str">
        <f>IF(A845="","",VLOOKUP(A845,AA_Cuadrillas,4,FALSE))</f>
        <v/>
      </c>
      <c r="I845" s="712" t="str">
        <f>IF(A845="","",VLOOKUP(A845,AA_Cuadrillas,5,FALSE))</f>
        <v/>
      </c>
      <c r="J845" s="416"/>
      <c r="K845" s="3" t="str">
        <f>IF(A845="","",'04'!$I$2)</f>
        <v/>
      </c>
      <c r="L845" s="3"/>
      <c r="M845" s="712" t="str">
        <f t="shared" si="107"/>
        <v/>
      </c>
      <c r="N845" s="416"/>
    </row>
    <row r="846" spans="1:14" ht="12.75" customHeight="1" x14ac:dyDescent="0.25">
      <c r="A846" s="711"/>
      <c r="B846" s="418"/>
      <c r="C846" s="418"/>
      <c r="D846" s="418"/>
      <c r="E846" s="418"/>
      <c r="F846" s="418"/>
      <c r="G846" s="416"/>
      <c r="H846" s="12" t="str">
        <f>IF(A846="","",VLOOKUP(A846,AA_Cuadrillas,4,FALSE))</f>
        <v/>
      </c>
      <c r="I846" s="712" t="str">
        <f>IF(A846="","",VLOOKUP(A846,AA_Cuadrillas,5,FALSE))</f>
        <v/>
      </c>
      <c r="J846" s="416"/>
      <c r="K846" s="3" t="str">
        <f>IF(A846="","",'04'!$I$2)</f>
        <v/>
      </c>
      <c r="L846" s="13"/>
      <c r="M846" s="712" t="str">
        <f t="shared" si="107"/>
        <v/>
      </c>
      <c r="N846" s="416"/>
    </row>
    <row r="847" spans="1:14" ht="12.75" customHeight="1" x14ac:dyDescent="0.25">
      <c r="A847" s="711"/>
      <c r="B847" s="418"/>
      <c r="C847" s="418"/>
      <c r="D847" s="418"/>
      <c r="E847" s="418"/>
      <c r="F847" s="418"/>
      <c r="G847" s="416"/>
      <c r="H847" s="12" t="str">
        <f>IF(A847="","",VLOOKUP(A847,AA_Cuadrillas,4,FALSE))</f>
        <v/>
      </c>
      <c r="I847" s="712" t="str">
        <f>IF(A847="","",VLOOKUP(A847,AA_Cuadrillas,5,FALSE))</f>
        <v/>
      </c>
      <c r="J847" s="416"/>
      <c r="K847" s="3" t="str">
        <f>IF(A847="","",'04'!$I$2)</f>
        <v/>
      </c>
      <c r="L847" s="13"/>
      <c r="M847" s="712" t="str">
        <f t="shared" si="107"/>
        <v/>
      </c>
      <c r="N847" s="416"/>
    </row>
    <row r="848" spans="1:14" ht="12.75" customHeight="1" x14ac:dyDescent="0.25">
      <c r="A848" s="711"/>
      <c r="B848" s="418"/>
      <c r="C848" s="418"/>
      <c r="D848" s="418"/>
      <c r="E848" s="418"/>
      <c r="F848" s="418"/>
      <c r="G848" s="416"/>
      <c r="H848" s="12" t="str">
        <f>IF(A848="","",VLOOKUP(A848,AA_Cuadrillas,4,FALSE))</f>
        <v/>
      </c>
      <c r="I848" s="712" t="str">
        <f>IF(A848="","",VLOOKUP(A848,AA_Cuadrillas,5,FALSE))</f>
        <v/>
      </c>
      <c r="J848" s="416"/>
      <c r="K848" s="3" t="str">
        <f>IF(A848="","",'04'!$I$2)</f>
        <v/>
      </c>
      <c r="L848" s="13"/>
      <c r="M848" s="712" t="str">
        <f t="shared" si="107"/>
        <v/>
      </c>
      <c r="N848" s="416"/>
    </row>
    <row r="849" spans="1:16" ht="12.75" customHeight="1" x14ac:dyDescent="0.25">
      <c r="A849" s="5"/>
      <c r="B849" s="5"/>
      <c r="C849" s="5"/>
      <c r="D849" s="5"/>
      <c r="E849" s="5"/>
      <c r="F849" s="5"/>
      <c r="G849" s="5"/>
      <c r="H849" s="5"/>
      <c r="I849" s="5"/>
      <c r="J849" s="5"/>
      <c r="K849" s="713" t="s">
        <v>261</v>
      </c>
      <c r="L849" s="416"/>
      <c r="M849" s="712">
        <f>SUM(M844:N848)</f>
        <v>125746.500285</v>
      </c>
      <c r="N849" s="416"/>
    </row>
    <row r="850" spans="1:16" ht="12.75" customHeight="1" x14ac:dyDescent="0.2"/>
    <row r="851" spans="1:16" ht="12.75" customHeight="1" x14ac:dyDescent="0.2">
      <c r="A851" s="787" t="s">
        <v>102</v>
      </c>
      <c r="B851" s="410"/>
      <c r="C851" s="410"/>
      <c r="D851" s="410"/>
      <c r="E851" s="410"/>
      <c r="F851" s="410"/>
      <c r="G851" s="410"/>
      <c r="H851" s="410"/>
      <c r="I851" s="410"/>
      <c r="J851" s="410"/>
      <c r="K851" s="410"/>
      <c r="L851" s="410"/>
      <c r="M851" s="410"/>
      <c r="N851" s="411"/>
      <c r="O851" s="272"/>
      <c r="P851" s="9"/>
    </row>
    <row r="852" spans="1:16" ht="12.75" customHeight="1" x14ac:dyDescent="0.2">
      <c r="A852" s="412"/>
      <c r="B852" s="413"/>
      <c r="C852" s="413"/>
      <c r="D852" s="413"/>
      <c r="E852" s="413"/>
      <c r="F852" s="413"/>
      <c r="G852" s="413"/>
      <c r="H852" s="413"/>
      <c r="I852" s="413"/>
      <c r="J852" s="413"/>
      <c r="K852" s="413"/>
      <c r="L852" s="413"/>
      <c r="M852" s="413"/>
      <c r="N852" s="414"/>
      <c r="O852" s="272"/>
      <c r="P852" s="9"/>
    </row>
    <row r="853" spans="1:16" ht="12.75" customHeight="1" x14ac:dyDescent="0.2">
      <c r="A853" s="49"/>
      <c r="B853" s="49"/>
      <c r="C853" s="49"/>
      <c r="D853" s="49"/>
      <c r="E853" s="49"/>
      <c r="F853" s="49"/>
      <c r="G853" s="49"/>
      <c r="H853" s="49"/>
      <c r="I853" s="49"/>
      <c r="J853" s="49"/>
      <c r="K853" s="49"/>
      <c r="L853" s="49"/>
      <c r="M853" s="49"/>
      <c r="N853" s="49"/>
    </row>
    <row r="854" spans="1:16" ht="12.75" customHeight="1" thickBot="1" x14ac:dyDescent="0.35">
      <c r="A854" s="51" t="str">
        <f>VLOOKUP(A851,'10'!$B$9:$N$100,13,FALSE)</f>
        <v>G021</v>
      </c>
      <c r="B854" s="52" t="str">
        <f>A851</f>
        <v>EXCAVACIÓN MECÁNICA CON PROFUNDIDAD DE H= 0.0 A 6.0 MTS EN MATERIAL COMÚN SECO A TODO COSTO (INCLUYE MANO DE OBRA)</v>
      </c>
      <c r="C854" s="53" t="s">
        <v>400</v>
      </c>
      <c r="D854" s="54" t="s">
        <v>420</v>
      </c>
      <c r="E854" s="55" t="s">
        <v>177</v>
      </c>
      <c r="F854" s="59">
        <f>H854+J854+L854+N854</f>
        <v>29456.683822775001</v>
      </c>
      <c r="G854" s="55" t="s">
        <v>349</v>
      </c>
      <c r="H854" s="59">
        <f>M872</f>
        <v>21750.911345500001</v>
      </c>
      <c r="I854" s="55" t="s">
        <v>402</v>
      </c>
      <c r="J854" s="59">
        <f>M863</f>
        <v>0</v>
      </c>
      <c r="K854" s="55" t="s">
        <v>351</v>
      </c>
      <c r="L854" s="59">
        <f>M880</f>
        <v>1087.5455672750002</v>
      </c>
      <c r="M854" s="55" t="s">
        <v>352</v>
      </c>
      <c r="N854" s="59">
        <f>M889</f>
        <v>6618.2269100000012</v>
      </c>
    </row>
    <row r="855" spans="1:16" ht="12.75" customHeight="1" thickBot="1" x14ac:dyDescent="0.3">
      <c r="A855" s="60"/>
      <c r="B855" s="60"/>
      <c r="C855" s="60"/>
      <c r="D855" s="60"/>
      <c r="E855" s="60"/>
      <c r="F855" s="60"/>
      <c r="G855" s="60"/>
      <c r="J855" s="60"/>
      <c r="K855" s="60"/>
      <c r="L855" s="327" t="s">
        <v>1934</v>
      </c>
      <c r="M855" s="328">
        <f>+F854*'01'!$O$16</f>
        <v>38125.520262783117</v>
      </c>
      <c r="N855" s="60"/>
    </row>
    <row r="856" spans="1:16" ht="12.75" customHeight="1" x14ac:dyDescent="0.2">
      <c r="A856" s="716" t="s">
        <v>403</v>
      </c>
      <c r="B856" s="418"/>
      <c r="C856" s="418"/>
      <c r="D856" s="418"/>
      <c r="E856" s="418"/>
      <c r="F856" s="418"/>
      <c r="G856" s="418"/>
      <c r="H856" s="418"/>
      <c r="I856" s="418"/>
      <c r="J856" s="418"/>
      <c r="K856" s="418"/>
      <c r="L856" s="418"/>
      <c r="M856" s="418"/>
      <c r="N856" s="416"/>
    </row>
    <row r="857" spans="1:16" ht="12.75" customHeight="1" x14ac:dyDescent="0.2">
      <c r="A857" s="713" t="s">
        <v>39</v>
      </c>
      <c r="B857" s="418"/>
      <c r="C857" s="418"/>
      <c r="D857" s="418"/>
      <c r="E857" s="418"/>
      <c r="F857" s="418"/>
      <c r="G857" s="416"/>
      <c r="H857" s="61" t="s">
        <v>40</v>
      </c>
      <c r="I857" s="717" t="s">
        <v>404</v>
      </c>
      <c r="J857" s="416"/>
      <c r="K857" s="717" t="s">
        <v>184</v>
      </c>
      <c r="L857" s="416"/>
      <c r="M857" s="717" t="s">
        <v>405</v>
      </c>
      <c r="N857" s="416"/>
    </row>
    <row r="858" spans="1:16" ht="12.75" customHeight="1" x14ac:dyDescent="0.2">
      <c r="A858" s="714"/>
      <c r="B858" s="418"/>
      <c r="C858" s="418"/>
      <c r="D858" s="418"/>
      <c r="E858" s="418"/>
      <c r="F858" s="418"/>
      <c r="G858" s="416"/>
      <c r="H858" s="12" t="str">
        <f>IF(A858="","",VLOOKUP(A858,AA_Materiales,7,FALSE))</f>
        <v/>
      </c>
      <c r="I858" s="712" t="str">
        <f>IF(A858="","",VLOOKUP(A858,AA_Materiales,8,FALSE))</f>
        <v/>
      </c>
      <c r="J858" s="416"/>
      <c r="K858" s="715"/>
      <c r="L858" s="416"/>
      <c r="M858" s="712" t="str">
        <f t="shared" ref="M858:M862" si="108">IF(A858="","",I858*K858)</f>
        <v/>
      </c>
      <c r="N858" s="416"/>
    </row>
    <row r="859" spans="1:16" ht="12.75" customHeight="1" x14ac:dyDescent="0.2">
      <c r="A859" s="714"/>
      <c r="B859" s="418"/>
      <c r="C859" s="418"/>
      <c r="D859" s="418"/>
      <c r="E859" s="418"/>
      <c r="F859" s="418"/>
      <c r="G859" s="416"/>
      <c r="H859" s="12" t="str">
        <f>IF(A859="","",VLOOKUP(A859,AA_Materiales,7,FALSE))</f>
        <v/>
      </c>
      <c r="I859" s="712" t="str">
        <f>IF(A859="","",VLOOKUP(A859,AA_Materiales,8,FALSE))</f>
        <v/>
      </c>
      <c r="J859" s="416"/>
      <c r="K859" s="715"/>
      <c r="L859" s="416"/>
      <c r="M859" s="712" t="str">
        <f t="shared" si="108"/>
        <v/>
      </c>
      <c r="N859" s="416"/>
    </row>
    <row r="860" spans="1:16" ht="12.75" customHeight="1" x14ac:dyDescent="0.2">
      <c r="A860" s="714"/>
      <c r="B860" s="418"/>
      <c r="C860" s="418"/>
      <c r="D860" s="418"/>
      <c r="E860" s="418"/>
      <c r="F860" s="418"/>
      <c r="G860" s="416"/>
      <c r="H860" s="12" t="str">
        <f>IF(A860="","",VLOOKUP(A860,AA_Materiales,7,FALSE))</f>
        <v/>
      </c>
      <c r="I860" s="712" t="str">
        <f>IF(A860="","",VLOOKUP(A860,AA_Materiales,8,FALSE))</f>
        <v/>
      </c>
      <c r="J860" s="416"/>
      <c r="K860" s="715"/>
      <c r="L860" s="416"/>
      <c r="M860" s="712" t="str">
        <f t="shared" si="108"/>
        <v/>
      </c>
      <c r="N860" s="416"/>
    </row>
    <row r="861" spans="1:16" ht="12.75" customHeight="1" x14ac:dyDescent="0.2">
      <c r="A861" s="714"/>
      <c r="B861" s="418"/>
      <c r="C861" s="418"/>
      <c r="D861" s="418"/>
      <c r="E861" s="418"/>
      <c r="F861" s="418"/>
      <c r="G861" s="416"/>
      <c r="H861" s="12" t="str">
        <f>IF(A861="","",VLOOKUP(A861,AA_Materiales,7,FALSE))</f>
        <v/>
      </c>
      <c r="I861" s="712" t="str">
        <f>IF(A861="","",VLOOKUP(A861,AA_Materiales,8,FALSE))</f>
        <v/>
      </c>
      <c r="J861" s="416"/>
      <c r="K861" s="715"/>
      <c r="L861" s="416"/>
      <c r="M861" s="712" t="str">
        <f t="shared" si="108"/>
        <v/>
      </c>
      <c r="N861" s="416"/>
    </row>
    <row r="862" spans="1:16" ht="12.75" customHeight="1" x14ac:dyDescent="0.2">
      <c r="A862" s="714"/>
      <c r="B862" s="418"/>
      <c r="C862" s="418"/>
      <c r="D862" s="418"/>
      <c r="E862" s="418"/>
      <c r="F862" s="418"/>
      <c r="G862" s="416"/>
      <c r="H862" s="12" t="str">
        <f>IF(A862="","",VLOOKUP(A862,AA_Materiales,7,FALSE))</f>
        <v/>
      </c>
      <c r="I862" s="712" t="str">
        <f>IF(A862="","",VLOOKUP(A862,AA_Materiales,8,FALSE))</f>
        <v/>
      </c>
      <c r="J862" s="416"/>
      <c r="K862" s="715"/>
      <c r="L862" s="416"/>
      <c r="M862" s="712" t="str">
        <f t="shared" si="108"/>
        <v/>
      </c>
      <c r="N862" s="416"/>
    </row>
    <row r="863" spans="1:16" ht="12.75" customHeight="1" x14ac:dyDescent="0.25">
      <c r="A863" s="5"/>
      <c r="B863" s="5"/>
      <c r="C863" s="5"/>
      <c r="D863" s="5"/>
      <c r="E863" s="5"/>
      <c r="F863" s="5"/>
      <c r="G863" s="5"/>
      <c r="H863" s="5"/>
      <c r="I863" s="5"/>
      <c r="J863" s="5"/>
      <c r="K863" s="713" t="s">
        <v>261</v>
      </c>
      <c r="L863" s="416"/>
      <c r="M863" s="712">
        <f>SUM(M858:N862)</f>
        <v>0</v>
      </c>
      <c r="N863" s="416"/>
    </row>
    <row r="864" spans="1:16" ht="12.75" customHeight="1" x14ac:dyDescent="0.25">
      <c r="A864" s="5"/>
      <c r="B864" s="5"/>
      <c r="C864" s="5"/>
      <c r="D864" s="5"/>
      <c r="E864" s="5"/>
      <c r="F864" s="5"/>
      <c r="G864" s="5"/>
      <c r="H864" s="5"/>
      <c r="I864" s="5"/>
      <c r="J864" s="5"/>
      <c r="K864" s="5"/>
      <c r="L864" s="5"/>
      <c r="M864" s="5"/>
      <c r="N864" s="5"/>
    </row>
    <row r="865" spans="1:14" ht="12.75" customHeight="1" x14ac:dyDescent="0.2">
      <c r="A865" s="716" t="s">
        <v>410</v>
      </c>
      <c r="B865" s="418"/>
      <c r="C865" s="418"/>
      <c r="D865" s="418"/>
      <c r="E865" s="418"/>
      <c r="F865" s="418"/>
      <c r="G865" s="418"/>
      <c r="H865" s="418"/>
      <c r="I865" s="418"/>
      <c r="J865" s="418"/>
      <c r="K865" s="418"/>
      <c r="L865" s="418"/>
      <c r="M865" s="418"/>
      <c r="N865" s="416"/>
    </row>
    <row r="866" spans="1:14" ht="12.75" customHeight="1" x14ac:dyDescent="0.2">
      <c r="A866" s="713" t="s">
        <v>39</v>
      </c>
      <c r="B866" s="418"/>
      <c r="C866" s="418"/>
      <c r="D866" s="418"/>
      <c r="E866" s="418"/>
      <c r="F866" s="418"/>
      <c r="G866" s="416"/>
      <c r="H866" s="61" t="s">
        <v>40</v>
      </c>
      <c r="I866" s="717" t="s">
        <v>404</v>
      </c>
      <c r="J866" s="416"/>
      <c r="K866" s="717" t="s">
        <v>184</v>
      </c>
      <c r="L866" s="416"/>
      <c r="M866" s="717" t="s">
        <v>405</v>
      </c>
      <c r="N866" s="416"/>
    </row>
    <row r="867" spans="1:14" ht="12.75" customHeight="1" x14ac:dyDescent="0.2">
      <c r="A867" s="714" t="s">
        <v>411</v>
      </c>
      <c r="B867" s="418"/>
      <c r="C867" s="418"/>
      <c r="D867" s="418"/>
      <c r="E867" s="418"/>
      <c r="F867" s="418"/>
      <c r="G867" s="416"/>
      <c r="H867" s="12" t="str">
        <f>IF(A867="","",VLOOKUP(A867,AA_Equipos,7,FALSE))</f>
        <v>% M.O.</v>
      </c>
      <c r="I867" s="712">
        <f>M889</f>
        <v>6618.2269100000012</v>
      </c>
      <c r="J867" s="416"/>
      <c r="K867" s="794">
        <v>0.05</v>
      </c>
      <c r="L867" s="416"/>
      <c r="M867" s="712">
        <f t="shared" ref="M867:M871" si="109">IF(A867="","",I867*K867)</f>
        <v>330.9113455000001</v>
      </c>
      <c r="N867" s="416"/>
    </row>
    <row r="868" spans="1:14" ht="12.75" customHeight="1" x14ac:dyDescent="0.2">
      <c r="A868" s="719" t="s">
        <v>490</v>
      </c>
      <c r="B868" s="418"/>
      <c r="C868" s="418"/>
      <c r="D868" s="418"/>
      <c r="E868" s="418"/>
      <c r="F868" s="418"/>
      <c r="G868" s="416"/>
      <c r="H868" s="12" t="str">
        <f>IF(A868="","",VLOOKUP(A868,AA_Equipos,7,FALSE))</f>
        <v>Hora</v>
      </c>
      <c r="I868" s="712">
        <f>IF(A868="","",VLOOKUP(A868,AA_Equipos,8,FALSE))</f>
        <v>214200</v>
      </c>
      <c r="J868" s="416"/>
      <c r="K868" s="723">
        <v>0.1</v>
      </c>
      <c r="L868" s="416"/>
      <c r="M868" s="712">
        <f t="shared" si="109"/>
        <v>21420</v>
      </c>
      <c r="N868" s="416"/>
    </row>
    <row r="869" spans="1:14" ht="12.75" customHeight="1" x14ac:dyDescent="0.2">
      <c r="A869" s="714"/>
      <c r="B869" s="418"/>
      <c r="C869" s="418"/>
      <c r="D869" s="418"/>
      <c r="E869" s="418"/>
      <c r="F869" s="418"/>
      <c r="G869" s="416"/>
      <c r="H869" s="12" t="str">
        <f>IF(A869="","",VLOOKUP(A869,AA_Equipos,7,FALSE))</f>
        <v/>
      </c>
      <c r="I869" s="712" t="str">
        <f>IF(A869="","",VLOOKUP(A869,AA_Equipos,8,FALSE))</f>
        <v/>
      </c>
      <c r="J869" s="416"/>
      <c r="K869" s="715"/>
      <c r="L869" s="416"/>
      <c r="M869" s="712" t="str">
        <f t="shared" si="109"/>
        <v/>
      </c>
      <c r="N869" s="416"/>
    </row>
    <row r="870" spans="1:14" ht="12.75" customHeight="1" x14ac:dyDescent="0.2">
      <c r="A870" s="714"/>
      <c r="B870" s="418"/>
      <c r="C870" s="418"/>
      <c r="D870" s="418"/>
      <c r="E870" s="418"/>
      <c r="F870" s="418"/>
      <c r="G870" s="416"/>
      <c r="H870" s="12" t="str">
        <f>IF(A870="","",VLOOKUP(A870,AA_Equipos,7,FALSE))</f>
        <v/>
      </c>
      <c r="I870" s="712" t="str">
        <f>IF(A870="","",VLOOKUP(A870,AA_Equipos,8,FALSE))</f>
        <v/>
      </c>
      <c r="J870" s="416"/>
      <c r="K870" s="715"/>
      <c r="L870" s="416"/>
      <c r="M870" s="712" t="str">
        <f t="shared" si="109"/>
        <v/>
      </c>
      <c r="N870" s="416"/>
    </row>
    <row r="871" spans="1:14" ht="12.75" customHeight="1" x14ac:dyDescent="0.2">
      <c r="A871" s="714"/>
      <c r="B871" s="418"/>
      <c r="C871" s="418"/>
      <c r="D871" s="418"/>
      <c r="E871" s="418"/>
      <c r="F871" s="418"/>
      <c r="G871" s="416"/>
      <c r="H871" s="12" t="str">
        <f>IF(A871="","",VLOOKUP(A871,AA_Equipos,7,FALSE))</f>
        <v/>
      </c>
      <c r="I871" s="712" t="str">
        <f>IF(A871="","",VLOOKUP(A871,AA_Equipos,8,FALSE))</f>
        <v/>
      </c>
      <c r="J871" s="416"/>
      <c r="K871" s="715"/>
      <c r="L871" s="416"/>
      <c r="M871" s="712" t="str">
        <f t="shared" si="109"/>
        <v/>
      </c>
      <c r="N871" s="416"/>
    </row>
    <row r="872" spans="1:14" ht="12.75" customHeight="1" x14ac:dyDescent="0.25">
      <c r="A872" s="5"/>
      <c r="B872" s="5"/>
      <c r="C872" s="5"/>
      <c r="D872" s="5"/>
      <c r="E872" s="5"/>
      <c r="F872" s="5"/>
      <c r="G872" s="5"/>
      <c r="H872" s="5"/>
      <c r="I872" s="5"/>
      <c r="J872" s="5"/>
      <c r="K872" s="713" t="s">
        <v>261</v>
      </c>
      <c r="L872" s="416"/>
      <c r="M872" s="712">
        <f>SUM(M867:N871)</f>
        <v>21750.911345500001</v>
      </c>
      <c r="N872" s="416"/>
    </row>
    <row r="873" spans="1:14" ht="12.75" customHeight="1" x14ac:dyDescent="0.25">
      <c r="A873" s="5"/>
      <c r="B873" s="5"/>
      <c r="C873" s="5"/>
      <c r="D873" s="5"/>
      <c r="E873" s="5"/>
      <c r="F873" s="5"/>
      <c r="G873" s="5"/>
      <c r="H873" s="5"/>
      <c r="I873" s="5"/>
      <c r="J873" s="5"/>
      <c r="K873" s="5"/>
      <c r="L873" s="5"/>
      <c r="M873" s="5"/>
      <c r="N873" s="5"/>
    </row>
    <row r="874" spans="1:14" ht="12.75" customHeight="1" x14ac:dyDescent="0.2">
      <c r="A874" s="716" t="s">
        <v>413</v>
      </c>
      <c r="B874" s="418"/>
      <c r="C874" s="418"/>
      <c r="D874" s="418"/>
      <c r="E874" s="418"/>
      <c r="F874" s="418"/>
      <c r="G874" s="418"/>
      <c r="H874" s="418"/>
      <c r="I874" s="418"/>
      <c r="J874" s="418"/>
      <c r="K874" s="418"/>
      <c r="L874" s="418"/>
      <c r="M874" s="418"/>
      <c r="N874" s="416"/>
    </row>
    <row r="875" spans="1:14" ht="12.75" customHeight="1" x14ac:dyDescent="0.2">
      <c r="A875" s="713" t="s">
        <v>39</v>
      </c>
      <c r="B875" s="418"/>
      <c r="C875" s="418"/>
      <c r="D875" s="418"/>
      <c r="E875" s="418"/>
      <c r="F875" s="418"/>
      <c r="G875" s="416"/>
      <c r="H875" s="61" t="s">
        <v>40</v>
      </c>
      <c r="I875" s="717" t="s">
        <v>404</v>
      </c>
      <c r="J875" s="416"/>
      <c r="K875" s="717" t="s">
        <v>184</v>
      </c>
      <c r="L875" s="416"/>
      <c r="M875" s="717" t="s">
        <v>405</v>
      </c>
      <c r="N875" s="416"/>
    </row>
    <row r="876" spans="1:14" ht="12.75" customHeight="1" x14ac:dyDescent="0.2">
      <c r="A876" s="719" t="s">
        <v>462</v>
      </c>
      <c r="B876" s="418"/>
      <c r="C876" s="418"/>
      <c r="D876" s="418"/>
      <c r="E876" s="418"/>
      <c r="F876" s="418"/>
      <c r="G876" s="416"/>
      <c r="H876" s="12" t="s">
        <v>463</v>
      </c>
      <c r="I876" s="712">
        <f>+M872</f>
        <v>21750.911345500001</v>
      </c>
      <c r="J876" s="416"/>
      <c r="K876" s="722">
        <v>0.05</v>
      </c>
      <c r="L876" s="416"/>
      <c r="M876" s="712">
        <f t="shared" ref="M876:M879" si="110">IF(A876="","",I876*K876)</f>
        <v>1087.5455672750002</v>
      </c>
      <c r="N876" s="416"/>
    </row>
    <row r="877" spans="1:14" ht="12.75" customHeight="1" x14ac:dyDescent="0.2">
      <c r="A877" s="714"/>
      <c r="B877" s="418"/>
      <c r="C877" s="418"/>
      <c r="D877" s="418"/>
      <c r="E877" s="418"/>
      <c r="F877" s="418"/>
      <c r="G877" s="416"/>
      <c r="H877" s="12"/>
      <c r="I877" s="712"/>
      <c r="J877" s="416"/>
      <c r="K877" s="715"/>
      <c r="L877" s="416"/>
      <c r="M877" s="712" t="str">
        <f t="shared" si="110"/>
        <v/>
      </c>
      <c r="N877" s="416"/>
    </row>
    <row r="878" spans="1:14" ht="12.75" customHeight="1" x14ac:dyDescent="0.2">
      <c r="A878" s="714"/>
      <c r="B878" s="418"/>
      <c r="C878" s="418"/>
      <c r="D878" s="418"/>
      <c r="E878" s="418"/>
      <c r="F878" s="418"/>
      <c r="G878" s="416"/>
      <c r="H878" s="12"/>
      <c r="I878" s="712"/>
      <c r="J878" s="416"/>
      <c r="K878" s="715"/>
      <c r="L878" s="416"/>
      <c r="M878" s="712" t="str">
        <f t="shared" si="110"/>
        <v/>
      </c>
      <c r="N878" s="416"/>
    </row>
    <row r="879" spans="1:14" ht="12.75" customHeight="1" x14ac:dyDescent="0.2">
      <c r="A879" s="714"/>
      <c r="B879" s="418"/>
      <c r="C879" s="418"/>
      <c r="D879" s="418"/>
      <c r="E879" s="418"/>
      <c r="F879" s="418"/>
      <c r="G879" s="416"/>
      <c r="H879" s="12"/>
      <c r="I879" s="712"/>
      <c r="J879" s="416"/>
      <c r="K879" s="715"/>
      <c r="L879" s="416"/>
      <c r="M879" s="712" t="str">
        <f t="shared" si="110"/>
        <v/>
      </c>
      <c r="N879" s="416"/>
    </row>
    <row r="880" spans="1:14" ht="12.75" customHeight="1" x14ac:dyDescent="0.25">
      <c r="A880" s="5"/>
      <c r="B880" s="5"/>
      <c r="C880" s="5"/>
      <c r="D880" s="5"/>
      <c r="E880" s="5"/>
      <c r="F880" s="5"/>
      <c r="G880" s="5"/>
      <c r="H880" s="5"/>
      <c r="I880" s="5"/>
      <c r="J880" s="5"/>
      <c r="K880" s="713" t="s">
        <v>261</v>
      </c>
      <c r="L880" s="416"/>
      <c r="M880" s="712">
        <f>SUM(M876:N879)</f>
        <v>1087.5455672750002</v>
      </c>
      <c r="N880" s="416"/>
    </row>
    <row r="881" spans="1:16" ht="12.75" customHeight="1" x14ac:dyDescent="0.25">
      <c r="A881" s="5"/>
      <c r="B881" s="5"/>
      <c r="C881" s="5"/>
      <c r="D881" s="5"/>
      <c r="E881" s="5"/>
      <c r="F881" s="5"/>
      <c r="G881" s="5"/>
      <c r="H881" s="5"/>
      <c r="I881" s="5"/>
      <c r="J881" s="5"/>
      <c r="K881" s="5"/>
      <c r="L881" s="5"/>
      <c r="M881" s="5"/>
      <c r="N881" s="5"/>
    </row>
    <row r="882" spans="1:16" ht="12.75" customHeight="1" x14ac:dyDescent="0.2">
      <c r="A882" s="716" t="s">
        <v>415</v>
      </c>
      <c r="B882" s="418"/>
      <c r="C882" s="418"/>
      <c r="D882" s="418"/>
      <c r="E882" s="418"/>
      <c r="F882" s="418"/>
      <c r="G882" s="418"/>
      <c r="H882" s="418"/>
      <c r="I882" s="418"/>
      <c r="J882" s="418"/>
      <c r="K882" s="418"/>
      <c r="L882" s="418"/>
      <c r="M882" s="418"/>
      <c r="N882" s="416"/>
    </row>
    <row r="883" spans="1:16" ht="12.75" customHeight="1" x14ac:dyDescent="0.2">
      <c r="A883" s="713" t="s">
        <v>39</v>
      </c>
      <c r="B883" s="418"/>
      <c r="C883" s="418"/>
      <c r="D883" s="418"/>
      <c r="E883" s="418"/>
      <c r="F883" s="418"/>
      <c r="G883" s="416"/>
      <c r="H883" s="61" t="s">
        <v>40</v>
      </c>
      <c r="I883" s="717" t="s">
        <v>404</v>
      </c>
      <c r="J883" s="416"/>
      <c r="K883" s="64" t="s">
        <v>253</v>
      </c>
      <c r="L883" s="65" t="s">
        <v>416</v>
      </c>
      <c r="M883" s="717" t="s">
        <v>405</v>
      </c>
      <c r="N883" s="416"/>
    </row>
    <row r="884" spans="1:16" ht="12.75" customHeight="1" x14ac:dyDescent="0.25">
      <c r="A884" s="711" t="s">
        <v>421</v>
      </c>
      <c r="B884" s="418"/>
      <c r="C884" s="418"/>
      <c r="D884" s="418"/>
      <c r="E884" s="418"/>
      <c r="F884" s="418"/>
      <c r="G884" s="416"/>
      <c r="H884" s="12" t="str">
        <f>IF(A884="","",VLOOKUP(A884,AA_Cuadrillas,4,FALSE))</f>
        <v>Cuadrilla</v>
      </c>
      <c r="I884" s="712">
        <f>IF(A884="","",VLOOKUP(A884,AA_Cuadrillas,5,FALSE))</f>
        <v>70036</v>
      </c>
      <c r="J884" s="416"/>
      <c r="K884" s="3">
        <f>IF(A884="","",'04'!$I$2)</f>
        <v>1.88995</v>
      </c>
      <c r="L884" s="66">
        <v>0.05</v>
      </c>
      <c r="M884" s="712">
        <f t="shared" ref="M884:M888" si="111">IF(A884="","",I884*K884*L884)</f>
        <v>6618.2269100000012</v>
      </c>
      <c r="N884" s="416"/>
    </row>
    <row r="885" spans="1:16" ht="12.75" customHeight="1" x14ac:dyDescent="0.25">
      <c r="A885" s="711"/>
      <c r="B885" s="418"/>
      <c r="C885" s="418"/>
      <c r="D885" s="418"/>
      <c r="E885" s="418"/>
      <c r="F885" s="418"/>
      <c r="G885" s="416"/>
      <c r="H885" s="12" t="str">
        <f>IF(A885="","",VLOOKUP(A885,AA_Cuadrillas,4,FALSE))</f>
        <v/>
      </c>
      <c r="I885" s="712" t="str">
        <f>IF(A885="","",VLOOKUP(A885,AA_Cuadrillas,5,FALSE))</f>
        <v/>
      </c>
      <c r="J885" s="416"/>
      <c r="K885" s="3" t="str">
        <f>IF(A885="","",'04'!$I$2)</f>
        <v/>
      </c>
      <c r="L885" s="3"/>
      <c r="M885" s="712" t="str">
        <f t="shared" si="111"/>
        <v/>
      </c>
      <c r="N885" s="416"/>
    </row>
    <row r="886" spans="1:16" ht="12.75" customHeight="1" x14ac:dyDescent="0.25">
      <c r="A886" s="711"/>
      <c r="B886" s="418"/>
      <c r="C886" s="418"/>
      <c r="D886" s="418"/>
      <c r="E886" s="418"/>
      <c r="F886" s="418"/>
      <c r="G886" s="416"/>
      <c r="H886" s="12" t="str">
        <f>IF(A886="","",VLOOKUP(A886,AA_Cuadrillas,4,FALSE))</f>
        <v/>
      </c>
      <c r="I886" s="712" t="str">
        <f>IF(A886="","",VLOOKUP(A886,AA_Cuadrillas,5,FALSE))</f>
        <v/>
      </c>
      <c r="J886" s="416"/>
      <c r="K886" s="3" t="str">
        <f>IF(A886="","",'04'!$I$2)</f>
        <v/>
      </c>
      <c r="L886" s="13"/>
      <c r="M886" s="712" t="str">
        <f t="shared" si="111"/>
        <v/>
      </c>
      <c r="N886" s="416"/>
    </row>
    <row r="887" spans="1:16" ht="12.75" customHeight="1" x14ac:dyDescent="0.25">
      <c r="A887" s="711"/>
      <c r="B887" s="418"/>
      <c r="C887" s="418"/>
      <c r="D887" s="418"/>
      <c r="E887" s="418"/>
      <c r="F887" s="418"/>
      <c r="G887" s="416"/>
      <c r="H887" s="12" t="str">
        <f>IF(A887="","",VLOOKUP(A887,AA_Cuadrillas,4,FALSE))</f>
        <v/>
      </c>
      <c r="I887" s="712" t="str">
        <f>IF(A887="","",VLOOKUP(A887,AA_Cuadrillas,5,FALSE))</f>
        <v/>
      </c>
      <c r="J887" s="416"/>
      <c r="K887" s="3" t="str">
        <f>IF(A887="","",'04'!$I$2)</f>
        <v/>
      </c>
      <c r="L887" s="13"/>
      <c r="M887" s="712" t="str">
        <f t="shared" si="111"/>
        <v/>
      </c>
      <c r="N887" s="416"/>
    </row>
    <row r="888" spans="1:16" ht="12.75" customHeight="1" x14ac:dyDescent="0.25">
      <c r="A888" s="711"/>
      <c r="B888" s="418"/>
      <c r="C888" s="418"/>
      <c r="D888" s="418"/>
      <c r="E888" s="418"/>
      <c r="F888" s="418"/>
      <c r="G888" s="416"/>
      <c r="H888" s="12" t="str">
        <f>IF(A888="","",VLOOKUP(A888,AA_Cuadrillas,4,FALSE))</f>
        <v/>
      </c>
      <c r="I888" s="712" t="str">
        <f>IF(A888="","",VLOOKUP(A888,AA_Cuadrillas,5,FALSE))</f>
        <v/>
      </c>
      <c r="J888" s="416"/>
      <c r="K888" s="3" t="str">
        <f>IF(A888="","",'04'!$I$2)</f>
        <v/>
      </c>
      <c r="L888" s="13"/>
      <c r="M888" s="712" t="str">
        <f t="shared" si="111"/>
        <v/>
      </c>
      <c r="N888" s="416"/>
    </row>
    <row r="889" spans="1:16" ht="12.75" customHeight="1" x14ac:dyDescent="0.25">
      <c r="A889" s="5"/>
      <c r="B889" s="5"/>
      <c r="C889" s="5"/>
      <c r="D889" s="5"/>
      <c r="E889" s="5"/>
      <c r="F889" s="5"/>
      <c r="G889" s="5"/>
      <c r="H889" s="5"/>
      <c r="I889" s="5"/>
      <c r="J889" s="5"/>
      <c r="K889" s="753" t="s">
        <v>261</v>
      </c>
      <c r="L889" s="754"/>
      <c r="M889" s="749">
        <f>SUM(M884:N888)</f>
        <v>6618.2269100000012</v>
      </c>
      <c r="N889" s="750"/>
    </row>
    <row r="890" spans="1:16" ht="12.75" customHeight="1" x14ac:dyDescent="0.2"/>
    <row r="891" spans="1:16" ht="12.75" customHeight="1" x14ac:dyDescent="0.2">
      <c r="A891" s="764" t="s">
        <v>1115</v>
      </c>
      <c r="B891" s="765"/>
      <c r="C891" s="765"/>
      <c r="D891" s="765"/>
      <c r="E891" s="765"/>
      <c r="F891" s="765"/>
      <c r="G891" s="765"/>
      <c r="H891" s="765"/>
      <c r="I891" s="765"/>
      <c r="J891" s="765"/>
      <c r="K891" s="765"/>
      <c r="L891" s="765"/>
      <c r="M891" s="765"/>
      <c r="N891" s="766"/>
      <c r="O891" s="272"/>
      <c r="P891" s="9"/>
    </row>
    <row r="892" spans="1:16" ht="12.75" customHeight="1" x14ac:dyDescent="0.2">
      <c r="A892" s="767"/>
      <c r="B892" s="768"/>
      <c r="C892" s="768"/>
      <c r="D892" s="768"/>
      <c r="E892" s="768"/>
      <c r="F892" s="768"/>
      <c r="G892" s="768"/>
      <c r="H892" s="768"/>
      <c r="I892" s="768"/>
      <c r="J892" s="768"/>
      <c r="K892" s="768"/>
      <c r="L892" s="768"/>
      <c r="M892" s="768"/>
      <c r="N892" s="769"/>
      <c r="O892" s="272"/>
      <c r="P892" s="9"/>
    </row>
    <row r="893" spans="1:16" ht="12.75" customHeight="1" x14ac:dyDescent="0.2">
      <c r="A893" s="49"/>
      <c r="B893" s="49"/>
      <c r="C893" s="49"/>
      <c r="D893" s="49"/>
      <c r="E893" s="49"/>
      <c r="F893" s="49"/>
      <c r="G893" s="49"/>
      <c r="H893" s="49"/>
      <c r="I893" s="49"/>
      <c r="J893" s="49"/>
      <c r="K893" s="49"/>
      <c r="L893" s="49"/>
      <c r="M893" s="49"/>
      <c r="N893" s="49"/>
    </row>
    <row r="894" spans="1:16" ht="12.75" customHeight="1" thickBot="1" x14ac:dyDescent="0.35">
      <c r="A894" s="51" t="str">
        <f>VLOOKUP(A891,'10'!$B$9:$N$100,13,FALSE)</f>
        <v>G052</v>
      </c>
      <c r="B894" s="52" t="str">
        <f>A891</f>
        <v>FORMALETA METÁLICA PARA ESTRUCTURA HIDRÁULICA (INCLUYE MATERIALES, HERRAMIENTAS Y MANO DE OBRA)</v>
      </c>
      <c r="C894" s="53" t="s">
        <v>400</v>
      </c>
      <c r="D894" s="54" t="s">
        <v>418</v>
      </c>
      <c r="E894" s="55" t="s">
        <v>177</v>
      </c>
      <c r="F894" s="59">
        <f>H894+J894+L894+N894</f>
        <v>93569.51193665</v>
      </c>
      <c r="G894" s="55" t="s">
        <v>349</v>
      </c>
      <c r="H894" s="59">
        <f>M915</f>
        <v>1985.468073</v>
      </c>
      <c r="I894" s="55" t="s">
        <v>402</v>
      </c>
      <c r="J894" s="59">
        <f>M906</f>
        <v>49309.91333333333</v>
      </c>
      <c r="K894" s="55" t="s">
        <v>351</v>
      </c>
      <c r="L894" s="59">
        <f>M924</f>
        <v>2564.7690703166663</v>
      </c>
      <c r="M894" s="55" t="s">
        <v>352</v>
      </c>
      <c r="N894" s="59">
        <f>M933</f>
        <v>39709.36146</v>
      </c>
    </row>
    <row r="895" spans="1:16" ht="12.75" customHeight="1" thickBot="1" x14ac:dyDescent="0.3">
      <c r="A895" s="60"/>
      <c r="B895" s="60"/>
      <c r="C895" s="60"/>
      <c r="D895" s="60"/>
      <c r="E895" s="60"/>
      <c r="F895" s="60"/>
      <c r="G895" s="60"/>
      <c r="J895" s="60"/>
      <c r="K895" s="60"/>
      <c r="L895" s="327" t="s">
        <v>1934</v>
      </c>
      <c r="M895" s="328">
        <f>+F894*'01'!$O$16</f>
        <v>121106.17558929979</v>
      </c>
      <c r="N895" s="60"/>
    </row>
    <row r="896" spans="1:16" ht="12.75" customHeight="1" x14ac:dyDescent="0.2">
      <c r="A896" s="761" t="s">
        <v>403</v>
      </c>
      <c r="B896" s="762"/>
      <c r="C896" s="762"/>
      <c r="D896" s="762"/>
      <c r="E896" s="762"/>
      <c r="F896" s="762"/>
      <c r="G896" s="762"/>
      <c r="H896" s="762"/>
      <c r="I896" s="762"/>
      <c r="J896" s="762"/>
      <c r="K896" s="762"/>
      <c r="L896" s="762"/>
      <c r="M896" s="762"/>
      <c r="N896" s="763"/>
    </row>
    <row r="897" spans="1:14" ht="12.75" customHeight="1" x14ac:dyDescent="0.2">
      <c r="A897" s="753" t="s">
        <v>39</v>
      </c>
      <c r="B897" s="760"/>
      <c r="C897" s="760"/>
      <c r="D897" s="760"/>
      <c r="E897" s="760"/>
      <c r="F897" s="760"/>
      <c r="G897" s="754"/>
      <c r="H897" s="61" t="s">
        <v>40</v>
      </c>
      <c r="I897" s="755" t="s">
        <v>404</v>
      </c>
      <c r="J897" s="756"/>
      <c r="K897" s="755" t="s">
        <v>184</v>
      </c>
      <c r="L897" s="756"/>
      <c r="M897" s="755" t="s">
        <v>405</v>
      </c>
      <c r="N897" s="756"/>
    </row>
    <row r="898" spans="1:14" ht="12.75" customHeight="1" x14ac:dyDescent="0.2">
      <c r="A898" s="757" t="s">
        <v>491</v>
      </c>
      <c r="B898" s="758"/>
      <c r="C898" s="758"/>
      <c r="D898" s="758"/>
      <c r="E898" s="758"/>
      <c r="F898" s="758"/>
      <c r="G898" s="759"/>
      <c r="H898" s="12" t="str">
        <f t="shared" ref="H898:H903" si="112">IF(A898="","",VLOOKUP(A898,AA_Materiales,7,FALSE))</f>
        <v>Unidad</v>
      </c>
      <c r="I898" s="749">
        <f t="shared" ref="I898:I905" si="113">IF(A898="","",VLOOKUP(A898,AA_Materiales,8,FALSE))</f>
        <v>3200</v>
      </c>
      <c r="J898" s="750"/>
      <c r="K898" s="751">
        <v>3</v>
      </c>
      <c r="L898" s="752"/>
      <c r="M898" s="749">
        <f t="shared" ref="M898:M905" si="114">IF(A898="","",I898*K898)</f>
        <v>9600</v>
      </c>
      <c r="N898" s="750"/>
    </row>
    <row r="899" spans="1:14" ht="12.75" customHeight="1" x14ac:dyDescent="0.2">
      <c r="A899" s="757" t="s">
        <v>492</v>
      </c>
      <c r="B899" s="758"/>
      <c r="C899" s="758"/>
      <c r="D899" s="758"/>
      <c r="E899" s="758"/>
      <c r="F899" s="758"/>
      <c r="G899" s="759"/>
      <c r="H899" s="12" t="str">
        <f t="shared" si="112"/>
        <v>Unidad</v>
      </c>
      <c r="I899" s="749">
        <f t="shared" si="113"/>
        <v>1000</v>
      </c>
      <c r="J899" s="750"/>
      <c r="K899" s="751">
        <v>6</v>
      </c>
      <c r="L899" s="752"/>
      <c r="M899" s="749">
        <f t="shared" si="114"/>
        <v>6000</v>
      </c>
      <c r="N899" s="750"/>
    </row>
    <row r="900" spans="1:14" ht="12.75" customHeight="1" x14ac:dyDescent="0.2">
      <c r="A900" s="757" t="s">
        <v>493</v>
      </c>
      <c r="B900" s="758"/>
      <c r="C900" s="758"/>
      <c r="D900" s="758"/>
      <c r="E900" s="758"/>
      <c r="F900" s="758"/>
      <c r="G900" s="759"/>
      <c r="H900" s="12" t="str">
        <f t="shared" si="112"/>
        <v>Unidad</v>
      </c>
      <c r="I900" s="749">
        <f t="shared" si="113"/>
        <v>132.03</v>
      </c>
      <c r="J900" s="750"/>
      <c r="K900" s="751">
        <v>3</v>
      </c>
      <c r="L900" s="752"/>
      <c r="M900" s="749">
        <f t="shared" si="114"/>
        <v>396.09000000000003</v>
      </c>
      <c r="N900" s="750"/>
    </row>
    <row r="901" spans="1:14" ht="12.75" customHeight="1" x14ac:dyDescent="0.2">
      <c r="A901" s="757" t="s">
        <v>494</v>
      </c>
      <c r="B901" s="758"/>
      <c r="C901" s="758"/>
      <c r="D901" s="758"/>
      <c r="E901" s="758"/>
      <c r="F901" s="758"/>
      <c r="G901" s="759"/>
      <c r="H901" s="12" t="str">
        <f t="shared" si="112"/>
        <v>ml</v>
      </c>
      <c r="I901" s="749">
        <f t="shared" si="113"/>
        <v>10833.333333333334</v>
      </c>
      <c r="J901" s="750"/>
      <c r="K901" s="751">
        <v>0.55000000000000004</v>
      </c>
      <c r="L901" s="752"/>
      <c r="M901" s="749">
        <f t="shared" si="114"/>
        <v>5958.3333333333339</v>
      </c>
      <c r="N901" s="750"/>
    </row>
    <row r="902" spans="1:14" ht="12.75" customHeight="1" x14ac:dyDescent="0.2">
      <c r="A902" s="757" t="s">
        <v>495</v>
      </c>
      <c r="B902" s="758"/>
      <c r="C902" s="758"/>
      <c r="D902" s="758"/>
      <c r="E902" s="758"/>
      <c r="F902" s="758"/>
      <c r="G902" s="759"/>
      <c r="H902" s="12" t="str">
        <f t="shared" si="112"/>
        <v>Unidad</v>
      </c>
      <c r="I902" s="749">
        <f t="shared" si="113"/>
        <v>422.48</v>
      </c>
      <c r="J902" s="750"/>
      <c r="K902" s="751">
        <v>13</v>
      </c>
      <c r="L902" s="752"/>
      <c r="M902" s="749">
        <f t="shared" si="114"/>
        <v>5492.24</v>
      </c>
      <c r="N902" s="750"/>
    </row>
    <row r="903" spans="1:14" ht="12.75" customHeight="1" x14ac:dyDescent="0.2">
      <c r="A903" s="757" t="s">
        <v>496</v>
      </c>
      <c r="B903" s="758"/>
      <c r="C903" s="758"/>
      <c r="D903" s="758"/>
      <c r="E903" s="758"/>
      <c r="F903" s="758"/>
      <c r="G903" s="759"/>
      <c r="H903" s="12" t="str">
        <f t="shared" si="112"/>
        <v>Unidad</v>
      </c>
      <c r="I903" s="749">
        <f t="shared" si="113"/>
        <v>485.85</v>
      </c>
      <c r="J903" s="750"/>
      <c r="K903" s="751">
        <v>45</v>
      </c>
      <c r="L903" s="752"/>
      <c r="M903" s="749">
        <f t="shared" si="114"/>
        <v>21863.25</v>
      </c>
      <c r="N903" s="750"/>
    </row>
    <row r="904" spans="1:14" ht="12.75" customHeight="1" x14ac:dyDescent="0.2">
      <c r="A904" s="757"/>
      <c r="B904" s="758"/>
      <c r="C904" s="758"/>
      <c r="D904" s="758"/>
      <c r="E904" s="758"/>
      <c r="F904" s="758"/>
      <c r="G904" s="759"/>
      <c r="H904" s="12"/>
      <c r="I904" s="749" t="str">
        <f t="shared" si="113"/>
        <v/>
      </c>
      <c r="J904" s="750"/>
      <c r="K904" s="751"/>
      <c r="L904" s="752"/>
      <c r="M904" s="749" t="str">
        <f t="shared" si="114"/>
        <v/>
      </c>
      <c r="N904" s="750"/>
    </row>
    <row r="905" spans="1:14" ht="12.75" customHeight="1" x14ac:dyDescent="0.2">
      <c r="A905" s="757"/>
      <c r="B905" s="758"/>
      <c r="C905" s="758"/>
      <c r="D905" s="758"/>
      <c r="E905" s="758"/>
      <c r="F905" s="758"/>
      <c r="G905" s="759"/>
      <c r="H905" s="12" t="str">
        <f>IF(A905="","",VLOOKUP(A905,AA_Materiales,7,FALSE))</f>
        <v/>
      </c>
      <c r="I905" s="749" t="str">
        <f t="shared" si="113"/>
        <v/>
      </c>
      <c r="J905" s="750"/>
      <c r="K905" s="751"/>
      <c r="L905" s="752"/>
      <c r="M905" s="749" t="str">
        <f t="shared" si="114"/>
        <v/>
      </c>
      <c r="N905" s="750"/>
    </row>
    <row r="906" spans="1:14" ht="12.75" customHeight="1" x14ac:dyDescent="0.25">
      <c r="A906" s="5"/>
      <c r="B906" s="5"/>
      <c r="C906" s="5"/>
      <c r="D906" s="5"/>
      <c r="E906" s="5"/>
      <c r="F906" s="5"/>
      <c r="G906" s="5"/>
      <c r="H906" s="5"/>
      <c r="I906" s="5"/>
      <c r="J906" s="5"/>
      <c r="K906" s="753" t="s">
        <v>261</v>
      </c>
      <c r="L906" s="754"/>
      <c r="M906" s="749">
        <f>SUM(M898:N905)</f>
        <v>49309.91333333333</v>
      </c>
      <c r="N906" s="750"/>
    </row>
    <row r="907" spans="1:14" ht="12.75" customHeight="1" x14ac:dyDescent="0.25">
      <c r="A907" s="5"/>
      <c r="B907" s="5"/>
      <c r="C907" s="5"/>
      <c r="D907" s="5"/>
      <c r="E907" s="5"/>
      <c r="F907" s="5"/>
      <c r="G907" s="5"/>
      <c r="H907" s="5"/>
      <c r="I907" s="5"/>
      <c r="J907" s="5"/>
      <c r="K907" s="5"/>
      <c r="L907" s="5"/>
      <c r="M907" s="5"/>
      <c r="N907" s="5"/>
    </row>
    <row r="908" spans="1:14" ht="12.75" customHeight="1" x14ac:dyDescent="0.2">
      <c r="A908" s="761" t="s">
        <v>410</v>
      </c>
      <c r="B908" s="762"/>
      <c r="C908" s="762"/>
      <c r="D908" s="762"/>
      <c r="E908" s="762"/>
      <c r="F908" s="762"/>
      <c r="G908" s="762"/>
      <c r="H908" s="762"/>
      <c r="I908" s="762"/>
      <c r="J908" s="762"/>
      <c r="K908" s="762"/>
      <c r="L908" s="762"/>
      <c r="M908" s="762"/>
      <c r="N908" s="763"/>
    </row>
    <row r="909" spans="1:14" ht="12.75" customHeight="1" x14ac:dyDescent="0.2">
      <c r="A909" s="753" t="s">
        <v>39</v>
      </c>
      <c r="B909" s="760"/>
      <c r="C909" s="760"/>
      <c r="D909" s="760"/>
      <c r="E909" s="760"/>
      <c r="F909" s="760"/>
      <c r="G909" s="754"/>
      <c r="H909" s="61" t="s">
        <v>40</v>
      </c>
      <c r="I909" s="755" t="s">
        <v>404</v>
      </c>
      <c r="J909" s="756"/>
      <c r="K909" s="755" t="s">
        <v>184</v>
      </c>
      <c r="L909" s="756"/>
      <c r="M909" s="755" t="s">
        <v>405</v>
      </c>
      <c r="N909" s="756"/>
    </row>
    <row r="910" spans="1:14" ht="12.75" customHeight="1" x14ac:dyDescent="0.2">
      <c r="A910" s="757" t="s">
        <v>411</v>
      </c>
      <c r="B910" s="758"/>
      <c r="C910" s="758"/>
      <c r="D910" s="758"/>
      <c r="E910" s="758"/>
      <c r="F910" s="758"/>
      <c r="G910" s="759"/>
      <c r="H910" s="12" t="str">
        <f>IF(A910="","",VLOOKUP(A910,AA_Equipos,7,FALSE))</f>
        <v>% M.O.</v>
      </c>
      <c r="I910" s="749">
        <f>M933</f>
        <v>39709.36146</v>
      </c>
      <c r="J910" s="750"/>
      <c r="K910" s="773">
        <v>0.05</v>
      </c>
      <c r="L910" s="774"/>
      <c r="M910" s="749">
        <f t="shared" ref="M910:M914" si="115">IF(A910="","",I910*K910)</f>
        <v>1985.468073</v>
      </c>
      <c r="N910" s="750"/>
    </row>
    <row r="911" spans="1:14" ht="12.75" customHeight="1" x14ac:dyDescent="0.2">
      <c r="A911" s="775"/>
      <c r="B911" s="776"/>
      <c r="C911" s="776"/>
      <c r="D911" s="776"/>
      <c r="E911" s="776"/>
      <c r="F911" s="776"/>
      <c r="G911" s="777"/>
      <c r="H911" s="12" t="str">
        <f>IF(A911="","",VLOOKUP(A911,AA_Equipos,7,FALSE))</f>
        <v/>
      </c>
      <c r="I911" s="749" t="str">
        <f>IF(A911="","",VLOOKUP(A911,AA_Equipos,8,FALSE))</f>
        <v/>
      </c>
      <c r="J911" s="750"/>
      <c r="K911" s="792"/>
      <c r="L911" s="793"/>
      <c r="M911" s="749" t="str">
        <f t="shared" si="115"/>
        <v/>
      </c>
      <c r="N911" s="750"/>
    </row>
    <row r="912" spans="1:14" ht="12.75" customHeight="1" x14ac:dyDescent="0.2">
      <c r="A912" s="757"/>
      <c r="B912" s="758"/>
      <c r="C912" s="758"/>
      <c r="D912" s="758"/>
      <c r="E912" s="758"/>
      <c r="F912" s="758"/>
      <c r="G912" s="759"/>
      <c r="H912" s="12" t="str">
        <f>IF(A912="","",VLOOKUP(A912,AA_Equipos,7,FALSE))</f>
        <v/>
      </c>
      <c r="I912" s="749" t="str">
        <f>IF(A912="","",VLOOKUP(A912,AA_Equipos,8,FALSE))</f>
        <v/>
      </c>
      <c r="J912" s="750"/>
      <c r="K912" s="751"/>
      <c r="L912" s="752"/>
      <c r="M912" s="749" t="str">
        <f t="shared" si="115"/>
        <v/>
      </c>
      <c r="N912" s="750"/>
    </row>
    <row r="913" spans="1:14" ht="12.75" customHeight="1" x14ac:dyDescent="0.2">
      <c r="A913" s="757"/>
      <c r="B913" s="758"/>
      <c r="C913" s="758"/>
      <c r="D913" s="758"/>
      <c r="E913" s="758"/>
      <c r="F913" s="758"/>
      <c r="G913" s="759"/>
      <c r="H913" s="12" t="str">
        <f>IF(A913="","",VLOOKUP(A913,AA_Equipos,7,FALSE))</f>
        <v/>
      </c>
      <c r="I913" s="749" t="str">
        <f>IF(A913="","",VLOOKUP(A913,AA_Equipos,8,FALSE))</f>
        <v/>
      </c>
      <c r="J913" s="750"/>
      <c r="K913" s="751"/>
      <c r="L913" s="752"/>
      <c r="M913" s="749" t="str">
        <f t="shared" si="115"/>
        <v/>
      </c>
      <c r="N913" s="750"/>
    </row>
    <row r="914" spans="1:14" ht="12.75" customHeight="1" x14ac:dyDescent="0.2">
      <c r="A914" s="757"/>
      <c r="B914" s="758"/>
      <c r="C914" s="758"/>
      <c r="D914" s="758"/>
      <c r="E914" s="758"/>
      <c r="F914" s="758"/>
      <c r="G914" s="759"/>
      <c r="H914" s="12" t="str">
        <f>IF(A914="","",VLOOKUP(A914,AA_Equipos,7,FALSE))</f>
        <v/>
      </c>
      <c r="I914" s="749" t="str">
        <f>IF(A914="","",VLOOKUP(A914,AA_Equipos,8,FALSE))</f>
        <v/>
      </c>
      <c r="J914" s="750"/>
      <c r="K914" s="751"/>
      <c r="L914" s="752"/>
      <c r="M914" s="749" t="str">
        <f t="shared" si="115"/>
        <v/>
      </c>
      <c r="N914" s="750"/>
    </row>
    <row r="915" spans="1:14" ht="12.75" customHeight="1" x14ac:dyDescent="0.25">
      <c r="A915" s="5"/>
      <c r="B915" s="5"/>
      <c r="C915" s="5"/>
      <c r="D915" s="5"/>
      <c r="E915" s="5"/>
      <c r="F915" s="5"/>
      <c r="G915" s="5"/>
      <c r="H915" s="5"/>
      <c r="I915" s="5"/>
      <c r="J915" s="5"/>
      <c r="K915" s="753" t="s">
        <v>261</v>
      </c>
      <c r="L915" s="754"/>
      <c r="M915" s="749">
        <f>SUM(M910:N914)</f>
        <v>1985.468073</v>
      </c>
      <c r="N915" s="750"/>
    </row>
    <row r="916" spans="1:14" ht="12.75" customHeight="1" x14ac:dyDescent="0.25">
      <c r="A916" s="5"/>
      <c r="B916" s="5"/>
      <c r="C916" s="5"/>
      <c r="D916" s="5"/>
      <c r="E916" s="5"/>
      <c r="F916" s="5"/>
      <c r="G916" s="5"/>
      <c r="H916" s="5"/>
      <c r="I916" s="5"/>
      <c r="J916" s="5"/>
      <c r="K916" s="5"/>
      <c r="L916" s="5"/>
      <c r="M916" s="5"/>
      <c r="N916" s="5"/>
    </row>
    <row r="917" spans="1:14" ht="12.75" customHeight="1" x14ac:dyDescent="0.2">
      <c r="A917" s="761" t="s">
        <v>413</v>
      </c>
      <c r="B917" s="762"/>
      <c r="C917" s="762"/>
      <c r="D917" s="762"/>
      <c r="E917" s="762"/>
      <c r="F917" s="762"/>
      <c r="G917" s="762"/>
      <c r="H917" s="762"/>
      <c r="I917" s="762"/>
      <c r="J917" s="762"/>
      <c r="K917" s="762"/>
      <c r="L917" s="762"/>
      <c r="M917" s="762"/>
      <c r="N917" s="763"/>
    </row>
    <row r="918" spans="1:14" ht="12.75" customHeight="1" x14ac:dyDescent="0.2">
      <c r="A918" s="753" t="s">
        <v>39</v>
      </c>
      <c r="B918" s="760"/>
      <c r="C918" s="760"/>
      <c r="D918" s="760"/>
      <c r="E918" s="760"/>
      <c r="F918" s="760"/>
      <c r="G918" s="754"/>
      <c r="H918" s="61" t="s">
        <v>40</v>
      </c>
      <c r="I918" s="755" t="s">
        <v>404</v>
      </c>
      <c r="J918" s="756"/>
      <c r="K918" s="755" t="s">
        <v>184</v>
      </c>
      <c r="L918" s="756"/>
      <c r="M918" s="755" t="s">
        <v>405</v>
      </c>
      <c r="N918" s="756"/>
    </row>
    <row r="919" spans="1:14" ht="12.75" customHeight="1" x14ac:dyDescent="0.2">
      <c r="A919" s="729" t="s">
        <v>414</v>
      </c>
      <c r="B919" s="758"/>
      <c r="C919" s="758"/>
      <c r="D919" s="758"/>
      <c r="E919" s="758"/>
      <c r="F919" s="758"/>
      <c r="G919" s="759"/>
      <c r="H919" s="107" t="s">
        <v>13</v>
      </c>
      <c r="I919" s="749">
        <f>+M906+M915</f>
        <v>51295.381406333327</v>
      </c>
      <c r="J919" s="750"/>
      <c r="K919" s="773">
        <v>0.05</v>
      </c>
      <c r="L919" s="774"/>
      <c r="M919" s="749">
        <f t="shared" ref="M919:M923" si="116">IF(A919="","",I919*K919)</f>
        <v>2564.7690703166663</v>
      </c>
      <c r="N919" s="750"/>
    </row>
    <row r="920" spans="1:14" ht="12.75" customHeight="1" x14ac:dyDescent="0.2">
      <c r="A920" s="775"/>
      <c r="B920" s="776"/>
      <c r="C920" s="776"/>
      <c r="D920" s="776"/>
      <c r="E920" s="776"/>
      <c r="F920" s="776"/>
      <c r="G920" s="777"/>
      <c r="H920" s="12"/>
      <c r="I920" s="749"/>
      <c r="J920" s="750"/>
      <c r="K920" s="773"/>
      <c r="L920" s="774"/>
      <c r="M920" s="749" t="str">
        <f t="shared" si="116"/>
        <v/>
      </c>
      <c r="N920" s="750"/>
    </row>
    <row r="921" spans="1:14" ht="12.75" customHeight="1" x14ac:dyDescent="0.2">
      <c r="A921" s="757"/>
      <c r="B921" s="758"/>
      <c r="C921" s="758"/>
      <c r="D921" s="758"/>
      <c r="E921" s="758"/>
      <c r="F921" s="758"/>
      <c r="G921" s="759"/>
      <c r="H921" s="12"/>
      <c r="I921" s="749"/>
      <c r="J921" s="750"/>
      <c r="K921" s="751"/>
      <c r="L921" s="752"/>
      <c r="M921" s="749" t="str">
        <f t="shared" si="116"/>
        <v/>
      </c>
      <c r="N921" s="750"/>
    </row>
    <row r="922" spans="1:14" ht="12.75" customHeight="1" x14ac:dyDescent="0.2">
      <c r="A922" s="757"/>
      <c r="B922" s="758"/>
      <c r="C922" s="758"/>
      <c r="D922" s="758"/>
      <c r="E922" s="758"/>
      <c r="F922" s="758"/>
      <c r="G922" s="759"/>
      <c r="H922" s="12"/>
      <c r="I922" s="749"/>
      <c r="J922" s="750"/>
      <c r="K922" s="751"/>
      <c r="L922" s="752"/>
      <c r="M922" s="749" t="str">
        <f t="shared" si="116"/>
        <v/>
      </c>
      <c r="N922" s="750"/>
    </row>
    <row r="923" spans="1:14" ht="12.75" customHeight="1" x14ac:dyDescent="0.2">
      <c r="A923" s="757"/>
      <c r="B923" s="758"/>
      <c r="C923" s="758"/>
      <c r="D923" s="758"/>
      <c r="E923" s="758"/>
      <c r="F923" s="758"/>
      <c r="G923" s="759"/>
      <c r="H923" s="12"/>
      <c r="I923" s="749"/>
      <c r="J923" s="750"/>
      <c r="K923" s="751"/>
      <c r="L923" s="752"/>
      <c r="M923" s="749" t="str">
        <f t="shared" si="116"/>
        <v/>
      </c>
      <c r="N923" s="750"/>
    </row>
    <row r="924" spans="1:14" ht="12.75" customHeight="1" x14ac:dyDescent="0.25">
      <c r="A924" s="5"/>
      <c r="B924" s="5"/>
      <c r="C924" s="5"/>
      <c r="D924" s="5"/>
      <c r="E924" s="5"/>
      <c r="F924" s="5"/>
      <c r="G924" s="5"/>
      <c r="H924" s="5"/>
      <c r="I924" s="5"/>
      <c r="J924" s="5"/>
      <c r="K924" s="753" t="s">
        <v>261</v>
      </c>
      <c r="L924" s="754"/>
      <c r="M924" s="749">
        <f>SUM(M919:N923)</f>
        <v>2564.7690703166663</v>
      </c>
      <c r="N924" s="750"/>
    </row>
    <row r="925" spans="1:14" ht="12.75" customHeight="1" x14ac:dyDescent="0.25">
      <c r="A925" s="5"/>
      <c r="B925" s="5"/>
      <c r="C925" s="5"/>
      <c r="D925" s="5"/>
      <c r="E925" s="5"/>
      <c r="F925" s="5"/>
      <c r="G925" s="5"/>
      <c r="H925" s="5"/>
      <c r="I925" s="5"/>
      <c r="J925" s="5"/>
      <c r="K925" s="5"/>
      <c r="L925" s="5"/>
      <c r="M925" s="5"/>
      <c r="N925" s="5"/>
    </row>
    <row r="926" spans="1:14" ht="12.75" customHeight="1" x14ac:dyDescent="0.2">
      <c r="A926" s="761" t="s">
        <v>415</v>
      </c>
      <c r="B926" s="762"/>
      <c r="C926" s="762"/>
      <c r="D926" s="762"/>
      <c r="E926" s="762"/>
      <c r="F926" s="762"/>
      <c r="G926" s="762"/>
      <c r="H926" s="762"/>
      <c r="I926" s="762"/>
      <c r="J926" s="762"/>
      <c r="K926" s="762"/>
      <c r="L926" s="762"/>
      <c r="M926" s="762"/>
      <c r="N926" s="763"/>
    </row>
    <row r="927" spans="1:14" ht="12.75" customHeight="1" x14ac:dyDescent="0.2">
      <c r="A927" s="753" t="s">
        <v>39</v>
      </c>
      <c r="B927" s="760"/>
      <c r="C927" s="760"/>
      <c r="D927" s="760"/>
      <c r="E927" s="760"/>
      <c r="F927" s="760"/>
      <c r="G927" s="754"/>
      <c r="H927" s="61" t="s">
        <v>40</v>
      </c>
      <c r="I927" s="755" t="s">
        <v>404</v>
      </c>
      <c r="J927" s="756"/>
      <c r="K927" s="64" t="s">
        <v>253</v>
      </c>
      <c r="L927" s="65" t="s">
        <v>416</v>
      </c>
      <c r="M927" s="755" t="s">
        <v>405</v>
      </c>
      <c r="N927" s="756"/>
    </row>
    <row r="928" spans="1:14" ht="12.75" customHeight="1" x14ac:dyDescent="0.25">
      <c r="A928" s="770" t="s">
        <v>421</v>
      </c>
      <c r="B928" s="771"/>
      <c r="C928" s="771"/>
      <c r="D928" s="771"/>
      <c r="E928" s="771"/>
      <c r="F928" s="771"/>
      <c r="G928" s="772"/>
      <c r="H928" s="12" t="str">
        <f>IF(A928="","",VLOOKUP(A928,AA_Cuadrillas,4,FALSE))</f>
        <v>Cuadrilla</v>
      </c>
      <c r="I928" s="749">
        <f>IF(A928="","",VLOOKUP(A928,AA_Cuadrillas,5,FALSE))</f>
        <v>70036</v>
      </c>
      <c r="J928" s="750"/>
      <c r="K928" s="3">
        <f>IF(A928="","",'04'!$I$2)</f>
        <v>1.88995</v>
      </c>
      <c r="L928" s="66">
        <v>0.3</v>
      </c>
      <c r="M928" s="749">
        <f t="shared" ref="M928:M932" si="117">IF(A928="","",I928*K928*L928)</f>
        <v>39709.36146</v>
      </c>
      <c r="N928" s="750"/>
    </row>
    <row r="929" spans="1:16" ht="12.75" customHeight="1" x14ac:dyDescent="0.25">
      <c r="A929" s="770"/>
      <c r="B929" s="771"/>
      <c r="C929" s="771"/>
      <c r="D929" s="771"/>
      <c r="E929" s="771"/>
      <c r="F929" s="771"/>
      <c r="G929" s="772"/>
      <c r="H929" s="12" t="str">
        <f>IF(A929="","",VLOOKUP(A929,AA_Cuadrillas,4,FALSE))</f>
        <v/>
      </c>
      <c r="I929" s="749" t="str">
        <f>IF(A929="","",VLOOKUP(A929,AA_Cuadrillas,5,FALSE))</f>
        <v/>
      </c>
      <c r="J929" s="750"/>
      <c r="K929" s="3" t="str">
        <f>IF(A929="","",'04'!$I$2)</f>
        <v/>
      </c>
      <c r="L929" s="3"/>
      <c r="M929" s="749" t="str">
        <f t="shared" si="117"/>
        <v/>
      </c>
      <c r="N929" s="750"/>
    </row>
    <row r="930" spans="1:16" ht="12.75" customHeight="1" x14ac:dyDescent="0.25">
      <c r="A930" s="770"/>
      <c r="B930" s="771"/>
      <c r="C930" s="771"/>
      <c r="D930" s="771"/>
      <c r="E930" s="771"/>
      <c r="F930" s="771"/>
      <c r="G930" s="772"/>
      <c r="H930" s="12" t="str">
        <f>IF(A930="","",VLOOKUP(A930,AA_Cuadrillas,4,FALSE))</f>
        <v/>
      </c>
      <c r="I930" s="749" t="str">
        <f>IF(A930="","",VLOOKUP(A930,AA_Cuadrillas,5,FALSE))</f>
        <v/>
      </c>
      <c r="J930" s="750"/>
      <c r="K930" s="3" t="str">
        <f>IF(A930="","",'04'!$I$2)</f>
        <v/>
      </c>
      <c r="L930" s="13"/>
      <c r="M930" s="749" t="str">
        <f t="shared" si="117"/>
        <v/>
      </c>
      <c r="N930" s="750"/>
    </row>
    <row r="931" spans="1:16" ht="12.75" customHeight="1" x14ac:dyDescent="0.25">
      <c r="A931" s="770"/>
      <c r="B931" s="771"/>
      <c r="C931" s="771"/>
      <c r="D931" s="771"/>
      <c r="E931" s="771"/>
      <c r="F931" s="771"/>
      <c r="G931" s="772"/>
      <c r="H931" s="12" t="str">
        <f>IF(A931="","",VLOOKUP(A931,AA_Cuadrillas,4,FALSE))</f>
        <v/>
      </c>
      <c r="I931" s="749" t="str">
        <f>IF(A931="","",VLOOKUP(A931,AA_Cuadrillas,5,FALSE))</f>
        <v/>
      </c>
      <c r="J931" s="750"/>
      <c r="K931" s="3" t="str">
        <f>IF(A931="","",'04'!$I$2)</f>
        <v/>
      </c>
      <c r="L931" s="13"/>
      <c r="M931" s="749" t="str">
        <f t="shared" si="117"/>
        <v/>
      </c>
      <c r="N931" s="750"/>
    </row>
    <row r="932" spans="1:16" ht="12.75" customHeight="1" x14ac:dyDescent="0.25">
      <c r="A932" s="770"/>
      <c r="B932" s="771"/>
      <c r="C932" s="771"/>
      <c r="D932" s="771"/>
      <c r="E932" s="771"/>
      <c r="F932" s="771"/>
      <c r="G932" s="772"/>
      <c r="H932" s="12" t="str">
        <f>IF(A932="","",VLOOKUP(A932,AA_Cuadrillas,4,FALSE))</f>
        <v/>
      </c>
      <c r="I932" s="749" t="str">
        <f>IF(A932="","",VLOOKUP(A932,AA_Cuadrillas,5,FALSE))</f>
        <v/>
      </c>
      <c r="J932" s="750"/>
      <c r="K932" s="3" t="str">
        <f>IF(A932="","",'04'!$I$2)</f>
        <v/>
      </c>
      <c r="L932" s="13"/>
      <c r="M932" s="749" t="str">
        <f t="shared" si="117"/>
        <v/>
      </c>
      <c r="N932" s="750"/>
    </row>
    <row r="933" spans="1:16" ht="12.75" customHeight="1" x14ac:dyDescent="0.25">
      <c r="A933" s="5"/>
      <c r="B933" s="5"/>
      <c r="C933" s="5"/>
      <c r="D933" s="5"/>
      <c r="E933" s="5"/>
      <c r="F933" s="5"/>
      <c r="G933" s="5"/>
      <c r="H933" s="5"/>
      <c r="I933" s="5"/>
      <c r="J933" s="5"/>
      <c r="K933" s="753" t="s">
        <v>261</v>
      </c>
      <c r="L933" s="754"/>
      <c r="M933" s="749">
        <f>SUM(M928:N932)</f>
        <v>39709.36146</v>
      </c>
      <c r="N933" s="750"/>
    </row>
    <row r="934" spans="1:16" ht="12.75" customHeight="1" x14ac:dyDescent="0.2"/>
    <row r="935" spans="1:16" ht="12.75" customHeight="1" x14ac:dyDescent="0.2">
      <c r="A935" s="787" t="s">
        <v>127</v>
      </c>
      <c r="B935" s="410"/>
      <c r="C935" s="410"/>
      <c r="D935" s="410"/>
      <c r="E935" s="410"/>
      <c r="F935" s="410"/>
      <c r="G935" s="410"/>
      <c r="H935" s="410"/>
      <c r="I935" s="410"/>
      <c r="J935" s="410"/>
      <c r="K935" s="410"/>
      <c r="L935" s="410"/>
      <c r="M935" s="410"/>
      <c r="N935" s="411"/>
      <c r="O935" s="272"/>
      <c r="P935" s="9"/>
    </row>
    <row r="936" spans="1:16" ht="12.75" customHeight="1" x14ac:dyDescent="0.2">
      <c r="A936" s="412"/>
      <c r="B936" s="413"/>
      <c r="C936" s="413"/>
      <c r="D936" s="413"/>
      <c r="E936" s="413"/>
      <c r="F936" s="413"/>
      <c r="G936" s="413"/>
      <c r="H936" s="413"/>
      <c r="I936" s="413"/>
      <c r="J936" s="413"/>
      <c r="K936" s="413"/>
      <c r="L936" s="413"/>
      <c r="M936" s="413"/>
      <c r="N936" s="414"/>
      <c r="O936" s="272"/>
      <c r="P936" s="9"/>
    </row>
    <row r="937" spans="1:16" ht="12.75" customHeight="1" x14ac:dyDescent="0.2">
      <c r="A937" s="49"/>
      <c r="B937" s="49"/>
      <c r="C937" s="49"/>
      <c r="D937" s="49"/>
      <c r="E937" s="49"/>
      <c r="F937" s="49"/>
      <c r="G937" s="49"/>
      <c r="H937" s="49"/>
      <c r="I937" s="49"/>
      <c r="J937" s="49"/>
      <c r="K937" s="49"/>
      <c r="L937" s="49"/>
      <c r="M937" s="49"/>
      <c r="N937" s="49"/>
    </row>
    <row r="938" spans="1:16" ht="12.75" customHeight="1" thickBot="1" x14ac:dyDescent="0.35">
      <c r="A938" s="51" t="str">
        <f>VLOOKUP(A935,'10'!$B$9:$N$100,13,FALSE)</f>
        <v>G028</v>
      </c>
      <c r="B938" s="52" t="str">
        <f>A935</f>
        <v>SUMINISTRO E INSTALACIÓN DE VÁLVULA DE COMPUERTA CON VOLANTE Ø8" EN HIERRO DUCTIL (INCLUYE MATERIALES, HERRAMIENTAS Y MANO DE OBRA)</v>
      </c>
      <c r="C938" s="53" t="s">
        <v>400</v>
      </c>
      <c r="D938" s="54" t="s">
        <v>475</v>
      </c>
      <c r="E938" s="55" t="s">
        <v>177</v>
      </c>
      <c r="F938" s="59">
        <f>H938+J938+L938+N938</f>
        <v>3144528.1877493747</v>
      </c>
      <c r="G938" s="55" t="s">
        <v>349</v>
      </c>
      <c r="H938" s="59">
        <f>M959</f>
        <v>5239.4375118750004</v>
      </c>
      <c r="I938" s="55" t="s">
        <v>402</v>
      </c>
      <c r="J938" s="72">
        <f>M950</f>
        <v>3034500</v>
      </c>
      <c r="K938" s="55" t="s">
        <v>351</v>
      </c>
      <c r="L938" s="59">
        <f>M968</f>
        <v>0</v>
      </c>
      <c r="M938" s="55" t="s">
        <v>352</v>
      </c>
      <c r="N938" s="59">
        <f>M977</f>
        <v>104788.7502375</v>
      </c>
    </row>
    <row r="939" spans="1:16" ht="12.75" customHeight="1" thickBot="1" x14ac:dyDescent="0.3">
      <c r="A939" s="60"/>
      <c r="B939" s="60"/>
      <c r="C939" s="60"/>
      <c r="D939" s="60"/>
      <c r="E939" s="60"/>
      <c r="F939" s="60"/>
      <c r="G939" s="60"/>
      <c r="J939" s="60"/>
      <c r="K939" s="60"/>
      <c r="L939" s="327" t="s">
        <v>1934</v>
      </c>
      <c r="M939" s="328">
        <f>+F938*'01'!$O$16</f>
        <v>4069934.4793944079</v>
      </c>
      <c r="N939" s="60"/>
    </row>
    <row r="940" spans="1:16" ht="12.75" customHeight="1" x14ac:dyDescent="0.2">
      <c r="A940" s="716" t="s">
        <v>403</v>
      </c>
      <c r="B940" s="418"/>
      <c r="C940" s="418"/>
      <c r="D940" s="418"/>
      <c r="E940" s="418"/>
      <c r="F940" s="418"/>
      <c r="G940" s="418"/>
      <c r="H940" s="418"/>
      <c r="I940" s="418"/>
      <c r="J940" s="418"/>
      <c r="K940" s="418"/>
      <c r="L940" s="418"/>
      <c r="M940" s="418"/>
      <c r="N940" s="416"/>
    </row>
    <row r="941" spans="1:16" ht="12.75" customHeight="1" x14ac:dyDescent="0.2">
      <c r="A941" s="713" t="s">
        <v>39</v>
      </c>
      <c r="B941" s="418"/>
      <c r="C941" s="418"/>
      <c r="D941" s="418"/>
      <c r="E941" s="418"/>
      <c r="F941" s="418"/>
      <c r="G941" s="416"/>
      <c r="H941" s="61" t="s">
        <v>40</v>
      </c>
      <c r="I941" s="717" t="s">
        <v>404</v>
      </c>
      <c r="J941" s="416"/>
      <c r="K941" s="717" t="s">
        <v>184</v>
      </c>
      <c r="L941" s="416"/>
      <c r="M941" s="717" t="s">
        <v>405</v>
      </c>
      <c r="N941" s="416"/>
    </row>
    <row r="942" spans="1:16" ht="12.75" customHeight="1" x14ac:dyDescent="0.2">
      <c r="A942" s="719" t="s">
        <v>497</v>
      </c>
      <c r="B942" s="418"/>
      <c r="C942" s="418"/>
      <c r="D942" s="418"/>
      <c r="E942" s="418"/>
      <c r="F942" s="418"/>
      <c r="G942" s="416"/>
      <c r="H942" s="12" t="str">
        <f t="shared" ref="H942:H949" si="118">IF(A942="","",VLOOKUP(A942,AA_Materiales,7,FALSE))</f>
        <v>Unidad</v>
      </c>
      <c r="I942" s="712">
        <f t="shared" ref="I942:I949" si="119">IF(A942="","",VLOOKUP(A942,AA_Materiales,8,FALSE))</f>
        <v>3034500</v>
      </c>
      <c r="J942" s="416"/>
      <c r="K942" s="715">
        <v>1</v>
      </c>
      <c r="L942" s="416"/>
      <c r="M942" s="712">
        <f t="shared" ref="M942:M949" si="120">IF(A942="","",I942*K942)</f>
        <v>3034500</v>
      </c>
      <c r="N942" s="416"/>
    </row>
    <row r="943" spans="1:16" ht="12.75" customHeight="1" x14ac:dyDescent="0.2">
      <c r="A943" s="719"/>
      <c r="B943" s="418"/>
      <c r="C943" s="418"/>
      <c r="D943" s="418"/>
      <c r="E943" s="418"/>
      <c r="F943" s="418"/>
      <c r="G943" s="416"/>
      <c r="H943" s="12" t="str">
        <f t="shared" si="118"/>
        <v/>
      </c>
      <c r="I943" s="712" t="str">
        <f t="shared" si="119"/>
        <v/>
      </c>
      <c r="J943" s="416"/>
      <c r="K943" s="715"/>
      <c r="L943" s="416"/>
      <c r="M943" s="712" t="str">
        <f t="shared" si="120"/>
        <v/>
      </c>
      <c r="N943" s="416"/>
    </row>
    <row r="944" spans="1:16" ht="12.75" customHeight="1" x14ac:dyDescent="0.2">
      <c r="A944" s="719"/>
      <c r="B944" s="418"/>
      <c r="C944" s="418"/>
      <c r="D944" s="418"/>
      <c r="E944" s="418"/>
      <c r="F944" s="418"/>
      <c r="G944" s="416"/>
      <c r="H944" s="12" t="str">
        <f t="shared" si="118"/>
        <v/>
      </c>
      <c r="I944" s="712" t="str">
        <f t="shared" si="119"/>
        <v/>
      </c>
      <c r="J944" s="416"/>
      <c r="K944" s="715"/>
      <c r="L944" s="416"/>
      <c r="M944" s="712" t="str">
        <f t="shared" si="120"/>
        <v/>
      </c>
      <c r="N944" s="416"/>
    </row>
    <row r="945" spans="1:14" ht="12.75" customHeight="1" x14ac:dyDescent="0.2">
      <c r="A945" s="719"/>
      <c r="B945" s="418"/>
      <c r="C945" s="418"/>
      <c r="D945" s="418"/>
      <c r="E945" s="418"/>
      <c r="F945" s="418"/>
      <c r="G945" s="416"/>
      <c r="H945" s="12" t="str">
        <f t="shared" si="118"/>
        <v/>
      </c>
      <c r="I945" s="712" t="str">
        <f t="shared" si="119"/>
        <v/>
      </c>
      <c r="J945" s="416"/>
      <c r="K945" s="715"/>
      <c r="L945" s="416"/>
      <c r="M945" s="712" t="str">
        <f t="shared" si="120"/>
        <v/>
      </c>
      <c r="N945" s="416"/>
    </row>
    <row r="946" spans="1:14" ht="12.75" customHeight="1" x14ac:dyDescent="0.2">
      <c r="A946" s="719"/>
      <c r="B946" s="418"/>
      <c r="C946" s="418"/>
      <c r="D946" s="418"/>
      <c r="E946" s="418"/>
      <c r="F946" s="418"/>
      <c r="G946" s="416"/>
      <c r="H946" s="12" t="str">
        <f t="shared" si="118"/>
        <v/>
      </c>
      <c r="I946" s="712" t="str">
        <f t="shared" si="119"/>
        <v/>
      </c>
      <c r="J946" s="416"/>
      <c r="K946" s="715"/>
      <c r="L946" s="416"/>
      <c r="M946" s="712" t="str">
        <f t="shared" si="120"/>
        <v/>
      </c>
      <c r="N946" s="416"/>
    </row>
    <row r="947" spans="1:14" ht="12.75" customHeight="1" x14ac:dyDescent="0.2">
      <c r="A947" s="719"/>
      <c r="B947" s="418"/>
      <c r="C947" s="418"/>
      <c r="D947" s="418"/>
      <c r="E947" s="418"/>
      <c r="F947" s="418"/>
      <c r="G947" s="416"/>
      <c r="H947" s="12" t="str">
        <f t="shared" si="118"/>
        <v/>
      </c>
      <c r="I947" s="712" t="str">
        <f t="shared" si="119"/>
        <v/>
      </c>
      <c r="J947" s="416"/>
      <c r="K947" s="715"/>
      <c r="L947" s="416"/>
      <c r="M947" s="712" t="str">
        <f t="shared" si="120"/>
        <v/>
      </c>
      <c r="N947" s="416"/>
    </row>
    <row r="948" spans="1:14" ht="12.75" customHeight="1" x14ac:dyDescent="0.2">
      <c r="A948" s="719"/>
      <c r="B948" s="418"/>
      <c r="C948" s="418"/>
      <c r="D948" s="418"/>
      <c r="E948" s="418"/>
      <c r="F948" s="418"/>
      <c r="G948" s="416"/>
      <c r="H948" s="12" t="str">
        <f t="shared" si="118"/>
        <v/>
      </c>
      <c r="I948" s="712" t="str">
        <f t="shared" si="119"/>
        <v/>
      </c>
      <c r="J948" s="416"/>
      <c r="K948" s="715"/>
      <c r="L948" s="416"/>
      <c r="M948" s="712" t="str">
        <f t="shared" si="120"/>
        <v/>
      </c>
      <c r="N948" s="416"/>
    </row>
    <row r="949" spans="1:14" ht="12.75" customHeight="1" x14ac:dyDescent="0.2">
      <c r="A949" s="719"/>
      <c r="B949" s="418"/>
      <c r="C949" s="418"/>
      <c r="D949" s="418"/>
      <c r="E949" s="418"/>
      <c r="F949" s="418"/>
      <c r="G949" s="416"/>
      <c r="H949" s="12" t="str">
        <f t="shared" si="118"/>
        <v/>
      </c>
      <c r="I949" s="712" t="str">
        <f t="shared" si="119"/>
        <v/>
      </c>
      <c r="J949" s="416"/>
      <c r="K949" s="715"/>
      <c r="L949" s="416"/>
      <c r="M949" s="712" t="str">
        <f t="shared" si="120"/>
        <v/>
      </c>
      <c r="N949" s="416"/>
    </row>
    <row r="950" spans="1:14" ht="12.75" customHeight="1" x14ac:dyDescent="0.25">
      <c r="A950" s="5"/>
      <c r="B950" s="5"/>
      <c r="C950" s="5"/>
      <c r="D950" s="5"/>
      <c r="E950" s="5"/>
      <c r="F950" s="5"/>
      <c r="G950" s="5"/>
      <c r="H950" s="5"/>
      <c r="I950" s="5"/>
      <c r="J950" s="5"/>
      <c r="K950" s="713" t="s">
        <v>261</v>
      </c>
      <c r="L950" s="416"/>
      <c r="M950" s="712">
        <f>SUM(M942:N949)</f>
        <v>3034500</v>
      </c>
      <c r="N950" s="416"/>
    </row>
    <row r="951" spans="1:14" ht="12.75" customHeight="1" x14ac:dyDescent="0.25">
      <c r="A951" s="5"/>
      <c r="B951" s="5"/>
      <c r="C951" s="5"/>
      <c r="D951" s="5"/>
      <c r="E951" s="5"/>
      <c r="F951" s="5"/>
      <c r="G951" s="5"/>
      <c r="H951" s="5"/>
      <c r="I951" s="5"/>
      <c r="J951" s="5"/>
      <c r="K951" s="5"/>
      <c r="L951" s="5"/>
      <c r="M951" s="5"/>
      <c r="N951" s="5"/>
    </row>
    <row r="952" spans="1:14" ht="12.75" customHeight="1" x14ac:dyDescent="0.2">
      <c r="A952" s="716" t="s">
        <v>410</v>
      </c>
      <c r="B952" s="418"/>
      <c r="C952" s="418"/>
      <c r="D952" s="418"/>
      <c r="E952" s="418"/>
      <c r="F952" s="418"/>
      <c r="G952" s="418"/>
      <c r="H952" s="418"/>
      <c r="I952" s="418"/>
      <c r="J952" s="418"/>
      <c r="K952" s="418"/>
      <c r="L952" s="418"/>
      <c r="M952" s="418"/>
      <c r="N952" s="416"/>
    </row>
    <row r="953" spans="1:14" ht="12.75" customHeight="1" x14ac:dyDescent="0.2">
      <c r="A953" s="713" t="s">
        <v>39</v>
      </c>
      <c r="B953" s="418"/>
      <c r="C953" s="418"/>
      <c r="D953" s="418"/>
      <c r="E953" s="418"/>
      <c r="F953" s="418"/>
      <c r="G953" s="416"/>
      <c r="H953" s="61" t="s">
        <v>40</v>
      </c>
      <c r="I953" s="717" t="s">
        <v>404</v>
      </c>
      <c r="J953" s="416"/>
      <c r="K953" s="717" t="s">
        <v>184</v>
      </c>
      <c r="L953" s="416"/>
      <c r="M953" s="717" t="s">
        <v>405</v>
      </c>
      <c r="N953" s="416"/>
    </row>
    <row r="954" spans="1:14" ht="12.75" customHeight="1" x14ac:dyDescent="0.2">
      <c r="A954" s="714" t="s">
        <v>411</v>
      </c>
      <c r="B954" s="418"/>
      <c r="C954" s="418"/>
      <c r="D954" s="418"/>
      <c r="E954" s="418"/>
      <c r="F954" s="418"/>
      <c r="G954" s="416"/>
      <c r="H954" s="12" t="str">
        <f>IF(A954="","",VLOOKUP(A954,AA_Equipos,7,FALSE))</f>
        <v>% M.O.</v>
      </c>
      <c r="I954" s="712">
        <f>+M977</f>
        <v>104788.7502375</v>
      </c>
      <c r="J954" s="416"/>
      <c r="K954" s="722">
        <v>0.05</v>
      </c>
      <c r="L954" s="416"/>
      <c r="M954" s="712">
        <f t="shared" ref="M954:M958" si="121">IF(A954="","",I954*K954)</f>
        <v>5239.4375118750004</v>
      </c>
      <c r="N954" s="416"/>
    </row>
    <row r="955" spans="1:14" ht="12.75" customHeight="1" x14ac:dyDescent="0.2">
      <c r="A955" s="719"/>
      <c r="B955" s="418"/>
      <c r="C955" s="418"/>
      <c r="D955" s="418"/>
      <c r="E955" s="418"/>
      <c r="F955" s="418"/>
      <c r="G955" s="416"/>
      <c r="H955" s="12" t="str">
        <f>IF(A955="","",VLOOKUP(A955,AA_Equipos,7,FALSE))</f>
        <v/>
      </c>
      <c r="I955" s="712" t="str">
        <f>IF(A955="","",VLOOKUP(A955,AA_Equipos,8,FALSE))</f>
        <v/>
      </c>
      <c r="J955" s="416"/>
      <c r="K955" s="723"/>
      <c r="L955" s="416"/>
      <c r="M955" s="712" t="str">
        <f t="shared" si="121"/>
        <v/>
      </c>
      <c r="N955" s="416"/>
    </row>
    <row r="956" spans="1:14" ht="12.75" customHeight="1" x14ac:dyDescent="0.2">
      <c r="A956" s="714"/>
      <c r="B956" s="418"/>
      <c r="C956" s="418"/>
      <c r="D956" s="418"/>
      <c r="E956" s="418"/>
      <c r="F956" s="418"/>
      <c r="G956" s="416"/>
      <c r="H956" s="12" t="str">
        <f>IF(A956="","",VLOOKUP(A956,AA_Equipos,7,FALSE))</f>
        <v/>
      </c>
      <c r="I956" s="712" t="str">
        <f>IF(A956="","",VLOOKUP(A956,AA_Equipos,8,FALSE))</f>
        <v/>
      </c>
      <c r="J956" s="416"/>
      <c r="K956" s="786"/>
      <c r="L956" s="416"/>
      <c r="M956" s="712" t="str">
        <f t="shared" si="121"/>
        <v/>
      </c>
      <c r="N956" s="416"/>
    </row>
    <row r="957" spans="1:14" ht="12.75" customHeight="1" x14ac:dyDescent="0.2">
      <c r="A957" s="714"/>
      <c r="B957" s="418"/>
      <c r="C957" s="418"/>
      <c r="D957" s="418"/>
      <c r="E957" s="418"/>
      <c r="F957" s="418"/>
      <c r="G957" s="416"/>
      <c r="H957" s="12" t="str">
        <f>IF(A957="","",VLOOKUP(A957,AA_Equipos,7,FALSE))</f>
        <v/>
      </c>
      <c r="I957" s="712" t="str">
        <f>IF(A957="","",VLOOKUP(A957,AA_Equipos,8,FALSE))</f>
        <v/>
      </c>
      <c r="J957" s="416"/>
      <c r="K957" s="715"/>
      <c r="L957" s="416"/>
      <c r="M957" s="712" t="str">
        <f t="shared" si="121"/>
        <v/>
      </c>
      <c r="N957" s="416"/>
    </row>
    <row r="958" spans="1:14" ht="12.75" customHeight="1" x14ac:dyDescent="0.2">
      <c r="A958" s="714"/>
      <c r="B958" s="418"/>
      <c r="C958" s="418"/>
      <c r="D958" s="418"/>
      <c r="E958" s="418"/>
      <c r="F958" s="418"/>
      <c r="G958" s="416"/>
      <c r="H958" s="12" t="str">
        <f>IF(A958="","",VLOOKUP(A958,AA_Equipos,7,FALSE))</f>
        <v/>
      </c>
      <c r="I958" s="712" t="str">
        <f>IF(A958="","",VLOOKUP(A958,AA_Equipos,8,FALSE))</f>
        <v/>
      </c>
      <c r="J958" s="416"/>
      <c r="K958" s="715"/>
      <c r="L958" s="416"/>
      <c r="M958" s="712" t="str">
        <f t="shared" si="121"/>
        <v/>
      </c>
      <c r="N958" s="416"/>
    </row>
    <row r="959" spans="1:14" ht="12.75" customHeight="1" x14ac:dyDescent="0.25">
      <c r="A959" s="5"/>
      <c r="B959" s="5"/>
      <c r="C959" s="5"/>
      <c r="D959" s="5"/>
      <c r="E959" s="5"/>
      <c r="F959" s="5"/>
      <c r="G959" s="5"/>
      <c r="H959" s="5"/>
      <c r="I959" s="5"/>
      <c r="J959" s="5"/>
      <c r="K959" s="713" t="s">
        <v>261</v>
      </c>
      <c r="L959" s="416"/>
      <c r="M959" s="712">
        <f>SUM(M954:N958)</f>
        <v>5239.4375118750004</v>
      </c>
      <c r="N959" s="416"/>
    </row>
    <row r="960" spans="1:14" ht="12.75" customHeight="1" x14ac:dyDescent="0.25">
      <c r="A960" s="5"/>
      <c r="B960" s="5"/>
      <c r="C960" s="5"/>
      <c r="D960" s="5"/>
      <c r="E960" s="5"/>
      <c r="F960" s="5"/>
      <c r="G960" s="5"/>
      <c r="H960" s="5"/>
      <c r="I960" s="5"/>
      <c r="J960" s="5"/>
      <c r="K960" s="5"/>
      <c r="L960" s="5"/>
      <c r="M960" s="5"/>
      <c r="N960" s="5"/>
    </row>
    <row r="961" spans="1:14" ht="12.75" customHeight="1" x14ac:dyDescent="0.2">
      <c r="A961" s="716" t="s">
        <v>413</v>
      </c>
      <c r="B961" s="418"/>
      <c r="C961" s="418"/>
      <c r="D961" s="418"/>
      <c r="E961" s="418"/>
      <c r="F961" s="418"/>
      <c r="G961" s="418"/>
      <c r="H961" s="418"/>
      <c r="I961" s="418"/>
      <c r="J961" s="418"/>
      <c r="K961" s="418"/>
      <c r="L961" s="418"/>
      <c r="M961" s="418"/>
      <c r="N961" s="416"/>
    </row>
    <row r="962" spans="1:14" ht="12.75" customHeight="1" x14ac:dyDescent="0.2">
      <c r="A962" s="713" t="s">
        <v>39</v>
      </c>
      <c r="B962" s="418"/>
      <c r="C962" s="418"/>
      <c r="D962" s="418"/>
      <c r="E962" s="418"/>
      <c r="F962" s="418"/>
      <c r="G962" s="416"/>
      <c r="H962" s="61" t="s">
        <v>40</v>
      </c>
      <c r="I962" s="717" t="s">
        <v>404</v>
      </c>
      <c r="J962" s="416"/>
      <c r="K962" s="717" t="s">
        <v>184</v>
      </c>
      <c r="L962" s="416"/>
      <c r="M962" s="717" t="s">
        <v>405</v>
      </c>
      <c r="N962" s="416"/>
    </row>
    <row r="963" spans="1:14" ht="12.75" customHeight="1" x14ac:dyDescent="0.2">
      <c r="A963" s="714"/>
      <c r="B963" s="418"/>
      <c r="C963" s="418"/>
      <c r="D963" s="418"/>
      <c r="E963" s="418"/>
      <c r="F963" s="418"/>
      <c r="G963" s="416"/>
      <c r="H963" s="12"/>
      <c r="I963" s="712"/>
      <c r="J963" s="416"/>
      <c r="K963" s="722"/>
      <c r="L963" s="416"/>
      <c r="M963" s="712" t="str">
        <f t="shared" ref="M963:M967" si="122">IF(A963="","",I963*K963)</f>
        <v/>
      </c>
      <c r="N963" s="416"/>
    </row>
    <row r="964" spans="1:14" ht="12.75" customHeight="1" x14ac:dyDescent="0.2">
      <c r="A964" s="719"/>
      <c r="B964" s="418"/>
      <c r="C964" s="418"/>
      <c r="D964" s="418"/>
      <c r="E964" s="418"/>
      <c r="F964" s="418"/>
      <c r="G964" s="416"/>
      <c r="H964" s="12"/>
      <c r="I964" s="712"/>
      <c r="J964" s="416"/>
      <c r="K964" s="722"/>
      <c r="L964" s="416"/>
      <c r="M964" s="712" t="str">
        <f t="shared" si="122"/>
        <v/>
      </c>
      <c r="N964" s="416"/>
    </row>
    <row r="965" spans="1:14" ht="12.75" customHeight="1" x14ac:dyDescent="0.2">
      <c r="A965" s="714"/>
      <c r="B965" s="418"/>
      <c r="C965" s="418"/>
      <c r="D965" s="418"/>
      <c r="E965" s="418"/>
      <c r="F965" s="418"/>
      <c r="G965" s="416"/>
      <c r="H965" s="12"/>
      <c r="I965" s="712"/>
      <c r="J965" s="416"/>
      <c r="K965" s="715"/>
      <c r="L965" s="416"/>
      <c r="M965" s="712" t="str">
        <f t="shared" si="122"/>
        <v/>
      </c>
      <c r="N965" s="416"/>
    </row>
    <row r="966" spans="1:14" ht="12.75" customHeight="1" x14ac:dyDescent="0.2">
      <c r="A966" s="714"/>
      <c r="B966" s="418"/>
      <c r="C966" s="418"/>
      <c r="D966" s="418"/>
      <c r="E966" s="418"/>
      <c r="F966" s="418"/>
      <c r="G966" s="416"/>
      <c r="H966" s="12"/>
      <c r="I966" s="712"/>
      <c r="J966" s="416"/>
      <c r="K966" s="715"/>
      <c r="L966" s="416"/>
      <c r="M966" s="712" t="str">
        <f t="shared" si="122"/>
        <v/>
      </c>
      <c r="N966" s="416"/>
    </row>
    <row r="967" spans="1:14" ht="12.75" customHeight="1" x14ac:dyDescent="0.2">
      <c r="A967" s="714"/>
      <c r="B967" s="418"/>
      <c r="C967" s="418"/>
      <c r="D967" s="418"/>
      <c r="E967" s="418"/>
      <c r="F967" s="418"/>
      <c r="G967" s="416"/>
      <c r="H967" s="12"/>
      <c r="I967" s="712"/>
      <c r="J967" s="416"/>
      <c r="K967" s="715"/>
      <c r="L967" s="416"/>
      <c r="M967" s="712" t="str">
        <f t="shared" si="122"/>
        <v/>
      </c>
      <c r="N967" s="416"/>
    </row>
    <row r="968" spans="1:14" ht="12.75" customHeight="1" x14ac:dyDescent="0.25">
      <c r="A968" s="5"/>
      <c r="B968" s="5"/>
      <c r="C968" s="5"/>
      <c r="D968" s="5"/>
      <c r="E968" s="5"/>
      <c r="F968" s="5"/>
      <c r="G968" s="5"/>
      <c r="H968" s="5"/>
      <c r="I968" s="5"/>
      <c r="J968" s="5"/>
      <c r="K968" s="713" t="s">
        <v>261</v>
      </c>
      <c r="L968" s="416"/>
      <c r="M968" s="712">
        <f>SUM(M963:N967)</f>
        <v>0</v>
      </c>
      <c r="N968" s="416"/>
    </row>
    <row r="969" spans="1:14" ht="12.75" customHeight="1" x14ac:dyDescent="0.25">
      <c r="A969" s="5"/>
      <c r="B969" s="5"/>
      <c r="C969" s="5"/>
      <c r="D969" s="5"/>
      <c r="E969" s="5"/>
      <c r="F969" s="5"/>
      <c r="G969" s="5"/>
      <c r="H969" s="5"/>
      <c r="I969" s="5"/>
      <c r="J969" s="5"/>
      <c r="K969" s="5"/>
      <c r="L969" s="5"/>
      <c r="M969" s="5"/>
      <c r="N969" s="5"/>
    </row>
    <row r="970" spans="1:14" ht="12.75" customHeight="1" x14ac:dyDescent="0.2">
      <c r="A970" s="716" t="s">
        <v>415</v>
      </c>
      <c r="B970" s="418"/>
      <c r="C970" s="418"/>
      <c r="D970" s="418"/>
      <c r="E970" s="418"/>
      <c r="F970" s="418"/>
      <c r="G970" s="418"/>
      <c r="H970" s="418"/>
      <c r="I970" s="418"/>
      <c r="J970" s="418"/>
      <c r="K970" s="418"/>
      <c r="L970" s="418"/>
      <c r="M970" s="418"/>
      <c r="N970" s="416"/>
    </row>
    <row r="971" spans="1:14" ht="12.75" customHeight="1" x14ac:dyDescent="0.2">
      <c r="A971" s="713" t="s">
        <v>39</v>
      </c>
      <c r="B971" s="418"/>
      <c r="C971" s="418"/>
      <c r="D971" s="418"/>
      <c r="E971" s="418"/>
      <c r="F971" s="418"/>
      <c r="G971" s="416"/>
      <c r="H971" s="61" t="s">
        <v>40</v>
      </c>
      <c r="I971" s="717" t="s">
        <v>404</v>
      </c>
      <c r="J971" s="416"/>
      <c r="K971" s="64" t="s">
        <v>253</v>
      </c>
      <c r="L971" s="65" t="s">
        <v>416</v>
      </c>
      <c r="M971" s="717" t="s">
        <v>405</v>
      </c>
      <c r="N971" s="416"/>
    </row>
    <row r="972" spans="1:14" ht="12.75" customHeight="1" x14ac:dyDescent="0.25">
      <c r="A972" s="711" t="s">
        <v>479</v>
      </c>
      <c r="B972" s="418"/>
      <c r="C972" s="418"/>
      <c r="D972" s="418"/>
      <c r="E972" s="418"/>
      <c r="F972" s="418"/>
      <c r="G972" s="416"/>
      <c r="H972" s="12" t="str">
        <f>IF(A972="","",VLOOKUP(A972,AA_Cuadrillas,4,FALSE))</f>
        <v>Cuadrilla</v>
      </c>
      <c r="I972" s="712">
        <f>IF(A972="","",VLOOKUP(A972,AA_Cuadrillas,5,FALSE))</f>
        <v>221781</v>
      </c>
      <c r="J972" s="416"/>
      <c r="K972" s="3">
        <f>IF(A972="","",'04'!$I$2)</f>
        <v>1.88995</v>
      </c>
      <c r="L972" s="71">
        <v>0.25</v>
      </c>
      <c r="M972" s="712">
        <f t="shared" ref="M972:M976" si="123">IF(A972="","",I972*K972*L972)</f>
        <v>104788.7502375</v>
      </c>
      <c r="N972" s="416"/>
    </row>
    <row r="973" spans="1:14" ht="12.75" customHeight="1" x14ac:dyDescent="0.25">
      <c r="A973" s="711"/>
      <c r="B973" s="418"/>
      <c r="C973" s="418"/>
      <c r="D973" s="418"/>
      <c r="E973" s="418"/>
      <c r="F973" s="418"/>
      <c r="G973" s="416"/>
      <c r="H973" s="12" t="str">
        <f>IF(A973="","",VLOOKUP(A973,AA_Cuadrillas,4,FALSE))</f>
        <v/>
      </c>
      <c r="I973" s="712" t="str">
        <f>IF(A973="","",VLOOKUP(A973,AA_Cuadrillas,5,FALSE))</f>
        <v/>
      </c>
      <c r="J973" s="416"/>
      <c r="K973" s="3" t="str">
        <f>IF(A973="","",'04'!$I$2)</f>
        <v/>
      </c>
      <c r="L973" s="3"/>
      <c r="M973" s="712" t="str">
        <f t="shared" si="123"/>
        <v/>
      </c>
      <c r="N973" s="416"/>
    </row>
    <row r="974" spans="1:14" ht="12.75" customHeight="1" x14ac:dyDescent="0.25">
      <c r="A974" s="711"/>
      <c r="B974" s="418"/>
      <c r="C974" s="418"/>
      <c r="D974" s="418"/>
      <c r="E974" s="418"/>
      <c r="F974" s="418"/>
      <c r="G974" s="416"/>
      <c r="H974" s="12" t="str">
        <f>IF(A974="","",VLOOKUP(A974,AA_Cuadrillas,4,FALSE))</f>
        <v/>
      </c>
      <c r="I974" s="712" t="str">
        <f>IF(A974="","",VLOOKUP(A974,AA_Cuadrillas,5,FALSE))</f>
        <v/>
      </c>
      <c r="J974" s="416"/>
      <c r="K974" s="3" t="str">
        <f>IF(A974="","",'04'!$I$2)</f>
        <v/>
      </c>
      <c r="L974" s="13"/>
      <c r="M974" s="712" t="str">
        <f t="shared" si="123"/>
        <v/>
      </c>
      <c r="N974" s="416"/>
    </row>
    <row r="975" spans="1:14" ht="12.75" customHeight="1" x14ac:dyDescent="0.25">
      <c r="A975" s="711"/>
      <c r="B975" s="418"/>
      <c r="C975" s="418"/>
      <c r="D975" s="418"/>
      <c r="E975" s="418"/>
      <c r="F975" s="418"/>
      <c r="G975" s="416"/>
      <c r="H975" s="12" t="str">
        <f>IF(A975="","",VLOOKUP(A975,AA_Cuadrillas,4,FALSE))</f>
        <v/>
      </c>
      <c r="I975" s="712" t="str">
        <f>IF(A975="","",VLOOKUP(A975,AA_Cuadrillas,5,FALSE))</f>
        <v/>
      </c>
      <c r="J975" s="416"/>
      <c r="K975" s="3" t="str">
        <f>IF(A975="","",'04'!$I$2)</f>
        <v/>
      </c>
      <c r="L975" s="13"/>
      <c r="M975" s="712" t="str">
        <f t="shared" si="123"/>
        <v/>
      </c>
      <c r="N975" s="416"/>
    </row>
    <row r="976" spans="1:14" ht="12.75" customHeight="1" x14ac:dyDescent="0.25">
      <c r="A976" s="711"/>
      <c r="B976" s="418"/>
      <c r="C976" s="418"/>
      <c r="D976" s="418"/>
      <c r="E976" s="418"/>
      <c r="F976" s="418"/>
      <c r="G976" s="416"/>
      <c r="H976" s="12" t="str">
        <f>IF(A976="","",VLOOKUP(A976,AA_Cuadrillas,4,FALSE))</f>
        <v/>
      </c>
      <c r="I976" s="712" t="str">
        <f>IF(A976="","",VLOOKUP(A976,AA_Cuadrillas,5,FALSE))</f>
        <v/>
      </c>
      <c r="J976" s="416"/>
      <c r="K976" s="3" t="str">
        <f>IF(A976="","",'04'!$I$2)</f>
        <v/>
      </c>
      <c r="L976" s="13"/>
      <c r="M976" s="712" t="str">
        <f t="shared" si="123"/>
        <v/>
      </c>
      <c r="N976" s="416"/>
    </row>
    <row r="977" spans="1:16" ht="12.75" customHeight="1" x14ac:dyDescent="0.25">
      <c r="A977" s="5"/>
      <c r="B977" s="5"/>
      <c r="C977" s="5"/>
      <c r="D977" s="5"/>
      <c r="E977" s="5"/>
      <c r="F977" s="5"/>
      <c r="G977" s="5"/>
      <c r="H977" s="5"/>
      <c r="I977" s="5"/>
      <c r="J977" s="5"/>
      <c r="K977" s="713" t="s">
        <v>261</v>
      </c>
      <c r="L977" s="416"/>
      <c r="M977" s="712">
        <f>SUM(M972:N976)</f>
        <v>104788.7502375</v>
      </c>
      <c r="N977" s="416"/>
    </row>
    <row r="978" spans="1:16" ht="12.75" customHeight="1" x14ac:dyDescent="0.2"/>
    <row r="979" spans="1:16" ht="12.75" customHeight="1" x14ac:dyDescent="0.2">
      <c r="A979" s="787" t="s">
        <v>86</v>
      </c>
      <c r="B979" s="410"/>
      <c r="C979" s="410"/>
      <c r="D979" s="410"/>
      <c r="E979" s="410"/>
      <c r="F979" s="410"/>
      <c r="G979" s="410"/>
      <c r="H979" s="410"/>
      <c r="I979" s="410"/>
      <c r="J979" s="410"/>
      <c r="K979" s="410"/>
      <c r="L979" s="410"/>
      <c r="M979" s="410"/>
      <c r="N979" s="411"/>
      <c r="O979" s="272"/>
      <c r="P979" s="9"/>
    </row>
    <row r="980" spans="1:16" ht="12.75" customHeight="1" x14ac:dyDescent="0.2">
      <c r="A980" s="412"/>
      <c r="B980" s="413"/>
      <c r="C980" s="413"/>
      <c r="D980" s="413"/>
      <c r="E980" s="413"/>
      <c r="F980" s="413"/>
      <c r="G980" s="413"/>
      <c r="H980" s="413"/>
      <c r="I980" s="413"/>
      <c r="J980" s="413"/>
      <c r="K980" s="413"/>
      <c r="L980" s="413"/>
      <c r="M980" s="413"/>
      <c r="N980" s="414"/>
      <c r="O980" s="272"/>
      <c r="P980" s="9"/>
    </row>
    <row r="981" spans="1:16" ht="12.75" customHeight="1" x14ac:dyDescent="0.2">
      <c r="A981" s="49"/>
      <c r="B981" s="49"/>
      <c r="C981" s="49"/>
      <c r="D981" s="49"/>
      <c r="E981" s="49"/>
      <c r="F981" s="49"/>
      <c r="G981" s="49"/>
      <c r="H981" s="49"/>
      <c r="I981" s="49"/>
      <c r="J981" s="49"/>
      <c r="K981" s="49"/>
      <c r="L981" s="49"/>
      <c r="M981" s="49"/>
      <c r="N981" s="49"/>
    </row>
    <row r="982" spans="1:16" ht="12.75" customHeight="1" thickBot="1" x14ac:dyDescent="0.35">
      <c r="A982" s="51" t="str">
        <f>VLOOKUP(A979,'10'!$B$9:$N$100,13,FALSE)</f>
        <v>G034</v>
      </c>
      <c r="B982" s="52" t="str">
        <f>A979</f>
        <v>SUMINISTRO E INSTALACIÓN DE CODO 90° Ø6" EN HIERRO DUCTIL (INCLUYE MATERIALES, HERRAMIENTAS Y MANO DE OBRA)</v>
      </c>
      <c r="C982" s="53" t="s">
        <v>400</v>
      </c>
      <c r="D982" s="54" t="s">
        <v>475</v>
      </c>
      <c r="E982" s="55" t="s">
        <v>177</v>
      </c>
      <c r="F982" s="59">
        <f>H982+J982+L982+N982</f>
        <v>1014428.1877493749</v>
      </c>
      <c r="G982" s="55" t="s">
        <v>349</v>
      </c>
      <c r="H982" s="59">
        <f>M1003</f>
        <v>5239.4375118750004</v>
      </c>
      <c r="I982" s="55" t="s">
        <v>402</v>
      </c>
      <c r="J982" s="70">
        <f>M994</f>
        <v>904400</v>
      </c>
      <c r="K982" s="55" t="s">
        <v>351</v>
      </c>
      <c r="L982" s="59">
        <f>M1012</f>
        <v>0</v>
      </c>
      <c r="M982" s="55" t="s">
        <v>352</v>
      </c>
      <c r="N982" s="59">
        <f>M1021</f>
        <v>104788.7502375</v>
      </c>
    </row>
    <row r="983" spans="1:16" ht="12.75" customHeight="1" thickBot="1" x14ac:dyDescent="0.3">
      <c r="A983" s="60"/>
      <c r="B983" s="60"/>
      <c r="C983" s="60"/>
      <c r="D983" s="60"/>
      <c r="E983" s="60"/>
      <c r="F983" s="60"/>
      <c r="G983" s="60"/>
      <c r="J983" s="60"/>
      <c r="K983" s="60"/>
      <c r="L983" s="327" t="s">
        <v>1934</v>
      </c>
      <c r="M983" s="328">
        <f>+F982*'01'!$O$16</f>
        <v>1312965.2563699095</v>
      </c>
      <c r="N983" s="60"/>
    </row>
    <row r="984" spans="1:16" ht="12.75" customHeight="1" x14ac:dyDescent="0.2">
      <c r="A984" s="716" t="s">
        <v>403</v>
      </c>
      <c r="B984" s="418"/>
      <c r="C984" s="418"/>
      <c r="D984" s="418"/>
      <c r="E984" s="418"/>
      <c r="F984" s="418"/>
      <c r="G984" s="418"/>
      <c r="H984" s="418"/>
      <c r="I984" s="418"/>
      <c r="J984" s="418"/>
      <c r="K984" s="418"/>
      <c r="L984" s="418"/>
      <c r="M984" s="418"/>
      <c r="N984" s="416"/>
    </row>
    <row r="985" spans="1:16" ht="12.75" customHeight="1" x14ac:dyDescent="0.2">
      <c r="A985" s="713" t="s">
        <v>39</v>
      </c>
      <c r="B985" s="418"/>
      <c r="C985" s="418"/>
      <c r="D985" s="418"/>
      <c r="E985" s="418"/>
      <c r="F985" s="418"/>
      <c r="G985" s="416"/>
      <c r="H985" s="61" t="s">
        <v>40</v>
      </c>
      <c r="I985" s="717" t="s">
        <v>404</v>
      </c>
      <c r="J985" s="416"/>
      <c r="K985" s="717" t="s">
        <v>184</v>
      </c>
      <c r="L985" s="416"/>
      <c r="M985" s="717" t="s">
        <v>405</v>
      </c>
      <c r="N985" s="416"/>
    </row>
    <row r="986" spans="1:16" ht="12.75" customHeight="1" x14ac:dyDescent="0.2">
      <c r="A986" s="719" t="s">
        <v>498</v>
      </c>
      <c r="B986" s="418"/>
      <c r="C986" s="418"/>
      <c r="D986" s="418"/>
      <c r="E986" s="418"/>
      <c r="F986" s="418"/>
      <c r="G986" s="416"/>
      <c r="H986" s="12" t="str">
        <f t="shared" ref="H986:H993" si="124">IF(A986="","",VLOOKUP(A986,AA_Materiales,7,FALSE))</f>
        <v>Unidad</v>
      </c>
      <c r="I986" s="712">
        <f t="shared" ref="I986:I993" si="125">IF(A986="","",VLOOKUP(A986,AA_Materiales,8,FALSE))</f>
        <v>904400</v>
      </c>
      <c r="J986" s="416"/>
      <c r="K986" s="715">
        <v>1</v>
      </c>
      <c r="L986" s="416"/>
      <c r="M986" s="712">
        <f t="shared" ref="M986:M993" si="126">IF(A986="","",I986*K986)</f>
        <v>904400</v>
      </c>
      <c r="N986" s="416"/>
    </row>
    <row r="987" spans="1:16" ht="12.75" customHeight="1" x14ac:dyDescent="0.2">
      <c r="A987" s="719"/>
      <c r="B987" s="418"/>
      <c r="C987" s="418"/>
      <c r="D987" s="418"/>
      <c r="E987" s="418"/>
      <c r="F987" s="418"/>
      <c r="G987" s="416"/>
      <c r="H987" s="12" t="str">
        <f t="shared" si="124"/>
        <v/>
      </c>
      <c r="I987" s="712" t="str">
        <f t="shared" si="125"/>
        <v/>
      </c>
      <c r="J987" s="416"/>
      <c r="K987" s="715"/>
      <c r="L987" s="416"/>
      <c r="M987" s="712" t="str">
        <f t="shared" si="126"/>
        <v/>
      </c>
      <c r="N987" s="416"/>
    </row>
    <row r="988" spans="1:16" ht="12.75" customHeight="1" x14ac:dyDescent="0.2">
      <c r="A988" s="719"/>
      <c r="B988" s="418"/>
      <c r="C988" s="418"/>
      <c r="D988" s="418"/>
      <c r="E988" s="418"/>
      <c r="F988" s="418"/>
      <c r="G988" s="416"/>
      <c r="H988" s="12" t="str">
        <f t="shared" si="124"/>
        <v/>
      </c>
      <c r="I988" s="712" t="str">
        <f t="shared" si="125"/>
        <v/>
      </c>
      <c r="J988" s="416"/>
      <c r="K988" s="715"/>
      <c r="L988" s="416"/>
      <c r="M988" s="712" t="str">
        <f t="shared" si="126"/>
        <v/>
      </c>
      <c r="N988" s="416"/>
    </row>
    <row r="989" spans="1:16" ht="12.75" customHeight="1" x14ac:dyDescent="0.2">
      <c r="A989" s="719"/>
      <c r="B989" s="418"/>
      <c r="C989" s="418"/>
      <c r="D989" s="418"/>
      <c r="E989" s="418"/>
      <c r="F989" s="418"/>
      <c r="G989" s="416"/>
      <c r="H989" s="12" t="str">
        <f t="shared" si="124"/>
        <v/>
      </c>
      <c r="I989" s="712" t="str">
        <f t="shared" si="125"/>
        <v/>
      </c>
      <c r="J989" s="416"/>
      <c r="K989" s="715"/>
      <c r="L989" s="416"/>
      <c r="M989" s="712" t="str">
        <f t="shared" si="126"/>
        <v/>
      </c>
      <c r="N989" s="416"/>
    </row>
    <row r="990" spans="1:16" ht="12.75" customHeight="1" x14ac:dyDescent="0.2">
      <c r="A990" s="719"/>
      <c r="B990" s="418"/>
      <c r="C990" s="418"/>
      <c r="D990" s="418"/>
      <c r="E990" s="418"/>
      <c r="F990" s="418"/>
      <c r="G990" s="416"/>
      <c r="H990" s="12" t="str">
        <f t="shared" si="124"/>
        <v/>
      </c>
      <c r="I990" s="712" t="str">
        <f t="shared" si="125"/>
        <v/>
      </c>
      <c r="J990" s="416"/>
      <c r="K990" s="715"/>
      <c r="L990" s="416"/>
      <c r="M990" s="712" t="str">
        <f t="shared" si="126"/>
        <v/>
      </c>
      <c r="N990" s="416"/>
    </row>
    <row r="991" spans="1:16" ht="12.75" customHeight="1" x14ac:dyDescent="0.2">
      <c r="A991" s="719"/>
      <c r="B991" s="418"/>
      <c r="C991" s="418"/>
      <c r="D991" s="418"/>
      <c r="E991" s="418"/>
      <c r="F991" s="418"/>
      <c r="G991" s="416"/>
      <c r="H991" s="12" t="str">
        <f t="shared" si="124"/>
        <v/>
      </c>
      <c r="I991" s="712" t="str">
        <f t="shared" si="125"/>
        <v/>
      </c>
      <c r="J991" s="416"/>
      <c r="K991" s="715"/>
      <c r="L991" s="416"/>
      <c r="M991" s="712" t="str">
        <f t="shared" si="126"/>
        <v/>
      </c>
      <c r="N991" s="416"/>
    </row>
    <row r="992" spans="1:16" ht="12.75" customHeight="1" x14ac:dyDescent="0.2">
      <c r="A992" s="719"/>
      <c r="B992" s="418"/>
      <c r="C992" s="418"/>
      <c r="D992" s="418"/>
      <c r="E992" s="418"/>
      <c r="F992" s="418"/>
      <c r="G992" s="416"/>
      <c r="H992" s="12" t="str">
        <f t="shared" si="124"/>
        <v/>
      </c>
      <c r="I992" s="712" t="str">
        <f t="shared" si="125"/>
        <v/>
      </c>
      <c r="J992" s="416"/>
      <c r="K992" s="715"/>
      <c r="L992" s="416"/>
      <c r="M992" s="712" t="str">
        <f t="shared" si="126"/>
        <v/>
      </c>
      <c r="N992" s="416"/>
    </row>
    <row r="993" spans="1:14" ht="12.75" customHeight="1" x14ac:dyDescent="0.2">
      <c r="A993" s="719"/>
      <c r="B993" s="418"/>
      <c r="C993" s="418"/>
      <c r="D993" s="418"/>
      <c r="E993" s="418"/>
      <c r="F993" s="418"/>
      <c r="G993" s="416"/>
      <c r="H993" s="12" t="str">
        <f t="shared" si="124"/>
        <v/>
      </c>
      <c r="I993" s="712" t="str">
        <f t="shared" si="125"/>
        <v/>
      </c>
      <c r="J993" s="416"/>
      <c r="K993" s="715"/>
      <c r="L993" s="416"/>
      <c r="M993" s="712" t="str">
        <f t="shared" si="126"/>
        <v/>
      </c>
      <c r="N993" s="416"/>
    </row>
    <row r="994" spans="1:14" ht="12.75" customHeight="1" x14ac:dyDescent="0.25">
      <c r="A994" s="5"/>
      <c r="B994" s="5"/>
      <c r="C994" s="5"/>
      <c r="D994" s="5"/>
      <c r="E994" s="5"/>
      <c r="F994" s="5"/>
      <c r="G994" s="5"/>
      <c r="H994" s="5"/>
      <c r="I994" s="5"/>
      <c r="J994" s="5"/>
      <c r="K994" s="713" t="s">
        <v>261</v>
      </c>
      <c r="L994" s="416"/>
      <c r="M994" s="712">
        <f>SUM(M986:N993)</f>
        <v>904400</v>
      </c>
      <c r="N994" s="416"/>
    </row>
    <row r="995" spans="1:14" ht="12.75" customHeight="1" x14ac:dyDescent="0.25">
      <c r="A995" s="5"/>
      <c r="B995" s="5"/>
      <c r="C995" s="5"/>
      <c r="D995" s="5"/>
      <c r="E995" s="5"/>
      <c r="F995" s="5"/>
      <c r="G995" s="5"/>
      <c r="H995" s="5"/>
      <c r="I995" s="5"/>
      <c r="J995" s="5"/>
      <c r="K995" s="5"/>
      <c r="L995" s="5"/>
      <c r="M995" s="5"/>
      <c r="N995" s="5"/>
    </row>
    <row r="996" spans="1:14" ht="12.75" customHeight="1" x14ac:dyDescent="0.2">
      <c r="A996" s="716" t="s">
        <v>410</v>
      </c>
      <c r="B996" s="418"/>
      <c r="C996" s="418"/>
      <c r="D996" s="418"/>
      <c r="E996" s="418"/>
      <c r="F996" s="418"/>
      <c r="G996" s="418"/>
      <c r="H996" s="418"/>
      <c r="I996" s="418"/>
      <c r="J996" s="418"/>
      <c r="K996" s="418"/>
      <c r="L996" s="418"/>
      <c r="M996" s="418"/>
      <c r="N996" s="416"/>
    </row>
    <row r="997" spans="1:14" ht="12.75" customHeight="1" x14ac:dyDescent="0.2">
      <c r="A997" s="713" t="s">
        <v>39</v>
      </c>
      <c r="B997" s="418"/>
      <c r="C997" s="418"/>
      <c r="D997" s="418"/>
      <c r="E997" s="418"/>
      <c r="F997" s="418"/>
      <c r="G997" s="416"/>
      <c r="H997" s="61" t="s">
        <v>40</v>
      </c>
      <c r="I997" s="717" t="s">
        <v>404</v>
      </c>
      <c r="J997" s="416"/>
      <c r="K997" s="717" t="s">
        <v>184</v>
      </c>
      <c r="L997" s="416"/>
      <c r="M997" s="717" t="s">
        <v>405</v>
      </c>
      <c r="N997" s="416"/>
    </row>
    <row r="998" spans="1:14" ht="12.75" customHeight="1" x14ac:dyDescent="0.2">
      <c r="A998" s="714" t="s">
        <v>411</v>
      </c>
      <c r="B998" s="418"/>
      <c r="C998" s="418"/>
      <c r="D998" s="418"/>
      <c r="E998" s="418"/>
      <c r="F998" s="418"/>
      <c r="G998" s="416"/>
      <c r="H998" s="12" t="str">
        <f>IF(A998="","",VLOOKUP(A998,AA_Equipos,7,FALSE))</f>
        <v>% M.O.</v>
      </c>
      <c r="I998" s="712">
        <f>+M1021</f>
        <v>104788.7502375</v>
      </c>
      <c r="J998" s="416"/>
      <c r="K998" s="722">
        <v>0.05</v>
      </c>
      <c r="L998" s="416"/>
      <c r="M998" s="712">
        <f t="shared" ref="M998:M1002" si="127">IF(A998="","",I998*K998)</f>
        <v>5239.4375118750004</v>
      </c>
      <c r="N998" s="416"/>
    </row>
    <row r="999" spans="1:14" ht="12.75" customHeight="1" x14ac:dyDescent="0.2">
      <c r="A999" s="719"/>
      <c r="B999" s="418"/>
      <c r="C999" s="418"/>
      <c r="D999" s="418"/>
      <c r="E999" s="418"/>
      <c r="F999" s="418"/>
      <c r="G999" s="416"/>
      <c r="H999" s="12" t="str">
        <f>IF(A999="","",VLOOKUP(A999,AA_Equipos,7,FALSE))</f>
        <v/>
      </c>
      <c r="I999" s="712" t="str">
        <f>IF(A999="","",VLOOKUP(A999,AA_Equipos,8,FALSE))</f>
        <v/>
      </c>
      <c r="J999" s="416"/>
      <c r="K999" s="723"/>
      <c r="L999" s="416"/>
      <c r="M999" s="712" t="str">
        <f t="shared" si="127"/>
        <v/>
      </c>
      <c r="N999" s="416"/>
    </row>
    <row r="1000" spans="1:14" ht="12.75" customHeight="1" x14ac:dyDescent="0.2">
      <c r="A1000" s="714"/>
      <c r="B1000" s="418"/>
      <c r="C1000" s="418"/>
      <c r="D1000" s="418"/>
      <c r="E1000" s="418"/>
      <c r="F1000" s="418"/>
      <c r="G1000" s="416"/>
      <c r="H1000" s="12" t="str">
        <f>IF(A1000="","",VLOOKUP(A1000,AA_Equipos,7,FALSE))</f>
        <v/>
      </c>
      <c r="I1000" s="712" t="str">
        <f>IF(A1000="","",VLOOKUP(A1000,AA_Equipos,8,FALSE))</f>
        <v/>
      </c>
      <c r="J1000" s="416"/>
      <c r="K1000" s="786"/>
      <c r="L1000" s="416"/>
      <c r="M1000" s="712" t="str">
        <f t="shared" si="127"/>
        <v/>
      </c>
      <c r="N1000" s="416"/>
    </row>
    <row r="1001" spans="1:14" ht="12.75" customHeight="1" x14ac:dyDescent="0.2">
      <c r="A1001" s="714"/>
      <c r="B1001" s="418"/>
      <c r="C1001" s="418"/>
      <c r="D1001" s="418"/>
      <c r="E1001" s="418"/>
      <c r="F1001" s="418"/>
      <c r="G1001" s="416"/>
      <c r="H1001" s="12" t="str">
        <f>IF(A1001="","",VLOOKUP(A1001,AA_Equipos,7,FALSE))</f>
        <v/>
      </c>
      <c r="I1001" s="712" t="str">
        <f>IF(A1001="","",VLOOKUP(A1001,AA_Equipos,8,FALSE))</f>
        <v/>
      </c>
      <c r="J1001" s="416"/>
      <c r="K1001" s="715"/>
      <c r="L1001" s="416"/>
      <c r="M1001" s="712" t="str">
        <f t="shared" si="127"/>
        <v/>
      </c>
      <c r="N1001" s="416"/>
    </row>
    <row r="1002" spans="1:14" ht="12.75" customHeight="1" x14ac:dyDescent="0.2">
      <c r="A1002" s="714"/>
      <c r="B1002" s="418"/>
      <c r="C1002" s="418"/>
      <c r="D1002" s="418"/>
      <c r="E1002" s="418"/>
      <c r="F1002" s="418"/>
      <c r="G1002" s="416"/>
      <c r="H1002" s="12" t="str">
        <f>IF(A1002="","",VLOOKUP(A1002,AA_Equipos,7,FALSE))</f>
        <v/>
      </c>
      <c r="I1002" s="712" t="str">
        <f>IF(A1002="","",VLOOKUP(A1002,AA_Equipos,8,FALSE))</f>
        <v/>
      </c>
      <c r="J1002" s="416"/>
      <c r="K1002" s="715"/>
      <c r="L1002" s="416"/>
      <c r="M1002" s="712" t="str">
        <f t="shared" si="127"/>
        <v/>
      </c>
      <c r="N1002" s="416"/>
    </row>
    <row r="1003" spans="1:14" ht="12.75" customHeight="1" x14ac:dyDescent="0.25">
      <c r="A1003" s="5"/>
      <c r="B1003" s="5"/>
      <c r="C1003" s="5"/>
      <c r="D1003" s="5"/>
      <c r="E1003" s="5"/>
      <c r="F1003" s="5"/>
      <c r="G1003" s="5"/>
      <c r="H1003" s="5"/>
      <c r="I1003" s="5"/>
      <c r="J1003" s="5"/>
      <c r="K1003" s="713" t="s">
        <v>261</v>
      </c>
      <c r="L1003" s="416"/>
      <c r="M1003" s="712">
        <f>SUM(M998:N1002)</f>
        <v>5239.4375118750004</v>
      </c>
      <c r="N1003" s="416"/>
    </row>
    <row r="1004" spans="1:14" ht="12.75" customHeight="1" x14ac:dyDescent="0.25">
      <c r="A1004" s="5"/>
      <c r="B1004" s="5"/>
      <c r="C1004" s="5"/>
      <c r="D1004" s="5"/>
      <c r="E1004" s="5"/>
      <c r="F1004" s="5"/>
      <c r="G1004" s="5"/>
      <c r="H1004" s="5"/>
      <c r="I1004" s="5"/>
      <c r="J1004" s="5"/>
      <c r="K1004" s="5"/>
      <c r="L1004" s="5"/>
      <c r="M1004" s="5"/>
      <c r="N1004" s="5"/>
    </row>
    <row r="1005" spans="1:14" ht="12.75" customHeight="1" x14ac:dyDescent="0.2">
      <c r="A1005" s="716" t="s">
        <v>413</v>
      </c>
      <c r="B1005" s="418"/>
      <c r="C1005" s="418"/>
      <c r="D1005" s="418"/>
      <c r="E1005" s="418"/>
      <c r="F1005" s="418"/>
      <c r="G1005" s="418"/>
      <c r="H1005" s="418"/>
      <c r="I1005" s="418"/>
      <c r="J1005" s="418"/>
      <c r="K1005" s="418"/>
      <c r="L1005" s="418"/>
      <c r="M1005" s="418"/>
      <c r="N1005" s="416"/>
    </row>
    <row r="1006" spans="1:14" ht="12.75" customHeight="1" x14ac:dyDescent="0.2">
      <c r="A1006" s="713" t="s">
        <v>39</v>
      </c>
      <c r="B1006" s="418"/>
      <c r="C1006" s="418"/>
      <c r="D1006" s="418"/>
      <c r="E1006" s="418"/>
      <c r="F1006" s="418"/>
      <c r="G1006" s="416"/>
      <c r="H1006" s="61" t="s">
        <v>40</v>
      </c>
      <c r="I1006" s="717" t="s">
        <v>404</v>
      </c>
      <c r="J1006" s="416"/>
      <c r="K1006" s="717" t="s">
        <v>184</v>
      </c>
      <c r="L1006" s="416"/>
      <c r="M1006" s="717" t="s">
        <v>405</v>
      </c>
      <c r="N1006" s="416"/>
    </row>
    <row r="1007" spans="1:14" ht="12.75" customHeight="1" x14ac:dyDescent="0.2">
      <c r="A1007" s="714"/>
      <c r="B1007" s="418"/>
      <c r="C1007" s="418"/>
      <c r="D1007" s="418"/>
      <c r="E1007" s="418"/>
      <c r="F1007" s="418"/>
      <c r="G1007" s="416"/>
      <c r="H1007" s="12"/>
      <c r="I1007" s="712"/>
      <c r="J1007" s="416"/>
      <c r="K1007" s="722"/>
      <c r="L1007" s="416"/>
      <c r="M1007" s="712" t="str">
        <f t="shared" ref="M1007:M1011" si="128">IF(A1007="","",I1007*K1007)</f>
        <v/>
      </c>
      <c r="N1007" s="416"/>
    </row>
    <row r="1008" spans="1:14" ht="12.75" customHeight="1" x14ac:dyDescent="0.2">
      <c r="A1008" s="719"/>
      <c r="B1008" s="418"/>
      <c r="C1008" s="418"/>
      <c r="D1008" s="418"/>
      <c r="E1008" s="418"/>
      <c r="F1008" s="418"/>
      <c r="G1008" s="416"/>
      <c r="H1008" s="12"/>
      <c r="I1008" s="712"/>
      <c r="J1008" s="416"/>
      <c r="K1008" s="722"/>
      <c r="L1008" s="416"/>
      <c r="M1008" s="712" t="str">
        <f t="shared" si="128"/>
        <v/>
      </c>
      <c r="N1008" s="416"/>
    </row>
    <row r="1009" spans="1:16" ht="12.75" customHeight="1" x14ac:dyDescent="0.2">
      <c r="A1009" s="714"/>
      <c r="B1009" s="418"/>
      <c r="C1009" s="418"/>
      <c r="D1009" s="418"/>
      <c r="E1009" s="418"/>
      <c r="F1009" s="418"/>
      <c r="G1009" s="416"/>
      <c r="H1009" s="12"/>
      <c r="I1009" s="712"/>
      <c r="J1009" s="416"/>
      <c r="K1009" s="715"/>
      <c r="L1009" s="416"/>
      <c r="M1009" s="712" t="str">
        <f t="shared" si="128"/>
        <v/>
      </c>
      <c r="N1009" s="416"/>
    </row>
    <row r="1010" spans="1:16" ht="12.75" customHeight="1" x14ac:dyDescent="0.2">
      <c r="A1010" s="714"/>
      <c r="B1010" s="418"/>
      <c r="C1010" s="418"/>
      <c r="D1010" s="418"/>
      <c r="E1010" s="418"/>
      <c r="F1010" s="418"/>
      <c r="G1010" s="416"/>
      <c r="H1010" s="12"/>
      <c r="I1010" s="712"/>
      <c r="J1010" s="416"/>
      <c r="K1010" s="715"/>
      <c r="L1010" s="416"/>
      <c r="M1010" s="712" t="str">
        <f t="shared" si="128"/>
        <v/>
      </c>
      <c r="N1010" s="416"/>
    </row>
    <row r="1011" spans="1:16" ht="12.75" customHeight="1" x14ac:dyDescent="0.2">
      <c r="A1011" s="714"/>
      <c r="B1011" s="418"/>
      <c r="C1011" s="418"/>
      <c r="D1011" s="418"/>
      <c r="E1011" s="418"/>
      <c r="F1011" s="418"/>
      <c r="G1011" s="416"/>
      <c r="H1011" s="12"/>
      <c r="I1011" s="712"/>
      <c r="J1011" s="416"/>
      <c r="K1011" s="715"/>
      <c r="L1011" s="416"/>
      <c r="M1011" s="712" t="str">
        <f t="shared" si="128"/>
        <v/>
      </c>
      <c r="N1011" s="416"/>
    </row>
    <row r="1012" spans="1:16" ht="12.75" customHeight="1" x14ac:dyDescent="0.25">
      <c r="A1012" s="5"/>
      <c r="B1012" s="5"/>
      <c r="C1012" s="5"/>
      <c r="D1012" s="5"/>
      <c r="E1012" s="5"/>
      <c r="F1012" s="5"/>
      <c r="G1012" s="5"/>
      <c r="H1012" s="5"/>
      <c r="I1012" s="5"/>
      <c r="J1012" s="5"/>
      <c r="K1012" s="713" t="s">
        <v>261</v>
      </c>
      <c r="L1012" s="416"/>
      <c r="M1012" s="712">
        <f>SUM(M1007:N1011)</f>
        <v>0</v>
      </c>
      <c r="N1012" s="416"/>
    </row>
    <row r="1013" spans="1:16" ht="12.75" customHeight="1" x14ac:dyDescent="0.25">
      <c r="A1013" s="5"/>
      <c r="B1013" s="5"/>
      <c r="C1013" s="5"/>
      <c r="D1013" s="5"/>
      <c r="E1013" s="5"/>
      <c r="F1013" s="5"/>
      <c r="G1013" s="5"/>
      <c r="H1013" s="5"/>
      <c r="I1013" s="5"/>
      <c r="J1013" s="5"/>
      <c r="K1013" s="5"/>
      <c r="L1013" s="5"/>
      <c r="M1013" s="5"/>
      <c r="N1013" s="5"/>
    </row>
    <row r="1014" spans="1:16" ht="12.75" customHeight="1" x14ac:dyDescent="0.2">
      <c r="A1014" s="716" t="s">
        <v>415</v>
      </c>
      <c r="B1014" s="418"/>
      <c r="C1014" s="418"/>
      <c r="D1014" s="418"/>
      <c r="E1014" s="418"/>
      <c r="F1014" s="418"/>
      <c r="G1014" s="418"/>
      <c r="H1014" s="418"/>
      <c r="I1014" s="418"/>
      <c r="J1014" s="418"/>
      <c r="K1014" s="418"/>
      <c r="L1014" s="418"/>
      <c r="M1014" s="418"/>
      <c r="N1014" s="416"/>
    </row>
    <row r="1015" spans="1:16" ht="12.75" customHeight="1" x14ac:dyDescent="0.2">
      <c r="A1015" s="713" t="s">
        <v>39</v>
      </c>
      <c r="B1015" s="418"/>
      <c r="C1015" s="418"/>
      <c r="D1015" s="418"/>
      <c r="E1015" s="418"/>
      <c r="F1015" s="418"/>
      <c r="G1015" s="416"/>
      <c r="H1015" s="61" t="s">
        <v>40</v>
      </c>
      <c r="I1015" s="717" t="s">
        <v>404</v>
      </c>
      <c r="J1015" s="416"/>
      <c r="K1015" s="64" t="s">
        <v>253</v>
      </c>
      <c r="L1015" s="65" t="s">
        <v>416</v>
      </c>
      <c r="M1015" s="717" t="s">
        <v>405</v>
      </c>
      <c r="N1015" s="416"/>
    </row>
    <row r="1016" spans="1:16" ht="12.75" customHeight="1" x14ac:dyDescent="0.25">
      <c r="A1016" s="711" t="s">
        <v>479</v>
      </c>
      <c r="B1016" s="418"/>
      <c r="C1016" s="418"/>
      <c r="D1016" s="418"/>
      <c r="E1016" s="418"/>
      <c r="F1016" s="418"/>
      <c r="G1016" s="416"/>
      <c r="H1016" s="12" t="str">
        <f>IF(A1016="","",VLOOKUP(A1016,AA_Cuadrillas,4,FALSE))</f>
        <v>Cuadrilla</v>
      </c>
      <c r="I1016" s="712">
        <f>IF(A1016="","",VLOOKUP(A1016,AA_Cuadrillas,5,FALSE))</f>
        <v>221781</v>
      </c>
      <c r="J1016" s="416"/>
      <c r="K1016" s="3">
        <f>IF(A1016="","",'04'!$I$2)</f>
        <v>1.88995</v>
      </c>
      <c r="L1016" s="71">
        <v>0.25</v>
      </c>
      <c r="M1016" s="712">
        <f t="shared" ref="M1016:M1020" si="129">IF(A1016="","",I1016*K1016*L1016)</f>
        <v>104788.7502375</v>
      </c>
      <c r="N1016" s="416"/>
    </row>
    <row r="1017" spans="1:16" ht="12.75" customHeight="1" x14ac:dyDescent="0.25">
      <c r="A1017" s="711"/>
      <c r="B1017" s="418"/>
      <c r="C1017" s="418"/>
      <c r="D1017" s="418"/>
      <c r="E1017" s="418"/>
      <c r="F1017" s="418"/>
      <c r="G1017" s="416"/>
      <c r="H1017" s="12" t="str">
        <f>IF(A1017="","",VLOOKUP(A1017,AA_Cuadrillas,4,FALSE))</f>
        <v/>
      </c>
      <c r="I1017" s="712" t="str">
        <f>IF(A1017="","",VLOOKUP(A1017,AA_Cuadrillas,5,FALSE))</f>
        <v/>
      </c>
      <c r="J1017" s="416"/>
      <c r="K1017" s="3" t="str">
        <f>IF(A1017="","",'04'!$I$2)</f>
        <v/>
      </c>
      <c r="L1017" s="3"/>
      <c r="M1017" s="712" t="str">
        <f t="shared" si="129"/>
        <v/>
      </c>
      <c r="N1017" s="416"/>
    </row>
    <row r="1018" spans="1:16" ht="12.75" customHeight="1" x14ac:dyDescent="0.25">
      <c r="A1018" s="711"/>
      <c r="B1018" s="418"/>
      <c r="C1018" s="418"/>
      <c r="D1018" s="418"/>
      <c r="E1018" s="418"/>
      <c r="F1018" s="418"/>
      <c r="G1018" s="416"/>
      <c r="H1018" s="12" t="str">
        <f>IF(A1018="","",VLOOKUP(A1018,AA_Cuadrillas,4,FALSE))</f>
        <v/>
      </c>
      <c r="I1018" s="712" t="str">
        <f>IF(A1018="","",VLOOKUP(A1018,AA_Cuadrillas,5,FALSE))</f>
        <v/>
      </c>
      <c r="J1018" s="416"/>
      <c r="K1018" s="3" t="str">
        <f>IF(A1018="","",'04'!$I$2)</f>
        <v/>
      </c>
      <c r="L1018" s="13"/>
      <c r="M1018" s="712" t="str">
        <f t="shared" si="129"/>
        <v/>
      </c>
      <c r="N1018" s="416"/>
    </row>
    <row r="1019" spans="1:16" ht="12.75" customHeight="1" x14ac:dyDescent="0.25">
      <c r="A1019" s="711"/>
      <c r="B1019" s="418"/>
      <c r="C1019" s="418"/>
      <c r="D1019" s="418"/>
      <c r="E1019" s="418"/>
      <c r="F1019" s="418"/>
      <c r="G1019" s="416"/>
      <c r="H1019" s="12" t="str">
        <f>IF(A1019="","",VLOOKUP(A1019,AA_Cuadrillas,4,FALSE))</f>
        <v/>
      </c>
      <c r="I1019" s="712" t="str">
        <f>IF(A1019="","",VLOOKUP(A1019,AA_Cuadrillas,5,FALSE))</f>
        <v/>
      </c>
      <c r="J1019" s="416"/>
      <c r="K1019" s="3" t="str">
        <f>IF(A1019="","",'04'!$I$2)</f>
        <v/>
      </c>
      <c r="L1019" s="13"/>
      <c r="M1019" s="712" t="str">
        <f t="shared" si="129"/>
        <v/>
      </c>
      <c r="N1019" s="416"/>
    </row>
    <row r="1020" spans="1:16" ht="12.75" customHeight="1" x14ac:dyDescent="0.25">
      <c r="A1020" s="711"/>
      <c r="B1020" s="418"/>
      <c r="C1020" s="418"/>
      <c r="D1020" s="418"/>
      <c r="E1020" s="418"/>
      <c r="F1020" s="418"/>
      <c r="G1020" s="416"/>
      <c r="H1020" s="12" t="str">
        <f>IF(A1020="","",VLOOKUP(A1020,AA_Cuadrillas,4,FALSE))</f>
        <v/>
      </c>
      <c r="I1020" s="712" t="str">
        <f>IF(A1020="","",VLOOKUP(A1020,AA_Cuadrillas,5,FALSE))</f>
        <v/>
      </c>
      <c r="J1020" s="416"/>
      <c r="K1020" s="3" t="str">
        <f>IF(A1020="","",'04'!$I$2)</f>
        <v/>
      </c>
      <c r="L1020" s="13"/>
      <c r="M1020" s="712" t="str">
        <f t="shared" si="129"/>
        <v/>
      </c>
      <c r="N1020" s="416"/>
    </row>
    <row r="1021" spans="1:16" ht="12.75" customHeight="1" x14ac:dyDescent="0.25">
      <c r="A1021" s="5"/>
      <c r="B1021" s="5"/>
      <c r="C1021" s="5"/>
      <c r="D1021" s="5"/>
      <c r="E1021" s="5"/>
      <c r="F1021" s="5"/>
      <c r="G1021" s="5"/>
      <c r="H1021" s="5"/>
      <c r="I1021" s="5"/>
      <c r="J1021" s="5"/>
      <c r="K1021" s="713" t="s">
        <v>261</v>
      </c>
      <c r="L1021" s="416"/>
      <c r="M1021" s="712">
        <f>SUM(M1016:N1020)</f>
        <v>104788.7502375</v>
      </c>
      <c r="N1021" s="416"/>
    </row>
    <row r="1022" spans="1:16" ht="12.75" customHeight="1" x14ac:dyDescent="0.2"/>
    <row r="1023" spans="1:16" ht="12.75" customHeight="1" x14ac:dyDescent="0.2">
      <c r="A1023" s="787" t="s">
        <v>131</v>
      </c>
      <c r="B1023" s="410"/>
      <c r="C1023" s="410"/>
      <c r="D1023" s="410"/>
      <c r="E1023" s="410"/>
      <c r="F1023" s="410"/>
      <c r="G1023" s="410"/>
      <c r="H1023" s="410"/>
      <c r="I1023" s="410"/>
      <c r="J1023" s="410"/>
      <c r="K1023" s="410"/>
      <c r="L1023" s="410"/>
      <c r="M1023" s="410"/>
      <c r="N1023" s="411"/>
      <c r="O1023" s="272"/>
      <c r="P1023" s="9"/>
    </row>
    <row r="1024" spans="1:16" ht="12.75" customHeight="1" x14ac:dyDescent="0.2">
      <c r="A1024" s="412"/>
      <c r="B1024" s="413"/>
      <c r="C1024" s="413"/>
      <c r="D1024" s="413"/>
      <c r="E1024" s="413"/>
      <c r="F1024" s="413"/>
      <c r="G1024" s="413"/>
      <c r="H1024" s="413"/>
      <c r="I1024" s="413"/>
      <c r="J1024" s="413"/>
      <c r="K1024" s="413"/>
      <c r="L1024" s="413"/>
      <c r="M1024" s="413"/>
      <c r="N1024" s="414"/>
      <c r="O1024" s="272"/>
      <c r="P1024" s="9"/>
    </row>
    <row r="1025" spans="1:14" ht="12.75" customHeight="1" x14ac:dyDescent="0.2">
      <c r="A1025" s="49"/>
      <c r="B1025" s="49"/>
      <c r="C1025" s="49"/>
      <c r="D1025" s="49"/>
      <c r="E1025" s="49"/>
      <c r="F1025" s="49"/>
      <c r="G1025" s="49"/>
      <c r="H1025" s="49"/>
      <c r="I1025" s="49"/>
      <c r="J1025" s="49"/>
      <c r="K1025" s="49"/>
      <c r="L1025" s="49"/>
      <c r="M1025" s="49"/>
      <c r="N1025" s="49"/>
    </row>
    <row r="1026" spans="1:14" ht="12.75" customHeight="1" thickBot="1" x14ac:dyDescent="0.35">
      <c r="A1026" s="51" t="str">
        <f>VLOOKUP(A1023,'10'!$B$9:$N$100,13,FALSE)</f>
        <v>G030</v>
      </c>
      <c r="B1026" s="52" t="str">
        <f>A1023</f>
        <v>SUMINISTRO E INSTALACIÓN DE UNIÓN DE DESMONTAJE Ø6" EN HIERRO DUCTIL (INCLUYE MATERIALES, HERRAMIENTAS Y MANO DE OBRA)</v>
      </c>
      <c r="C1026" s="53" t="s">
        <v>400</v>
      </c>
      <c r="D1026" s="54" t="s">
        <v>475</v>
      </c>
      <c r="E1026" s="55" t="s">
        <v>177</v>
      </c>
      <c r="F1026" s="59">
        <f>H1026+J1026+L1026+N1026</f>
        <v>1288128.1877493751</v>
      </c>
      <c r="G1026" s="55" t="s">
        <v>349</v>
      </c>
      <c r="H1026" s="59">
        <f>M1045</f>
        <v>5239.4375118750004</v>
      </c>
      <c r="I1026" s="55" t="s">
        <v>402</v>
      </c>
      <c r="J1026" s="70">
        <f>M1036</f>
        <v>1178100</v>
      </c>
      <c r="K1026" s="55" t="s">
        <v>351</v>
      </c>
      <c r="L1026" s="59">
        <f>M1054</f>
        <v>0</v>
      </c>
      <c r="M1026" s="55" t="s">
        <v>352</v>
      </c>
      <c r="N1026" s="59">
        <f>M1063</f>
        <v>104788.7502375</v>
      </c>
    </row>
    <row r="1027" spans="1:14" ht="12.75" customHeight="1" thickBot="1" x14ac:dyDescent="0.3">
      <c r="A1027" s="60"/>
      <c r="B1027" s="60"/>
      <c r="C1027" s="60"/>
      <c r="D1027" s="60"/>
      <c r="E1027" s="60"/>
      <c r="F1027" s="60"/>
      <c r="G1027" s="60"/>
      <c r="J1027" s="60"/>
      <c r="K1027" s="60"/>
      <c r="L1027" s="327" t="s">
        <v>1934</v>
      </c>
      <c r="M1027" s="328">
        <f>+F1026*'01'!$O$16</f>
        <v>1667212.6984345103</v>
      </c>
      <c r="N1027" s="60"/>
    </row>
    <row r="1028" spans="1:14" ht="12.75" customHeight="1" x14ac:dyDescent="0.2">
      <c r="A1028" s="716" t="s">
        <v>403</v>
      </c>
      <c r="B1028" s="418"/>
      <c r="C1028" s="418"/>
      <c r="D1028" s="418"/>
      <c r="E1028" s="418"/>
      <c r="F1028" s="418"/>
      <c r="G1028" s="418"/>
      <c r="H1028" s="418"/>
      <c r="I1028" s="418"/>
      <c r="J1028" s="418"/>
      <c r="K1028" s="418"/>
      <c r="L1028" s="418"/>
      <c r="M1028" s="418"/>
      <c r="N1028" s="416"/>
    </row>
    <row r="1029" spans="1:14" ht="12.75" customHeight="1" x14ac:dyDescent="0.2">
      <c r="A1029" s="713" t="s">
        <v>39</v>
      </c>
      <c r="B1029" s="418"/>
      <c r="C1029" s="418"/>
      <c r="D1029" s="418"/>
      <c r="E1029" s="418"/>
      <c r="F1029" s="418"/>
      <c r="G1029" s="416"/>
      <c r="H1029" s="61" t="s">
        <v>40</v>
      </c>
      <c r="I1029" s="717" t="s">
        <v>404</v>
      </c>
      <c r="J1029" s="416"/>
      <c r="K1029" s="717" t="s">
        <v>184</v>
      </c>
      <c r="L1029" s="416"/>
      <c r="M1029" s="717" t="s">
        <v>405</v>
      </c>
      <c r="N1029" s="416"/>
    </row>
    <row r="1030" spans="1:14" ht="12.75" customHeight="1" x14ac:dyDescent="0.2">
      <c r="A1030" s="719" t="s">
        <v>499</v>
      </c>
      <c r="B1030" s="418"/>
      <c r="C1030" s="418"/>
      <c r="D1030" s="418"/>
      <c r="E1030" s="418"/>
      <c r="F1030" s="418"/>
      <c r="G1030" s="416"/>
      <c r="H1030" s="12" t="str">
        <f t="shared" ref="H1030:H1035" si="130">IF(A1030="","",VLOOKUP(A1030,AA_Materiales,7,FALSE))</f>
        <v>Unidad</v>
      </c>
      <c r="I1030" s="712">
        <f t="shared" ref="I1030:I1035" si="131">IF(A1030="","",VLOOKUP(A1030,AA_Materiales,8,FALSE))</f>
        <v>1178100</v>
      </c>
      <c r="J1030" s="416"/>
      <c r="K1030" s="715">
        <v>1</v>
      </c>
      <c r="L1030" s="416"/>
      <c r="M1030" s="712">
        <f t="shared" ref="M1030:M1035" si="132">IF(A1030="","",I1030*K1030)</f>
        <v>1178100</v>
      </c>
      <c r="N1030" s="416"/>
    </row>
    <row r="1031" spans="1:14" ht="12.75" customHeight="1" x14ac:dyDescent="0.2">
      <c r="A1031" s="719"/>
      <c r="B1031" s="418"/>
      <c r="C1031" s="418"/>
      <c r="D1031" s="418"/>
      <c r="E1031" s="418"/>
      <c r="F1031" s="418"/>
      <c r="G1031" s="416"/>
      <c r="H1031" s="12" t="str">
        <f t="shared" si="130"/>
        <v/>
      </c>
      <c r="I1031" s="712" t="str">
        <f t="shared" si="131"/>
        <v/>
      </c>
      <c r="J1031" s="416"/>
      <c r="K1031" s="715"/>
      <c r="L1031" s="416"/>
      <c r="M1031" s="712" t="str">
        <f t="shared" si="132"/>
        <v/>
      </c>
      <c r="N1031" s="416"/>
    </row>
    <row r="1032" spans="1:14" ht="12.75" customHeight="1" x14ac:dyDescent="0.2">
      <c r="A1032" s="719"/>
      <c r="B1032" s="418"/>
      <c r="C1032" s="418"/>
      <c r="D1032" s="418"/>
      <c r="E1032" s="418"/>
      <c r="F1032" s="418"/>
      <c r="G1032" s="416"/>
      <c r="H1032" s="12" t="str">
        <f t="shared" si="130"/>
        <v/>
      </c>
      <c r="I1032" s="712" t="str">
        <f t="shared" si="131"/>
        <v/>
      </c>
      <c r="J1032" s="416"/>
      <c r="K1032" s="715"/>
      <c r="L1032" s="416"/>
      <c r="M1032" s="712" t="str">
        <f t="shared" si="132"/>
        <v/>
      </c>
      <c r="N1032" s="416"/>
    </row>
    <row r="1033" spans="1:14" ht="12.75" customHeight="1" x14ac:dyDescent="0.2">
      <c r="A1033" s="719"/>
      <c r="B1033" s="418"/>
      <c r="C1033" s="418"/>
      <c r="D1033" s="418"/>
      <c r="E1033" s="418"/>
      <c r="F1033" s="418"/>
      <c r="G1033" s="416"/>
      <c r="H1033" s="12" t="str">
        <f t="shared" si="130"/>
        <v/>
      </c>
      <c r="I1033" s="712" t="str">
        <f t="shared" si="131"/>
        <v/>
      </c>
      <c r="J1033" s="416"/>
      <c r="K1033" s="715"/>
      <c r="L1033" s="416"/>
      <c r="M1033" s="712" t="str">
        <f t="shared" si="132"/>
        <v/>
      </c>
      <c r="N1033" s="416"/>
    </row>
    <row r="1034" spans="1:14" ht="12.75" customHeight="1" x14ac:dyDescent="0.2">
      <c r="A1034" s="719"/>
      <c r="B1034" s="418"/>
      <c r="C1034" s="418"/>
      <c r="D1034" s="418"/>
      <c r="E1034" s="418"/>
      <c r="F1034" s="418"/>
      <c r="G1034" s="416"/>
      <c r="H1034" s="12" t="str">
        <f t="shared" si="130"/>
        <v/>
      </c>
      <c r="I1034" s="712" t="str">
        <f t="shared" si="131"/>
        <v/>
      </c>
      <c r="J1034" s="416"/>
      <c r="K1034" s="715"/>
      <c r="L1034" s="416"/>
      <c r="M1034" s="712" t="str">
        <f t="shared" si="132"/>
        <v/>
      </c>
      <c r="N1034" s="416"/>
    </row>
    <row r="1035" spans="1:14" ht="12.75" customHeight="1" x14ac:dyDescent="0.2">
      <c r="A1035" s="719"/>
      <c r="B1035" s="418"/>
      <c r="C1035" s="418"/>
      <c r="D1035" s="418"/>
      <c r="E1035" s="418"/>
      <c r="F1035" s="418"/>
      <c r="G1035" s="416"/>
      <c r="H1035" s="12" t="str">
        <f t="shared" si="130"/>
        <v/>
      </c>
      <c r="I1035" s="712" t="str">
        <f t="shared" si="131"/>
        <v/>
      </c>
      <c r="J1035" s="416"/>
      <c r="K1035" s="715"/>
      <c r="L1035" s="416"/>
      <c r="M1035" s="712" t="str">
        <f t="shared" si="132"/>
        <v/>
      </c>
      <c r="N1035" s="416"/>
    </row>
    <row r="1036" spans="1:14" ht="12.75" customHeight="1" x14ac:dyDescent="0.25">
      <c r="A1036" s="5"/>
      <c r="B1036" s="5"/>
      <c r="C1036" s="5"/>
      <c r="D1036" s="5"/>
      <c r="E1036" s="5"/>
      <c r="F1036" s="5"/>
      <c r="G1036" s="5"/>
      <c r="H1036" s="5"/>
      <c r="I1036" s="5"/>
      <c r="J1036" s="5"/>
      <c r="K1036" s="713" t="s">
        <v>261</v>
      </c>
      <c r="L1036" s="416"/>
      <c r="M1036" s="712">
        <f>SUM(M1030:N1035)</f>
        <v>1178100</v>
      </c>
      <c r="N1036" s="416"/>
    </row>
    <row r="1037" spans="1:14" ht="12.75" customHeight="1" x14ac:dyDescent="0.25">
      <c r="A1037" s="5"/>
      <c r="B1037" s="5"/>
      <c r="C1037" s="5"/>
      <c r="D1037" s="5"/>
      <c r="E1037" s="5"/>
      <c r="F1037" s="5"/>
      <c r="G1037" s="5"/>
      <c r="H1037" s="5"/>
      <c r="I1037" s="5"/>
      <c r="J1037" s="5"/>
      <c r="K1037" s="5"/>
      <c r="L1037" s="5"/>
      <c r="M1037" s="5"/>
      <c r="N1037" s="5"/>
    </row>
    <row r="1038" spans="1:14" ht="12.75" customHeight="1" x14ac:dyDescent="0.2">
      <c r="A1038" s="716" t="s">
        <v>410</v>
      </c>
      <c r="B1038" s="418"/>
      <c r="C1038" s="418"/>
      <c r="D1038" s="418"/>
      <c r="E1038" s="418"/>
      <c r="F1038" s="418"/>
      <c r="G1038" s="418"/>
      <c r="H1038" s="418"/>
      <c r="I1038" s="418"/>
      <c r="J1038" s="418"/>
      <c r="K1038" s="418"/>
      <c r="L1038" s="418"/>
      <c r="M1038" s="418"/>
      <c r="N1038" s="416"/>
    </row>
    <row r="1039" spans="1:14" ht="12.75" customHeight="1" x14ac:dyDescent="0.2">
      <c r="A1039" s="713" t="s">
        <v>39</v>
      </c>
      <c r="B1039" s="418"/>
      <c r="C1039" s="418"/>
      <c r="D1039" s="418"/>
      <c r="E1039" s="418"/>
      <c r="F1039" s="418"/>
      <c r="G1039" s="416"/>
      <c r="H1039" s="61" t="s">
        <v>40</v>
      </c>
      <c r="I1039" s="717" t="s">
        <v>404</v>
      </c>
      <c r="J1039" s="416"/>
      <c r="K1039" s="717" t="s">
        <v>184</v>
      </c>
      <c r="L1039" s="416"/>
      <c r="M1039" s="717" t="s">
        <v>405</v>
      </c>
      <c r="N1039" s="416"/>
    </row>
    <row r="1040" spans="1:14" ht="12.75" customHeight="1" x14ac:dyDescent="0.2">
      <c r="A1040" s="714" t="s">
        <v>411</v>
      </c>
      <c r="B1040" s="418"/>
      <c r="C1040" s="418"/>
      <c r="D1040" s="418"/>
      <c r="E1040" s="418"/>
      <c r="F1040" s="418"/>
      <c r="G1040" s="416"/>
      <c r="H1040" s="12" t="str">
        <f>IF(A1040="","",VLOOKUP(A1040,AA_Equipos,7,FALSE))</f>
        <v>% M.O.</v>
      </c>
      <c r="I1040" s="712">
        <f>+M1063</f>
        <v>104788.7502375</v>
      </c>
      <c r="J1040" s="416"/>
      <c r="K1040" s="722">
        <v>0.05</v>
      </c>
      <c r="L1040" s="416"/>
      <c r="M1040" s="712">
        <f t="shared" ref="M1040:M1044" si="133">IF(A1040="","",I1040*K1040)</f>
        <v>5239.4375118750004</v>
      </c>
      <c r="N1040" s="416"/>
    </row>
    <row r="1041" spans="1:14" ht="12.75" customHeight="1" x14ac:dyDescent="0.2">
      <c r="A1041" s="719"/>
      <c r="B1041" s="418"/>
      <c r="C1041" s="418"/>
      <c r="D1041" s="418"/>
      <c r="E1041" s="418"/>
      <c r="F1041" s="418"/>
      <c r="G1041" s="416"/>
      <c r="H1041" s="12" t="str">
        <f>IF(A1041="","",VLOOKUP(A1041,AA_Equipos,7,FALSE))</f>
        <v/>
      </c>
      <c r="I1041" s="712" t="str">
        <f>IF(A1041="","",VLOOKUP(A1041,AA_Equipos,8,FALSE))</f>
        <v/>
      </c>
      <c r="J1041" s="416"/>
      <c r="K1041" s="723"/>
      <c r="L1041" s="416"/>
      <c r="M1041" s="712" t="str">
        <f t="shared" si="133"/>
        <v/>
      </c>
      <c r="N1041" s="416"/>
    </row>
    <row r="1042" spans="1:14" ht="12.75" customHeight="1" x14ac:dyDescent="0.2">
      <c r="A1042" s="714"/>
      <c r="B1042" s="418"/>
      <c r="C1042" s="418"/>
      <c r="D1042" s="418"/>
      <c r="E1042" s="418"/>
      <c r="F1042" s="418"/>
      <c r="G1042" s="416"/>
      <c r="H1042" s="12" t="str">
        <f>IF(A1042="","",VLOOKUP(A1042,AA_Equipos,7,FALSE))</f>
        <v/>
      </c>
      <c r="I1042" s="712" t="str">
        <f>IF(A1042="","",VLOOKUP(A1042,AA_Equipos,8,FALSE))</f>
        <v/>
      </c>
      <c r="J1042" s="416"/>
      <c r="K1042" s="786"/>
      <c r="L1042" s="416"/>
      <c r="M1042" s="712" t="str">
        <f t="shared" si="133"/>
        <v/>
      </c>
      <c r="N1042" s="416"/>
    </row>
    <row r="1043" spans="1:14" ht="12.75" customHeight="1" x14ac:dyDescent="0.2">
      <c r="A1043" s="714"/>
      <c r="B1043" s="418"/>
      <c r="C1043" s="418"/>
      <c r="D1043" s="418"/>
      <c r="E1043" s="418"/>
      <c r="F1043" s="418"/>
      <c r="G1043" s="416"/>
      <c r="H1043" s="12" t="str">
        <f>IF(A1043="","",VLOOKUP(A1043,AA_Equipos,7,FALSE))</f>
        <v/>
      </c>
      <c r="I1043" s="712" t="str">
        <f>IF(A1043="","",VLOOKUP(A1043,AA_Equipos,8,FALSE))</f>
        <v/>
      </c>
      <c r="J1043" s="416"/>
      <c r="K1043" s="715"/>
      <c r="L1043" s="416"/>
      <c r="M1043" s="712" t="str">
        <f t="shared" si="133"/>
        <v/>
      </c>
      <c r="N1043" s="416"/>
    </row>
    <row r="1044" spans="1:14" ht="12.75" customHeight="1" x14ac:dyDescent="0.2">
      <c r="A1044" s="714"/>
      <c r="B1044" s="418"/>
      <c r="C1044" s="418"/>
      <c r="D1044" s="418"/>
      <c r="E1044" s="418"/>
      <c r="F1044" s="418"/>
      <c r="G1044" s="416"/>
      <c r="H1044" s="12" t="str">
        <f>IF(A1044="","",VLOOKUP(A1044,AA_Equipos,7,FALSE))</f>
        <v/>
      </c>
      <c r="I1044" s="712" t="str">
        <f>IF(A1044="","",VLOOKUP(A1044,AA_Equipos,8,FALSE))</f>
        <v/>
      </c>
      <c r="J1044" s="416"/>
      <c r="K1044" s="715"/>
      <c r="L1044" s="416"/>
      <c r="M1044" s="712" t="str">
        <f t="shared" si="133"/>
        <v/>
      </c>
      <c r="N1044" s="416"/>
    </row>
    <row r="1045" spans="1:14" ht="12.75" customHeight="1" x14ac:dyDescent="0.25">
      <c r="A1045" s="5"/>
      <c r="B1045" s="5"/>
      <c r="C1045" s="5"/>
      <c r="D1045" s="5"/>
      <c r="E1045" s="5"/>
      <c r="F1045" s="5"/>
      <c r="G1045" s="5"/>
      <c r="H1045" s="5"/>
      <c r="I1045" s="5"/>
      <c r="J1045" s="5"/>
      <c r="K1045" s="713" t="s">
        <v>261</v>
      </c>
      <c r="L1045" s="416"/>
      <c r="M1045" s="712">
        <f>SUM(M1040:N1044)</f>
        <v>5239.4375118750004</v>
      </c>
      <c r="N1045" s="416"/>
    </row>
    <row r="1046" spans="1:14" ht="12.75" customHeight="1" x14ac:dyDescent="0.25">
      <c r="A1046" s="5"/>
      <c r="B1046" s="5"/>
      <c r="C1046" s="5"/>
      <c r="D1046" s="5"/>
      <c r="E1046" s="5"/>
      <c r="F1046" s="5"/>
      <c r="G1046" s="5"/>
      <c r="H1046" s="5"/>
      <c r="I1046" s="5"/>
      <c r="J1046" s="5"/>
      <c r="K1046" s="5"/>
      <c r="L1046" s="5"/>
      <c r="M1046" s="5"/>
      <c r="N1046" s="5"/>
    </row>
    <row r="1047" spans="1:14" ht="12.75" customHeight="1" x14ac:dyDescent="0.2">
      <c r="A1047" s="716" t="s">
        <v>413</v>
      </c>
      <c r="B1047" s="418"/>
      <c r="C1047" s="418"/>
      <c r="D1047" s="418"/>
      <c r="E1047" s="418"/>
      <c r="F1047" s="418"/>
      <c r="G1047" s="418"/>
      <c r="H1047" s="418"/>
      <c r="I1047" s="418"/>
      <c r="J1047" s="418"/>
      <c r="K1047" s="418"/>
      <c r="L1047" s="418"/>
      <c r="M1047" s="418"/>
      <c r="N1047" s="416"/>
    </row>
    <row r="1048" spans="1:14" ht="12.75" customHeight="1" x14ac:dyDescent="0.2">
      <c r="A1048" s="713" t="s">
        <v>39</v>
      </c>
      <c r="B1048" s="418"/>
      <c r="C1048" s="418"/>
      <c r="D1048" s="418"/>
      <c r="E1048" s="418"/>
      <c r="F1048" s="418"/>
      <c r="G1048" s="416"/>
      <c r="H1048" s="61" t="s">
        <v>40</v>
      </c>
      <c r="I1048" s="717" t="s">
        <v>404</v>
      </c>
      <c r="J1048" s="416"/>
      <c r="K1048" s="717" t="s">
        <v>184</v>
      </c>
      <c r="L1048" s="416"/>
      <c r="M1048" s="717" t="s">
        <v>405</v>
      </c>
      <c r="N1048" s="416"/>
    </row>
    <row r="1049" spans="1:14" ht="12.75" customHeight="1" x14ac:dyDescent="0.2">
      <c r="A1049" s="714"/>
      <c r="B1049" s="418"/>
      <c r="C1049" s="418"/>
      <c r="D1049" s="418"/>
      <c r="E1049" s="418"/>
      <c r="F1049" s="418"/>
      <c r="G1049" s="416"/>
      <c r="H1049" s="12"/>
      <c r="I1049" s="712"/>
      <c r="J1049" s="416"/>
      <c r="K1049" s="722"/>
      <c r="L1049" s="416"/>
      <c r="M1049" s="712" t="str">
        <f t="shared" ref="M1049:M1053" si="134">IF(A1049="","",I1049*K1049)</f>
        <v/>
      </c>
      <c r="N1049" s="416"/>
    </row>
    <row r="1050" spans="1:14" ht="12.75" customHeight="1" x14ac:dyDescent="0.2">
      <c r="A1050" s="719"/>
      <c r="B1050" s="418"/>
      <c r="C1050" s="418"/>
      <c r="D1050" s="418"/>
      <c r="E1050" s="418"/>
      <c r="F1050" s="418"/>
      <c r="G1050" s="416"/>
      <c r="H1050" s="12"/>
      <c r="I1050" s="712"/>
      <c r="J1050" s="416"/>
      <c r="K1050" s="722"/>
      <c r="L1050" s="416"/>
      <c r="M1050" s="712" t="str">
        <f t="shared" si="134"/>
        <v/>
      </c>
      <c r="N1050" s="416"/>
    </row>
    <row r="1051" spans="1:14" ht="12.75" customHeight="1" x14ac:dyDescent="0.2">
      <c r="A1051" s="714"/>
      <c r="B1051" s="418"/>
      <c r="C1051" s="418"/>
      <c r="D1051" s="418"/>
      <c r="E1051" s="418"/>
      <c r="F1051" s="418"/>
      <c r="G1051" s="416"/>
      <c r="H1051" s="12"/>
      <c r="I1051" s="712"/>
      <c r="J1051" s="416"/>
      <c r="K1051" s="715"/>
      <c r="L1051" s="416"/>
      <c r="M1051" s="712" t="str">
        <f t="shared" si="134"/>
        <v/>
      </c>
      <c r="N1051" s="416"/>
    </row>
    <row r="1052" spans="1:14" ht="12.75" customHeight="1" x14ac:dyDescent="0.2">
      <c r="A1052" s="714"/>
      <c r="B1052" s="418"/>
      <c r="C1052" s="418"/>
      <c r="D1052" s="418"/>
      <c r="E1052" s="418"/>
      <c r="F1052" s="418"/>
      <c r="G1052" s="416"/>
      <c r="H1052" s="12"/>
      <c r="I1052" s="712"/>
      <c r="J1052" s="416"/>
      <c r="K1052" s="715"/>
      <c r="L1052" s="416"/>
      <c r="M1052" s="712" t="str">
        <f t="shared" si="134"/>
        <v/>
      </c>
      <c r="N1052" s="416"/>
    </row>
    <row r="1053" spans="1:14" ht="12.75" customHeight="1" x14ac:dyDescent="0.2">
      <c r="A1053" s="714"/>
      <c r="B1053" s="418"/>
      <c r="C1053" s="418"/>
      <c r="D1053" s="418"/>
      <c r="E1053" s="418"/>
      <c r="F1053" s="418"/>
      <c r="G1053" s="416"/>
      <c r="H1053" s="12"/>
      <c r="I1053" s="712"/>
      <c r="J1053" s="416"/>
      <c r="K1053" s="715"/>
      <c r="L1053" s="416"/>
      <c r="M1053" s="712" t="str">
        <f t="shared" si="134"/>
        <v/>
      </c>
      <c r="N1053" s="416"/>
    </row>
    <row r="1054" spans="1:14" ht="12.75" customHeight="1" x14ac:dyDescent="0.25">
      <c r="A1054" s="5"/>
      <c r="B1054" s="5"/>
      <c r="C1054" s="5"/>
      <c r="D1054" s="5"/>
      <c r="E1054" s="5"/>
      <c r="F1054" s="5"/>
      <c r="G1054" s="5"/>
      <c r="H1054" s="5"/>
      <c r="I1054" s="5"/>
      <c r="J1054" s="5"/>
      <c r="K1054" s="713" t="s">
        <v>261</v>
      </c>
      <c r="L1054" s="416"/>
      <c r="M1054" s="712">
        <f>SUM(M1049:N1053)</f>
        <v>0</v>
      </c>
      <c r="N1054" s="416"/>
    </row>
    <row r="1055" spans="1:14" ht="12.75" customHeight="1" x14ac:dyDescent="0.25">
      <c r="A1055" s="5"/>
      <c r="B1055" s="5"/>
      <c r="C1055" s="5"/>
      <c r="D1055" s="5"/>
      <c r="E1055" s="5"/>
      <c r="F1055" s="5"/>
      <c r="G1055" s="5"/>
      <c r="H1055" s="5"/>
      <c r="I1055" s="5"/>
      <c r="J1055" s="5"/>
      <c r="K1055" s="5"/>
      <c r="L1055" s="5"/>
      <c r="M1055" s="5"/>
      <c r="N1055" s="5"/>
    </row>
    <row r="1056" spans="1:14" ht="12.75" customHeight="1" x14ac:dyDescent="0.2">
      <c r="A1056" s="716" t="s">
        <v>415</v>
      </c>
      <c r="B1056" s="418"/>
      <c r="C1056" s="418"/>
      <c r="D1056" s="418"/>
      <c r="E1056" s="418"/>
      <c r="F1056" s="418"/>
      <c r="G1056" s="418"/>
      <c r="H1056" s="418"/>
      <c r="I1056" s="418"/>
      <c r="J1056" s="418"/>
      <c r="K1056" s="418"/>
      <c r="L1056" s="418"/>
      <c r="M1056" s="418"/>
      <c r="N1056" s="416"/>
    </row>
    <row r="1057" spans="1:16" ht="12.75" customHeight="1" x14ac:dyDescent="0.2">
      <c r="A1057" s="713" t="s">
        <v>39</v>
      </c>
      <c r="B1057" s="418"/>
      <c r="C1057" s="418"/>
      <c r="D1057" s="418"/>
      <c r="E1057" s="418"/>
      <c r="F1057" s="418"/>
      <c r="G1057" s="416"/>
      <c r="H1057" s="61" t="s">
        <v>40</v>
      </c>
      <c r="I1057" s="717" t="s">
        <v>404</v>
      </c>
      <c r="J1057" s="416"/>
      <c r="K1057" s="64" t="s">
        <v>253</v>
      </c>
      <c r="L1057" s="65" t="s">
        <v>416</v>
      </c>
      <c r="M1057" s="717" t="s">
        <v>405</v>
      </c>
      <c r="N1057" s="416"/>
    </row>
    <row r="1058" spans="1:16" ht="12.75" customHeight="1" x14ac:dyDescent="0.25">
      <c r="A1058" s="711" t="s">
        <v>479</v>
      </c>
      <c r="B1058" s="418"/>
      <c r="C1058" s="418"/>
      <c r="D1058" s="418"/>
      <c r="E1058" s="418"/>
      <c r="F1058" s="418"/>
      <c r="G1058" s="416"/>
      <c r="H1058" s="12" t="str">
        <f>IF(A1058="","",VLOOKUP(A1058,AA_Cuadrillas,4,FALSE))</f>
        <v>Cuadrilla</v>
      </c>
      <c r="I1058" s="712">
        <f>IF(A1058="","",VLOOKUP(A1058,AA_Cuadrillas,5,FALSE))</f>
        <v>221781</v>
      </c>
      <c r="J1058" s="416"/>
      <c r="K1058" s="3">
        <f>IF(A1058="","",'04'!$I$2)</f>
        <v>1.88995</v>
      </c>
      <c r="L1058" s="71">
        <v>0.25</v>
      </c>
      <c r="M1058" s="712">
        <f t="shared" ref="M1058:M1062" si="135">IF(A1058="","",I1058*K1058*L1058)</f>
        <v>104788.7502375</v>
      </c>
      <c r="N1058" s="416"/>
    </row>
    <row r="1059" spans="1:16" ht="12.75" customHeight="1" x14ac:dyDescent="0.25">
      <c r="A1059" s="711"/>
      <c r="B1059" s="418"/>
      <c r="C1059" s="418"/>
      <c r="D1059" s="418"/>
      <c r="E1059" s="418"/>
      <c r="F1059" s="418"/>
      <c r="G1059" s="416"/>
      <c r="H1059" s="12" t="str">
        <f>IF(A1059="","",VLOOKUP(A1059,AA_Cuadrillas,4,FALSE))</f>
        <v/>
      </c>
      <c r="I1059" s="712" t="str">
        <f>IF(A1059="","",VLOOKUP(A1059,AA_Cuadrillas,5,FALSE))</f>
        <v/>
      </c>
      <c r="J1059" s="416"/>
      <c r="K1059" s="3" t="str">
        <f>IF(A1059="","",'04'!$I$2)</f>
        <v/>
      </c>
      <c r="L1059" s="3"/>
      <c r="M1059" s="712" t="str">
        <f t="shared" si="135"/>
        <v/>
      </c>
      <c r="N1059" s="416"/>
    </row>
    <row r="1060" spans="1:16" ht="12.75" customHeight="1" x14ac:dyDescent="0.25">
      <c r="A1060" s="711"/>
      <c r="B1060" s="418"/>
      <c r="C1060" s="418"/>
      <c r="D1060" s="418"/>
      <c r="E1060" s="418"/>
      <c r="F1060" s="418"/>
      <c r="G1060" s="416"/>
      <c r="H1060" s="12" t="str">
        <f>IF(A1060="","",VLOOKUP(A1060,AA_Cuadrillas,4,FALSE))</f>
        <v/>
      </c>
      <c r="I1060" s="712" t="str">
        <f>IF(A1060="","",VLOOKUP(A1060,AA_Cuadrillas,5,FALSE))</f>
        <v/>
      </c>
      <c r="J1060" s="416"/>
      <c r="K1060" s="3" t="str">
        <f>IF(A1060="","",'04'!$I$2)</f>
        <v/>
      </c>
      <c r="L1060" s="13"/>
      <c r="M1060" s="712" t="str">
        <f t="shared" si="135"/>
        <v/>
      </c>
      <c r="N1060" s="416"/>
    </row>
    <row r="1061" spans="1:16" ht="12.75" customHeight="1" x14ac:dyDescent="0.25">
      <c r="A1061" s="711"/>
      <c r="B1061" s="418"/>
      <c r="C1061" s="418"/>
      <c r="D1061" s="418"/>
      <c r="E1061" s="418"/>
      <c r="F1061" s="418"/>
      <c r="G1061" s="416"/>
      <c r="H1061" s="12" t="str">
        <f>IF(A1061="","",VLOOKUP(A1061,AA_Cuadrillas,4,FALSE))</f>
        <v/>
      </c>
      <c r="I1061" s="712" t="str">
        <f>IF(A1061="","",VLOOKUP(A1061,AA_Cuadrillas,5,FALSE))</f>
        <v/>
      </c>
      <c r="J1061" s="416"/>
      <c r="K1061" s="3" t="str">
        <f>IF(A1061="","",'04'!$I$2)</f>
        <v/>
      </c>
      <c r="L1061" s="13"/>
      <c r="M1061" s="712" t="str">
        <f t="shared" si="135"/>
        <v/>
      </c>
      <c r="N1061" s="416"/>
    </row>
    <row r="1062" spans="1:16" ht="12.75" customHeight="1" x14ac:dyDescent="0.25">
      <c r="A1062" s="711"/>
      <c r="B1062" s="418"/>
      <c r="C1062" s="418"/>
      <c r="D1062" s="418"/>
      <c r="E1062" s="418"/>
      <c r="F1062" s="418"/>
      <c r="G1062" s="416"/>
      <c r="H1062" s="12" t="str">
        <f>IF(A1062="","",VLOOKUP(A1062,AA_Cuadrillas,4,FALSE))</f>
        <v/>
      </c>
      <c r="I1062" s="712" t="str">
        <f>IF(A1062="","",VLOOKUP(A1062,AA_Cuadrillas,5,FALSE))</f>
        <v/>
      </c>
      <c r="J1062" s="416"/>
      <c r="K1062" s="3" t="str">
        <f>IF(A1062="","",'04'!$I$2)</f>
        <v/>
      </c>
      <c r="L1062" s="13"/>
      <c r="M1062" s="712" t="str">
        <f t="shared" si="135"/>
        <v/>
      </c>
      <c r="N1062" s="416"/>
    </row>
    <row r="1063" spans="1:16" ht="12.75" customHeight="1" x14ac:dyDescent="0.25">
      <c r="A1063" s="5"/>
      <c r="B1063" s="5"/>
      <c r="C1063" s="5"/>
      <c r="D1063" s="5"/>
      <c r="E1063" s="5"/>
      <c r="F1063" s="5"/>
      <c r="G1063" s="5"/>
      <c r="H1063" s="5"/>
      <c r="I1063" s="5"/>
      <c r="J1063" s="5"/>
      <c r="K1063" s="713" t="s">
        <v>261</v>
      </c>
      <c r="L1063" s="416"/>
      <c r="M1063" s="712">
        <f>SUM(M1058:N1062)</f>
        <v>104788.7502375</v>
      </c>
      <c r="N1063" s="416"/>
    </row>
    <row r="1064" spans="1:16" ht="12.75" customHeight="1" x14ac:dyDescent="0.2"/>
    <row r="1065" spans="1:16" ht="12.75" customHeight="1" x14ac:dyDescent="0.2">
      <c r="A1065" s="787" t="s">
        <v>500</v>
      </c>
      <c r="B1065" s="410"/>
      <c r="C1065" s="410"/>
      <c r="D1065" s="410"/>
      <c r="E1065" s="410"/>
      <c r="F1065" s="410"/>
      <c r="G1065" s="410"/>
      <c r="H1065" s="410"/>
      <c r="I1065" s="410"/>
      <c r="J1065" s="410"/>
      <c r="K1065" s="410"/>
      <c r="L1065" s="410"/>
      <c r="M1065" s="410"/>
      <c r="N1065" s="411"/>
      <c r="O1065" s="272"/>
      <c r="P1065" s="9"/>
    </row>
    <row r="1066" spans="1:16" ht="12.75" customHeight="1" x14ac:dyDescent="0.2">
      <c r="A1066" s="412"/>
      <c r="B1066" s="413"/>
      <c r="C1066" s="413"/>
      <c r="D1066" s="413"/>
      <c r="E1066" s="413"/>
      <c r="F1066" s="413"/>
      <c r="G1066" s="413"/>
      <c r="H1066" s="413"/>
      <c r="I1066" s="413"/>
      <c r="J1066" s="413"/>
      <c r="K1066" s="413"/>
      <c r="L1066" s="413"/>
      <c r="M1066" s="413"/>
      <c r="N1066" s="414"/>
      <c r="O1066" s="272"/>
      <c r="P1066" s="9"/>
    </row>
    <row r="1067" spans="1:16" ht="12.75" customHeight="1" x14ac:dyDescent="0.2">
      <c r="A1067" s="49"/>
      <c r="B1067" s="49"/>
      <c r="C1067" s="49"/>
      <c r="D1067" s="49"/>
      <c r="E1067" s="49"/>
      <c r="F1067" s="49"/>
      <c r="G1067" s="49"/>
      <c r="H1067" s="49"/>
      <c r="I1067" s="49"/>
      <c r="J1067" s="49"/>
      <c r="K1067" s="49"/>
      <c r="L1067" s="49"/>
      <c r="M1067" s="49"/>
      <c r="N1067" s="49"/>
    </row>
    <row r="1068" spans="1:16" ht="12.75" customHeight="1" thickBot="1" x14ac:dyDescent="0.35">
      <c r="A1068" s="51" t="str">
        <f>VLOOKUP(A1065,'10'!$B$9:$N$100,13,FALSE)</f>
        <v>G033</v>
      </c>
      <c r="B1068" s="52" t="str">
        <f>A1065</f>
        <v>SUMINISTRO E INSTALACIÓN DE NIPLE PASAMURO DE Ø10" EN HIERRO DUCTIL (INCLUYE MATERIALES, HERRAMIENTAS Y MANO DE OBRA)</v>
      </c>
      <c r="C1068" s="53" t="s">
        <v>400</v>
      </c>
      <c r="D1068" s="54" t="s">
        <v>475</v>
      </c>
      <c r="E1068" s="55" t="s">
        <v>177</v>
      </c>
      <c r="F1068" s="59">
        <f>H1068+J1068+L1068+N1068</f>
        <v>728828.18774937489</v>
      </c>
      <c r="G1068" s="55" t="s">
        <v>349</v>
      </c>
      <c r="H1068" s="59">
        <f>M1087</f>
        <v>5239.4375118750004</v>
      </c>
      <c r="I1068" s="55" t="s">
        <v>402</v>
      </c>
      <c r="J1068" s="70">
        <f>M1078</f>
        <v>618800</v>
      </c>
      <c r="K1068" s="55" t="s">
        <v>351</v>
      </c>
      <c r="L1068" s="59">
        <f>M1096</f>
        <v>0</v>
      </c>
      <c r="M1068" s="55" t="s">
        <v>352</v>
      </c>
      <c r="N1068" s="59">
        <f>M1105</f>
        <v>104788.7502375</v>
      </c>
    </row>
    <row r="1069" spans="1:16" ht="12.75" customHeight="1" thickBot="1" x14ac:dyDescent="0.3">
      <c r="A1069" s="60"/>
      <c r="B1069" s="60"/>
      <c r="C1069" s="60"/>
      <c r="D1069" s="60"/>
      <c r="E1069" s="60"/>
      <c r="F1069" s="60"/>
      <c r="G1069" s="60"/>
      <c r="J1069" s="60"/>
      <c r="K1069" s="60"/>
      <c r="L1069" s="327" t="s">
        <v>1934</v>
      </c>
      <c r="M1069" s="328">
        <f>+F1068*'01'!$O$16</f>
        <v>943315.75160684821</v>
      </c>
      <c r="N1069" s="60"/>
    </row>
    <row r="1070" spans="1:16" ht="12.75" customHeight="1" x14ac:dyDescent="0.2">
      <c r="A1070" s="716" t="s">
        <v>403</v>
      </c>
      <c r="B1070" s="418"/>
      <c r="C1070" s="418"/>
      <c r="D1070" s="418"/>
      <c r="E1070" s="418"/>
      <c r="F1070" s="418"/>
      <c r="G1070" s="418"/>
      <c r="H1070" s="418"/>
      <c r="I1070" s="418"/>
      <c r="J1070" s="418"/>
      <c r="K1070" s="418"/>
      <c r="L1070" s="418"/>
      <c r="M1070" s="418"/>
      <c r="N1070" s="416"/>
    </row>
    <row r="1071" spans="1:16" ht="12.75" customHeight="1" x14ac:dyDescent="0.2">
      <c r="A1071" s="713" t="s">
        <v>39</v>
      </c>
      <c r="B1071" s="418"/>
      <c r="C1071" s="418"/>
      <c r="D1071" s="418"/>
      <c r="E1071" s="418"/>
      <c r="F1071" s="418"/>
      <c r="G1071" s="416"/>
      <c r="H1071" s="61" t="s">
        <v>40</v>
      </c>
      <c r="I1071" s="717" t="s">
        <v>404</v>
      </c>
      <c r="J1071" s="416"/>
      <c r="K1071" s="717" t="s">
        <v>184</v>
      </c>
      <c r="L1071" s="416"/>
      <c r="M1071" s="717" t="s">
        <v>405</v>
      </c>
      <c r="N1071" s="416"/>
    </row>
    <row r="1072" spans="1:16" ht="12.75" customHeight="1" x14ac:dyDescent="0.2">
      <c r="A1072" s="719" t="s">
        <v>501</v>
      </c>
      <c r="B1072" s="418"/>
      <c r="C1072" s="418"/>
      <c r="D1072" s="418"/>
      <c r="E1072" s="418"/>
      <c r="F1072" s="418"/>
      <c r="G1072" s="416"/>
      <c r="H1072" s="12" t="str">
        <f t="shared" ref="H1072:H1077" si="136">IF(A1072="","",VLOOKUP(A1072,AA_Materiales,7,FALSE))</f>
        <v>Unidad</v>
      </c>
      <c r="I1072" s="712">
        <f t="shared" ref="I1072:I1077" si="137">IF(A1072="","",VLOOKUP(A1072,AA_Materiales,8,FALSE))</f>
        <v>618800</v>
      </c>
      <c r="J1072" s="416"/>
      <c r="K1072" s="715">
        <v>1</v>
      </c>
      <c r="L1072" s="416"/>
      <c r="M1072" s="712">
        <f t="shared" ref="M1072:M1077" si="138">IF(A1072="","",I1072*K1072)</f>
        <v>618800</v>
      </c>
      <c r="N1072" s="416"/>
    </row>
    <row r="1073" spans="1:14" ht="12.75" customHeight="1" x14ac:dyDescent="0.2">
      <c r="A1073" s="719"/>
      <c r="B1073" s="418"/>
      <c r="C1073" s="418"/>
      <c r="D1073" s="418"/>
      <c r="E1073" s="418"/>
      <c r="F1073" s="418"/>
      <c r="G1073" s="416"/>
      <c r="H1073" s="12" t="str">
        <f t="shared" si="136"/>
        <v/>
      </c>
      <c r="I1073" s="712" t="str">
        <f t="shared" si="137"/>
        <v/>
      </c>
      <c r="J1073" s="416"/>
      <c r="K1073" s="715"/>
      <c r="L1073" s="416"/>
      <c r="M1073" s="712" t="str">
        <f t="shared" si="138"/>
        <v/>
      </c>
      <c r="N1073" s="416"/>
    </row>
    <row r="1074" spans="1:14" ht="12.75" customHeight="1" x14ac:dyDescent="0.2">
      <c r="A1074" s="719"/>
      <c r="B1074" s="418"/>
      <c r="C1074" s="418"/>
      <c r="D1074" s="418"/>
      <c r="E1074" s="418"/>
      <c r="F1074" s="418"/>
      <c r="G1074" s="416"/>
      <c r="H1074" s="12" t="str">
        <f t="shared" si="136"/>
        <v/>
      </c>
      <c r="I1074" s="712" t="str">
        <f t="shared" si="137"/>
        <v/>
      </c>
      <c r="J1074" s="416"/>
      <c r="K1074" s="715"/>
      <c r="L1074" s="416"/>
      <c r="M1074" s="712" t="str">
        <f t="shared" si="138"/>
        <v/>
      </c>
      <c r="N1074" s="416"/>
    </row>
    <row r="1075" spans="1:14" ht="12.75" customHeight="1" x14ac:dyDescent="0.2">
      <c r="A1075" s="719"/>
      <c r="B1075" s="418"/>
      <c r="C1075" s="418"/>
      <c r="D1075" s="418"/>
      <c r="E1075" s="418"/>
      <c r="F1075" s="418"/>
      <c r="G1075" s="416"/>
      <c r="H1075" s="12" t="str">
        <f t="shared" si="136"/>
        <v/>
      </c>
      <c r="I1075" s="712" t="str">
        <f t="shared" si="137"/>
        <v/>
      </c>
      <c r="J1075" s="416"/>
      <c r="K1075" s="715"/>
      <c r="L1075" s="416"/>
      <c r="M1075" s="712" t="str">
        <f t="shared" si="138"/>
        <v/>
      </c>
      <c r="N1075" s="416"/>
    </row>
    <row r="1076" spans="1:14" ht="12.75" customHeight="1" x14ac:dyDescent="0.2">
      <c r="A1076" s="719"/>
      <c r="B1076" s="418"/>
      <c r="C1076" s="418"/>
      <c r="D1076" s="418"/>
      <c r="E1076" s="418"/>
      <c r="F1076" s="418"/>
      <c r="G1076" s="416"/>
      <c r="H1076" s="12" t="str">
        <f t="shared" si="136"/>
        <v/>
      </c>
      <c r="I1076" s="712" t="str">
        <f t="shared" si="137"/>
        <v/>
      </c>
      <c r="J1076" s="416"/>
      <c r="K1076" s="715"/>
      <c r="L1076" s="416"/>
      <c r="M1076" s="712" t="str">
        <f t="shared" si="138"/>
        <v/>
      </c>
      <c r="N1076" s="416"/>
    </row>
    <row r="1077" spans="1:14" ht="12.75" customHeight="1" x14ac:dyDescent="0.2">
      <c r="A1077" s="719"/>
      <c r="B1077" s="418"/>
      <c r="C1077" s="418"/>
      <c r="D1077" s="418"/>
      <c r="E1077" s="418"/>
      <c r="F1077" s="418"/>
      <c r="G1077" s="416"/>
      <c r="H1077" s="12" t="str">
        <f t="shared" si="136"/>
        <v/>
      </c>
      <c r="I1077" s="712" t="str">
        <f t="shared" si="137"/>
        <v/>
      </c>
      <c r="J1077" s="416"/>
      <c r="K1077" s="715"/>
      <c r="L1077" s="416"/>
      <c r="M1077" s="712" t="str">
        <f t="shared" si="138"/>
        <v/>
      </c>
      <c r="N1077" s="416"/>
    </row>
    <row r="1078" spans="1:14" ht="12.75" customHeight="1" x14ac:dyDescent="0.25">
      <c r="A1078" s="5"/>
      <c r="B1078" s="5"/>
      <c r="C1078" s="5"/>
      <c r="D1078" s="5"/>
      <c r="E1078" s="5"/>
      <c r="F1078" s="5"/>
      <c r="G1078" s="5"/>
      <c r="H1078" s="5"/>
      <c r="I1078" s="5"/>
      <c r="J1078" s="5"/>
      <c r="K1078" s="713" t="s">
        <v>261</v>
      </c>
      <c r="L1078" s="416"/>
      <c r="M1078" s="712">
        <f>SUM(M1072:N1077)</f>
        <v>618800</v>
      </c>
      <c r="N1078" s="416"/>
    </row>
    <row r="1079" spans="1:14" ht="12.75" customHeight="1" x14ac:dyDescent="0.25">
      <c r="A1079" s="5"/>
      <c r="B1079" s="5"/>
      <c r="C1079" s="5"/>
      <c r="D1079" s="5"/>
      <c r="E1079" s="5"/>
      <c r="F1079" s="5"/>
      <c r="G1079" s="5"/>
      <c r="H1079" s="5"/>
      <c r="I1079" s="5"/>
      <c r="J1079" s="5"/>
      <c r="K1079" s="5"/>
      <c r="L1079" s="5"/>
      <c r="M1079" s="5"/>
      <c r="N1079" s="5"/>
    </row>
    <row r="1080" spans="1:14" ht="12.75" customHeight="1" x14ac:dyDescent="0.2">
      <c r="A1080" s="716" t="s">
        <v>410</v>
      </c>
      <c r="B1080" s="418"/>
      <c r="C1080" s="418"/>
      <c r="D1080" s="418"/>
      <c r="E1080" s="418"/>
      <c r="F1080" s="418"/>
      <c r="G1080" s="418"/>
      <c r="H1080" s="418"/>
      <c r="I1080" s="418"/>
      <c r="J1080" s="418"/>
      <c r="K1080" s="418"/>
      <c r="L1080" s="418"/>
      <c r="M1080" s="418"/>
      <c r="N1080" s="416"/>
    </row>
    <row r="1081" spans="1:14" ht="12.75" customHeight="1" x14ac:dyDescent="0.2">
      <c r="A1081" s="713" t="s">
        <v>39</v>
      </c>
      <c r="B1081" s="418"/>
      <c r="C1081" s="418"/>
      <c r="D1081" s="418"/>
      <c r="E1081" s="418"/>
      <c r="F1081" s="418"/>
      <c r="G1081" s="416"/>
      <c r="H1081" s="61" t="s">
        <v>40</v>
      </c>
      <c r="I1081" s="717" t="s">
        <v>404</v>
      </c>
      <c r="J1081" s="416"/>
      <c r="K1081" s="717" t="s">
        <v>184</v>
      </c>
      <c r="L1081" s="416"/>
      <c r="M1081" s="717" t="s">
        <v>405</v>
      </c>
      <c r="N1081" s="416"/>
    </row>
    <row r="1082" spans="1:14" ht="12.75" customHeight="1" x14ac:dyDescent="0.2">
      <c r="A1082" s="714" t="s">
        <v>411</v>
      </c>
      <c r="B1082" s="418"/>
      <c r="C1082" s="418"/>
      <c r="D1082" s="418"/>
      <c r="E1082" s="418"/>
      <c r="F1082" s="418"/>
      <c r="G1082" s="416"/>
      <c r="H1082" s="12" t="str">
        <f>IF(A1082="","",VLOOKUP(A1082,AA_Equipos,7,FALSE))</f>
        <v>% M.O.</v>
      </c>
      <c r="I1082" s="712">
        <f>+M1105</f>
        <v>104788.7502375</v>
      </c>
      <c r="J1082" s="416"/>
      <c r="K1082" s="722">
        <v>0.05</v>
      </c>
      <c r="L1082" s="416"/>
      <c r="M1082" s="712">
        <f t="shared" ref="M1082:M1086" si="139">IF(A1082="","",I1082*K1082)</f>
        <v>5239.4375118750004</v>
      </c>
      <c r="N1082" s="416"/>
    </row>
    <row r="1083" spans="1:14" ht="12.75" customHeight="1" x14ac:dyDescent="0.2">
      <c r="A1083" s="719"/>
      <c r="B1083" s="418"/>
      <c r="C1083" s="418"/>
      <c r="D1083" s="418"/>
      <c r="E1083" s="418"/>
      <c r="F1083" s="418"/>
      <c r="G1083" s="416"/>
      <c r="H1083" s="12" t="str">
        <f>IF(A1083="","",VLOOKUP(A1083,AA_Equipos,7,FALSE))</f>
        <v/>
      </c>
      <c r="I1083" s="712" t="str">
        <f>IF(A1083="","",VLOOKUP(A1083,AA_Equipos,8,FALSE))</f>
        <v/>
      </c>
      <c r="J1083" s="416"/>
      <c r="K1083" s="723"/>
      <c r="L1083" s="416"/>
      <c r="M1083" s="712" t="str">
        <f t="shared" si="139"/>
        <v/>
      </c>
      <c r="N1083" s="416"/>
    </row>
    <row r="1084" spans="1:14" ht="12.75" customHeight="1" x14ac:dyDescent="0.2">
      <c r="A1084" s="714"/>
      <c r="B1084" s="418"/>
      <c r="C1084" s="418"/>
      <c r="D1084" s="418"/>
      <c r="E1084" s="418"/>
      <c r="F1084" s="418"/>
      <c r="G1084" s="416"/>
      <c r="H1084" s="12" t="str">
        <f>IF(A1084="","",VLOOKUP(A1084,AA_Equipos,7,FALSE))</f>
        <v/>
      </c>
      <c r="I1084" s="712" t="str">
        <f>IF(A1084="","",VLOOKUP(A1084,AA_Equipos,8,FALSE))</f>
        <v/>
      </c>
      <c r="J1084" s="416"/>
      <c r="K1084" s="786"/>
      <c r="L1084" s="416"/>
      <c r="M1084" s="712" t="str">
        <f t="shared" si="139"/>
        <v/>
      </c>
      <c r="N1084" s="416"/>
    </row>
    <row r="1085" spans="1:14" ht="12.75" customHeight="1" x14ac:dyDescent="0.2">
      <c r="A1085" s="714"/>
      <c r="B1085" s="418"/>
      <c r="C1085" s="418"/>
      <c r="D1085" s="418"/>
      <c r="E1085" s="418"/>
      <c r="F1085" s="418"/>
      <c r="G1085" s="416"/>
      <c r="H1085" s="12" t="str">
        <f>IF(A1085="","",VLOOKUP(A1085,AA_Equipos,7,FALSE))</f>
        <v/>
      </c>
      <c r="I1085" s="712" t="str">
        <f>IF(A1085="","",VLOOKUP(A1085,AA_Equipos,8,FALSE))</f>
        <v/>
      </c>
      <c r="J1085" s="416"/>
      <c r="K1085" s="715"/>
      <c r="L1085" s="416"/>
      <c r="M1085" s="712" t="str">
        <f t="shared" si="139"/>
        <v/>
      </c>
      <c r="N1085" s="416"/>
    </row>
    <row r="1086" spans="1:14" ht="12.75" customHeight="1" x14ac:dyDescent="0.2">
      <c r="A1086" s="714"/>
      <c r="B1086" s="418"/>
      <c r="C1086" s="418"/>
      <c r="D1086" s="418"/>
      <c r="E1086" s="418"/>
      <c r="F1086" s="418"/>
      <c r="G1086" s="416"/>
      <c r="H1086" s="12" t="str">
        <f>IF(A1086="","",VLOOKUP(A1086,AA_Equipos,7,FALSE))</f>
        <v/>
      </c>
      <c r="I1086" s="712" t="str">
        <f>IF(A1086="","",VLOOKUP(A1086,AA_Equipos,8,FALSE))</f>
        <v/>
      </c>
      <c r="J1086" s="416"/>
      <c r="K1086" s="715"/>
      <c r="L1086" s="416"/>
      <c r="M1086" s="712" t="str">
        <f t="shared" si="139"/>
        <v/>
      </c>
      <c r="N1086" s="416"/>
    </row>
    <row r="1087" spans="1:14" ht="12.75" customHeight="1" x14ac:dyDescent="0.25">
      <c r="A1087" s="5"/>
      <c r="B1087" s="5"/>
      <c r="C1087" s="5"/>
      <c r="D1087" s="5"/>
      <c r="E1087" s="5"/>
      <c r="F1087" s="5"/>
      <c r="G1087" s="5"/>
      <c r="H1087" s="5"/>
      <c r="I1087" s="5"/>
      <c r="J1087" s="5"/>
      <c r="K1087" s="713" t="s">
        <v>261</v>
      </c>
      <c r="L1087" s="416"/>
      <c r="M1087" s="712">
        <f>SUM(M1082:N1086)</f>
        <v>5239.4375118750004</v>
      </c>
      <c r="N1087" s="416"/>
    </row>
    <row r="1088" spans="1:14" ht="12.75" customHeight="1" x14ac:dyDescent="0.25">
      <c r="A1088" s="5"/>
      <c r="B1088" s="5"/>
      <c r="C1088" s="5"/>
      <c r="D1088" s="5"/>
      <c r="E1088" s="5"/>
      <c r="F1088" s="5"/>
      <c r="G1088" s="5"/>
      <c r="H1088" s="5"/>
      <c r="I1088" s="5"/>
      <c r="J1088" s="5"/>
      <c r="K1088" s="5"/>
      <c r="L1088" s="5"/>
      <c r="M1088" s="5"/>
      <c r="N1088" s="5"/>
    </row>
    <row r="1089" spans="1:14" ht="12.75" customHeight="1" x14ac:dyDescent="0.2">
      <c r="A1089" s="716" t="s">
        <v>413</v>
      </c>
      <c r="B1089" s="418"/>
      <c r="C1089" s="418"/>
      <c r="D1089" s="418"/>
      <c r="E1089" s="418"/>
      <c r="F1089" s="418"/>
      <c r="G1089" s="418"/>
      <c r="H1089" s="418"/>
      <c r="I1089" s="418"/>
      <c r="J1089" s="418"/>
      <c r="K1089" s="418"/>
      <c r="L1089" s="418"/>
      <c r="M1089" s="418"/>
      <c r="N1089" s="416"/>
    </row>
    <row r="1090" spans="1:14" ht="12.75" customHeight="1" x14ac:dyDescent="0.2">
      <c r="A1090" s="713" t="s">
        <v>39</v>
      </c>
      <c r="B1090" s="418"/>
      <c r="C1090" s="418"/>
      <c r="D1090" s="418"/>
      <c r="E1090" s="418"/>
      <c r="F1090" s="418"/>
      <c r="G1090" s="416"/>
      <c r="H1090" s="61" t="s">
        <v>40</v>
      </c>
      <c r="I1090" s="717" t="s">
        <v>404</v>
      </c>
      <c r="J1090" s="416"/>
      <c r="K1090" s="717" t="s">
        <v>184</v>
      </c>
      <c r="L1090" s="416"/>
      <c r="M1090" s="717" t="s">
        <v>405</v>
      </c>
      <c r="N1090" s="416"/>
    </row>
    <row r="1091" spans="1:14" ht="12.75" customHeight="1" x14ac:dyDescent="0.2">
      <c r="A1091" s="714"/>
      <c r="B1091" s="418"/>
      <c r="C1091" s="418"/>
      <c r="D1091" s="418"/>
      <c r="E1091" s="418"/>
      <c r="F1091" s="418"/>
      <c r="G1091" s="416"/>
      <c r="H1091" s="12"/>
      <c r="I1091" s="712"/>
      <c r="J1091" s="416"/>
      <c r="K1091" s="722"/>
      <c r="L1091" s="416"/>
      <c r="M1091" s="712" t="str">
        <f t="shared" ref="M1091:M1095" si="140">IF(A1091="","",I1091*K1091)</f>
        <v/>
      </c>
      <c r="N1091" s="416"/>
    </row>
    <row r="1092" spans="1:14" ht="12.75" customHeight="1" x14ac:dyDescent="0.2">
      <c r="A1092" s="719"/>
      <c r="B1092" s="418"/>
      <c r="C1092" s="418"/>
      <c r="D1092" s="418"/>
      <c r="E1092" s="418"/>
      <c r="F1092" s="418"/>
      <c r="G1092" s="416"/>
      <c r="H1092" s="12"/>
      <c r="I1092" s="712"/>
      <c r="J1092" s="416"/>
      <c r="K1092" s="722"/>
      <c r="L1092" s="416"/>
      <c r="M1092" s="712" t="str">
        <f t="shared" si="140"/>
        <v/>
      </c>
      <c r="N1092" s="416"/>
    </row>
    <row r="1093" spans="1:14" ht="12.75" customHeight="1" x14ac:dyDescent="0.2">
      <c r="A1093" s="714"/>
      <c r="B1093" s="418"/>
      <c r="C1093" s="418"/>
      <c r="D1093" s="418"/>
      <c r="E1093" s="418"/>
      <c r="F1093" s="418"/>
      <c r="G1093" s="416"/>
      <c r="H1093" s="12"/>
      <c r="I1093" s="712"/>
      <c r="J1093" s="416"/>
      <c r="K1093" s="715"/>
      <c r="L1093" s="416"/>
      <c r="M1093" s="712" t="str">
        <f t="shared" si="140"/>
        <v/>
      </c>
      <c r="N1093" s="416"/>
    </row>
    <row r="1094" spans="1:14" ht="12.75" customHeight="1" x14ac:dyDescent="0.2">
      <c r="A1094" s="714"/>
      <c r="B1094" s="418"/>
      <c r="C1094" s="418"/>
      <c r="D1094" s="418"/>
      <c r="E1094" s="418"/>
      <c r="F1094" s="418"/>
      <c r="G1094" s="416"/>
      <c r="H1094" s="12"/>
      <c r="I1094" s="712"/>
      <c r="J1094" s="416"/>
      <c r="K1094" s="715"/>
      <c r="L1094" s="416"/>
      <c r="M1094" s="712" t="str">
        <f t="shared" si="140"/>
        <v/>
      </c>
      <c r="N1094" s="416"/>
    </row>
    <row r="1095" spans="1:14" ht="12.75" customHeight="1" x14ac:dyDescent="0.2">
      <c r="A1095" s="714"/>
      <c r="B1095" s="418"/>
      <c r="C1095" s="418"/>
      <c r="D1095" s="418"/>
      <c r="E1095" s="418"/>
      <c r="F1095" s="418"/>
      <c r="G1095" s="416"/>
      <c r="H1095" s="12"/>
      <c r="I1095" s="712"/>
      <c r="J1095" s="416"/>
      <c r="K1095" s="715"/>
      <c r="L1095" s="416"/>
      <c r="M1095" s="712" t="str">
        <f t="shared" si="140"/>
        <v/>
      </c>
      <c r="N1095" s="416"/>
    </row>
    <row r="1096" spans="1:14" ht="12.75" customHeight="1" x14ac:dyDescent="0.25">
      <c r="A1096" s="5"/>
      <c r="B1096" s="5"/>
      <c r="C1096" s="5"/>
      <c r="D1096" s="5"/>
      <c r="E1096" s="5"/>
      <c r="F1096" s="5"/>
      <c r="G1096" s="5"/>
      <c r="H1096" s="5"/>
      <c r="I1096" s="5"/>
      <c r="J1096" s="5"/>
      <c r="K1096" s="713" t="s">
        <v>261</v>
      </c>
      <c r="L1096" s="416"/>
      <c r="M1096" s="712">
        <f>SUM(M1091:N1095)</f>
        <v>0</v>
      </c>
      <c r="N1096" s="416"/>
    </row>
    <row r="1097" spans="1:14" ht="12.75" customHeight="1" x14ac:dyDescent="0.25">
      <c r="A1097" s="5"/>
      <c r="B1097" s="5"/>
      <c r="C1097" s="5"/>
      <c r="D1097" s="5"/>
      <c r="E1097" s="5"/>
      <c r="F1097" s="5"/>
      <c r="G1097" s="5"/>
      <c r="H1097" s="5"/>
      <c r="I1097" s="5"/>
      <c r="J1097" s="5"/>
      <c r="K1097" s="5"/>
      <c r="L1097" s="5"/>
      <c r="M1097" s="5"/>
      <c r="N1097" s="5"/>
    </row>
    <row r="1098" spans="1:14" ht="12.75" customHeight="1" x14ac:dyDescent="0.2">
      <c r="A1098" s="716" t="s">
        <v>415</v>
      </c>
      <c r="B1098" s="418"/>
      <c r="C1098" s="418"/>
      <c r="D1098" s="418"/>
      <c r="E1098" s="418"/>
      <c r="F1098" s="418"/>
      <c r="G1098" s="418"/>
      <c r="H1098" s="418"/>
      <c r="I1098" s="418"/>
      <c r="J1098" s="418"/>
      <c r="K1098" s="418"/>
      <c r="L1098" s="418"/>
      <c r="M1098" s="418"/>
      <c r="N1098" s="416"/>
    </row>
    <row r="1099" spans="1:14" ht="12.75" customHeight="1" x14ac:dyDescent="0.2">
      <c r="A1099" s="713" t="s">
        <v>39</v>
      </c>
      <c r="B1099" s="418"/>
      <c r="C1099" s="418"/>
      <c r="D1099" s="418"/>
      <c r="E1099" s="418"/>
      <c r="F1099" s="418"/>
      <c r="G1099" s="416"/>
      <c r="H1099" s="61" t="s">
        <v>40</v>
      </c>
      <c r="I1099" s="717" t="s">
        <v>404</v>
      </c>
      <c r="J1099" s="416"/>
      <c r="K1099" s="64" t="s">
        <v>253</v>
      </c>
      <c r="L1099" s="65" t="s">
        <v>416</v>
      </c>
      <c r="M1099" s="717" t="s">
        <v>405</v>
      </c>
      <c r="N1099" s="416"/>
    </row>
    <row r="1100" spans="1:14" ht="12.75" customHeight="1" x14ac:dyDescent="0.25">
      <c r="A1100" s="711" t="s">
        <v>479</v>
      </c>
      <c r="B1100" s="418"/>
      <c r="C1100" s="418"/>
      <c r="D1100" s="418"/>
      <c r="E1100" s="418"/>
      <c r="F1100" s="418"/>
      <c r="G1100" s="416"/>
      <c r="H1100" s="12" t="str">
        <f>IF(A1100="","",VLOOKUP(A1100,AA_Cuadrillas,4,FALSE))</f>
        <v>Cuadrilla</v>
      </c>
      <c r="I1100" s="712">
        <f>IF(A1100="","",VLOOKUP(A1100,AA_Cuadrillas,5,FALSE))</f>
        <v>221781</v>
      </c>
      <c r="J1100" s="416"/>
      <c r="K1100" s="3">
        <f>IF(A1100="","",'04'!$I$2)</f>
        <v>1.88995</v>
      </c>
      <c r="L1100" s="71">
        <v>0.25</v>
      </c>
      <c r="M1100" s="712">
        <f t="shared" ref="M1100:M1104" si="141">IF(A1100="","",I1100*K1100*L1100)</f>
        <v>104788.7502375</v>
      </c>
      <c r="N1100" s="416"/>
    </row>
    <row r="1101" spans="1:14" ht="12.75" customHeight="1" x14ac:dyDescent="0.25">
      <c r="A1101" s="711"/>
      <c r="B1101" s="418"/>
      <c r="C1101" s="418"/>
      <c r="D1101" s="418"/>
      <c r="E1101" s="418"/>
      <c r="F1101" s="418"/>
      <c r="G1101" s="416"/>
      <c r="H1101" s="12" t="str">
        <f>IF(A1101="","",VLOOKUP(A1101,AA_Cuadrillas,4,FALSE))</f>
        <v/>
      </c>
      <c r="I1101" s="712" t="str">
        <f>IF(A1101="","",VLOOKUP(A1101,AA_Cuadrillas,5,FALSE))</f>
        <v/>
      </c>
      <c r="J1101" s="416"/>
      <c r="K1101" s="3" t="str">
        <f>IF(A1101="","",'04'!$I$2)</f>
        <v/>
      </c>
      <c r="L1101" s="3"/>
      <c r="M1101" s="712" t="str">
        <f t="shared" si="141"/>
        <v/>
      </c>
      <c r="N1101" s="416"/>
    </row>
    <row r="1102" spans="1:14" ht="12.75" customHeight="1" x14ac:dyDescent="0.25">
      <c r="A1102" s="711"/>
      <c r="B1102" s="418"/>
      <c r="C1102" s="418"/>
      <c r="D1102" s="418"/>
      <c r="E1102" s="418"/>
      <c r="F1102" s="418"/>
      <c r="G1102" s="416"/>
      <c r="H1102" s="12" t="str">
        <f>IF(A1102="","",VLOOKUP(A1102,AA_Cuadrillas,4,FALSE))</f>
        <v/>
      </c>
      <c r="I1102" s="712" t="str">
        <f>IF(A1102="","",VLOOKUP(A1102,AA_Cuadrillas,5,FALSE))</f>
        <v/>
      </c>
      <c r="J1102" s="416"/>
      <c r="K1102" s="3" t="str">
        <f>IF(A1102="","",'04'!$I$2)</f>
        <v/>
      </c>
      <c r="L1102" s="13"/>
      <c r="M1102" s="712" t="str">
        <f t="shared" si="141"/>
        <v/>
      </c>
      <c r="N1102" s="416"/>
    </row>
    <row r="1103" spans="1:14" ht="12.75" customHeight="1" x14ac:dyDescent="0.25">
      <c r="A1103" s="711"/>
      <c r="B1103" s="418"/>
      <c r="C1103" s="418"/>
      <c r="D1103" s="418"/>
      <c r="E1103" s="418"/>
      <c r="F1103" s="418"/>
      <c r="G1103" s="416"/>
      <c r="H1103" s="12" t="str">
        <f>IF(A1103="","",VLOOKUP(A1103,AA_Cuadrillas,4,FALSE))</f>
        <v/>
      </c>
      <c r="I1103" s="712" t="str">
        <f>IF(A1103="","",VLOOKUP(A1103,AA_Cuadrillas,5,FALSE))</f>
        <v/>
      </c>
      <c r="J1103" s="416"/>
      <c r="K1103" s="3" t="str">
        <f>IF(A1103="","",'04'!$I$2)</f>
        <v/>
      </c>
      <c r="L1103" s="13"/>
      <c r="M1103" s="712" t="str">
        <f t="shared" si="141"/>
        <v/>
      </c>
      <c r="N1103" s="416"/>
    </row>
    <row r="1104" spans="1:14" ht="12.75" customHeight="1" x14ac:dyDescent="0.25">
      <c r="A1104" s="711"/>
      <c r="B1104" s="418"/>
      <c r="C1104" s="418"/>
      <c r="D1104" s="418"/>
      <c r="E1104" s="418"/>
      <c r="F1104" s="418"/>
      <c r="G1104" s="416"/>
      <c r="H1104" s="12" t="str">
        <f>IF(A1104="","",VLOOKUP(A1104,AA_Cuadrillas,4,FALSE))</f>
        <v/>
      </c>
      <c r="I1104" s="712" t="str">
        <f>IF(A1104="","",VLOOKUP(A1104,AA_Cuadrillas,5,FALSE))</f>
        <v/>
      </c>
      <c r="J1104" s="416"/>
      <c r="K1104" s="3" t="str">
        <f>IF(A1104="","",'04'!$I$2)</f>
        <v/>
      </c>
      <c r="L1104" s="13"/>
      <c r="M1104" s="712" t="str">
        <f t="shared" si="141"/>
        <v/>
      </c>
      <c r="N1104" s="416"/>
    </row>
    <row r="1105" spans="1:16" ht="12.75" customHeight="1" x14ac:dyDescent="0.25">
      <c r="A1105" s="5"/>
      <c r="B1105" s="5"/>
      <c r="C1105" s="5"/>
      <c r="D1105" s="5"/>
      <c r="E1105" s="5"/>
      <c r="F1105" s="5"/>
      <c r="G1105" s="5"/>
      <c r="H1105" s="5"/>
      <c r="I1105" s="5"/>
      <c r="J1105" s="5"/>
      <c r="K1105" s="713" t="s">
        <v>261</v>
      </c>
      <c r="L1105" s="416"/>
      <c r="M1105" s="712">
        <f>SUM(M1100:N1104)</f>
        <v>104788.7502375</v>
      </c>
      <c r="N1105" s="416"/>
    </row>
    <row r="1106" spans="1:16" ht="12.75" customHeight="1" x14ac:dyDescent="0.2"/>
    <row r="1107" spans="1:16" ht="12.75" customHeight="1" x14ac:dyDescent="0.2">
      <c r="A1107" s="787" t="s">
        <v>78</v>
      </c>
      <c r="B1107" s="410"/>
      <c r="C1107" s="410"/>
      <c r="D1107" s="410"/>
      <c r="E1107" s="410"/>
      <c r="F1107" s="410"/>
      <c r="G1107" s="410"/>
      <c r="H1107" s="410"/>
      <c r="I1107" s="410"/>
      <c r="J1107" s="410"/>
      <c r="K1107" s="410"/>
      <c r="L1107" s="410"/>
      <c r="M1107" s="410"/>
      <c r="N1107" s="411"/>
      <c r="O1107" s="272"/>
      <c r="P1107" s="9"/>
    </row>
    <row r="1108" spans="1:16" ht="12.75" customHeight="1" x14ac:dyDescent="0.2">
      <c r="A1108" s="412"/>
      <c r="B1108" s="413"/>
      <c r="C1108" s="413"/>
      <c r="D1108" s="413"/>
      <c r="E1108" s="413"/>
      <c r="F1108" s="413"/>
      <c r="G1108" s="413"/>
      <c r="H1108" s="413"/>
      <c r="I1108" s="413"/>
      <c r="J1108" s="413"/>
      <c r="K1108" s="413"/>
      <c r="L1108" s="413"/>
      <c r="M1108" s="413"/>
      <c r="N1108" s="414"/>
      <c r="O1108" s="272"/>
      <c r="P1108" s="9"/>
    </row>
    <row r="1109" spans="1:16" ht="12.75" customHeight="1" x14ac:dyDescent="0.2">
      <c r="A1109" s="49"/>
      <c r="B1109" s="49"/>
      <c r="C1109" s="49"/>
      <c r="D1109" s="49"/>
      <c r="E1109" s="49"/>
      <c r="F1109" s="49"/>
      <c r="G1109" s="49"/>
      <c r="H1109" s="49"/>
      <c r="I1109" s="49"/>
      <c r="J1109" s="49"/>
      <c r="K1109" s="49"/>
      <c r="L1109" s="49"/>
      <c r="M1109" s="49"/>
      <c r="N1109" s="49"/>
    </row>
    <row r="1110" spans="1:16" ht="12.75" customHeight="1" thickBot="1" x14ac:dyDescent="0.35">
      <c r="A1110" s="51" t="str">
        <f>VLOOKUP(A1107,'10'!$B$9:$N$100,13,FALSE)</f>
        <v>G031</v>
      </c>
      <c r="B1110" s="52" t="str">
        <f>A1107</f>
        <v>SUMINISTRO E INSTALACIÓN DE UNIÓN DE DESMONTAJE Ø10" EN HIERRO DUCTIL (INCLUYE MATERIALES, HERRAMIENTAS Y MANO DE OBRA)</v>
      </c>
      <c r="C1110" s="53" t="s">
        <v>400</v>
      </c>
      <c r="D1110" s="54" t="s">
        <v>475</v>
      </c>
      <c r="E1110" s="55" t="s">
        <v>177</v>
      </c>
      <c r="F1110" s="59">
        <f>H1110+J1110+L1110+N1110</f>
        <v>3146908.1877493747</v>
      </c>
      <c r="G1110" s="55" t="s">
        <v>349</v>
      </c>
      <c r="H1110" s="59">
        <f>M1129</f>
        <v>5239.4375118750004</v>
      </c>
      <c r="I1110" s="55" t="s">
        <v>402</v>
      </c>
      <c r="J1110" s="72">
        <f>M1120</f>
        <v>3036880</v>
      </c>
      <c r="K1110" s="55" t="s">
        <v>351</v>
      </c>
      <c r="L1110" s="59">
        <f>M1138</f>
        <v>0</v>
      </c>
      <c r="M1110" s="55" t="s">
        <v>352</v>
      </c>
      <c r="N1110" s="59">
        <f>M1147</f>
        <v>104788.7502375</v>
      </c>
    </row>
    <row r="1111" spans="1:16" ht="12.75" customHeight="1" thickBot="1" x14ac:dyDescent="0.3">
      <c r="A1111" s="60"/>
      <c r="B1111" s="60"/>
      <c r="C1111" s="60"/>
      <c r="D1111" s="60"/>
      <c r="E1111" s="60"/>
      <c r="F1111" s="60"/>
      <c r="G1111" s="60"/>
      <c r="J1111" s="60"/>
      <c r="K1111" s="60"/>
      <c r="L1111" s="327" t="s">
        <v>1934</v>
      </c>
      <c r="M1111" s="328">
        <f>+F1110*'01'!$O$16</f>
        <v>4073014.8919341001</v>
      </c>
      <c r="N1111" s="60"/>
    </row>
    <row r="1112" spans="1:16" ht="12.75" customHeight="1" x14ac:dyDescent="0.2">
      <c r="A1112" s="716" t="s">
        <v>403</v>
      </c>
      <c r="B1112" s="418"/>
      <c r="C1112" s="418"/>
      <c r="D1112" s="418"/>
      <c r="E1112" s="418"/>
      <c r="F1112" s="418"/>
      <c r="G1112" s="418"/>
      <c r="H1112" s="418"/>
      <c r="I1112" s="418"/>
      <c r="J1112" s="418"/>
      <c r="K1112" s="418"/>
      <c r="L1112" s="418"/>
      <c r="M1112" s="418"/>
      <c r="N1112" s="416"/>
    </row>
    <row r="1113" spans="1:16" ht="12.75" customHeight="1" x14ac:dyDescent="0.2">
      <c r="A1113" s="713" t="s">
        <v>39</v>
      </c>
      <c r="B1113" s="418"/>
      <c r="C1113" s="418"/>
      <c r="D1113" s="418"/>
      <c r="E1113" s="418"/>
      <c r="F1113" s="418"/>
      <c r="G1113" s="416"/>
      <c r="H1113" s="61" t="s">
        <v>40</v>
      </c>
      <c r="I1113" s="717" t="s">
        <v>404</v>
      </c>
      <c r="J1113" s="416"/>
      <c r="K1113" s="717" t="s">
        <v>184</v>
      </c>
      <c r="L1113" s="416"/>
      <c r="M1113" s="717" t="s">
        <v>405</v>
      </c>
      <c r="N1113" s="416"/>
    </row>
    <row r="1114" spans="1:16" ht="12.75" customHeight="1" x14ac:dyDescent="0.2">
      <c r="A1114" s="719" t="s">
        <v>502</v>
      </c>
      <c r="B1114" s="418"/>
      <c r="C1114" s="418"/>
      <c r="D1114" s="418"/>
      <c r="E1114" s="418"/>
      <c r="F1114" s="418"/>
      <c r="G1114" s="416"/>
      <c r="H1114" s="12" t="str">
        <f t="shared" ref="H1114:H1119" si="142">IF(A1114="","",VLOOKUP(A1114,AA_Materiales,7,FALSE))</f>
        <v>Unidad</v>
      </c>
      <c r="I1114" s="712">
        <f t="shared" ref="I1114:I1119" si="143">IF(A1114="","",VLOOKUP(A1114,AA_Materiales,8,FALSE))</f>
        <v>3036880</v>
      </c>
      <c r="J1114" s="416"/>
      <c r="K1114" s="715">
        <v>1</v>
      </c>
      <c r="L1114" s="416"/>
      <c r="M1114" s="712">
        <f t="shared" ref="M1114:M1119" si="144">IF(A1114="","",I1114*K1114)</f>
        <v>3036880</v>
      </c>
      <c r="N1114" s="416"/>
    </row>
    <row r="1115" spans="1:16" ht="12.75" customHeight="1" x14ac:dyDescent="0.2">
      <c r="A1115" s="719"/>
      <c r="B1115" s="418"/>
      <c r="C1115" s="418"/>
      <c r="D1115" s="418"/>
      <c r="E1115" s="418"/>
      <c r="F1115" s="418"/>
      <c r="G1115" s="416"/>
      <c r="H1115" s="12" t="str">
        <f t="shared" si="142"/>
        <v/>
      </c>
      <c r="I1115" s="712" t="str">
        <f t="shared" si="143"/>
        <v/>
      </c>
      <c r="J1115" s="416"/>
      <c r="K1115" s="715"/>
      <c r="L1115" s="416"/>
      <c r="M1115" s="712" t="str">
        <f t="shared" si="144"/>
        <v/>
      </c>
      <c r="N1115" s="416"/>
    </row>
    <row r="1116" spans="1:16" ht="12.75" customHeight="1" x14ac:dyDescent="0.2">
      <c r="A1116" s="719"/>
      <c r="B1116" s="418"/>
      <c r="C1116" s="418"/>
      <c r="D1116" s="418"/>
      <c r="E1116" s="418"/>
      <c r="F1116" s="418"/>
      <c r="G1116" s="416"/>
      <c r="H1116" s="12" t="str">
        <f t="shared" si="142"/>
        <v/>
      </c>
      <c r="I1116" s="712" t="str">
        <f t="shared" si="143"/>
        <v/>
      </c>
      <c r="J1116" s="416"/>
      <c r="K1116" s="715"/>
      <c r="L1116" s="416"/>
      <c r="M1116" s="712" t="str">
        <f t="shared" si="144"/>
        <v/>
      </c>
      <c r="N1116" s="416"/>
    </row>
    <row r="1117" spans="1:16" ht="12.75" customHeight="1" x14ac:dyDescent="0.2">
      <c r="A1117" s="719"/>
      <c r="B1117" s="418"/>
      <c r="C1117" s="418"/>
      <c r="D1117" s="418"/>
      <c r="E1117" s="418"/>
      <c r="F1117" s="418"/>
      <c r="G1117" s="416"/>
      <c r="H1117" s="12" t="str">
        <f t="shared" si="142"/>
        <v/>
      </c>
      <c r="I1117" s="712" t="str">
        <f t="shared" si="143"/>
        <v/>
      </c>
      <c r="J1117" s="416"/>
      <c r="K1117" s="715"/>
      <c r="L1117" s="416"/>
      <c r="M1117" s="712" t="str">
        <f t="shared" si="144"/>
        <v/>
      </c>
      <c r="N1117" s="416"/>
    </row>
    <row r="1118" spans="1:16" ht="12.75" customHeight="1" x14ac:dyDescent="0.2">
      <c r="A1118" s="719"/>
      <c r="B1118" s="418"/>
      <c r="C1118" s="418"/>
      <c r="D1118" s="418"/>
      <c r="E1118" s="418"/>
      <c r="F1118" s="418"/>
      <c r="G1118" s="416"/>
      <c r="H1118" s="12" t="str">
        <f t="shared" si="142"/>
        <v/>
      </c>
      <c r="I1118" s="712" t="str">
        <f t="shared" si="143"/>
        <v/>
      </c>
      <c r="J1118" s="416"/>
      <c r="K1118" s="715"/>
      <c r="L1118" s="416"/>
      <c r="M1118" s="712" t="str">
        <f t="shared" si="144"/>
        <v/>
      </c>
      <c r="N1118" s="416"/>
    </row>
    <row r="1119" spans="1:16" ht="12.75" customHeight="1" x14ac:dyDescent="0.2">
      <c r="A1119" s="719"/>
      <c r="B1119" s="418"/>
      <c r="C1119" s="418"/>
      <c r="D1119" s="418"/>
      <c r="E1119" s="418"/>
      <c r="F1119" s="418"/>
      <c r="G1119" s="416"/>
      <c r="H1119" s="12" t="str">
        <f t="shared" si="142"/>
        <v/>
      </c>
      <c r="I1119" s="712" t="str">
        <f t="shared" si="143"/>
        <v/>
      </c>
      <c r="J1119" s="416"/>
      <c r="K1119" s="715"/>
      <c r="L1119" s="416"/>
      <c r="M1119" s="712" t="str">
        <f t="shared" si="144"/>
        <v/>
      </c>
      <c r="N1119" s="416"/>
    </row>
    <row r="1120" spans="1:16" ht="12.75" customHeight="1" x14ac:dyDescent="0.25">
      <c r="A1120" s="5"/>
      <c r="B1120" s="5"/>
      <c r="C1120" s="5"/>
      <c r="D1120" s="5"/>
      <c r="E1120" s="5"/>
      <c r="F1120" s="5"/>
      <c r="G1120" s="5"/>
      <c r="H1120" s="5"/>
      <c r="I1120" s="5"/>
      <c r="J1120" s="5"/>
      <c r="K1120" s="713" t="s">
        <v>261</v>
      </c>
      <c r="L1120" s="416"/>
      <c r="M1120" s="712">
        <f>SUM(M1114:N1119)</f>
        <v>3036880</v>
      </c>
      <c r="N1120" s="416"/>
    </row>
    <row r="1121" spans="1:14" ht="12.75" customHeight="1" x14ac:dyDescent="0.25">
      <c r="A1121" s="5"/>
      <c r="B1121" s="5"/>
      <c r="C1121" s="5"/>
      <c r="D1121" s="5"/>
      <c r="E1121" s="5"/>
      <c r="F1121" s="5"/>
      <c r="G1121" s="5"/>
      <c r="H1121" s="5"/>
      <c r="I1121" s="5"/>
      <c r="J1121" s="5"/>
      <c r="K1121" s="5"/>
      <c r="L1121" s="5"/>
      <c r="M1121" s="5"/>
      <c r="N1121" s="5"/>
    </row>
    <row r="1122" spans="1:14" ht="12.75" customHeight="1" x14ac:dyDescent="0.2">
      <c r="A1122" s="716" t="s">
        <v>410</v>
      </c>
      <c r="B1122" s="418"/>
      <c r="C1122" s="418"/>
      <c r="D1122" s="418"/>
      <c r="E1122" s="418"/>
      <c r="F1122" s="418"/>
      <c r="G1122" s="418"/>
      <c r="H1122" s="418"/>
      <c r="I1122" s="418"/>
      <c r="J1122" s="418"/>
      <c r="K1122" s="418"/>
      <c r="L1122" s="418"/>
      <c r="M1122" s="418"/>
      <c r="N1122" s="416"/>
    </row>
    <row r="1123" spans="1:14" ht="12.75" customHeight="1" x14ac:dyDescent="0.2">
      <c r="A1123" s="713" t="s">
        <v>39</v>
      </c>
      <c r="B1123" s="418"/>
      <c r="C1123" s="418"/>
      <c r="D1123" s="418"/>
      <c r="E1123" s="418"/>
      <c r="F1123" s="418"/>
      <c r="G1123" s="416"/>
      <c r="H1123" s="61" t="s">
        <v>40</v>
      </c>
      <c r="I1123" s="717" t="s">
        <v>404</v>
      </c>
      <c r="J1123" s="416"/>
      <c r="K1123" s="717" t="s">
        <v>184</v>
      </c>
      <c r="L1123" s="416"/>
      <c r="M1123" s="717" t="s">
        <v>405</v>
      </c>
      <c r="N1123" s="416"/>
    </row>
    <row r="1124" spans="1:14" ht="12.75" customHeight="1" x14ac:dyDescent="0.2">
      <c r="A1124" s="714" t="s">
        <v>411</v>
      </c>
      <c r="B1124" s="418"/>
      <c r="C1124" s="418"/>
      <c r="D1124" s="418"/>
      <c r="E1124" s="418"/>
      <c r="F1124" s="418"/>
      <c r="G1124" s="416"/>
      <c r="H1124" s="12" t="str">
        <f>IF(A1124="","",VLOOKUP(A1124,AA_Equipos,7,FALSE))</f>
        <v>% M.O.</v>
      </c>
      <c r="I1124" s="712">
        <f>+M1147</f>
        <v>104788.7502375</v>
      </c>
      <c r="J1124" s="416"/>
      <c r="K1124" s="722">
        <v>0.05</v>
      </c>
      <c r="L1124" s="416"/>
      <c r="M1124" s="712">
        <f t="shared" ref="M1124:M1128" si="145">IF(A1124="","",I1124*K1124)</f>
        <v>5239.4375118750004</v>
      </c>
      <c r="N1124" s="416"/>
    </row>
    <row r="1125" spans="1:14" ht="12.75" customHeight="1" x14ac:dyDescent="0.2">
      <c r="A1125" s="719"/>
      <c r="B1125" s="418"/>
      <c r="C1125" s="418"/>
      <c r="D1125" s="418"/>
      <c r="E1125" s="418"/>
      <c r="F1125" s="418"/>
      <c r="G1125" s="416"/>
      <c r="H1125" s="12" t="str">
        <f>IF(A1125="","",VLOOKUP(A1125,AA_Equipos,7,FALSE))</f>
        <v/>
      </c>
      <c r="I1125" s="712" t="str">
        <f>IF(A1125="","",VLOOKUP(A1125,AA_Equipos,8,FALSE))</f>
        <v/>
      </c>
      <c r="J1125" s="416"/>
      <c r="K1125" s="723"/>
      <c r="L1125" s="416"/>
      <c r="M1125" s="712" t="str">
        <f t="shared" si="145"/>
        <v/>
      </c>
      <c r="N1125" s="416"/>
    </row>
    <row r="1126" spans="1:14" ht="12.75" customHeight="1" x14ac:dyDescent="0.2">
      <c r="A1126" s="714"/>
      <c r="B1126" s="418"/>
      <c r="C1126" s="418"/>
      <c r="D1126" s="418"/>
      <c r="E1126" s="418"/>
      <c r="F1126" s="418"/>
      <c r="G1126" s="416"/>
      <c r="H1126" s="12" t="str">
        <f>IF(A1126="","",VLOOKUP(A1126,AA_Equipos,7,FALSE))</f>
        <v/>
      </c>
      <c r="I1126" s="712" t="str">
        <f>IF(A1126="","",VLOOKUP(A1126,AA_Equipos,8,FALSE))</f>
        <v/>
      </c>
      <c r="J1126" s="416"/>
      <c r="K1126" s="786"/>
      <c r="L1126" s="416"/>
      <c r="M1126" s="712" t="str">
        <f t="shared" si="145"/>
        <v/>
      </c>
      <c r="N1126" s="416"/>
    </row>
    <row r="1127" spans="1:14" ht="12.75" customHeight="1" x14ac:dyDescent="0.2">
      <c r="A1127" s="714"/>
      <c r="B1127" s="418"/>
      <c r="C1127" s="418"/>
      <c r="D1127" s="418"/>
      <c r="E1127" s="418"/>
      <c r="F1127" s="418"/>
      <c r="G1127" s="416"/>
      <c r="H1127" s="12" t="str">
        <f>IF(A1127="","",VLOOKUP(A1127,AA_Equipos,7,FALSE))</f>
        <v/>
      </c>
      <c r="I1127" s="712" t="str">
        <f>IF(A1127="","",VLOOKUP(A1127,AA_Equipos,8,FALSE))</f>
        <v/>
      </c>
      <c r="J1127" s="416"/>
      <c r="K1127" s="715"/>
      <c r="L1127" s="416"/>
      <c r="M1127" s="712" t="str">
        <f t="shared" si="145"/>
        <v/>
      </c>
      <c r="N1127" s="416"/>
    </row>
    <row r="1128" spans="1:14" ht="12.75" customHeight="1" x14ac:dyDescent="0.2">
      <c r="A1128" s="714"/>
      <c r="B1128" s="418"/>
      <c r="C1128" s="418"/>
      <c r="D1128" s="418"/>
      <c r="E1128" s="418"/>
      <c r="F1128" s="418"/>
      <c r="G1128" s="416"/>
      <c r="H1128" s="12" t="str">
        <f>IF(A1128="","",VLOOKUP(A1128,AA_Equipos,7,FALSE))</f>
        <v/>
      </c>
      <c r="I1128" s="712" t="str">
        <f>IF(A1128="","",VLOOKUP(A1128,AA_Equipos,8,FALSE))</f>
        <v/>
      </c>
      <c r="J1128" s="416"/>
      <c r="K1128" s="715"/>
      <c r="L1128" s="416"/>
      <c r="M1128" s="712" t="str">
        <f t="shared" si="145"/>
        <v/>
      </c>
      <c r="N1128" s="416"/>
    </row>
    <row r="1129" spans="1:14" ht="12.75" customHeight="1" x14ac:dyDescent="0.25">
      <c r="A1129" s="5"/>
      <c r="B1129" s="5"/>
      <c r="C1129" s="5"/>
      <c r="D1129" s="5"/>
      <c r="E1129" s="5"/>
      <c r="F1129" s="5"/>
      <c r="G1129" s="5"/>
      <c r="H1129" s="5"/>
      <c r="I1129" s="5"/>
      <c r="J1129" s="5"/>
      <c r="K1129" s="713" t="s">
        <v>261</v>
      </c>
      <c r="L1129" s="416"/>
      <c r="M1129" s="712">
        <f>SUM(M1124:N1128)</f>
        <v>5239.4375118750004</v>
      </c>
      <c r="N1129" s="416"/>
    </row>
    <row r="1130" spans="1:14" ht="12.75" customHeight="1" x14ac:dyDescent="0.25">
      <c r="A1130" s="5"/>
      <c r="B1130" s="5"/>
      <c r="C1130" s="5"/>
      <c r="D1130" s="5"/>
      <c r="E1130" s="5"/>
      <c r="F1130" s="5"/>
      <c r="G1130" s="5"/>
      <c r="H1130" s="5"/>
      <c r="I1130" s="5"/>
      <c r="J1130" s="5"/>
      <c r="K1130" s="5"/>
      <c r="L1130" s="5"/>
      <c r="M1130" s="5"/>
      <c r="N1130" s="5"/>
    </row>
    <row r="1131" spans="1:14" ht="12.75" customHeight="1" x14ac:dyDescent="0.2">
      <c r="A1131" s="716" t="s">
        <v>413</v>
      </c>
      <c r="B1131" s="418"/>
      <c r="C1131" s="418"/>
      <c r="D1131" s="418"/>
      <c r="E1131" s="418"/>
      <c r="F1131" s="418"/>
      <c r="G1131" s="418"/>
      <c r="H1131" s="418"/>
      <c r="I1131" s="418"/>
      <c r="J1131" s="418"/>
      <c r="K1131" s="418"/>
      <c r="L1131" s="418"/>
      <c r="M1131" s="418"/>
      <c r="N1131" s="416"/>
    </row>
    <row r="1132" spans="1:14" ht="12.75" customHeight="1" x14ac:dyDescent="0.2">
      <c r="A1132" s="713" t="s">
        <v>39</v>
      </c>
      <c r="B1132" s="418"/>
      <c r="C1132" s="418"/>
      <c r="D1132" s="418"/>
      <c r="E1132" s="418"/>
      <c r="F1132" s="418"/>
      <c r="G1132" s="416"/>
      <c r="H1132" s="61" t="s">
        <v>40</v>
      </c>
      <c r="I1132" s="717" t="s">
        <v>404</v>
      </c>
      <c r="J1132" s="416"/>
      <c r="K1132" s="717" t="s">
        <v>184</v>
      </c>
      <c r="L1132" s="416"/>
      <c r="M1132" s="717" t="s">
        <v>405</v>
      </c>
      <c r="N1132" s="416"/>
    </row>
    <row r="1133" spans="1:14" ht="12.75" customHeight="1" x14ac:dyDescent="0.2">
      <c r="A1133" s="714"/>
      <c r="B1133" s="418"/>
      <c r="C1133" s="418"/>
      <c r="D1133" s="418"/>
      <c r="E1133" s="418"/>
      <c r="F1133" s="418"/>
      <c r="G1133" s="416"/>
      <c r="H1133" s="12"/>
      <c r="I1133" s="712"/>
      <c r="J1133" s="416"/>
      <c r="K1133" s="722"/>
      <c r="L1133" s="416"/>
      <c r="M1133" s="712" t="str">
        <f t="shared" ref="M1133:M1137" si="146">IF(A1133="","",I1133*K1133)</f>
        <v/>
      </c>
      <c r="N1133" s="416"/>
    </row>
    <row r="1134" spans="1:14" ht="12.75" customHeight="1" x14ac:dyDescent="0.2">
      <c r="A1134" s="719"/>
      <c r="B1134" s="418"/>
      <c r="C1134" s="418"/>
      <c r="D1134" s="418"/>
      <c r="E1134" s="418"/>
      <c r="F1134" s="418"/>
      <c r="G1134" s="416"/>
      <c r="H1134" s="12"/>
      <c r="I1134" s="712"/>
      <c r="J1134" s="416"/>
      <c r="K1134" s="722"/>
      <c r="L1134" s="416"/>
      <c r="M1134" s="712" t="str">
        <f t="shared" si="146"/>
        <v/>
      </c>
      <c r="N1134" s="416"/>
    </row>
    <row r="1135" spans="1:14" ht="12.75" customHeight="1" x14ac:dyDescent="0.2">
      <c r="A1135" s="714"/>
      <c r="B1135" s="418"/>
      <c r="C1135" s="418"/>
      <c r="D1135" s="418"/>
      <c r="E1135" s="418"/>
      <c r="F1135" s="418"/>
      <c r="G1135" s="416"/>
      <c r="H1135" s="12"/>
      <c r="I1135" s="712"/>
      <c r="J1135" s="416"/>
      <c r="K1135" s="715"/>
      <c r="L1135" s="416"/>
      <c r="M1135" s="712" t="str">
        <f t="shared" si="146"/>
        <v/>
      </c>
      <c r="N1135" s="416"/>
    </row>
    <row r="1136" spans="1:14" ht="12.75" customHeight="1" x14ac:dyDescent="0.2">
      <c r="A1136" s="714"/>
      <c r="B1136" s="418"/>
      <c r="C1136" s="418"/>
      <c r="D1136" s="418"/>
      <c r="E1136" s="418"/>
      <c r="F1136" s="418"/>
      <c r="G1136" s="416"/>
      <c r="H1136" s="12"/>
      <c r="I1136" s="712"/>
      <c r="J1136" s="416"/>
      <c r="K1136" s="715"/>
      <c r="L1136" s="416"/>
      <c r="M1136" s="712" t="str">
        <f t="shared" si="146"/>
        <v/>
      </c>
      <c r="N1136" s="416"/>
    </row>
    <row r="1137" spans="1:16" ht="12.75" customHeight="1" x14ac:dyDescent="0.2">
      <c r="A1137" s="714"/>
      <c r="B1137" s="418"/>
      <c r="C1137" s="418"/>
      <c r="D1137" s="418"/>
      <c r="E1137" s="418"/>
      <c r="F1137" s="418"/>
      <c r="G1137" s="416"/>
      <c r="H1137" s="12"/>
      <c r="I1137" s="712"/>
      <c r="J1137" s="416"/>
      <c r="K1137" s="715"/>
      <c r="L1137" s="416"/>
      <c r="M1137" s="712" t="str">
        <f t="shared" si="146"/>
        <v/>
      </c>
      <c r="N1137" s="416"/>
    </row>
    <row r="1138" spans="1:16" ht="12.75" customHeight="1" x14ac:dyDescent="0.25">
      <c r="A1138" s="5"/>
      <c r="B1138" s="5"/>
      <c r="C1138" s="5"/>
      <c r="D1138" s="5"/>
      <c r="E1138" s="5"/>
      <c r="F1138" s="5"/>
      <c r="G1138" s="5"/>
      <c r="H1138" s="5"/>
      <c r="I1138" s="5"/>
      <c r="J1138" s="5"/>
      <c r="K1138" s="713" t="s">
        <v>261</v>
      </c>
      <c r="L1138" s="416"/>
      <c r="M1138" s="712">
        <f>SUM(M1133:N1137)</f>
        <v>0</v>
      </c>
      <c r="N1138" s="416"/>
    </row>
    <row r="1139" spans="1:16" ht="12.75" customHeight="1" x14ac:dyDescent="0.25">
      <c r="A1139" s="5"/>
      <c r="B1139" s="5"/>
      <c r="C1139" s="5"/>
      <c r="D1139" s="5"/>
      <c r="E1139" s="5"/>
      <c r="F1139" s="5"/>
      <c r="G1139" s="5"/>
      <c r="H1139" s="5"/>
      <c r="I1139" s="5"/>
      <c r="J1139" s="5"/>
      <c r="K1139" s="5"/>
      <c r="L1139" s="5"/>
      <c r="M1139" s="5"/>
      <c r="N1139" s="5"/>
    </row>
    <row r="1140" spans="1:16" ht="12.75" customHeight="1" x14ac:dyDescent="0.2">
      <c r="A1140" s="716" t="s">
        <v>415</v>
      </c>
      <c r="B1140" s="418"/>
      <c r="C1140" s="418"/>
      <c r="D1140" s="418"/>
      <c r="E1140" s="418"/>
      <c r="F1140" s="418"/>
      <c r="G1140" s="418"/>
      <c r="H1140" s="418"/>
      <c r="I1140" s="418"/>
      <c r="J1140" s="418"/>
      <c r="K1140" s="418"/>
      <c r="L1140" s="418"/>
      <c r="M1140" s="418"/>
      <c r="N1140" s="416"/>
    </row>
    <row r="1141" spans="1:16" ht="12.75" customHeight="1" x14ac:dyDescent="0.2">
      <c r="A1141" s="713" t="s">
        <v>39</v>
      </c>
      <c r="B1141" s="418"/>
      <c r="C1141" s="418"/>
      <c r="D1141" s="418"/>
      <c r="E1141" s="418"/>
      <c r="F1141" s="418"/>
      <c r="G1141" s="416"/>
      <c r="H1141" s="61" t="s">
        <v>40</v>
      </c>
      <c r="I1141" s="717" t="s">
        <v>404</v>
      </c>
      <c r="J1141" s="416"/>
      <c r="K1141" s="64" t="s">
        <v>253</v>
      </c>
      <c r="L1141" s="65" t="s">
        <v>416</v>
      </c>
      <c r="M1141" s="717" t="s">
        <v>405</v>
      </c>
      <c r="N1141" s="416"/>
    </row>
    <row r="1142" spans="1:16" ht="12.75" customHeight="1" x14ac:dyDescent="0.25">
      <c r="A1142" s="711" t="s">
        <v>479</v>
      </c>
      <c r="B1142" s="418"/>
      <c r="C1142" s="418"/>
      <c r="D1142" s="418"/>
      <c r="E1142" s="418"/>
      <c r="F1142" s="418"/>
      <c r="G1142" s="416"/>
      <c r="H1142" s="12" t="str">
        <f>IF(A1142="","",VLOOKUP(A1142,AA_Cuadrillas,4,FALSE))</f>
        <v>Cuadrilla</v>
      </c>
      <c r="I1142" s="712">
        <f>IF(A1142="","",VLOOKUP(A1142,AA_Cuadrillas,5,FALSE))</f>
        <v>221781</v>
      </c>
      <c r="J1142" s="416"/>
      <c r="K1142" s="3">
        <f>IF(A1142="","",'04'!$I$2)</f>
        <v>1.88995</v>
      </c>
      <c r="L1142" s="71">
        <v>0.25</v>
      </c>
      <c r="M1142" s="712">
        <f t="shared" ref="M1142:M1146" si="147">IF(A1142="","",I1142*K1142*L1142)</f>
        <v>104788.7502375</v>
      </c>
      <c r="N1142" s="416"/>
    </row>
    <row r="1143" spans="1:16" ht="12.75" customHeight="1" x14ac:dyDescent="0.25">
      <c r="A1143" s="711"/>
      <c r="B1143" s="418"/>
      <c r="C1143" s="418"/>
      <c r="D1143" s="418"/>
      <c r="E1143" s="418"/>
      <c r="F1143" s="418"/>
      <c r="G1143" s="416"/>
      <c r="H1143" s="12" t="str">
        <f>IF(A1143="","",VLOOKUP(A1143,AA_Cuadrillas,4,FALSE))</f>
        <v/>
      </c>
      <c r="I1143" s="712" t="str">
        <f>IF(A1143="","",VLOOKUP(A1143,AA_Cuadrillas,5,FALSE))</f>
        <v/>
      </c>
      <c r="J1143" s="416"/>
      <c r="K1143" s="3" t="str">
        <f>IF(A1143="","",'04'!$I$2)</f>
        <v/>
      </c>
      <c r="L1143" s="3"/>
      <c r="M1143" s="712" t="str">
        <f t="shared" si="147"/>
        <v/>
      </c>
      <c r="N1143" s="416"/>
    </row>
    <row r="1144" spans="1:16" ht="12.75" customHeight="1" x14ac:dyDescent="0.25">
      <c r="A1144" s="711"/>
      <c r="B1144" s="418"/>
      <c r="C1144" s="418"/>
      <c r="D1144" s="418"/>
      <c r="E1144" s="418"/>
      <c r="F1144" s="418"/>
      <c r="G1144" s="416"/>
      <c r="H1144" s="12" t="str">
        <f>IF(A1144="","",VLOOKUP(A1144,AA_Cuadrillas,4,FALSE))</f>
        <v/>
      </c>
      <c r="I1144" s="712" t="str">
        <f>IF(A1144="","",VLOOKUP(A1144,AA_Cuadrillas,5,FALSE))</f>
        <v/>
      </c>
      <c r="J1144" s="416"/>
      <c r="K1144" s="3" t="str">
        <f>IF(A1144="","",'04'!$I$2)</f>
        <v/>
      </c>
      <c r="L1144" s="13"/>
      <c r="M1144" s="712" t="str">
        <f t="shared" si="147"/>
        <v/>
      </c>
      <c r="N1144" s="416"/>
    </row>
    <row r="1145" spans="1:16" ht="12.75" customHeight="1" x14ac:dyDescent="0.25">
      <c r="A1145" s="711"/>
      <c r="B1145" s="418"/>
      <c r="C1145" s="418"/>
      <c r="D1145" s="418"/>
      <c r="E1145" s="418"/>
      <c r="F1145" s="418"/>
      <c r="G1145" s="416"/>
      <c r="H1145" s="12" t="str">
        <f>IF(A1145="","",VLOOKUP(A1145,AA_Cuadrillas,4,FALSE))</f>
        <v/>
      </c>
      <c r="I1145" s="712" t="str">
        <f>IF(A1145="","",VLOOKUP(A1145,AA_Cuadrillas,5,FALSE))</f>
        <v/>
      </c>
      <c r="J1145" s="416"/>
      <c r="K1145" s="3" t="str">
        <f>IF(A1145="","",'04'!$I$2)</f>
        <v/>
      </c>
      <c r="L1145" s="13"/>
      <c r="M1145" s="712" t="str">
        <f t="shared" si="147"/>
        <v/>
      </c>
      <c r="N1145" s="416"/>
    </row>
    <row r="1146" spans="1:16" ht="12.75" customHeight="1" x14ac:dyDescent="0.25">
      <c r="A1146" s="711"/>
      <c r="B1146" s="418"/>
      <c r="C1146" s="418"/>
      <c r="D1146" s="418"/>
      <c r="E1146" s="418"/>
      <c r="F1146" s="418"/>
      <c r="G1146" s="416"/>
      <c r="H1146" s="12" t="str">
        <f>IF(A1146="","",VLOOKUP(A1146,AA_Cuadrillas,4,FALSE))</f>
        <v/>
      </c>
      <c r="I1146" s="712" t="str">
        <f>IF(A1146="","",VLOOKUP(A1146,AA_Cuadrillas,5,FALSE))</f>
        <v/>
      </c>
      <c r="J1146" s="416"/>
      <c r="K1146" s="3" t="str">
        <f>IF(A1146="","",'04'!$I$2)</f>
        <v/>
      </c>
      <c r="L1146" s="13"/>
      <c r="M1146" s="712" t="str">
        <f t="shared" si="147"/>
        <v/>
      </c>
      <c r="N1146" s="416"/>
    </row>
    <row r="1147" spans="1:16" ht="12.75" customHeight="1" x14ac:dyDescent="0.25">
      <c r="A1147" s="5"/>
      <c r="B1147" s="5"/>
      <c r="C1147" s="5"/>
      <c r="D1147" s="5"/>
      <c r="E1147" s="5"/>
      <c r="F1147" s="5"/>
      <c r="G1147" s="5"/>
      <c r="H1147" s="5"/>
      <c r="I1147" s="5"/>
      <c r="J1147" s="5"/>
      <c r="K1147" s="713" t="s">
        <v>261</v>
      </c>
      <c r="L1147" s="416"/>
      <c r="M1147" s="712">
        <f>SUM(M1142:N1146)</f>
        <v>104788.7502375</v>
      </c>
      <c r="N1147" s="416"/>
    </row>
    <row r="1148" spans="1:16" ht="12.75" customHeight="1" x14ac:dyDescent="0.2"/>
    <row r="1149" spans="1:16" ht="12.75" customHeight="1" x14ac:dyDescent="0.2">
      <c r="A1149" s="787" t="s">
        <v>145</v>
      </c>
      <c r="B1149" s="410"/>
      <c r="C1149" s="410"/>
      <c r="D1149" s="410"/>
      <c r="E1149" s="410"/>
      <c r="F1149" s="410"/>
      <c r="G1149" s="410"/>
      <c r="H1149" s="410"/>
      <c r="I1149" s="410"/>
      <c r="J1149" s="410"/>
      <c r="K1149" s="410"/>
      <c r="L1149" s="410"/>
      <c r="M1149" s="410"/>
      <c r="N1149" s="411"/>
      <c r="O1149" s="272"/>
      <c r="P1149" s="9"/>
    </row>
    <row r="1150" spans="1:16" ht="12.75" customHeight="1" x14ac:dyDescent="0.2">
      <c r="A1150" s="412"/>
      <c r="B1150" s="413"/>
      <c r="C1150" s="413"/>
      <c r="D1150" s="413"/>
      <c r="E1150" s="413"/>
      <c r="F1150" s="413"/>
      <c r="G1150" s="413"/>
      <c r="H1150" s="413"/>
      <c r="I1150" s="413"/>
      <c r="J1150" s="413"/>
      <c r="K1150" s="413"/>
      <c r="L1150" s="413"/>
      <c r="M1150" s="413"/>
      <c r="N1150" s="414"/>
      <c r="O1150" s="272"/>
      <c r="P1150" s="9"/>
    </row>
    <row r="1151" spans="1:16" ht="12.75" customHeight="1" x14ac:dyDescent="0.2">
      <c r="A1151" s="49"/>
      <c r="B1151" s="49"/>
      <c r="C1151" s="49"/>
      <c r="D1151" s="49"/>
      <c r="E1151" s="49"/>
      <c r="F1151" s="49"/>
      <c r="G1151" s="49"/>
      <c r="H1151" s="49"/>
      <c r="I1151" s="49"/>
      <c r="J1151" s="49"/>
      <c r="K1151" s="49"/>
      <c r="L1151" s="49"/>
      <c r="M1151" s="49"/>
      <c r="N1151" s="49"/>
    </row>
    <row r="1152" spans="1:16" ht="12.75" customHeight="1" thickBot="1" x14ac:dyDescent="0.35">
      <c r="A1152" s="51" t="str">
        <f>VLOOKUP(A1149,'10'!$B$9:$N$100,13,FALSE)</f>
        <v>G038</v>
      </c>
      <c r="B1152" s="52" t="str">
        <f>A1149</f>
        <v>SUMINISTRO E INSTALACIÓN DE TAPA Y ARO (INCLUYE MATERIALES, HERRAMIENTAS Y MANO DE OBRA)</v>
      </c>
      <c r="C1152" s="53" t="s">
        <v>400</v>
      </c>
      <c r="D1152" s="54" t="s">
        <v>475</v>
      </c>
      <c r="E1152" s="55" t="s">
        <v>177</v>
      </c>
      <c r="F1152" s="59">
        <f>H1152+J1152+L1152+N1152</f>
        <v>891129.64362359489</v>
      </c>
      <c r="G1152" s="55" t="s">
        <v>349</v>
      </c>
      <c r="H1152" s="59">
        <f>M1173</f>
        <v>3198.8159730000007</v>
      </c>
      <c r="I1152" s="55" t="s">
        <v>402</v>
      </c>
      <c r="J1152" s="72">
        <f>M1164</f>
        <v>792211.23405861156</v>
      </c>
      <c r="K1152" s="55" t="s">
        <v>351</v>
      </c>
      <c r="L1152" s="59">
        <f>M1182</f>
        <v>31743.274131983333</v>
      </c>
      <c r="M1152" s="55" t="s">
        <v>352</v>
      </c>
      <c r="N1152" s="59">
        <f>M1191</f>
        <v>63976.319460000006</v>
      </c>
    </row>
    <row r="1153" spans="1:14" ht="12.75" customHeight="1" thickBot="1" x14ac:dyDescent="0.3">
      <c r="A1153" s="60"/>
      <c r="B1153" s="60"/>
      <c r="C1153" s="60"/>
      <c r="D1153" s="60"/>
      <c r="E1153" s="60"/>
      <c r="F1153" s="60"/>
      <c r="G1153" s="60"/>
      <c r="J1153" s="60"/>
      <c r="K1153" s="60"/>
      <c r="L1153" s="327" t="s">
        <v>1934</v>
      </c>
      <c r="M1153" s="328">
        <f>+F1152*'01'!$O$16</f>
        <v>1153381.062483001</v>
      </c>
      <c r="N1153" s="60"/>
    </row>
    <row r="1154" spans="1:14" ht="12.75" customHeight="1" x14ac:dyDescent="0.2">
      <c r="A1154" s="716" t="s">
        <v>403</v>
      </c>
      <c r="B1154" s="418"/>
      <c r="C1154" s="418"/>
      <c r="D1154" s="418"/>
      <c r="E1154" s="418"/>
      <c r="F1154" s="418"/>
      <c r="G1154" s="418"/>
      <c r="H1154" s="418"/>
      <c r="I1154" s="418"/>
      <c r="J1154" s="418"/>
      <c r="K1154" s="418"/>
      <c r="L1154" s="418"/>
      <c r="M1154" s="418"/>
      <c r="N1154" s="416"/>
    </row>
    <row r="1155" spans="1:14" ht="12.75" customHeight="1" x14ac:dyDescent="0.2">
      <c r="A1155" s="713" t="s">
        <v>39</v>
      </c>
      <c r="B1155" s="418"/>
      <c r="C1155" s="418"/>
      <c r="D1155" s="418"/>
      <c r="E1155" s="418"/>
      <c r="F1155" s="418"/>
      <c r="G1155" s="416"/>
      <c r="H1155" s="61" t="s">
        <v>40</v>
      </c>
      <c r="I1155" s="717" t="s">
        <v>404</v>
      </c>
      <c r="J1155" s="416"/>
      <c r="K1155" s="717" t="s">
        <v>184</v>
      </c>
      <c r="L1155" s="416"/>
      <c r="M1155" s="717" t="s">
        <v>405</v>
      </c>
      <c r="N1155" s="416"/>
    </row>
    <row r="1156" spans="1:14" ht="12.75" customHeight="1" x14ac:dyDescent="0.2">
      <c r="A1156" s="714" t="s">
        <v>503</v>
      </c>
      <c r="B1156" s="418"/>
      <c r="C1156" s="418"/>
      <c r="D1156" s="418"/>
      <c r="E1156" s="418"/>
      <c r="F1156" s="418"/>
      <c r="G1156" s="416"/>
      <c r="H1156" s="12" t="str">
        <f t="shared" ref="H1156:H1161" si="148">IF(A1156="","",VLOOKUP(A1156,AA_Materiales,7,FALSE))</f>
        <v>Unidad</v>
      </c>
      <c r="I1156" s="712">
        <f t="shared" ref="I1156:I1163" si="149">IF(A1156="","",VLOOKUP(A1156,AA_Materiales,8,FALSE))</f>
        <v>631666.66666666663</v>
      </c>
      <c r="J1156" s="416"/>
      <c r="K1156" s="715">
        <v>1</v>
      </c>
      <c r="L1156" s="416"/>
      <c r="M1156" s="712">
        <f t="shared" ref="M1156:M1163" si="150">IF(A1156="","",I1156*K1156)</f>
        <v>631666.66666666663</v>
      </c>
      <c r="N1156" s="416"/>
    </row>
    <row r="1157" spans="1:14" ht="12.75" customHeight="1" x14ac:dyDescent="0.2">
      <c r="A1157" s="714" t="s">
        <v>451</v>
      </c>
      <c r="B1157" s="418"/>
      <c r="C1157" s="418"/>
      <c r="D1157" s="418"/>
      <c r="E1157" s="418"/>
      <c r="F1157" s="418"/>
      <c r="G1157" s="416"/>
      <c r="H1157" s="12" t="str">
        <f t="shared" si="148"/>
        <v>m3</v>
      </c>
      <c r="I1157" s="712">
        <f t="shared" si="149"/>
        <v>642178.26956777973</v>
      </c>
      <c r="J1157" s="416"/>
      <c r="K1157" s="715">
        <v>0.25</v>
      </c>
      <c r="L1157" s="416"/>
      <c r="M1157" s="712">
        <f t="shared" si="150"/>
        <v>160544.56739194493</v>
      </c>
      <c r="N1157" s="416"/>
    </row>
    <row r="1158" spans="1:14" ht="12.75" customHeight="1" x14ac:dyDescent="0.2">
      <c r="A1158" s="714"/>
      <c r="B1158" s="418"/>
      <c r="C1158" s="418"/>
      <c r="D1158" s="418"/>
      <c r="E1158" s="418"/>
      <c r="F1158" s="418"/>
      <c r="G1158" s="416"/>
      <c r="H1158" s="12" t="str">
        <f t="shared" si="148"/>
        <v/>
      </c>
      <c r="I1158" s="712" t="str">
        <f t="shared" si="149"/>
        <v/>
      </c>
      <c r="J1158" s="416"/>
      <c r="K1158" s="715"/>
      <c r="L1158" s="416"/>
      <c r="M1158" s="712" t="str">
        <f t="shared" si="150"/>
        <v/>
      </c>
      <c r="N1158" s="416"/>
    </row>
    <row r="1159" spans="1:14" ht="12.75" customHeight="1" x14ac:dyDescent="0.2">
      <c r="A1159" s="714"/>
      <c r="B1159" s="418"/>
      <c r="C1159" s="418"/>
      <c r="D1159" s="418"/>
      <c r="E1159" s="418"/>
      <c r="F1159" s="418"/>
      <c r="G1159" s="416"/>
      <c r="H1159" s="12" t="str">
        <f t="shared" si="148"/>
        <v/>
      </c>
      <c r="I1159" s="712" t="str">
        <f t="shared" si="149"/>
        <v/>
      </c>
      <c r="J1159" s="416"/>
      <c r="K1159" s="715"/>
      <c r="L1159" s="416"/>
      <c r="M1159" s="712" t="str">
        <f t="shared" si="150"/>
        <v/>
      </c>
      <c r="N1159" s="416"/>
    </row>
    <row r="1160" spans="1:14" ht="12.75" customHeight="1" x14ac:dyDescent="0.2">
      <c r="A1160" s="714"/>
      <c r="B1160" s="418"/>
      <c r="C1160" s="418"/>
      <c r="D1160" s="418"/>
      <c r="E1160" s="418"/>
      <c r="F1160" s="418"/>
      <c r="G1160" s="416"/>
      <c r="H1160" s="12" t="str">
        <f t="shared" si="148"/>
        <v/>
      </c>
      <c r="I1160" s="712" t="str">
        <f t="shared" si="149"/>
        <v/>
      </c>
      <c r="J1160" s="416"/>
      <c r="K1160" s="715"/>
      <c r="L1160" s="416"/>
      <c r="M1160" s="712" t="str">
        <f t="shared" si="150"/>
        <v/>
      </c>
      <c r="N1160" s="416"/>
    </row>
    <row r="1161" spans="1:14" ht="12.75" customHeight="1" x14ac:dyDescent="0.2">
      <c r="A1161" s="714"/>
      <c r="B1161" s="418"/>
      <c r="C1161" s="418"/>
      <c r="D1161" s="418"/>
      <c r="E1161" s="418"/>
      <c r="F1161" s="418"/>
      <c r="G1161" s="416"/>
      <c r="H1161" s="12" t="str">
        <f t="shared" si="148"/>
        <v/>
      </c>
      <c r="I1161" s="712" t="str">
        <f t="shared" si="149"/>
        <v/>
      </c>
      <c r="J1161" s="416"/>
      <c r="K1161" s="715"/>
      <c r="L1161" s="416"/>
      <c r="M1161" s="712" t="str">
        <f t="shared" si="150"/>
        <v/>
      </c>
      <c r="N1161" s="416"/>
    </row>
    <row r="1162" spans="1:14" ht="12.75" customHeight="1" x14ac:dyDescent="0.2">
      <c r="A1162" s="714"/>
      <c r="B1162" s="418"/>
      <c r="C1162" s="418"/>
      <c r="D1162" s="418"/>
      <c r="E1162" s="418"/>
      <c r="F1162" s="418"/>
      <c r="G1162" s="416"/>
      <c r="H1162" s="12"/>
      <c r="I1162" s="712" t="str">
        <f t="shared" si="149"/>
        <v/>
      </c>
      <c r="J1162" s="416"/>
      <c r="K1162" s="715"/>
      <c r="L1162" s="416"/>
      <c r="M1162" s="712" t="str">
        <f t="shared" si="150"/>
        <v/>
      </c>
      <c r="N1162" s="416"/>
    </row>
    <row r="1163" spans="1:14" ht="12.75" customHeight="1" x14ac:dyDescent="0.2">
      <c r="A1163" s="714"/>
      <c r="B1163" s="418"/>
      <c r="C1163" s="418"/>
      <c r="D1163" s="418"/>
      <c r="E1163" s="418"/>
      <c r="F1163" s="418"/>
      <c r="G1163" s="416"/>
      <c r="H1163" s="12" t="str">
        <f>IF(A1163="","",VLOOKUP(A1163,AA_Materiales,7,FALSE))</f>
        <v/>
      </c>
      <c r="I1163" s="712" t="str">
        <f t="shared" si="149"/>
        <v/>
      </c>
      <c r="J1163" s="416"/>
      <c r="K1163" s="715"/>
      <c r="L1163" s="416"/>
      <c r="M1163" s="712" t="str">
        <f t="shared" si="150"/>
        <v/>
      </c>
      <c r="N1163" s="416"/>
    </row>
    <row r="1164" spans="1:14" ht="12.75" customHeight="1" x14ac:dyDescent="0.25">
      <c r="A1164" s="5"/>
      <c r="B1164" s="5"/>
      <c r="C1164" s="5"/>
      <c r="D1164" s="5"/>
      <c r="E1164" s="5"/>
      <c r="F1164" s="5"/>
      <c r="G1164" s="5"/>
      <c r="H1164" s="5"/>
      <c r="I1164" s="5"/>
      <c r="J1164" s="5"/>
      <c r="K1164" s="713" t="s">
        <v>261</v>
      </c>
      <c r="L1164" s="416"/>
      <c r="M1164" s="712">
        <f>SUM(M1156:N1163)</f>
        <v>792211.23405861156</v>
      </c>
      <c r="N1164" s="416"/>
    </row>
    <row r="1165" spans="1:14" ht="12.75" customHeight="1" x14ac:dyDescent="0.25">
      <c r="A1165" s="5"/>
      <c r="B1165" s="5"/>
      <c r="C1165" s="5"/>
      <c r="D1165" s="5"/>
      <c r="E1165" s="5"/>
      <c r="F1165" s="5"/>
      <c r="G1165" s="5"/>
      <c r="H1165" s="5"/>
      <c r="I1165" s="5"/>
      <c r="J1165" s="5"/>
      <c r="K1165" s="5"/>
      <c r="L1165" s="5"/>
      <c r="M1165" s="5"/>
      <c r="N1165" s="5"/>
    </row>
    <row r="1166" spans="1:14" ht="12.75" customHeight="1" x14ac:dyDescent="0.2">
      <c r="A1166" s="716" t="s">
        <v>410</v>
      </c>
      <c r="B1166" s="418"/>
      <c r="C1166" s="418"/>
      <c r="D1166" s="418"/>
      <c r="E1166" s="418"/>
      <c r="F1166" s="418"/>
      <c r="G1166" s="418"/>
      <c r="H1166" s="418"/>
      <c r="I1166" s="418"/>
      <c r="J1166" s="418"/>
      <c r="K1166" s="418"/>
      <c r="L1166" s="418"/>
      <c r="M1166" s="418"/>
      <c r="N1166" s="416"/>
    </row>
    <row r="1167" spans="1:14" ht="12.75" customHeight="1" x14ac:dyDescent="0.2">
      <c r="A1167" s="713" t="s">
        <v>39</v>
      </c>
      <c r="B1167" s="418"/>
      <c r="C1167" s="418"/>
      <c r="D1167" s="418"/>
      <c r="E1167" s="418"/>
      <c r="F1167" s="418"/>
      <c r="G1167" s="416"/>
      <c r="H1167" s="61" t="s">
        <v>40</v>
      </c>
      <c r="I1167" s="717" t="s">
        <v>404</v>
      </c>
      <c r="J1167" s="416"/>
      <c r="K1167" s="717" t="s">
        <v>184</v>
      </c>
      <c r="L1167" s="416"/>
      <c r="M1167" s="717" t="s">
        <v>405</v>
      </c>
      <c r="N1167" s="416"/>
    </row>
    <row r="1168" spans="1:14" ht="12.75" customHeight="1" x14ac:dyDescent="0.2">
      <c r="A1168" s="714" t="s">
        <v>411</v>
      </c>
      <c r="B1168" s="418"/>
      <c r="C1168" s="418"/>
      <c r="D1168" s="418"/>
      <c r="E1168" s="418"/>
      <c r="F1168" s="418"/>
      <c r="G1168" s="416"/>
      <c r="H1168" s="12" t="str">
        <f>IF(A1168="","",VLOOKUP(A1168,AA_Equipos,7,FALSE))</f>
        <v>% M.O.</v>
      </c>
      <c r="I1168" s="712">
        <f>+M1191</f>
        <v>63976.319460000006</v>
      </c>
      <c r="J1168" s="416"/>
      <c r="K1168" s="722">
        <v>0.05</v>
      </c>
      <c r="L1168" s="416"/>
      <c r="M1168" s="712">
        <f t="shared" ref="M1168:M1172" si="151">IF(A1168="","",I1168*K1168)</f>
        <v>3198.8159730000007</v>
      </c>
      <c r="N1168" s="416"/>
    </row>
    <row r="1169" spans="1:14" ht="12.75" customHeight="1" x14ac:dyDescent="0.2">
      <c r="A1169" s="719"/>
      <c r="B1169" s="418"/>
      <c r="C1169" s="418"/>
      <c r="D1169" s="418"/>
      <c r="E1169" s="418"/>
      <c r="F1169" s="418"/>
      <c r="G1169" s="416"/>
      <c r="H1169" s="12" t="str">
        <f>IF(A1169="","",VLOOKUP(A1169,AA_Equipos,7,FALSE))</f>
        <v/>
      </c>
      <c r="I1169" s="712" t="str">
        <f>IF(A1169="","",VLOOKUP(A1169,AA_Equipos,8,FALSE))</f>
        <v/>
      </c>
      <c r="J1169" s="416"/>
      <c r="K1169" s="723"/>
      <c r="L1169" s="416"/>
      <c r="M1169" s="712" t="str">
        <f t="shared" si="151"/>
        <v/>
      </c>
      <c r="N1169" s="416"/>
    </row>
    <row r="1170" spans="1:14" ht="12.75" customHeight="1" x14ac:dyDescent="0.2">
      <c r="A1170" s="714"/>
      <c r="B1170" s="418"/>
      <c r="C1170" s="418"/>
      <c r="D1170" s="418"/>
      <c r="E1170" s="418"/>
      <c r="F1170" s="418"/>
      <c r="G1170" s="416"/>
      <c r="H1170" s="12" t="str">
        <f>IF(A1170="","",VLOOKUP(A1170,AA_Equipos,7,FALSE))</f>
        <v/>
      </c>
      <c r="I1170" s="712"/>
      <c r="J1170" s="416"/>
      <c r="K1170" s="722"/>
      <c r="L1170" s="416"/>
      <c r="M1170" s="712" t="str">
        <f t="shared" si="151"/>
        <v/>
      </c>
      <c r="N1170" s="416"/>
    </row>
    <row r="1171" spans="1:14" ht="12.75" customHeight="1" x14ac:dyDescent="0.2">
      <c r="A1171" s="714"/>
      <c r="B1171" s="418"/>
      <c r="C1171" s="418"/>
      <c r="D1171" s="418"/>
      <c r="E1171" s="418"/>
      <c r="F1171" s="418"/>
      <c r="G1171" s="416"/>
      <c r="H1171" s="12" t="str">
        <f>IF(A1171="","",VLOOKUP(A1171,AA_Equipos,7,FALSE))</f>
        <v/>
      </c>
      <c r="I1171" s="712" t="str">
        <f>IF(A1171="","",VLOOKUP(A1171,AA_Equipos,8,FALSE))</f>
        <v/>
      </c>
      <c r="J1171" s="416"/>
      <c r="K1171" s="715"/>
      <c r="L1171" s="416"/>
      <c r="M1171" s="712" t="str">
        <f t="shared" si="151"/>
        <v/>
      </c>
      <c r="N1171" s="416"/>
    </row>
    <row r="1172" spans="1:14" ht="12.75" customHeight="1" x14ac:dyDescent="0.2">
      <c r="A1172" s="714"/>
      <c r="B1172" s="418"/>
      <c r="C1172" s="418"/>
      <c r="D1172" s="418"/>
      <c r="E1172" s="418"/>
      <c r="F1172" s="418"/>
      <c r="G1172" s="416"/>
      <c r="H1172" s="12" t="str">
        <f>IF(A1172="","",VLOOKUP(A1172,AA_Equipos,7,FALSE))</f>
        <v/>
      </c>
      <c r="I1172" s="712" t="str">
        <f>IF(A1172="","",VLOOKUP(A1172,AA_Equipos,8,FALSE))</f>
        <v/>
      </c>
      <c r="J1172" s="416"/>
      <c r="K1172" s="715"/>
      <c r="L1172" s="416"/>
      <c r="M1172" s="712" t="str">
        <f t="shared" si="151"/>
        <v/>
      </c>
      <c r="N1172" s="416"/>
    </row>
    <row r="1173" spans="1:14" ht="12.75" customHeight="1" x14ac:dyDescent="0.25">
      <c r="A1173" s="5"/>
      <c r="B1173" s="5"/>
      <c r="C1173" s="5"/>
      <c r="D1173" s="5"/>
      <c r="E1173" s="5"/>
      <c r="F1173" s="5"/>
      <c r="G1173" s="5"/>
      <c r="H1173" s="5"/>
      <c r="I1173" s="5"/>
      <c r="J1173" s="5"/>
      <c r="K1173" s="713" t="s">
        <v>261</v>
      </c>
      <c r="L1173" s="416"/>
      <c r="M1173" s="712">
        <f>SUM(M1168:N1172)</f>
        <v>3198.8159730000007</v>
      </c>
      <c r="N1173" s="416"/>
    </row>
    <row r="1174" spans="1:14" ht="12.75" customHeight="1" x14ac:dyDescent="0.25">
      <c r="A1174" s="5"/>
      <c r="B1174" s="5"/>
      <c r="C1174" s="5"/>
      <c r="D1174" s="5"/>
      <c r="E1174" s="5"/>
      <c r="F1174" s="5"/>
      <c r="G1174" s="5"/>
      <c r="H1174" s="5"/>
      <c r="I1174" s="5"/>
      <c r="J1174" s="5"/>
      <c r="K1174" s="5"/>
      <c r="L1174" s="5"/>
      <c r="M1174" s="5"/>
      <c r="N1174" s="5"/>
    </row>
    <row r="1175" spans="1:14" ht="12.75" customHeight="1" x14ac:dyDescent="0.2">
      <c r="A1175" s="716" t="s">
        <v>413</v>
      </c>
      <c r="B1175" s="418"/>
      <c r="C1175" s="418"/>
      <c r="D1175" s="418"/>
      <c r="E1175" s="418"/>
      <c r="F1175" s="418"/>
      <c r="G1175" s="418"/>
      <c r="H1175" s="418"/>
      <c r="I1175" s="418"/>
      <c r="J1175" s="418"/>
      <c r="K1175" s="418"/>
      <c r="L1175" s="418"/>
      <c r="M1175" s="418"/>
      <c r="N1175" s="416"/>
    </row>
    <row r="1176" spans="1:14" ht="12.75" customHeight="1" x14ac:dyDescent="0.2">
      <c r="A1176" s="713" t="s">
        <v>39</v>
      </c>
      <c r="B1176" s="418"/>
      <c r="C1176" s="418"/>
      <c r="D1176" s="418"/>
      <c r="E1176" s="418"/>
      <c r="F1176" s="418"/>
      <c r="G1176" s="416"/>
      <c r="H1176" s="61" t="s">
        <v>40</v>
      </c>
      <c r="I1176" s="717" t="s">
        <v>404</v>
      </c>
      <c r="J1176" s="416"/>
      <c r="K1176" s="717" t="s">
        <v>184</v>
      </c>
      <c r="L1176" s="416"/>
      <c r="M1176" s="717" t="s">
        <v>405</v>
      </c>
      <c r="N1176" s="416"/>
    </row>
    <row r="1177" spans="1:14" ht="12.75" customHeight="1" x14ac:dyDescent="0.2">
      <c r="A1177" s="714" t="s">
        <v>414</v>
      </c>
      <c r="B1177" s="418"/>
      <c r="C1177" s="418"/>
      <c r="D1177" s="418"/>
      <c r="E1177" s="418"/>
      <c r="F1177" s="418"/>
      <c r="G1177" s="416"/>
      <c r="H1177" s="12" t="s">
        <v>13</v>
      </c>
      <c r="I1177" s="712">
        <f>+M1156+M1173</f>
        <v>634865.48263966665</v>
      </c>
      <c r="J1177" s="416"/>
      <c r="K1177" s="722">
        <v>0.05</v>
      </c>
      <c r="L1177" s="416"/>
      <c r="M1177" s="712">
        <f t="shared" ref="M1177:M1181" si="152">IF(A1177="","",I1177*K1177)</f>
        <v>31743.274131983333</v>
      </c>
      <c r="N1177" s="416"/>
    </row>
    <row r="1178" spans="1:14" ht="12.75" customHeight="1" x14ac:dyDescent="0.2">
      <c r="A1178" s="719"/>
      <c r="B1178" s="418"/>
      <c r="C1178" s="418"/>
      <c r="D1178" s="418"/>
      <c r="E1178" s="418"/>
      <c r="F1178" s="418"/>
      <c r="G1178" s="416"/>
      <c r="H1178" s="12"/>
      <c r="I1178" s="712"/>
      <c r="J1178" s="416"/>
      <c r="K1178" s="722"/>
      <c r="L1178" s="416"/>
      <c r="M1178" s="712" t="str">
        <f t="shared" si="152"/>
        <v/>
      </c>
      <c r="N1178" s="416"/>
    </row>
    <row r="1179" spans="1:14" ht="12.75" customHeight="1" x14ac:dyDescent="0.2">
      <c r="A1179" s="714"/>
      <c r="B1179" s="418"/>
      <c r="C1179" s="418"/>
      <c r="D1179" s="418"/>
      <c r="E1179" s="418"/>
      <c r="F1179" s="418"/>
      <c r="G1179" s="416"/>
      <c r="H1179" s="12"/>
      <c r="I1179" s="712"/>
      <c r="J1179" s="416"/>
      <c r="K1179" s="715"/>
      <c r="L1179" s="416"/>
      <c r="M1179" s="712" t="str">
        <f t="shared" si="152"/>
        <v/>
      </c>
      <c r="N1179" s="416"/>
    </row>
    <row r="1180" spans="1:14" ht="12.75" customHeight="1" x14ac:dyDescent="0.2">
      <c r="A1180" s="714"/>
      <c r="B1180" s="418"/>
      <c r="C1180" s="418"/>
      <c r="D1180" s="418"/>
      <c r="E1180" s="418"/>
      <c r="F1180" s="418"/>
      <c r="G1180" s="416"/>
      <c r="H1180" s="12"/>
      <c r="I1180" s="712"/>
      <c r="J1180" s="416"/>
      <c r="K1180" s="715"/>
      <c r="L1180" s="416"/>
      <c r="M1180" s="712" t="str">
        <f t="shared" si="152"/>
        <v/>
      </c>
      <c r="N1180" s="416"/>
    </row>
    <row r="1181" spans="1:14" ht="12.75" customHeight="1" x14ac:dyDescent="0.2">
      <c r="A1181" s="714"/>
      <c r="B1181" s="418"/>
      <c r="C1181" s="418"/>
      <c r="D1181" s="418"/>
      <c r="E1181" s="418"/>
      <c r="F1181" s="418"/>
      <c r="G1181" s="416"/>
      <c r="H1181" s="12"/>
      <c r="I1181" s="712"/>
      <c r="J1181" s="416"/>
      <c r="K1181" s="715"/>
      <c r="L1181" s="416"/>
      <c r="M1181" s="712" t="str">
        <f t="shared" si="152"/>
        <v/>
      </c>
      <c r="N1181" s="416"/>
    </row>
    <row r="1182" spans="1:14" ht="12.75" customHeight="1" x14ac:dyDescent="0.25">
      <c r="A1182" s="5"/>
      <c r="B1182" s="5"/>
      <c r="C1182" s="5"/>
      <c r="D1182" s="5"/>
      <c r="E1182" s="5"/>
      <c r="F1182" s="5"/>
      <c r="G1182" s="5"/>
      <c r="H1182" s="5"/>
      <c r="I1182" s="5"/>
      <c r="J1182" s="5"/>
      <c r="K1182" s="713" t="s">
        <v>261</v>
      </c>
      <c r="L1182" s="416"/>
      <c r="M1182" s="712">
        <f>SUM(M1177:N1181)</f>
        <v>31743.274131983333</v>
      </c>
      <c r="N1182" s="416"/>
    </row>
    <row r="1183" spans="1:14" ht="12.75" customHeight="1" x14ac:dyDescent="0.25">
      <c r="A1183" s="5"/>
      <c r="B1183" s="5"/>
      <c r="C1183" s="5"/>
      <c r="D1183" s="5"/>
      <c r="E1183" s="5"/>
      <c r="F1183" s="5"/>
      <c r="G1183" s="5"/>
      <c r="H1183" s="5"/>
      <c r="I1183" s="5"/>
      <c r="J1183" s="5"/>
      <c r="K1183" s="5"/>
      <c r="L1183" s="5"/>
      <c r="M1183" s="5"/>
      <c r="N1183" s="5"/>
    </row>
    <row r="1184" spans="1:14" ht="12.75" customHeight="1" x14ac:dyDescent="0.2">
      <c r="A1184" s="716" t="s">
        <v>415</v>
      </c>
      <c r="B1184" s="418"/>
      <c r="C1184" s="418"/>
      <c r="D1184" s="418"/>
      <c r="E1184" s="418"/>
      <c r="F1184" s="418"/>
      <c r="G1184" s="418"/>
      <c r="H1184" s="418"/>
      <c r="I1184" s="418"/>
      <c r="J1184" s="418"/>
      <c r="K1184" s="418"/>
      <c r="L1184" s="418"/>
      <c r="M1184" s="418"/>
      <c r="N1184" s="416"/>
    </row>
    <row r="1185" spans="1:16" ht="12.75" customHeight="1" x14ac:dyDescent="0.2">
      <c r="A1185" s="713" t="s">
        <v>39</v>
      </c>
      <c r="B1185" s="418"/>
      <c r="C1185" s="418"/>
      <c r="D1185" s="418"/>
      <c r="E1185" s="418"/>
      <c r="F1185" s="418"/>
      <c r="G1185" s="416"/>
      <c r="H1185" s="61" t="s">
        <v>40</v>
      </c>
      <c r="I1185" s="717" t="s">
        <v>404</v>
      </c>
      <c r="J1185" s="416"/>
      <c r="K1185" s="64" t="s">
        <v>253</v>
      </c>
      <c r="L1185" s="65" t="s">
        <v>416</v>
      </c>
      <c r="M1185" s="717" t="s">
        <v>405</v>
      </c>
      <c r="N1185" s="416"/>
    </row>
    <row r="1186" spans="1:16" ht="12.75" customHeight="1" x14ac:dyDescent="0.25">
      <c r="A1186" s="711" t="s">
        <v>427</v>
      </c>
      <c r="B1186" s="418"/>
      <c r="C1186" s="418"/>
      <c r="D1186" s="418"/>
      <c r="E1186" s="418"/>
      <c r="F1186" s="418"/>
      <c r="G1186" s="416"/>
      <c r="H1186" s="12" t="str">
        <f>IF(A1186="","",VLOOKUP(A1186,AA_Cuadrillas,4,FALSE))</f>
        <v>Cuadrilla</v>
      </c>
      <c r="I1186" s="712">
        <f>IF(A1186="","",VLOOKUP(A1186,AA_Cuadrillas,5,FALSE))</f>
        <v>169254</v>
      </c>
      <c r="J1186" s="416"/>
      <c r="K1186" s="3">
        <f>IF(A1186="","",'04'!$I$2)</f>
        <v>1.88995</v>
      </c>
      <c r="L1186" s="66">
        <v>0.2</v>
      </c>
      <c r="M1186" s="712">
        <f t="shared" ref="M1186:M1190" si="153">IF(A1186="","",I1186*K1186*L1186)</f>
        <v>63976.319460000006</v>
      </c>
      <c r="N1186" s="416"/>
    </row>
    <row r="1187" spans="1:16" ht="12.75" customHeight="1" x14ac:dyDescent="0.25">
      <c r="A1187" s="711"/>
      <c r="B1187" s="418"/>
      <c r="C1187" s="418"/>
      <c r="D1187" s="418"/>
      <c r="E1187" s="418"/>
      <c r="F1187" s="418"/>
      <c r="G1187" s="416"/>
      <c r="H1187" s="12" t="str">
        <f>IF(A1187="","",VLOOKUP(A1187,AA_Cuadrillas,4,FALSE))</f>
        <v/>
      </c>
      <c r="I1187" s="712" t="str">
        <f>IF(A1187="","",VLOOKUP(A1187,AA_Cuadrillas,5,FALSE))</f>
        <v/>
      </c>
      <c r="J1187" s="416"/>
      <c r="K1187" s="3" t="str">
        <f>IF(A1187="","",'04'!$I$2)</f>
        <v/>
      </c>
      <c r="L1187" s="3"/>
      <c r="M1187" s="712" t="str">
        <f t="shared" si="153"/>
        <v/>
      </c>
      <c r="N1187" s="416"/>
    </row>
    <row r="1188" spans="1:16" ht="12.75" customHeight="1" x14ac:dyDescent="0.25">
      <c r="A1188" s="711"/>
      <c r="B1188" s="418"/>
      <c r="C1188" s="418"/>
      <c r="D1188" s="418"/>
      <c r="E1188" s="418"/>
      <c r="F1188" s="418"/>
      <c r="G1188" s="416"/>
      <c r="H1188" s="12" t="str">
        <f>IF(A1188="","",VLOOKUP(A1188,AA_Cuadrillas,4,FALSE))</f>
        <v/>
      </c>
      <c r="I1188" s="712" t="str">
        <f>IF(A1188="","",VLOOKUP(A1188,AA_Cuadrillas,5,FALSE))</f>
        <v/>
      </c>
      <c r="J1188" s="416"/>
      <c r="K1188" s="3" t="str">
        <f>IF(A1188="","",'04'!$I$2)</f>
        <v/>
      </c>
      <c r="L1188" s="13"/>
      <c r="M1188" s="712" t="str">
        <f t="shared" si="153"/>
        <v/>
      </c>
      <c r="N1188" s="416"/>
    </row>
    <row r="1189" spans="1:16" ht="12.75" customHeight="1" x14ac:dyDescent="0.25">
      <c r="A1189" s="711"/>
      <c r="B1189" s="418"/>
      <c r="C1189" s="418"/>
      <c r="D1189" s="418"/>
      <c r="E1189" s="418"/>
      <c r="F1189" s="418"/>
      <c r="G1189" s="416"/>
      <c r="H1189" s="12" t="str">
        <f>IF(A1189="","",VLOOKUP(A1189,AA_Cuadrillas,4,FALSE))</f>
        <v/>
      </c>
      <c r="I1189" s="712" t="str">
        <f>IF(A1189="","",VLOOKUP(A1189,AA_Cuadrillas,5,FALSE))</f>
        <v/>
      </c>
      <c r="J1189" s="416"/>
      <c r="K1189" s="3" t="str">
        <f>IF(A1189="","",'04'!$I$2)</f>
        <v/>
      </c>
      <c r="L1189" s="13"/>
      <c r="M1189" s="712" t="str">
        <f t="shared" si="153"/>
        <v/>
      </c>
      <c r="N1189" s="416"/>
    </row>
    <row r="1190" spans="1:16" ht="12.75" customHeight="1" x14ac:dyDescent="0.25">
      <c r="A1190" s="711"/>
      <c r="B1190" s="418"/>
      <c r="C1190" s="418"/>
      <c r="D1190" s="418"/>
      <c r="E1190" s="418"/>
      <c r="F1190" s="418"/>
      <c r="G1190" s="416"/>
      <c r="H1190" s="12" t="str">
        <f>IF(A1190="","",VLOOKUP(A1190,AA_Cuadrillas,4,FALSE))</f>
        <v/>
      </c>
      <c r="I1190" s="712" t="str">
        <f>IF(A1190="","",VLOOKUP(A1190,AA_Cuadrillas,5,FALSE))</f>
        <v/>
      </c>
      <c r="J1190" s="416"/>
      <c r="K1190" s="3" t="str">
        <f>IF(A1190="","",'04'!$I$2)</f>
        <v/>
      </c>
      <c r="L1190" s="13"/>
      <c r="M1190" s="712" t="str">
        <f t="shared" si="153"/>
        <v/>
      </c>
      <c r="N1190" s="416"/>
    </row>
    <row r="1191" spans="1:16" ht="12.75" customHeight="1" x14ac:dyDescent="0.25">
      <c r="A1191" s="5"/>
      <c r="B1191" s="5"/>
      <c r="C1191" s="5"/>
      <c r="D1191" s="5"/>
      <c r="E1191" s="5"/>
      <c r="F1191" s="5"/>
      <c r="G1191" s="5"/>
      <c r="H1191" s="5"/>
      <c r="I1191" s="5"/>
      <c r="J1191" s="5"/>
      <c r="K1191" s="713" t="s">
        <v>261</v>
      </c>
      <c r="L1191" s="416"/>
      <c r="M1191" s="712">
        <f>SUM(M1186:N1190)</f>
        <v>63976.319460000006</v>
      </c>
      <c r="N1191" s="416"/>
    </row>
    <row r="1192" spans="1:16" ht="12.75" customHeight="1" x14ac:dyDescent="0.2"/>
    <row r="1193" spans="1:16" ht="12.75" customHeight="1" x14ac:dyDescent="0.2">
      <c r="A1193" s="785" t="s">
        <v>152</v>
      </c>
      <c r="B1193" s="410"/>
      <c r="C1193" s="410"/>
      <c r="D1193" s="410"/>
      <c r="E1193" s="410"/>
      <c r="F1193" s="410"/>
      <c r="G1193" s="410"/>
      <c r="H1193" s="410"/>
      <c r="I1193" s="410"/>
      <c r="J1193" s="410"/>
      <c r="K1193" s="410"/>
      <c r="L1193" s="410"/>
      <c r="M1193" s="410"/>
      <c r="N1193" s="411"/>
      <c r="O1193" s="272"/>
      <c r="P1193" s="9"/>
    </row>
    <row r="1194" spans="1:16" ht="12.75" customHeight="1" x14ac:dyDescent="0.2">
      <c r="A1194" s="412"/>
      <c r="B1194" s="413"/>
      <c r="C1194" s="413"/>
      <c r="D1194" s="413"/>
      <c r="E1194" s="413"/>
      <c r="F1194" s="413"/>
      <c r="G1194" s="413"/>
      <c r="H1194" s="413"/>
      <c r="I1194" s="413"/>
      <c r="J1194" s="413"/>
      <c r="K1194" s="413"/>
      <c r="L1194" s="413"/>
      <c r="M1194" s="413"/>
      <c r="N1194" s="414"/>
      <c r="O1194" s="272"/>
      <c r="P1194" s="9"/>
    </row>
    <row r="1195" spans="1:16" ht="12.75" customHeight="1" x14ac:dyDescent="0.2">
      <c r="A1195" s="49"/>
      <c r="B1195" s="49"/>
      <c r="C1195" s="49"/>
      <c r="D1195" s="49"/>
      <c r="E1195" s="49"/>
      <c r="F1195" s="49"/>
      <c r="G1195" s="49"/>
      <c r="H1195" s="49"/>
      <c r="I1195" s="49"/>
      <c r="J1195" s="49"/>
      <c r="K1195" s="49"/>
      <c r="L1195" s="49"/>
      <c r="M1195" s="49"/>
      <c r="N1195" s="49"/>
    </row>
    <row r="1196" spans="1:16" ht="12.75" customHeight="1" thickBot="1" x14ac:dyDescent="0.35">
      <c r="A1196" s="51" t="str">
        <f>VLOOKUP(A1193,'10'!$B$9:$N$100,13,FALSE)</f>
        <v>G046</v>
      </c>
      <c r="B1196" s="52" t="str">
        <f>A1193</f>
        <v>PORTÓN DE ACCESO VEHÍCULAR AL PREDIO 2.00x2.20m DE DOS HOJAS EN MALLA ESLABONADA NO. 10 (INCLUYE MARCO, TUBERÍA HG DE 2", SOLDADURA, MALLA, PINTURA, PORTACANDADO DE 4", BISAGRA DE 3", MATERIALES, HERRAMIENTA MENOR, EQUIPO Y MANO DE OBRA)</v>
      </c>
      <c r="C1196" s="53" t="s">
        <v>400</v>
      </c>
      <c r="D1196" s="54" t="s">
        <v>475</v>
      </c>
      <c r="E1196" s="55" t="s">
        <v>177</v>
      </c>
      <c r="F1196" s="59">
        <f>H1196+J1196+L1196+N1196</f>
        <v>4797309.7203596383</v>
      </c>
      <c r="G1196" s="55" t="s">
        <v>349</v>
      </c>
      <c r="H1196" s="59">
        <f>M1220</f>
        <v>198227.675319</v>
      </c>
      <c r="I1196" s="55" t="s">
        <v>402</v>
      </c>
      <c r="J1196" s="72">
        <f>M1211</f>
        <v>4058620.3225339414</v>
      </c>
      <c r="K1196" s="55" t="s">
        <v>351</v>
      </c>
      <c r="L1196" s="59">
        <f>M1229</f>
        <v>202931.01612669707</v>
      </c>
      <c r="M1196" s="55" t="s">
        <v>352</v>
      </c>
      <c r="N1196" s="59">
        <f>M1236</f>
        <v>337530.70637999999</v>
      </c>
    </row>
    <row r="1197" spans="1:16" ht="12.75" customHeight="1" thickBot="1" x14ac:dyDescent="0.3">
      <c r="A1197" s="60"/>
      <c r="B1197" s="60"/>
      <c r="C1197" s="60"/>
      <c r="D1197" s="60"/>
      <c r="E1197" s="60"/>
      <c r="F1197" s="60"/>
      <c r="G1197" s="60"/>
      <c r="J1197" s="60"/>
      <c r="K1197" s="60"/>
      <c r="L1197" s="327" t="s">
        <v>1934</v>
      </c>
      <c r="M1197" s="328">
        <f>+F1196*'01'!$O$16</f>
        <v>6209114.7140264716</v>
      </c>
      <c r="N1197" s="60"/>
    </row>
    <row r="1198" spans="1:16" ht="12.75" customHeight="1" x14ac:dyDescent="0.2">
      <c r="A1198" s="716" t="s">
        <v>403</v>
      </c>
      <c r="B1198" s="418"/>
      <c r="C1198" s="418"/>
      <c r="D1198" s="418"/>
      <c r="E1198" s="418"/>
      <c r="F1198" s="418"/>
      <c r="G1198" s="418"/>
      <c r="H1198" s="418"/>
      <c r="I1198" s="418"/>
      <c r="J1198" s="418"/>
      <c r="K1198" s="418"/>
      <c r="L1198" s="418"/>
      <c r="M1198" s="418"/>
      <c r="N1198" s="416"/>
    </row>
    <row r="1199" spans="1:16" ht="12.75" customHeight="1" x14ac:dyDescent="0.2">
      <c r="A1199" s="713" t="s">
        <v>39</v>
      </c>
      <c r="B1199" s="418"/>
      <c r="C1199" s="418"/>
      <c r="D1199" s="418"/>
      <c r="E1199" s="418"/>
      <c r="F1199" s="418"/>
      <c r="G1199" s="416"/>
      <c r="H1199" s="61" t="s">
        <v>40</v>
      </c>
      <c r="I1199" s="717" t="s">
        <v>404</v>
      </c>
      <c r="J1199" s="416"/>
      <c r="K1199" s="717" t="s">
        <v>184</v>
      </c>
      <c r="L1199" s="416"/>
      <c r="M1199" s="717" t="s">
        <v>405</v>
      </c>
      <c r="N1199" s="416"/>
    </row>
    <row r="1200" spans="1:16" ht="12.75" customHeight="1" x14ac:dyDescent="0.2">
      <c r="A1200" s="714" t="s">
        <v>458</v>
      </c>
      <c r="B1200" s="418"/>
      <c r="C1200" s="418"/>
      <c r="D1200" s="418"/>
      <c r="E1200" s="418"/>
      <c r="F1200" s="418"/>
      <c r="G1200" s="416"/>
      <c r="H1200" s="12" t="str">
        <f t="shared" ref="H1200:H1210" si="154">IF(A1200="","",VLOOKUP(A1200,AA_Materiales,7,FALSE))</f>
        <v>ml</v>
      </c>
      <c r="I1200" s="712">
        <f t="shared" ref="I1200:I1210" si="155">IF(A1200="","",VLOOKUP(A1200,AA_Materiales,8,FALSE))</f>
        <v>39448.5</v>
      </c>
      <c r="J1200" s="416"/>
      <c r="K1200" s="715">
        <v>46.88</v>
      </c>
      <c r="L1200" s="416"/>
      <c r="M1200" s="712">
        <f t="shared" ref="M1200:M1210" si="156">IF(A1200="","",I1200*K1200)</f>
        <v>1849345.6800000002</v>
      </c>
      <c r="N1200" s="416"/>
    </row>
    <row r="1201" spans="1:14" ht="12.75" customHeight="1" x14ac:dyDescent="0.2">
      <c r="A1201" s="714" t="s">
        <v>471</v>
      </c>
      <c r="B1201" s="418"/>
      <c r="C1201" s="418"/>
      <c r="D1201" s="418"/>
      <c r="E1201" s="418"/>
      <c r="F1201" s="418"/>
      <c r="G1201" s="416"/>
      <c r="H1201" s="12" t="str">
        <f t="shared" si="154"/>
        <v>Kg</v>
      </c>
      <c r="I1201" s="712">
        <f t="shared" si="155"/>
        <v>27370</v>
      </c>
      <c r="J1201" s="416"/>
      <c r="K1201" s="715">
        <v>15</v>
      </c>
      <c r="L1201" s="416"/>
      <c r="M1201" s="712">
        <f t="shared" si="156"/>
        <v>410550</v>
      </c>
      <c r="N1201" s="416"/>
    </row>
    <row r="1202" spans="1:14" ht="12.75" customHeight="1" x14ac:dyDescent="0.2">
      <c r="A1202" s="789" t="s">
        <v>453</v>
      </c>
      <c r="B1202" s="418"/>
      <c r="C1202" s="418"/>
      <c r="D1202" s="418"/>
      <c r="E1202" s="418"/>
      <c r="F1202" s="418"/>
      <c r="G1202" s="416"/>
      <c r="H1202" s="12" t="str">
        <f t="shared" si="154"/>
        <v>m2</v>
      </c>
      <c r="I1202" s="712">
        <f t="shared" si="155"/>
        <v>17433.5</v>
      </c>
      <c r="J1202" s="416"/>
      <c r="K1202" s="715">
        <v>8.8000000000000007</v>
      </c>
      <c r="L1202" s="416"/>
      <c r="M1202" s="712">
        <f t="shared" si="156"/>
        <v>153414.80000000002</v>
      </c>
      <c r="N1202" s="416"/>
    </row>
    <row r="1203" spans="1:14" ht="12.75" customHeight="1" x14ac:dyDescent="0.2">
      <c r="A1203" s="714" t="s">
        <v>459</v>
      </c>
      <c r="B1203" s="418"/>
      <c r="C1203" s="418"/>
      <c r="D1203" s="418"/>
      <c r="E1203" s="418"/>
      <c r="F1203" s="418"/>
      <c r="G1203" s="416"/>
      <c r="H1203" s="12" t="str">
        <f t="shared" si="154"/>
        <v>Galón</v>
      </c>
      <c r="I1203" s="712">
        <f t="shared" si="155"/>
        <v>78421</v>
      </c>
      <c r="J1203" s="416"/>
      <c r="K1203" s="715">
        <v>1</v>
      </c>
      <c r="L1203" s="416"/>
      <c r="M1203" s="712">
        <f t="shared" si="156"/>
        <v>78421</v>
      </c>
      <c r="N1203" s="416"/>
    </row>
    <row r="1204" spans="1:14" ht="12.75" customHeight="1" x14ac:dyDescent="0.2">
      <c r="A1204" s="714" t="s">
        <v>454</v>
      </c>
      <c r="B1204" s="418"/>
      <c r="C1204" s="418"/>
      <c r="D1204" s="418"/>
      <c r="E1204" s="418"/>
      <c r="F1204" s="418"/>
      <c r="G1204" s="416"/>
      <c r="H1204" s="12" t="str">
        <f t="shared" si="154"/>
        <v>ml</v>
      </c>
      <c r="I1204" s="712">
        <f t="shared" si="155"/>
        <v>11433.333333333334</v>
      </c>
      <c r="J1204" s="416"/>
      <c r="K1204" s="715">
        <v>20.3</v>
      </c>
      <c r="L1204" s="416"/>
      <c r="M1204" s="712">
        <f t="shared" si="156"/>
        <v>232096.66666666669</v>
      </c>
      <c r="N1204" s="416"/>
    </row>
    <row r="1205" spans="1:14" ht="12.75" customHeight="1" x14ac:dyDescent="0.2">
      <c r="A1205" s="714" t="s">
        <v>505</v>
      </c>
      <c r="B1205" s="418"/>
      <c r="C1205" s="418"/>
      <c r="D1205" s="418"/>
      <c r="E1205" s="418"/>
      <c r="F1205" s="418"/>
      <c r="G1205" s="416"/>
      <c r="H1205" s="12" t="str">
        <f t="shared" si="154"/>
        <v>m3</v>
      </c>
      <c r="I1205" s="712">
        <f t="shared" si="155"/>
        <v>779466.77586727508</v>
      </c>
      <c r="J1205" s="416"/>
      <c r="K1205" s="715">
        <v>1</v>
      </c>
      <c r="L1205" s="416"/>
      <c r="M1205" s="712">
        <f t="shared" si="156"/>
        <v>779466.77586727508</v>
      </c>
      <c r="N1205" s="416"/>
    </row>
    <row r="1206" spans="1:14" ht="12.75" customHeight="1" x14ac:dyDescent="0.2">
      <c r="A1206" s="714" t="s">
        <v>480</v>
      </c>
      <c r="B1206" s="418"/>
      <c r="C1206" s="418"/>
      <c r="D1206" s="418"/>
      <c r="E1206" s="418"/>
      <c r="F1206" s="418"/>
      <c r="G1206" s="416"/>
      <c r="H1206" s="12" t="str">
        <f t="shared" si="154"/>
        <v>Galón</v>
      </c>
      <c r="I1206" s="712">
        <f t="shared" si="155"/>
        <v>228004</v>
      </c>
      <c r="J1206" s="416"/>
      <c r="K1206" s="715">
        <v>1.35</v>
      </c>
      <c r="L1206" s="416"/>
      <c r="M1206" s="712">
        <f t="shared" si="156"/>
        <v>307805.40000000002</v>
      </c>
      <c r="N1206" s="416"/>
    </row>
    <row r="1207" spans="1:14" ht="12.75" customHeight="1" x14ac:dyDescent="0.2">
      <c r="A1207" s="714" t="s">
        <v>506</v>
      </c>
      <c r="B1207" s="418"/>
      <c r="C1207" s="418"/>
      <c r="D1207" s="418"/>
      <c r="E1207" s="418"/>
      <c r="F1207" s="418"/>
      <c r="G1207" s="416"/>
      <c r="H1207" s="12" t="str">
        <f t="shared" si="154"/>
        <v>Galón</v>
      </c>
      <c r="I1207" s="712">
        <f t="shared" si="155"/>
        <v>29750</v>
      </c>
      <c r="J1207" s="416"/>
      <c r="K1207" s="715">
        <v>1</v>
      </c>
      <c r="L1207" s="416"/>
      <c r="M1207" s="712">
        <f t="shared" si="156"/>
        <v>29750</v>
      </c>
      <c r="N1207" s="416"/>
    </row>
    <row r="1208" spans="1:14" ht="12.75" customHeight="1" x14ac:dyDescent="0.2">
      <c r="A1208" s="714" t="s">
        <v>507</v>
      </c>
      <c r="B1208" s="418"/>
      <c r="C1208" s="418"/>
      <c r="D1208" s="418"/>
      <c r="E1208" s="418"/>
      <c r="F1208" s="418"/>
      <c r="G1208" s="416"/>
      <c r="H1208" s="12" t="str">
        <f t="shared" si="154"/>
        <v>Unidad</v>
      </c>
      <c r="I1208" s="712">
        <f t="shared" si="155"/>
        <v>18921</v>
      </c>
      <c r="J1208" s="416"/>
      <c r="K1208" s="715">
        <v>2</v>
      </c>
      <c r="L1208" s="416"/>
      <c r="M1208" s="712">
        <f t="shared" si="156"/>
        <v>37842</v>
      </c>
      <c r="N1208" s="416"/>
    </row>
    <row r="1209" spans="1:14" ht="12.75" customHeight="1" x14ac:dyDescent="0.2">
      <c r="A1209" s="714" t="s">
        <v>508</v>
      </c>
      <c r="B1209" s="418"/>
      <c r="C1209" s="418"/>
      <c r="D1209" s="418"/>
      <c r="E1209" s="418"/>
      <c r="F1209" s="418"/>
      <c r="G1209" s="416"/>
      <c r="H1209" s="12" t="str">
        <f t="shared" si="154"/>
        <v>Unidad</v>
      </c>
      <c r="I1209" s="712">
        <f t="shared" si="155"/>
        <v>22491</v>
      </c>
      <c r="J1209" s="416"/>
      <c r="K1209" s="715">
        <v>8</v>
      </c>
      <c r="L1209" s="416"/>
      <c r="M1209" s="712">
        <f t="shared" si="156"/>
        <v>179928</v>
      </c>
      <c r="N1209" s="416"/>
    </row>
    <row r="1210" spans="1:14" ht="12.75" customHeight="1" x14ac:dyDescent="0.2">
      <c r="A1210" s="714"/>
      <c r="B1210" s="418"/>
      <c r="C1210" s="418"/>
      <c r="D1210" s="418"/>
      <c r="E1210" s="418"/>
      <c r="F1210" s="418"/>
      <c r="G1210" s="416"/>
      <c r="H1210" s="12" t="str">
        <f t="shared" si="154"/>
        <v/>
      </c>
      <c r="I1210" s="712" t="str">
        <f t="shared" si="155"/>
        <v/>
      </c>
      <c r="J1210" s="416"/>
      <c r="K1210" s="715"/>
      <c r="L1210" s="416"/>
      <c r="M1210" s="712" t="str">
        <f t="shared" si="156"/>
        <v/>
      </c>
      <c r="N1210" s="416"/>
    </row>
    <row r="1211" spans="1:14" ht="12.75" customHeight="1" x14ac:dyDescent="0.25">
      <c r="A1211" s="5"/>
      <c r="B1211" s="5"/>
      <c r="C1211" s="5"/>
      <c r="D1211" s="5"/>
      <c r="E1211" s="5"/>
      <c r="F1211" s="5"/>
      <c r="G1211" s="5"/>
      <c r="H1211" s="5"/>
      <c r="I1211" s="5"/>
      <c r="J1211" s="5"/>
      <c r="K1211" s="713" t="s">
        <v>261</v>
      </c>
      <c r="L1211" s="416"/>
      <c r="M1211" s="712">
        <f>SUM(M1200:N1210)</f>
        <v>4058620.3225339414</v>
      </c>
      <c r="N1211" s="416"/>
    </row>
    <row r="1212" spans="1:14" ht="12.75" customHeight="1" x14ac:dyDescent="0.25">
      <c r="A1212" s="5"/>
      <c r="B1212" s="5"/>
      <c r="C1212" s="5"/>
      <c r="D1212" s="5"/>
      <c r="E1212" s="5"/>
      <c r="F1212" s="5"/>
      <c r="G1212" s="5"/>
      <c r="H1212" s="5"/>
      <c r="I1212" s="5"/>
      <c r="J1212" s="5"/>
      <c r="K1212" s="5"/>
      <c r="L1212" s="5"/>
      <c r="M1212" s="5"/>
      <c r="N1212" s="5"/>
    </row>
    <row r="1213" spans="1:14" ht="12.75" customHeight="1" x14ac:dyDescent="0.2">
      <c r="A1213" s="716" t="s">
        <v>410</v>
      </c>
      <c r="B1213" s="418"/>
      <c r="C1213" s="418"/>
      <c r="D1213" s="418"/>
      <c r="E1213" s="418"/>
      <c r="F1213" s="418"/>
      <c r="G1213" s="418"/>
      <c r="H1213" s="418"/>
      <c r="I1213" s="418"/>
      <c r="J1213" s="418"/>
      <c r="K1213" s="418"/>
      <c r="L1213" s="418"/>
      <c r="M1213" s="418"/>
      <c r="N1213" s="416"/>
    </row>
    <row r="1214" spans="1:14" ht="12.75" customHeight="1" x14ac:dyDescent="0.2">
      <c r="A1214" s="713" t="s">
        <v>39</v>
      </c>
      <c r="B1214" s="418"/>
      <c r="C1214" s="418"/>
      <c r="D1214" s="418"/>
      <c r="E1214" s="418"/>
      <c r="F1214" s="418"/>
      <c r="G1214" s="416"/>
      <c r="H1214" s="61" t="s">
        <v>40</v>
      </c>
      <c r="I1214" s="717" t="s">
        <v>404</v>
      </c>
      <c r="J1214" s="416"/>
      <c r="K1214" s="717" t="s">
        <v>184</v>
      </c>
      <c r="L1214" s="416"/>
      <c r="M1214" s="717" t="s">
        <v>405</v>
      </c>
      <c r="N1214" s="416"/>
    </row>
    <row r="1215" spans="1:14" ht="12.75" customHeight="1" x14ac:dyDescent="0.2">
      <c r="A1215" s="714" t="s">
        <v>411</v>
      </c>
      <c r="B1215" s="418"/>
      <c r="C1215" s="418"/>
      <c r="D1215" s="418"/>
      <c r="E1215" s="418"/>
      <c r="F1215" s="418"/>
      <c r="G1215" s="416"/>
      <c r="H1215" s="12" t="str">
        <f>IF(A1215="","",VLOOKUP(A1215,AA_Equipos,7,FALSE))</f>
        <v>% M.O.</v>
      </c>
      <c r="I1215" s="712">
        <f>+M1236</f>
        <v>337530.70637999999</v>
      </c>
      <c r="J1215" s="416"/>
      <c r="K1215" s="722">
        <v>0.05</v>
      </c>
      <c r="L1215" s="416"/>
      <c r="M1215" s="712">
        <f t="shared" ref="M1215:M1219" si="157">IF(A1215="","",I1215*K1215)</f>
        <v>16876.535318999999</v>
      </c>
      <c r="N1215" s="416"/>
    </row>
    <row r="1216" spans="1:14" ht="12.75" customHeight="1" x14ac:dyDescent="0.2">
      <c r="A1216" s="719" t="s">
        <v>472</v>
      </c>
      <c r="B1216" s="418"/>
      <c r="C1216" s="418"/>
      <c r="D1216" s="418"/>
      <c r="E1216" s="418"/>
      <c r="F1216" s="418"/>
      <c r="G1216" s="416"/>
      <c r="H1216" s="12" t="str">
        <f>IF(A1216="","",VLOOKUP(A1216,AA_Equipos,7,FALSE))</f>
        <v>Dia</v>
      </c>
      <c r="I1216" s="712">
        <f>IF(A1216="","",VLOOKUP(A1216,AA_Equipos,8,FALSE))</f>
        <v>166493</v>
      </c>
      <c r="J1216" s="416"/>
      <c r="K1216" s="723">
        <v>0.6</v>
      </c>
      <c r="L1216" s="416"/>
      <c r="M1216" s="712">
        <f t="shared" si="157"/>
        <v>99895.8</v>
      </c>
      <c r="N1216" s="416"/>
    </row>
    <row r="1217" spans="1:14" ht="12.75" customHeight="1" x14ac:dyDescent="0.2">
      <c r="A1217" s="714" t="s">
        <v>481</v>
      </c>
      <c r="B1217" s="418"/>
      <c r="C1217" s="418"/>
      <c r="D1217" s="418"/>
      <c r="E1217" s="418"/>
      <c r="F1217" s="418"/>
      <c r="G1217" s="416"/>
      <c r="H1217" s="12" t="str">
        <f>IF(A1217="","",VLOOKUP(A1217,AA_Equipos,7,FALSE))</f>
        <v>Dia</v>
      </c>
      <c r="I1217" s="712">
        <f>IF(A1217="","",VLOOKUP(A1217,AA_Equipos,8,FALSE))</f>
        <v>40000</v>
      </c>
      <c r="J1217" s="416"/>
      <c r="K1217" s="723">
        <v>0.6</v>
      </c>
      <c r="L1217" s="416"/>
      <c r="M1217" s="712">
        <f t="shared" si="157"/>
        <v>24000</v>
      </c>
      <c r="N1217" s="416"/>
    </row>
    <row r="1218" spans="1:14" ht="12.75" customHeight="1" x14ac:dyDescent="0.2">
      <c r="A1218" s="714" t="s">
        <v>441</v>
      </c>
      <c r="B1218" s="418"/>
      <c r="C1218" s="418"/>
      <c r="D1218" s="418"/>
      <c r="E1218" s="418"/>
      <c r="F1218" s="418"/>
      <c r="G1218" s="416"/>
      <c r="H1218" s="12" t="str">
        <f>IF(A1218="","",VLOOKUP(A1218,AA_Equipos,7,FALSE))</f>
        <v>Dia</v>
      </c>
      <c r="I1218" s="712">
        <f>IF(A1218="","",VLOOKUP(A1218,AA_Equipos,8,FALSE))</f>
        <v>75993</v>
      </c>
      <c r="J1218" s="416"/>
      <c r="K1218" s="723">
        <v>0.6</v>
      </c>
      <c r="L1218" s="416"/>
      <c r="M1218" s="712">
        <f t="shared" si="157"/>
        <v>45595.799999999996</v>
      </c>
      <c r="N1218" s="416"/>
    </row>
    <row r="1219" spans="1:14" ht="12.75" customHeight="1" x14ac:dyDescent="0.2">
      <c r="A1219" s="714" t="s">
        <v>509</v>
      </c>
      <c r="B1219" s="418"/>
      <c r="C1219" s="418"/>
      <c r="D1219" s="418"/>
      <c r="E1219" s="418"/>
      <c r="F1219" s="418"/>
      <c r="G1219" s="416"/>
      <c r="H1219" s="12" t="str">
        <f>IF(A1219="","",VLOOKUP(A1219,AA_Equipos,7,FALSE))</f>
        <v>Dia</v>
      </c>
      <c r="I1219" s="712">
        <f>IF(A1219="","",VLOOKUP(A1219,AA_Equipos,8,FALSE))</f>
        <v>19765.900000000001</v>
      </c>
      <c r="J1219" s="416"/>
      <c r="K1219" s="715">
        <v>0.6</v>
      </c>
      <c r="L1219" s="416"/>
      <c r="M1219" s="712">
        <f t="shared" si="157"/>
        <v>11859.54</v>
      </c>
      <c r="N1219" s="416"/>
    </row>
    <row r="1220" spans="1:14" ht="12.75" customHeight="1" x14ac:dyDescent="0.25">
      <c r="A1220" s="5"/>
      <c r="B1220" s="5"/>
      <c r="C1220" s="5"/>
      <c r="D1220" s="5"/>
      <c r="E1220" s="5"/>
      <c r="F1220" s="5"/>
      <c r="G1220" s="5"/>
      <c r="H1220" s="5"/>
      <c r="I1220" s="5"/>
      <c r="J1220" s="5"/>
      <c r="K1220" s="713" t="s">
        <v>261</v>
      </c>
      <c r="L1220" s="416"/>
      <c r="M1220" s="712">
        <f>SUM(M1215:N1219)</f>
        <v>198227.675319</v>
      </c>
      <c r="N1220" s="416"/>
    </row>
    <row r="1221" spans="1:14" ht="12.75" customHeight="1" x14ac:dyDescent="0.25">
      <c r="A1221" s="5"/>
      <c r="B1221" s="5"/>
      <c r="C1221" s="5"/>
      <c r="D1221" s="5"/>
      <c r="E1221" s="5"/>
      <c r="F1221" s="5"/>
      <c r="G1221" s="5"/>
      <c r="H1221" s="5"/>
      <c r="I1221" s="5"/>
      <c r="J1221" s="5"/>
      <c r="K1221" s="5"/>
      <c r="L1221" s="5"/>
      <c r="M1221" s="5"/>
      <c r="N1221" s="5"/>
    </row>
    <row r="1222" spans="1:14" ht="12.75" customHeight="1" x14ac:dyDescent="0.2">
      <c r="A1222" s="716" t="s">
        <v>413</v>
      </c>
      <c r="B1222" s="418"/>
      <c r="C1222" s="418"/>
      <c r="D1222" s="418"/>
      <c r="E1222" s="418"/>
      <c r="F1222" s="418"/>
      <c r="G1222" s="418"/>
      <c r="H1222" s="418"/>
      <c r="I1222" s="418"/>
      <c r="J1222" s="418"/>
      <c r="K1222" s="418"/>
      <c r="L1222" s="418"/>
      <c r="M1222" s="418"/>
      <c r="N1222" s="416"/>
    </row>
    <row r="1223" spans="1:14" ht="12.75" customHeight="1" x14ac:dyDescent="0.2">
      <c r="A1223" s="713" t="s">
        <v>39</v>
      </c>
      <c r="B1223" s="418"/>
      <c r="C1223" s="418"/>
      <c r="D1223" s="418"/>
      <c r="E1223" s="418"/>
      <c r="F1223" s="418"/>
      <c r="G1223" s="416"/>
      <c r="H1223" s="61" t="s">
        <v>40</v>
      </c>
      <c r="I1223" s="717" t="s">
        <v>404</v>
      </c>
      <c r="J1223" s="416"/>
      <c r="K1223" s="717" t="s">
        <v>184</v>
      </c>
      <c r="L1223" s="416"/>
      <c r="M1223" s="717" t="s">
        <v>405</v>
      </c>
      <c r="N1223" s="416"/>
    </row>
    <row r="1224" spans="1:14" ht="12.75" customHeight="1" x14ac:dyDescent="0.2">
      <c r="A1224" s="714" t="s">
        <v>443</v>
      </c>
      <c r="B1224" s="418"/>
      <c r="C1224" s="418"/>
      <c r="D1224" s="418"/>
      <c r="E1224" s="418"/>
      <c r="F1224" s="418"/>
      <c r="G1224" s="416"/>
      <c r="H1224" s="12" t="s">
        <v>426</v>
      </c>
      <c r="I1224" s="712">
        <f>+M1211</f>
        <v>4058620.3225339414</v>
      </c>
      <c r="J1224" s="416"/>
      <c r="K1224" s="722">
        <v>0.05</v>
      </c>
      <c r="L1224" s="416"/>
      <c r="M1224" s="712">
        <f t="shared" ref="M1224:M1228" si="158">IF(A1224="","",I1224*K1224)</f>
        <v>202931.01612669707</v>
      </c>
      <c r="N1224" s="416"/>
    </row>
    <row r="1225" spans="1:14" ht="12.75" customHeight="1" x14ac:dyDescent="0.2">
      <c r="A1225" s="719"/>
      <c r="B1225" s="418"/>
      <c r="C1225" s="418"/>
      <c r="D1225" s="418"/>
      <c r="E1225" s="418"/>
      <c r="F1225" s="418"/>
      <c r="G1225" s="416"/>
      <c r="H1225" s="12"/>
      <c r="I1225" s="712"/>
      <c r="J1225" s="416"/>
      <c r="K1225" s="722"/>
      <c r="L1225" s="416"/>
      <c r="M1225" s="712" t="str">
        <f t="shared" si="158"/>
        <v/>
      </c>
      <c r="N1225" s="416"/>
    </row>
    <row r="1226" spans="1:14" ht="12.75" customHeight="1" x14ac:dyDescent="0.2">
      <c r="A1226" s="714"/>
      <c r="B1226" s="418"/>
      <c r="C1226" s="418"/>
      <c r="D1226" s="418"/>
      <c r="E1226" s="418"/>
      <c r="F1226" s="418"/>
      <c r="G1226" s="416"/>
      <c r="H1226" s="12"/>
      <c r="I1226" s="712"/>
      <c r="J1226" s="416"/>
      <c r="K1226" s="715"/>
      <c r="L1226" s="416"/>
      <c r="M1226" s="712" t="str">
        <f t="shared" si="158"/>
        <v/>
      </c>
      <c r="N1226" s="416"/>
    </row>
    <row r="1227" spans="1:14" ht="12.75" customHeight="1" x14ac:dyDescent="0.2">
      <c r="A1227" s="714"/>
      <c r="B1227" s="418"/>
      <c r="C1227" s="418"/>
      <c r="D1227" s="418"/>
      <c r="E1227" s="418"/>
      <c r="F1227" s="418"/>
      <c r="G1227" s="416"/>
      <c r="H1227" s="12"/>
      <c r="I1227" s="712"/>
      <c r="J1227" s="416"/>
      <c r="K1227" s="715"/>
      <c r="L1227" s="416"/>
      <c r="M1227" s="712" t="str">
        <f t="shared" si="158"/>
        <v/>
      </c>
      <c r="N1227" s="416"/>
    </row>
    <row r="1228" spans="1:14" ht="12.75" customHeight="1" x14ac:dyDescent="0.2">
      <c r="A1228" s="714"/>
      <c r="B1228" s="418"/>
      <c r="C1228" s="418"/>
      <c r="D1228" s="418"/>
      <c r="E1228" s="418"/>
      <c r="F1228" s="418"/>
      <c r="G1228" s="416"/>
      <c r="H1228" s="12"/>
      <c r="I1228" s="712"/>
      <c r="J1228" s="416"/>
      <c r="K1228" s="715"/>
      <c r="L1228" s="416"/>
      <c r="M1228" s="712" t="str">
        <f t="shared" si="158"/>
        <v/>
      </c>
      <c r="N1228" s="416"/>
    </row>
    <row r="1229" spans="1:14" ht="12.75" customHeight="1" x14ac:dyDescent="0.25">
      <c r="A1229" s="5"/>
      <c r="B1229" s="5"/>
      <c r="C1229" s="5"/>
      <c r="D1229" s="5"/>
      <c r="E1229" s="5"/>
      <c r="F1229" s="5"/>
      <c r="G1229" s="5"/>
      <c r="H1229" s="5"/>
      <c r="I1229" s="5"/>
      <c r="J1229" s="5"/>
      <c r="K1229" s="713" t="s">
        <v>261</v>
      </c>
      <c r="L1229" s="416"/>
      <c r="M1229" s="712">
        <f>SUM(M1224:N1228)</f>
        <v>202931.01612669707</v>
      </c>
      <c r="N1229" s="416"/>
    </row>
    <row r="1230" spans="1:14" ht="12.75" customHeight="1" x14ac:dyDescent="0.25">
      <c r="A1230" s="5"/>
      <c r="B1230" s="5"/>
      <c r="C1230" s="5"/>
      <c r="D1230" s="5"/>
      <c r="E1230" s="5"/>
      <c r="F1230" s="5"/>
      <c r="G1230" s="5"/>
      <c r="H1230" s="5"/>
      <c r="I1230" s="5"/>
      <c r="J1230" s="5"/>
      <c r="K1230" s="5"/>
      <c r="L1230" s="5"/>
      <c r="M1230" s="5"/>
      <c r="N1230" s="5"/>
    </row>
    <row r="1231" spans="1:14" ht="12.75" customHeight="1" x14ac:dyDescent="0.2">
      <c r="A1231" s="716" t="s">
        <v>415</v>
      </c>
      <c r="B1231" s="418"/>
      <c r="C1231" s="418"/>
      <c r="D1231" s="418"/>
      <c r="E1231" s="418"/>
      <c r="F1231" s="418"/>
      <c r="G1231" s="418"/>
      <c r="H1231" s="418"/>
      <c r="I1231" s="418"/>
      <c r="J1231" s="418"/>
      <c r="K1231" s="418"/>
      <c r="L1231" s="418"/>
      <c r="M1231" s="418"/>
      <c r="N1231" s="416"/>
    </row>
    <row r="1232" spans="1:14" ht="12.75" customHeight="1" x14ac:dyDescent="0.2">
      <c r="A1232" s="713" t="s">
        <v>39</v>
      </c>
      <c r="B1232" s="418"/>
      <c r="C1232" s="418"/>
      <c r="D1232" s="418"/>
      <c r="E1232" s="418"/>
      <c r="F1232" s="418"/>
      <c r="G1232" s="416"/>
      <c r="H1232" s="61" t="s">
        <v>40</v>
      </c>
      <c r="I1232" s="717" t="s">
        <v>404</v>
      </c>
      <c r="J1232" s="416"/>
      <c r="K1232" s="64" t="s">
        <v>253</v>
      </c>
      <c r="L1232" s="65" t="s">
        <v>416</v>
      </c>
      <c r="M1232" s="717" t="s">
        <v>405</v>
      </c>
      <c r="N1232" s="416"/>
    </row>
    <row r="1233" spans="1:16" ht="12.75" customHeight="1" x14ac:dyDescent="0.25">
      <c r="A1233" s="711" t="s">
        <v>510</v>
      </c>
      <c r="B1233" s="418"/>
      <c r="C1233" s="418"/>
      <c r="D1233" s="418"/>
      <c r="E1233" s="418"/>
      <c r="F1233" s="418"/>
      <c r="G1233" s="416"/>
      <c r="H1233" s="12" t="str">
        <f>IF(A1233="","",VLOOKUP(A1233,AA_Cuadrillas,4,FALSE))</f>
        <v>Cuadrilla</v>
      </c>
      <c r="I1233" s="712">
        <f>IF(A1233="","",VLOOKUP(A1233,AA_Cuadrillas,5,FALSE))</f>
        <v>297654</v>
      </c>
      <c r="J1233" s="416"/>
      <c r="K1233" s="3">
        <f>IF(A1233="","",'04'!$I$2)</f>
        <v>1.88995</v>
      </c>
      <c r="L1233" s="66">
        <v>0.6</v>
      </c>
      <c r="M1233" s="712">
        <f t="shared" ref="M1233:M1235" si="159">IF(A1233="","",I1233*K1233*L1233)</f>
        <v>337530.70637999999</v>
      </c>
      <c r="N1233" s="416"/>
    </row>
    <row r="1234" spans="1:16" ht="12.75" customHeight="1" x14ac:dyDescent="0.25">
      <c r="A1234" s="711"/>
      <c r="B1234" s="418"/>
      <c r="C1234" s="418"/>
      <c r="D1234" s="418"/>
      <c r="E1234" s="418"/>
      <c r="F1234" s="418"/>
      <c r="G1234" s="416"/>
      <c r="H1234" s="12" t="str">
        <f>IF(A1234="","",VLOOKUP(A1234,AA_Cuadrillas,4,FALSE))</f>
        <v/>
      </c>
      <c r="I1234" s="712" t="str">
        <f>IF(A1234="","",VLOOKUP(A1234,AA_Cuadrillas,5,FALSE))</f>
        <v/>
      </c>
      <c r="J1234" s="416"/>
      <c r="K1234" s="3" t="str">
        <f>IF(A1234="","",'04'!$I$2)</f>
        <v/>
      </c>
      <c r="L1234" s="13"/>
      <c r="M1234" s="712" t="str">
        <f t="shared" si="159"/>
        <v/>
      </c>
      <c r="N1234" s="416"/>
    </row>
    <row r="1235" spans="1:16" ht="12.75" customHeight="1" x14ac:dyDescent="0.25">
      <c r="A1235" s="711"/>
      <c r="B1235" s="418"/>
      <c r="C1235" s="418"/>
      <c r="D1235" s="418"/>
      <c r="E1235" s="418"/>
      <c r="F1235" s="418"/>
      <c r="G1235" s="416"/>
      <c r="H1235" s="12" t="str">
        <f>IF(A1235="","",VLOOKUP(A1235,AA_Cuadrillas,4,FALSE))</f>
        <v/>
      </c>
      <c r="I1235" s="712" t="str">
        <f>IF(A1235="","",VLOOKUP(A1235,AA_Cuadrillas,5,FALSE))</f>
        <v/>
      </c>
      <c r="J1235" s="416"/>
      <c r="K1235" s="3" t="str">
        <f>IF(A1235="","",'04'!$I$2)</f>
        <v/>
      </c>
      <c r="L1235" s="13"/>
      <c r="M1235" s="712" t="str">
        <f t="shared" si="159"/>
        <v/>
      </c>
      <c r="N1235" s="416"/>
    </row>
    <row r="1236" spans="1:16" ht="12.75" customHeight="1" x14ac:dyDescent="0.25">
      <c r="A1236" s="5"/>
      <c r="B1236" s="5"/>
      <c r="C1236" s="5"/>
      <c r="D1236" s="5"/>
      <c r="E1236" s="5"/>
      <c r="F1236" s="5"/>
      <c r="G1236" s="5"/>
      <c r="H1236" s="5"/>
      <c r="I1236" s="5"/>
      <c r="J1236" s="5"/>
      <c r="K1236" s="713" t="s">
        <v>261</v>
      </c>
      <c r="L1236" s="416"/>
      <c r="M1236" s="712">
        <f>SUM(M1233:N1235)</f>
        <v>337530.70637999999</v>
      </c>
      <c r="N1236" s="416"/>
    </row>
    <row r="1237" spans="1:16" ht="12.75" customHeight="1" x14ac:dyDescent="0.2"/>
    <row r="1238" spans="1:16" ht="12.75" customHeight="1" x14ac:dyDescent="0.2">
      <c r="A1238" s="787" t="s">
        <v>65</v>
      </c>
      <c r="B1238" s="410"/>
      <c r="C1238" s="410"/>
      <c r="D1238" s="410"/>
      <c r="E1238" s="410"/>
      <c r="F1238" s="410"/>
      <c r="G1238" s="410"/>
      <c r="H1238" s="410"/>
      <c r="I1238" s="410"/>
      <c r="J1238" s="410"/>
      <c r="K1238" s="410"/>
      <c r="L1238" s="410"/>
      <c r="M1238" s="410"/>
      <c r="N1238" s="411"/>
      <c r="O1238" s="272"/>
      <c r="P1238" s="9"/>
    </row>
    <row r="1239" spans="1:16" ht="12.75" customHeight="1" x14ac:dyDescent="0.2">
      <c r="A1239" s="412"/>
      <c r="B1239" s="413"/>
      <c r="C1239" s="413"/>
      <c r="D1239" s="413"/>
      <c r="E1239" s="413"/>
      <c r="F1239" s="413"/>
      <c r="G1239" s="413"/>
      <c r="H1239" s="413"/>
      <c r="I1239" s="413"/>
      <c r="J1239" s="413"/>
      <c r="K1239" s="413"/>
      <c r="L1239" s="413"/>
      <c r="M1239" s="413"/>
      <c r="N1239" s="414"/>
      <c r="O1239" s="272"/>
      <c r="P1239" s="9"/>
    </row>
    <row r="1240" spans="1:16" ht="12.75" customHeight="1" x14ac:dyDescent="0.2">
      <c r="A1240" s="49"/>
      <c r="B1240" s="49"/>
      <c r="C1240" s="49"/>
      <c r="D1240" s="49"/>
      <c r="E1240" s="49"/>
      <c r="F1240" s="49"/>
      <c r="G1240" s="49"/>
      <c r="H1240" s="49"/>
      <c r="I1240" s="49"/>
      <c r="J1240" s="49"/>
      <c r="K1240" s="49"/>
      <c r="L1240" s="49"/>
      <c r="M1240" s="49"/>
      <c r="N1240" s="49"/>
    </row>
    <row r="1241" spans="1:16" ht="12.75" customHeight="1" thickBot="1" x14ac:dyDescent="0.35">
      <c r="A1241" s="51" t="str">
        <f>VLOOKUP(A1238,'10'!$B$9:$N$100,13,FALSE)</f>
        <v>G027</v>
      </c>
      <c r="B1241" s="52" t="str">
        <f>A1238</f>
        <v>CONCRETO PARA TAPA DE 4000 PSI IMPERMEABILIZADO 280 KG/CM2 (INCLUYE FORMALETA EN MADERA, MATERIALES, HERRAMIENTA MENOR Y MANO DE OBRA)</v>
      </c>
      <c r="C1241" s="53" t="s">
        <v>400</v>
      </c>
      <c r="D1241" s="54" t="s">
        <v>420</v>
      </c>
      <c r="E1241" s="55" t="s">
        <v>177</v>
      </c>
      <c r="F1241" s="59">
        <f>H1241+J1241+L1241+N1241</f>
        <v>1069692.5030110567</v>
      </c>
      <c r="G1241" s="55" t="s">
        <v>349</v>
      </c>
      <c r="H1241" s="59">
        <f>M1263</f>
        <v>36208.126144259993</v>
      </c>
      <c r="I1241" s="55" t="s">
        <v>402</v>
      </c>
      <c r="J1241" s="70">
        <f>M1254</f>
        <v>794928.80150000006</v>
      </c>
      <c r="K1241" s="55" t="s">
        <v>351</v>
      </c>
      <c r="L1241" s="59">
        <f>M1272</f>
        <v>109500.03722479656</v>
      </c>
      <c r="M1241" s="55" t="s">
        <v>352</v>
      </c>
      <c r="N1241" s="59">
        <f>M1281</f>
        <v>129055.53814199999</v>
      </c>
    </row>
    <row r="1242" spans="1:16" ht="12.75" customHeight="1" thickBot="1" x14ac:dyDescent="0.3">
      <c r="A1242" s="60"/>
      <c r="B1242" s="60"/>
      <c r="C1242" s="60"/>
      <c r="D1242" s="60"/>
      <c r="E1242" s="60"/>
      <c r="F1242" s="60"/>
      <c r="G1242" s="60"/>
      <c r="J1242" s="60"/>
      <c r="K1242" s="60"/>
      <c r="L1242" s="327" t="s">
        <v>1934</v>
      </c>
      <c r="M1242" s="328">
        <f>+F1241*'01'!$O$16</f>
        <v>1384493.3612983071</v>
      </c>
      <c r="N1242" s="60"/>
    </row>
    <row r="1243" spans="1:16" ht="12.75" customHeight="1" x14ac:dyDescent="0.2">
      <c r="A1243" s="716" t="s">
        <v>403</v>
      </c>
      <c r="B1243" s="418"/>
      <c r="C1243" s="418"/>
      <c r="D1243" s="418"/>
      <c r="E1243" s="418"/>
      <c r="F1243" s="418"/>
      <c r="G1243" s="418"/>
      <c r="H1243" s="418"/>
      <c r="I1243" s="418"/>
      <c r="J1243" s="418"/>
      <c r="K1243" s="418"/>
      <c r="L1243" s="418"/>
      <c r="M1243" s="418"/>
      <c r="N1243" s="416"/>
    </row>
    <row r="1244" spans="1:16" ht="12.75" customHeight="1" x14ac:dyDescent="0.2">
      <c r="A1244" s="713" t="s">
        <v>39</v>
      </c>
      <c r="B1244" s="418"/>
      <c r="C1244" s="418"/>
      <c r="D1244" s="418"/>
      <c r="E1244" s="418"/>
      <c r="F1244" s="418"/>
      <c r="G1244" s="416"/>
      <c r="H1244" s="61" t="s">
        <v>40</v>
      </c>
      <c r="I1244" s="717" t="s">
        <v>404</v>
      </c>
      <c r="J1244" s="416"/>
      <c r="K1244" s="717" t="s">
        <v>184</v>
      </c>
      <c r="L1244" s="416"/>
      <c r="M1244" s="717" t="s">
        <v>405</v>
      </c>
      <c r="N1244" s="416"/>
    </row>
    <row r="1245" spans="1:16" ht="12.75" customHeight="1" x14ac:dyDescent="0.2">
      <c r="A1245" s="714" t="s">
        <v>431</v>
      </c>
      <c r="B1245" s="418"/>
      <c r="C1245" s="418"/>
      <c r="D1245" s="418"/>
      <c r="E1245" s="418"/>
      <c r="F1245" s="418"/>
      <c r="G1245" s="416"/>
      <c r="H1245" s="12" t="str">
        <f t="shared" ref="H1245:H1253" si="160">IF(A1245="","",VLOOKUP(A1245,AA_Materiales,7,FALSE))</f>
        <v>Kg</v>
      </c>
      <c r="I1245" s="712">
        <f t="shared" ref="I1245:I1253" si="161">IF(A1245="","",VLOOKUP(A1245,AA_Materiales,8,FALSE))</f>
        <v>761.6</v>
      </c>
      <c r="J1245" s="416"/>
      <c r="K1245" s="715">
        <v>420</v>
      </c>
      <c r="L1245" s="416"/>
      <c r="M1245" s="712">
        <f t="shared" ref="M1245:M1253" si="162">IF(A1245="","",I1245*K1245)</f>
        <v>319872</v>
      </c>
      <c r="N1245" s="416"/>
    </row>
    <row r="1246" spans="1:16" ht="12.75" customHeight="1" x14ac:dyDescent="0.2">
      <c r="A1246" s="714" t="s">
        <v>432</v>
      </c>
      <c r="B1246" s="418"/>
      <c r="C1246" s="418"/>
      <c r="D1246" s="418"/>
      <c r="E1246" s="418"/>
      <c r="F1246" s="418"/>
      <c r="G1246" s="416"/>
      <c r="H1246" s="12" t="str">
        <f t="shared" si="160"/>
        <v>m3</v>
      </c>
      <c r="I1246" s="712">
        <f t="shared" si="161"/>
        <v>65450</v>
      </c>
      <c r="J1246" s="416"/>
      <c r="K1246" s="715">
        <v>0.67</v>
      </c>
      <c r="L1246" s="416"/>
      <c r="M1246" s="712">
        <f t="shared" si="162"/>
        <v>43851.5</v>
      </c>
      <c r="N1246" s="416"/>
    </row>
    <row r="1247" spans="1:16" ht="12.75" customHeight="1" x14ac:dyDescent="0.2">
      <c r="A1247" s="714" t="s">
        <v>433</v>
      </c>
      <c r="B1247" s="418"/>
      <c r="C1247" s="418"/>
      <c r="D1247" s="418"/>
      <c r="E1247" s="418"/>
      <c r="F1247" s="418"/>
      <c r="G1247" s="416"/>
      <c r="H1247" s="12" t="str">
        <f t="shared" si="160"/>
        <v>m3</v>
      </c>
      <c r="I1247" s="712">
        <f t="shared" si="161"/>
        <v>113050</v>
      </c>
      <c r="J1247" s="416"/>
      <c r="K1247" s="715">
        <v>0.67</v>
      </c>
      <c r="L1247" s="416"/>
      <c r="M1247" s="712">
        <f t="shared" si="162"/>
        <v>75743.5</v>
      </c>
      <c r="N1247" s="416"/>
    </row>
    <row r="1248" spans="1:16" ht="12.75" customHeight="1" x14ac:dyDescent="0.2">
      <c r="A1248" s="714" t="s">
        <v>434</v>
      </c>
      <c r="B1248" s="418"/>
      <c r="C1248" s="418"/>
      <c r="D1248" s="418"/>
      <c r="E1248" s="418"/>
      <c r="F1248" s="418"/>
      <c r="G1248" s="416"/>
      <c r="H1248" s="12" t="str">
        <f t="shared" si="160"/>
        <v>Lt</v>
      </c>
      <c r="I1248" s="712">
        <f t="shared" si="161"/>
        <v>20</v>
      </c>
      <c r="J1248" s="416"/>
      <c r="K1248" s="715">
        <v>190</v>
      </c>
      <c r="L1248" s="416"/>
      <c r="M1248" s="712">
        <f t="shared" si="162"/>
        <v>3800</v>
      </c>
      <c r="N1248" s="416"/>
    </row>
    <row r="1249" spans="1:14" ht="12.75" customHeight="1" x14ac:dyDescent="0.2">
      <c r="A1249" s="714" t="s">
        <v>511</v>
      </c>
      <c r="B1249" s="418"/>
      <c r="C1249" s="418"/>
      <c r="D1249" s="418"/>
      <c r="E1249" s="418"/>
      <c r="F1249" s="418"/>
      <c r="G1249" s="416"/>
      <c r="H1249" s="12" t="str">
        <f t="shared" si="160"/>
        <v>Kg</v>
      </c>
      <c r="I1249" s="712">
        <f t="shared" si="161"/>
        <v>28851.55</v>
      </c>
      <c r="J1249" s="416"/>
      <c r="K1249" s="715">
        <v>2.13</v>
      </c>
      <c r="L1249" s="416"/>
      <c r="M1249" s="712">
        <f t="shared" si="162"/>
        <v>61453.801499999994</v>
      </c>
      <c r="N1249" s="416"/>
    </row>
    <row r="1250" spans="1:14" ht="12.75" customHeight="1" x14ac:dyDescent="0.2">
      <c r="A1250" s="714" t="s">
        <v>512</v>
      </c>
      <c r="B1250" s="418"/>
      <c r="C1250" s="418"/>
      <c r="D1250" s="418"/>
      <c r="E1250" s="418"/>
      <c r="F1250" s="418"/>
      <c r="G1250" s="416"/>
      <c r="H1250" s="12" t="str">
        <f t="shared" si="160"/>
        <v>Unidad</v>
      </c>
      <c r="I1250" s="712">
        <f t="shared" si="161"/>
        <v>1190</v>
      </c>
      <c r="J1250" s="416"/>
      <c r="K1250" s="715">
        <v>156</v>
      </c>
      <c r="L1250" s="416"/>
      <c r="M1250" s="712">
        <f t="shared" si="162"/>
        <v>185640</v>
      </c>
      <c r="N1250" s="416"/>
    </row>
    <row r="1251" spans="1:14" ht="12.75" customHeight="1" x14ac:dyDescent="0.2">
      <c r="A1251" s="714" t="s">
        <v>513</v>
      </c>
      <c r="B1251" s="418"/>
      <c r="C1251" s="418"/>
      <c r="D1251" s="418"/>
      <c r="E1251" s="418"/>
      <c r="F1251" s="418"/>
      <c r="G1251" s="416"/>
      <c r="H1251" s="12" t="str">
        <f t="shared" si="160"/>
        <v>Unidad</v>
      </c>
      <c r="I1251" s="712">
        <f t="shared" si="161"/>
        <v>8000</v>
      </c>
      <c r="J1251" s="416"/>
      <c r="K1251" s="715">
        <v>12</v>
      </c>
      <c r="L1251" s="416"/>
      <c r="M1251" s="712">
        <f t="shared" si="162"/>
        <v>96000</v>
      </c>
      <c r="N1251" s="416"/>
    </row>
    <row r="1252" spans="1:14" ht="12.75" customHeight="1" x14ac:dyDescent="0.2">
      <c r="A1252" s="714" t="s">
        <v>423</v>
      </c>
      <c r="B1252" s="418"/>
      <c r="C1252" s="418"/>
      <c r="D1252" s="418"/>
      <c r="E1252" s="418"/>
      <c r="F1252" s="418"/>
      <c r="G1252" s="416"/>
      <c r="H1252" s="12" t="str">
        <f t="shared" si="160"/>
        <v>LB</v>
      </c>
      <c r="I1252" s="712">
        <f t="shared" si="161"/>
        <v>5712</v>
      </c>
      <c r="J1252" s="416"/>
      <c r="K1252" s="715">
        <v>1.5</v>
      </c>
      <c r="L1252" s="416"/>
      <c r="M1252" s="712">
        <f t="shared" si="162"/>
        <v>8568</v>
      </c>
      <c r="N1252" s="416"/>
    </row>
    <row r="1253" spans="1:14" ht="12.75" customHeight="1" x14ac:dyDescent="0.2">
      <c r="A1253" s="714"/>
      <c r="B1253" s="418"/>
      <c r="C1253" s="418"/>
      <c r="D1253" s="418"/>
      <c r="E1253" s="418"/>
      <c r="F1253" s="418"/>
      <c r="G1253" s="416"/>
      <c r="H1253" s="12" t="str">
        <f t="shared" si="160"/>
        <v/>
      </c>
      <c r="I1253" s="712" t="str">
        <f t="shared" si="161"/>
        <v/>
      </c>
      <c r="J1253" s="416"/>
      <c r="K1253" s="715"/>
      <c r="L1253" s="416"/>
      <c r="M1253" s="712" t="str">
        <f t="shared" si="162"/>
        <v/>
      </c>
      <c r="N1253" s="416"/>
    </row>
    <row r="1254" spans="1:14" ht="12.75" customHeight="1" x14ac:dyDescent="0.25">
      <c r="A1254" s="5"/>
      <c r="B1254" s="5"/>
      <c r="C1254" s="5"/>
      <c r="D1254" s="5"/>
      <c r="E1254" s="5"/>
      <c r="F1254" s="5"/>
      <c r="G1254" s="5"/>
      <c r="H1254" s="5"/>
      <c r="I1254" s="5"/>
      <c r="J1254" s="5"/>
      <c r="K1254" s="713" t="s">
        <v>261</v>
      </c>
      <c r="L1254" s="416"/>
      <c r="M1254" s="712">
        <f>SUM(M1245:N1253)</f>
        <v>794928.80150000006</v>
      </c>
      <c r="N1254" s="416"/>
    </row>
    <row r="1255" spans="1:14" ht="12.75" customHeight="1" x14ac:dyDescent="0.25">
      <c r="A1255" s="5"/>
      <c r="B1255" s="5"/>
      <c r="C1255" s="5"/>
      <c r="D1255" s="5"/>
      <c r="E1255" s="5"/>
      <c r="F1255" s="5"/>
      <c r="G1255" s="5"/>
      <c r="H1255" s="5"/>
      <c r="I1255" s="5"/>
      <c r="J1255" s="5"/>
      <c r="K1255" s="5"/>
      <c r="L1255" s="5"/>
      <c r="M1255" s="5"/>
      <c r="N1255" s="5"/>
    </row>
    <row r="1256" spans="1:14" ht="12.75" customHeight="1" x14ac:dyDescent="0.2">
      <c r="A1256" s="716" t="s">
        <v>410</v>
      </c>
      <c r="B1256" s="418"/>
      <c r="C1256" s="418"/>
      <c r="D1256" s="418"/>
      <c r="E1256" s="418"/>
      <c r="F1256" s="418"/>
      <c r="G1256" s="418"/>
      <c r="H1256" s="418"/>
      <c r="I1256" s="418"/>
      <c r="J1256" s="418"/>
      <c r="K1256" s="418"/>
      <c r="L1256" s="418"/>
      <c r="M1256" s="418"/>
      <c r="N1256" s="416"/>
    </row>
    <row r="1257" spans="1:14" ht="12.75" customHeight="1" x14ac:dyDescent="0.2">
      <c r="A1257" s="713" t="s">
        <v>39</v>
      </c>
      <c r="B1257" s="418"/>
      <c r="C1257" s="418"/>
      <c r="D1257" s="418"/>
      <c r="E1257" s="418"/>
      <c r="F1257" s="418"/>
      <c r="G1257" s="416"/>
      <c r="H1257" s="61" t="s">
        <v>40</v>
      </c>
      <c r="I1257" s="717" t="s">
        <v>404</v>
      </c>
      <c r="J1257" s="416"/>
      <c r="K1257" s="717" t="s">
        <v>184</v>
      </c>
      <c r="L1257" s="416"/>
      <c r="M1257" s="717" t="s">
        <v>405</v>
      </c>
      <c r="N1257" s="416"/>
    </row>
    <row r="1258" spans="1:14" ht="12.75" customHeight="1" x14ac:dyDescent="0.2">
      <c r="A1258" s="714" t="s">
        <v>411</v>
      </c>
      <c r="B1258" s="418"/>
      <c r="C1258" s="418"/>
      <c r="D1258" s="418"/>
      <c r="E1258" s="418"/>
      <c r="F1258" s="418"/>
      <c r="G1258" s="416"/>
      <c r="H1258" s="12" t="str">
        <f>IF(A1258="","",VLOOKUP(A1258,AA_Equipos,7,FALSE))</f>
        <v>% M.O.</v>
      </c>
      <c r="I1258" s="712">
        <f>M1281</f>
        <v>129055.53814199999</v>
      </c>
      <c r="J1258" s="416"/>
      <c r="K1258" s="722">
        <v>0.03</v>
      </c>
      <c r="L1258" s="416"/>
      <c r="M1258" s="712">
        <f t="shared" ref="M1258:M1262" si="163">IF(A1258="","",I1258*K1258)</f>
        <v>3871.6661442599998</v>
      </c>
      <c r="N1258" s="416"/>
    </row>
    <row r="1259" spans="1:14" ht="12.75" customHeight="1" x14ac:dyDescent="0.2">
      <c r="A1259" s="719" t="s">
        <v>435</v>
      </c>
      <c r="B1259" s="418"/>
      <c r="C1259" s="418"/>
      <c r="D1259" s="418"/>
      <c r="E1259" s="418"/>
      <c r="F1259" s="418"/>
      <c r="G1259" s="416"/>
      <c r="H1259" s="12" t="str">
        <f>IF(A1259="","",VLOOKUP(A1259,AA_Equipos,7,FALSE))</f>
        <v>Dia</v>
      </c>
      <c r="I1259" s="712">
        <f>IF(A1259="","",VLOOKUP(A1259,AA_Equipos,8,FALSE))</f>
        <v>103654</v>
      </c>
      <c r="J1259" s="416"/>
      <c r="K1259" s="798">
        <v>0.18</v>
      </c>
      <c r="L1259" s="416"/>
      <c r="M1259" s="712">
        <f t="shared" si="163"/>
        <v>18657.719999999998</v>
      </c>
      <c r="N1259" s="416"/>
    </row>
    <row r="1260" spans="1:14" ht="12.75" customHeight="1" x14ac:dyDescent="0.2">
      <c r="A1260" s="714" t="s">
        <v>441</v>
      </c>
      <c r="B1260" s="418"/>
      <c r="C1260" s="418"/>
      <c r="D1260" s="418"/>
      <c r="E1260" s="418"/>
      <c r="F1260" s="418"/>
      <c r="G1260" s="416"/>
      <c r="H1260" s="12" t="str">
        <f>IF(A1260="","",VLOOKUP(A1260,AA_Equipos,7,FALSE))</f>
        <v>Dia</v>
      </c>
      <c r="I1260" s="712">
        <f>IF(A1260="","",VLOOKUP(A1260,AA_Equipos,8,FALSE))</f>
        <v>75993</v>
      </c>
      <c r="J1260" s="416"/>
      <c r="K1260" s="799">
        <v>0.18</v>
      </c>
      <c r="L1260" s="416"/>
      <c r="M1260" s="712">
        <f t="shared" si="163"/>
        <v>13678.74</v>
      </c>
      <c r="N1260" s="416"/>
    </row>
    <row r="1261" spans="1:14" ht="12.75" customHeight="1" x14ac:dyDescent="0.2">
      <c r="A1261" s="714"/>
      <c r="B1261" s="418"/>
      <c r="C1261" s="418"/>
      <c r="D1261" s="418"/>
      <c r="E1261" s="418"/>
      <c r="F1261" s="418"/>
      <c r="G1261" s="416"/>
      <c r="H1261" s="12" t="str">
        <f>IF(A1261="","",VLOOKUP(A1261,AA_Equipos,7,FALSE))</f>
        <v/>
      </c>
      <c r="I1261" s="712" t="str">
        <f>IF(A1261="","",VLOOKUP(A1261,AA_Equipos,8,FALSE))</f>
        <v/>
      </c>
      <c r="J1261" s="416"/>
      <c r="K1261" s="715"/>
      <c r="L1261" s="416"/>
      <c r="M1261" s="712" t="str">
        <f t="shared" si="163"/>
        <v/>
      </c>
      <c r="N1261" s="416"/>
    </row>
    <row r="1262" spans="1:14" ht="12.75" customHeight="1" x14ac:dyDescent="0.2">
      <c r="A1262" s="714"/>
      <c r="B1262" s="418"/>
      <c r="C1262" s="418"/>
      <c r="D1262" s="418"/>
      <c r="E1262" s="418"/>
      <c r="F1262" s="418"/>
      <c r="G1262" s="416"/>
      <c r="H1262" s="12" t="str">
        <f>IF(A1262="","",VLOOKUP(A1262,AA_Equipos,7,FALSE))</f>
        <v/>
      </c>
      <c r="I1262" s="712" t="str">
        <f>IF(A1262="","",VLOOKUP(A1262,AA_Equipos,8,FALSE))</f>
        <v/>
      </c>
      <c r="J1262" s="416"/>
      <c r="K1262" s="715"/>
      <c r="L1262" s="416"/>
      <c r="M1262" s="712" t="str">
        <f t="shared" si="163"/>
        <v/>
      </c>
      <c r="N1262" s="416"/>
    </row>
    <row r="1263" spans="1:14" ht="12.75" customHeight="1" x14ac:dyDescent="0.25">
      <c r="A1263" s="5"/>
      <c r="B1263" s="5"/>
      <c r="C1263" s="5"/>
      <c r="D1263" s="5"/>
      <c r="E1263" s="5"/>
      <c r="F1263" s="5"/>
      <c r="G1263" s="5"/>
      <c r="H1263" s="5"/>
      <c r="I1263" s="5"/>
      <c r="J1263" s="5"/>
      <c r="K1263" s="713" t="s">
        <v>261</v>
      </c>
      <c r="L1263" s="416"/>
      <c r="M1263" s="712">
        <f>SUM(M1258:N1262)</f>
        <v>36208.126144259993</v>
      </c>
      <c r="N1263" s="416"/>
    </row>
    <row r="1264" spans="1:14" ht="12.75" customHeight="1" x14ac:dyDescent="0.25">
      <c r="A1264" s="5"/>
      <c r="B1264" s="5"/>
      <c r="C1264" s="5"/>
      <c r="D1264" s="5"/>
      <c r="E1264" s="5"/>
      <c r="F1264" s="5"/>
      <c r="G1264" s="5"/>
      <c r="H1264" s="5"/>
      <c r="I1264" s="5"/>
      <c r="J1264" s="5"/>
      <c r="K1264" s="5"/>
      <c r="L1264" s="5"/>
      <c r="M1264" s="5"/>
      <c r="N1264" s="5"/>
    </row>
    <row r="1265" spans="1:14" ht="12.75" customHeight="1" x14ac:dyDescent="0.2">
      <c r="A1265" s="716" t="s">
        <v>413</v>
      </c>
      <c r="B1265" s="418"/>
      <c r="C1265" s="418"/>
      <c r="D1265" s="418"/>
      <c r="E1265" s="418"/>
      <c r="F1265" s="418"/>
      <c r="G1265" s="418"/>
      <c r="H1265" s="418"/>
      <c r="I1265" s="418"/>
      <c r="J1265" s="418"/>
      <c r="K1265" s="418"/>
      <c r="L1265" s="418"/>
      <c r="M1265" s="418"/>
      <c r="N1265" s="416"/>
    </row>
    <row r="1266" spans="1:14" ht="12.75" customHeight="1" x14ac:dyDescent="0.2">
      <c r="A1266" s="713" t="s">
        <v>39</v>
      </c>
      <c r="B1266" s="418"/>
      <c r="C1266" s="418"/>
      <c r="D1266" s="418"/>
      <c r="E1266" s="418"/>
      <c r="F1266" s="418"/>
      <c r="G1266" s="416"/>
      <c r="H1266" s="61" t="s">
        <v>40</v>
      </c>
      <c r="I1266" s="717" t="s">
        <v>404</v>
      </c>
      <c r="J1266" s="416"/>
      <c r="K1266" s="717" t="s">
        <v>184</v>
      </c>
      <c r="L1266" s="416"/>
      <c r="M1266" s="717" t="s">
        <v>405</v>
      </c>
      <c r="N1266" s="416"/>
    </row>
    <row r="1267" spans="1:14" ht="12.75" customHeight="1" x14ac:dyDescent="0.2">
      <c r="A1267" s="714" t="s">
        <v>442</v>
      </c>
      <c r="B1267" s="418"/>
      <c r="C1267" s="418"/>
      <c r="D1267" s="418"/>
      <c r="E1267" s="418"/>
      <c r="F1267" s="418"/>
      <c r="G1267" s="416"/>
      <c r="H1267" s="12" t="s">
        <v>437</v>
      </c>
      <c r="I1267" s="712">
        <f>+M1263</f>
        <v>36208.126144259993</v>
      </c>
      <c r="J1267" s="416"/>
      <c r="K1267" s="722">
        <v>0.03</v>
      </c>
      <c r="L1267" s="416"/>
      <c r="M1267" s="712">
        <f t="shared" ref="M1267:M1271" si="164">IF(A1267="","",I1267*K1267)</f>
        <v>1086.2437843277999</v>
      </c>
      <c r="N1267" s="416"/>
    </row>
    <row r="1268" spans="1:14" ht="12.75" customHeight="1" x14ac:dyDescent="0.2">
      <c r="A1268" s="719" t="s">
        <v>443</v>
      </c>
      <c r="B1268" s="418"/>
      <c r="C1268" s="418"/>
      <c r="D1268" s="418"/>
      <c r="E1268" s="418"/>
      <c r="F1268" s="418"/>
      <c r="G1268" s="416"/>
      <c r="H1268" s="107" t="s">
        <v>1535</v>
      </c>
      <c r="I1268" s="712">
        <f>+'13'!$J$68</f>
        <v>2206.6944848867188</v>
      </c>
      <c r="J1268" s="416"/>
      <c r="K1268" s="715">
        <f>+Indice!$M$5</f>
        <v>40</v>
      </c>
      <c r="L1268" s="416"/>
      <c r="M1268" s="712">
        <f t="shared" si="164"/>
        <v>88267.779395468751</v>
      </c>
      <c r="N1268" s="416"/>
    </row>
    <row r="1269" spans="1:14" ht="12.75" customHeight="1" x14ac:dyDescent="0.2">
      <c r="A1269" s="789" t="s">
        <v>1581</v>
      </c>
      <c r="B1269" s="418"/>
      <c r="C1269" s="418"/>
      <c r="D1269" s="418"/>
      <c r="E1269" s="418"/>
      <c r="F1269" s="418"/>
      <c r="G1269" s="416"/>
      <c r="H1269" s="107" t="s">
        <v>13</v>
      </c>
      <c r="I1269" s="712">
        <f>+M1245+M1249+M1250+M1251+M1252</f>
        <v>671533.80150000006</v>
      </c>
      <c r="J1269" s="416"/>
      <c r="K1269" s="722">
        <v>0.03</v>
      </c>
      <c r="L1269" s="416"/>
      <c r="M1269" s="712">
        <f t="shared" si="164"/>
        <v>20146.014045</v>
      </c>
      <c r="N1269" s="416"/>
    </row>
    <row r="1270" spans="1:14" ht="12.75" customHeight="1" x14ac:dyDescent="0.2">
      <c r="A1270" s="714"/>
      <c r="B1270" s="418"/>
      <c r="C1270" s="418"/>
      <c r="D1270" s="418"/>
      <c r="E1270" s="418"/>
      <c r="F1270" s="418"/>
      <c r="G1270" s="416"/>
      <c r="H1270" s="12"/>
      <c r="I1270" s="712"/>
      <c r="J1270" s="416"/>
      <c r="K1270" s="715"/>
      <c r="L1270" s="416"/>
      <c r="M1270" s="712" t="str">
        <f t="shared" si="164"/>
        <v/>
      </c>
      <c r="N1270" s="416"/>
    </row>
    <row r="1271" spans="1:14" ht="12.75" customHeight="1" x14ac:dyDescent="0.2">
      <c r="A1271" s="714"/>
      <c r="B1271" s="418"/>
      <c r="C1271" s="418"/>
      <c r="D1271" s="418"/>
      <c r="E1271" s="418"/>
      <c r="F1271" s="418"/>
      <c r="G1271" s="416"/>
      <c r="H1271" s="12"/>
      <c r="I1271" s="712"/>
      <c r="J1271" s="416"/>
      <c r="K1271" s="715"/>
      <c r="L1271" s="416"/>
      <c r="M1271" s="712" t="str">
        <f t="shared" si="164"/>
        <v/>
      </c>
      <c r="N1271" s="416"/>
    </row>
    <row r="1272" spans="1:14" ht="12.75" customHeight="1" x14ac:dyDescent="0.25">
      <c r="A1272" s="5"/>
      <c r="B1272" s="5"/>
      <c r="C1272" s="5"/>
      <c r="D1272" s="5"/>
      <c r="E1272" s="5"/>
      <c r="F1272" s="5"/>
      <c r="G1272" s="5"/>
      <c r="H1272" s="5"/>
      <c r="I1272" s="5"/>
      <c r="J1272" s="5"/>
      <c r="K1272" s="713" t="s">
        <v>261</v>
      </c>
      <c r="L1272" s="416"/>
      <c r="M1272" s="712">
        <f>SUM(M1267:N1271)</f>
        <v>109500.03722479656</v>
      </c>
      <c r="N1272" s="416"/>
    </row>
    <row r="1273" spans="1:14" ht="12.75" customHeight="1" x14ac:dyDescent="0.25">
      <c r="A1273" s="5"/>
      <c r="B1273" s="5"/>
      <c r="C1273" s="5"/>
      <c r="D1273" s="5"/>
      <c r="E1273" s="5"/>
      <c r="F1273" s="5"/>
      <c r="G1273" s="5"/>
      <c r="H1273" s="5"/>
      <c r="I1273" s="5"/>
      <c r="J1273" s="5"/>
      <c r="K1273" s="5"/>
      <c r="L1273" s="5"/>
      <c r="M1273" s="5"/>
      <c r="N1273" s="5"/>
    </row>
    <row r="1274" spans="1:14" ht="12.75" customHeight="1" x14ac:dyDescent="0.2">
      <c r="A1274" s="716" t="s">
        <v>415</v>
      </c>
      <c r="B1274" s="418"/>
      <c r="C1274" s="418"/>
      <c r="D1274" s="418"/>
      <c r="E1274" s="418"/>
      <c r="F1274" s="418"/>
      <c r="G1274" s="418"/>
      <c r="H1274" s="418"/>
      <c r="I1274" s="418"/>
      <c r="J1274" s="418"/>
      <c r="K1274" s="418"/>
      <c r="L1274" s="418"/>
      <c r="M1274" s="418"/>
      <c r="N1274" s="416"/>
    </row>
    <row r="1275" spans="1:14" ht="12.75" customHeight="1" x14ac:dyDescent="0.2">
      <c r="A1275" s="713" t="s">
        <v>39</v>
      </c>
      <c r="B1275" s="418"/>
      <c r="C1275" s="418"/>
      <c r="D1275" s="418"/>
      <c r="E1275" s="418"/>
      <c r="F1275" s="418"/>
      <c r="G1275" s="416"/>
      <c r="H1275" s="61" t="s">
        <v>40</v>
      </c>
      <c r="I1275" s="717" t="s">
        <v>404</v>
      </c>
      <c r="J1275" s="416"/>
      <c r="K1275" s="64" t="s">
        <v>253</v>
      </c>
      <c r="L1275" s="65" t="s">
        <v>416</v>
      </c>
      <c r="M1275" s="717" t="s">
        <v>405</v>
      </c>
      <c r="N1275" s="416"/>
    </row>
    <row r="1276" spans="1:14" ht="12.75" customHeight="1" x14ac:dyDescent="0.25">
      <c r="A1276" s="711" t="s">
        <v>439</v>
      </c>
      <c r="B1276" s="418"/>
      <c r="C1276" s="418"/>
      <c r="D1276" s="418"/>
      <c r="E1276" s="418"/>
      <c r="F1276" s="418"/>
      <c r="G1276" s="416"/>
      <c r="H1276" s="12" t="str">
        <f>IF(A1276="","",VLOOKUP(A1276,AA_Cuadrillas,4,FALSE))</f>
        <v>Cuadrilla</v>
      </c>
      <c r="I1276" s="712">
        <f>IF(A1276="","",VLOOKUP(A1276,AA_Cuadrillas,5,FALSE))</f>
        <v>379362</v>
      </c>
      <c r="J1276" s="416"/>
      <c r="K1276" s="3">
        <f>IF(A1276="","",'04'!$I$2)</f>
        <v>1.88995</v>
      </c>
      <c r="L1276" s="66">
        <v>0.18</v>
      </c>
      <c r="M1276" s="712">
        <f t="shared" ref="M1276:M1280" si="165">IF(A1276="","",I1276*K1276*L1276)</f>
        <v>129055.53814199999</v>
      </c>
      <c r="N1276" s="416"/>
    </row>
    <row r="1277" spans="1:14" ht="12.75" customHeight="1" x14ac:dyDescent="0.25">
      <c r="A1277" s="711"/>
      <c r="B1277" s="418"/>
      <c r="C1277" s="418"/>
      <c r="D1277" s="418"/>
      <c r="E1277" s="418"/>
      <c r="F1277" s="418"/>
      <c r="G1277" s="416"/>
      <c r="H1277" s="12" t="str">
        <f>IF(A1277="","",VLOOKUP(A1277,AA_Cuadrillas,4,FALSE))</f>
        <v/>
      </c>
      <c r="I1277" s="712" t="str">
        <f>IF(A1277="","",VLOOKUP(A1277,AA_Cuadrillas,5,FALSE))</f>
        <v/>
      </c>
      <c r="J1277" s="416"/>
      <c r="K1277" s="3" t="str">
        <f>IF(A1277="","",'04'!$I$2)</f>
        <v/>
      </c>
      <c r="L1277" s="3"/>
      <c r="M1277" s="712" t="str">
        <f t="shared" si="165"/>
        <v/>
      </c>
      <c r="N1277" s="416"/>
    </row>
    <row r="1278" spans="1:14" ht="12.75" customHeight="1" x14ac:dyDescent="0.25">
      <c r="A1278" s="711"/>
      <c r="B1278" s="418"/>
      <c r="C1278" s="418"/>
      <c r="D1278" s="418"/>
      <c r="E1278" s="418"/>
      <c r="F1278" s="418"/>
      <c r="G1278" s="416"/>
      <c r="H1278" s="12" t="str">
        <f>IF(A1278="","",VLOOKUP(A1278,AA_Cuadrillas,4,FALSE))</f>
        <v/>
      </c>
      <c r="I1278" s="712" t="str">
        <f>IF(A1278="","",VLOOKUP(A1278,AA_Cuadrillas,5,FALSE))</f>
        <v/>
      </c>
      <c r="J1278" s="416"/>
      <c r="K1278" s="3" t="str">
        <f>IF(A1278="","",'04'!$I$2)</f>
        <v/>
      </c>
      <c r="L1278" s="13"/>
      <c r="M1278" s="712" t="str">
        <f t="shared" si="165"/>
        <v/>
      </c>
      <c r="N1278" s="416"/>
    </row>
    <row r="1279" spans="1:14" ht="12.75" customHeight="1" x14ac:dyDescent="0.25">
      <c r="A1279" s="711"/>
      <c r="B1279" s="418"/>
      <c r="C1279" s="418"/>
      <c r="D1279" s="418"/>
      <c r="E1279" s="418"/>
      <c r="F1279" s="418"/>
      <c r="G1279" s="416"/>
      <c r="H1279" s="12" t="str">
        <f>IF(A1279="","",VLOOKUP(A1279,AA_Cuadrillas,4,FALSE))</f>
        <v/>
      </c>
      <c r="I1279" s="712" t="str">
        <f>IF(A1279="","",VLOOKUP(A1279,AA_Cuadrillas,5,FALSE))</f>
        <v/>
      </c>
      <c r="J1279" s="416"/>
      <c r="K1279" s="3" t="str">
        <f>IF(A1279="","",'04'!$I$2)</f>
        <v/>
      </c>
      <c r="L1279" s="13"/>
      <c r="M1279" s="712" t="str">
        <f t="shared" si="165"/>
        <v/>
      </c>
      <c r="N1279" s="416"/>
    </row>
    <row r="1280" spans="1:14" ht="12.75" customHeight="1" x14ac:dyDescent="0.25">
      <c r="A1280" s="711"/>
      <c r="B1280" s="418"/>
      <c r="C1280" s="418"/>
      <c r="D1280" s="418"/>
      <c r="E1280" s="418"/>
      <c r="F1280" s="418"/>
      <c r="G1280" s="416"/>
      <c r="H1280" s="12" t="str">
        <f>IF(A1280="","",VLOOKUP(A1280,AA_Cuadrillas,4,FALSE))</f>
        <v/>
      </c>
      <c r="I1280" s="712" t="str">
        <f>IF(A1280="","",VLOOKUP(A1280,AA_Cuadrillas,5,FALSE))</f>
        <v/>
      </c>
      <c r="J1280" s="416"/>
      <c r="K1280" s="3" t="str">
        <f>IF(A1280="","",'04'!$I$2)</f>
        <v/>
      </c>
      <c r="L1280" s="13"/>
      <c r="M1280" s="712" t="str">
        <f t="shared" si="165"/>
        <v/>
      </c>
      <c r="N1280" s="416"/>
    </row>
    <row r="1281" spans="1:16" ht="12.75" customHeight="1" x14ac:dyDescent="0.25">
      <c r="A1281" s="5"/>
      <c r="B1281" s="5"/>
      <c r="C1281" s="5"/>
      <c r="D1281" s="5"/>
      <c r="E1281" s="5"/>
      <c r="F1281" s="5"/>
      <c r="G1281" s="5"/>
      <c r="H1281" s="5"/>
      <c r="I1281" s="5"/>
      <c r="J1281" s="5"/>
      <c r="K1281" s="713" t="s">
        <v>261</v>
      </c>
      <c r="L1281" s="416"/>
      <c r="M1281" s="712">
        <f>SUM(M1276:N1280)</f>
        <v>129055.53814199999</v>
      </c>
      <c r="N1281" s="416"/>
    </row>
    <row r="1282" spans="1:16" ht="12.75" customHeight="1" x14ac:dyDescent="0.2"/>
    <row r="1283" spans="1:16" ht="12.75" customHeight="1" x14ac:dyDescent="0.2">
      <c r="A1283" s="785" t="s">
        <v>64</v>
      </c>
      <c r="B1283" s="410"/>
      <c r="C1283" s="410"/>
      <c r="D1283" s="410"/>
      <c r="E1283" s="410"/>
      <c r="F1283" s="410"/>
      <c r="G1283" s="410"/>
      <c r="H1283" s="410"/>
      <c r="I1283" s="410"/>
      <c r="J1283" s="410"/>
      <c r="K1283" s="410"/>
      <c r="L1283" s="410"/>
      <c r="M1283" s="410"/>
      <c r="N1283" s="411"/>
      <c r="O1283" s="272"/>
      <c r="P1283" s="9"/>
    </row>
    <row r="1284" spans="1:16" ht="12.75" customHeight="1" x14ac:dyDescent="0.2">
      <c r="A1284" s="412"/>
      <c r="B1284" s="413"/>
      <c r="C1284" s="413"/>
      <c r="D1284" s="413"/>
      <c r="E1284" s="413"/>
      <c r="F1284" s="413"/>
      <c r="G1284" s="413"/>
      <c r="H1284" s="413"/>
      <c r="I1284" s="413"/>
      <c r="J1284" s="413"/>
      <c r="K1284" s="413"/>
      <c r="L1284" s="413"/>
      <c r="M1284" s="413"/>
      <c r="N1284" s="414"/>
      <c r="O1284" s="272"/>
      <c r="P1284" s="9"/>
    </row>
    <row r="1285" spans="1:16" ht="12.75" customHeight="1" x14ac:dyDescent="0.2">
      <c r="A1285" s="49"/>
      <c r="B1285" s="49"/>
      <c r="C1285" s="49"/>
      <c r="D1285" s="49"/>
      <c r="E1285" s="49"/>
      <c r="F1285" s="49"/>
      <c r="G1285" s="49"/>
      <c r="H1285" s="49"/>
      <c r="I1285" s="49"/>
      <c r="J1285" s="49"/>
      <c r="K1285" s="49"/>
      <c r="L1285" s="49"/>
      <c r="M1285" s="49"/>
      <c r="N1285" s="49"/>
    </row>
    <row r="1286" spans="1:16" ht="12.75" customHeight="1" thickBot="1" x14ac:dyDescent="0.35">
      <c r="A1286" s="51" t="str">
        <f>VLOOKUP(A1283,'10'!$B$9:$N$100,13,FALSE)</f>
        <v>G026</v>
      </c>
      <c r="B1286" s="52" t="str">
        <f>A1283</f>
        <v>CONCRETO PARA MUROS DE 4000 PSI IMPERMEABILIZADO DE 280 KG/CM2 (INCLUYE FORMALETA METÁLICA POR AMBOS LADOS, MATERIALES, EQUIPOS, HERRAMIENTA MENOR Y MANO DE OBRA)</v>
      </c>
      <c r="C1286" s="53" t="s">
        <v>400</v>
      </c>
      <c r="D1286" s="54" t="s">
        <v>420</v>
      </c>
      <c r="E1286" s="55" t="s">
        <v>177</v>
      </c>
      <c r="F1286" s="59">
        <f>H1286+J1286+L1286+N1286</f>
        <v>1521992.9025899819</v>
      </c>
      <c r="G1286" s="55" t="s">
        <v>349</v>
      </c>
      <c r="H1286" s="59">
        <f>M1308</f>
        <v>38789.236907099999</v>
      </c>
      <c r="I1286" s="55" t="s">
        <v>402</v>
      </c>
      <c r="J1286" s="72">
        <f>M1299</f>
        <v>1253276.8969932001</v>
      </c>
      <c r="K1286" s="55" t="s">
        <v>351</v>
      </c>
      <c r="L1286" s="59">
        <f>M1317</f>
        <v>100871.23054768176</v>
      </c>
      <c r="M1286" s="55" t="s">
        <v>352</v>
      </c>
      <c r="N1286" s="59">
        <f>M1326</f>
        <v>129055.53814199999</v>
      </c>
    </row>
    <row r="1287" spans="1:16" ht="12.75" customHeight="1" thickBot="1" x14ac:dyDescent="0.3">
      <c r="A1287" s="60"/>
      <c r="B1287" s="60"/>
      <c r="C1287" s="60"/>
      <c r="D1287" s="60"/>
      <c r="E1287" s="60"/>
      <c r="F1287" s="60"/>
      <c r="G1287" s="60"/>
      <c r="J1287" s="60"/>
      <c r="K1287" s="60"/>
      <c r="L1287" s="327" t="s">
        <v>1934</v>
      </c>
      <c r="M1287" s="328">
        <f>+F1286*'01'!$O$16</f>
        <v>1969901.6901095272</v>
      </c>
      <c r="N1287" s="60"/>
    </row>
    <row r="1288" spans="1:16" ht="12.75" customHeight="1" x14ac:dyDescent="0.2">
      <c r="A1288" s="716" t="s">
        <v>403</v>
      </c>
      <c r="B1288" s="418"/>
      <c r="C1288" s="418"/>
      <c r="D1288" s="418"/>
      <c r="E1288" s="418"/>
      <c r="F1288" s="418"/>
      <c r="G1288" s="418"/>
      <c r="H1288" s="418"/>
      <c r="I1288" s="418"/>
      <c r="J1288" s="418"/>
      <c r="K1288" s="418"/>
      <c r="L1288" s="418"/>
      <c r="M1288" s="418"/>
      <c r="N1288" s="416"/>
    </row>
    <row r="1289" spans="1:16" ht="12.75" customHeight="1" x14ac:dyDescent="0.2">
      <c r="A1289" s="713" t="s">
        <v>39</v>
      </c>
      <c r="B1289" s="418"/>
      <c r="C1289" s="418"/>
      <c r="D1289" s="418"/>
      <c r="E1289" s="418"/>
      <c r="F1289" s="418"/>
      <c r="G1289" s="416"/>
      <c r="H1289" s="61" t="s">
        <v>40</v>
      </c>
      <c r="I1289" s="717" t="s">
        <v>404</v>
      </c>
      <c r="J1289" s="416"/>
      <c r="K1289" s="717" t="s">
        <v>184</v>
      </c>
      <c r="L1289" s="416"/>
      <c r="M1289" s="717" t="s">
        <v>405</v>
      </c>
      <c r="N1289" s="416"/>
    </row>
    <row r="1290" spans="1:16" ht="12.75" customHeight="1" x14ac:dyDescent="0.2">
      <c r="A1290" s="714" t="s">
        <v>431</v>
      </c>
      <c r="B1290" s="418"/>
      <c r="C1290" s="418"/>
      <c r="D1290" s="418"/>
      <c r="E1290" s="418"/>
      <c r="F1290" s="418"/>
      <c r="G1290" s="416"/>
      <c r="H1290" s="12" t="str">
        <f t="shared" ref="H1290:H1298" si="166">IF(A1290="","",VLOOKUP(A1290,AA_Materiales,7,FALSE))</f>
        <v>Kg</v>
      </c>
      <c r="I1290" s="712">
        <f t="shared" ref="I1290:I1298" si="167">IF(A1290="","",VLOOKUP(A1290,AA_Materiales,8,FALSE))</f>
        <v>761.6</v>
      </c>
      <c r="J1290" s="416"/>
      <c r="K1290" s="715">
        <v>420</v>
      </c>
      <c r="L1290" s="416"/>
      <c r="M1290" s="712">
        <f t="shared" ref="M1290:M1298" si="168">IF(A1290="","",I1290*K1290)</f>
        <v>319872</v>
      </c>
      <c r="N1290" s="416"/>
    </row>
    <row r="1291" spans="1:16" ht="12.75" customHeight="1" x14ac:dyDescent="0.2">
      <c r="A1291" s="714" t="s">
        <v>432</v>
      </c>
      <c r="B1291" s="418"/>
      <c r="C1291" s="418"/>
      <c r="D1291" s="418"/>
      <c r="E1291" s="418"/>
      <c r="F1291" s="418"/>
      <c r="G1291" s="416"/>
      <c r="H1291" s="12" t="str">
        <f t="shared" si="166"/>
        <v>m3</v>
      </c>
      <c r="I1291" s="712">
        <f t="shared" si="167"/>
        <v>65450</v>
      </c>
      <c r="J1291" s="416"/>
      <c r="K1291" s="715">
        <v>0.67</v>
      </c>
      <c r="L1291" s="416"/>
      <c r="M1291" s="712">
        <f t="shared" si="168"/>
        <v>43851.5</v>
      </c>
      <c r="N1291" s="416"/>
    </row>
    <row r="1292" spans="1:16" ht="12.75" customHeight="1" x14ac:dyDescent="0.2">
      <c r="A1292" s="714" t="s">
        <v>433</v>
      </c>
      <c r="B1292" s="418"/>
      <c r="C1292" s="418"/>
      <c r="D1292" s="418"/>
      <c r="E1292" s="418"/>
      <c r="F1292" s="418"/>
      <c r="G1292" s="416"/>
      <c r="H1292" s="12" t="str">
        <f t="shared" si="166"/>
        <v>m3</v>
      </c>
      <c r="I1292" s="712">
        <f t="shared" si="167"/>
        <v>113050</v>
      </c>
      <c r="J1292" s="416"/>
      <c r="K1292" s="715">
        <v>0.67</v>
      </c>
      <c r="L1292" s="416"/>
      <c r="M1292" s="712">
        <f t="shared" si="168"/>
        <v>75743.5</v>
      </c>
      <c r="N1292" s="416"/>
    </row>
    <row r="1293" spans="1:16" ht="12.75" customHeight="1" x14ac:dyDescent="0.2">
      <c r="A1293" s="714" t="s">
        <v>434</v>
      </c>
      <c r="B1293" s="418"/>
      <c r="C1293" s="418"/>
      <c r="D1293" s="418"/>
      <c r="E1293" s="418"/>
      <c r="F1293" s="418"/>
      <c r="G1293" s="416"/>
      <c r="H1293" s="12" t="str">
        <f t="shared" si="166"/>
        <v>Lt</v>
      </c>
      <c r="I1293" s="712">
        <f t="shared" si="167"/>
        <v>20</v>
      </c>
      <c r="J1293" s="416"/>
      <c r="K1293" s="715">
        <v>190</v>
      </c>
      <c r="L1293" s="416"/>
      <c r="M1293" s="712">
        <f t="shared" si="168"/>
        <v>3800</v>
      </c>
      <c r="N1293" s="416"/>
    </row>
    <row r="1294" spans="1:16" ht="12.75" customHeight="1" x14ac:dyDescent="0.2">
      <c r="A1294" s="714" t="s">
        <v>511</v>
      </c>
      <c r="B1294" s="418"/>
      <c r="C1294" s="418"/>
      <c r="D1294" s="418"/>
      <c r="E1294" s="418"/>
      <c r="F1294" s="418"/>
      <c r="G1294" s="416"/>
      <c r="H1294" s="12" t="str">
        <f t="shared" si="166"/>
        <v>Kg</v>
      </c>
      <c r="I1294" s="712">
        <f t="shared" si="167"/>
        <v>28851.55</v>
      </c>
      <c r="J1294" s="416"/>
      <c r="K1294" s="715">
        <v>2.13</v>
      </c>
      <c r="L1294" s="416"/>
      <c r="M1294" s="712">
        <f t="shared" si="168"/>
        <v>61453.801499999994</v>
      </c>
      <c r="N1294" s="416"/>
    </row>
    <row r="1295" spans="1:16" ht="12.75" customHeight="1" x14ac:dyDescent="0.2">
      <c r="A1295" s="714" t="s">
        <v>514</v>
      </c>
      <c r="B1295" s="418"/>
      <c r="C1295" s="418"/>
      <c r="D1295" s="418"/>
      <c r="E1295" s="418"/>
      <c r="F1295" s="418"/>
      <c r="G1295" s="416"/>
      <c r="H1295" s="12" t="str">
        <f t="shared" si="166"/>
        <v>m2</v>
      </c>
      <c r="I1295" s="712">
        <f t="shared" si="167"/>
        <v>93569.51193665</v>
      </c>
      <c r="J1295" s="416"/>
      <c r="K1295" s="715">
        <v>8</v>
      </c>
      <c r="L1295" s="416"/>
      <c r="M1295" s="712">
        <f t="shared" si="168"/>
        <v>748556.0954932</v>
      </c>
      <c r="N1295" s="416"/>
    </row>
    <row r="1296" spans="1:16" ht="12.75" customHeight="1" x14ac:dyDescent="0.2">
      <c r="A1296" s="714"/>
      <c r="B1296" s="418"/>
      <c r="C1296" s="418"/>
      <c r="D1296" s="418"/>
      <c r="E1296" s="418"/>
      <c r="F1296" s="418"/>
      <c r="G1296" s="416"/>
      <c r="H1296" s="12" t="str">
        <f t="shared" si="166"/>
        <v/>
      </c>
      <c r="I1296" s="712" t="str">
        <f t="shared" si="167"/>
        <v/>
      </c>
      <c r="J1296" s="416"/>
      <c r="K1296" s="715"/>
      <c r="L1296" s="416"/>
      <c r="M1296" s="712" t="str">
        <f t="shared" si="168"/>
        <v/>
      </c>
      <c r="N1296" s="416"/>
    </row>
    <row r="1297" spans="1:14" ht="12.75" customHeight="1" x14ac:dyDescent="0.2">
      <c r="A1297" s="714"/>
      <c r="B1297" s="418"/>
      <c r="C1297" s="418"/>
      <c r="D1297" s="418"/>
      <c r="E1297" s="418"/>
      <c r="F1297" s="418"/>
      <c r="G1297" s="416"/>
      <c r="H1297" s="12" t="str">
        <f t="shared" si="166"/>
        <v/>
      </c>
      <c r="I1297" s="712" t="str">
        <f t="shared" si="167"/>
        <v/>
      </c>
      <c r="J1297" s="416"/>
      <c r="K1297" s="715"/>
      <c r="L1297" s="416"/>
      <c r="M1297" s="712" t="str">
        <f t="shared" si="168"/>
        <v/>
      </c>
      <c r="N1297" s="416"/>
    </row>
    <row r="1298" spans="1:14" ht="12.75" customHeight="1" x14ac:dyDescent="0.2">
      <c r="A1298" s="714"/>
      <c r="B1298" s="418"/>
      <c r="C1298" s="418"/>
      <c r="D1298" s="418"/>
      <c r="E1298" s="418"/>
      <c r="F1298" s="418"/>
      <c r="G1298" s="416"/>
      <c r="H1298" s="12" t="str">
        <f t="shared" si="166"/>
        <v/>
      </c>
      <c r="I1298" s="712" t="str">
        <f t="shared" si="167"/>
        <v/>
      </c>
      <c r="J1298" s="416"/>
      <c r="K1298" s="715"/>
      <c r="L1298" s="416"/>
      <c r="M1298" s="712" t="str">
        <f t="shared" si="168"/>
        <v/>
      </c>
      <c r="N1298" s="416"/>
    </row>
    <row r="1299" spans="1:14" ht="12.75" customHeight="1" x14ac:dyDescent="0.25">
      <c r="A1299" s="5"/>
      <c r="B1299" s="5"/>
      <c r="C1299" s="5"/>
      <c r="D1299" s="5"/>
      <c r="E1299" s="5"/>
      <c r="F1299" s="5"/>
      <c r="G1299" s="5"/>
      <c r="H1299" s="5"/>
      <c r="I1299" s="5"/>
      <c r="J1299" s="5"/>
      <c r="K1299" s="713" t="s">
        <v>261</v>
      </c>
      <c r="L1299" s="416"/>
      <c r="M1299" s="712">
        <f>SUM(M1290:N1298)</f>
        <v>1253276.8969932001</v>
      </c>
      <c r="N1299" s="416"/>
    </row>
    <row r="1300" spans="1:14" ht="12.75" customHeight="1" x14ac:dyDescent="0.25">
      <c r="A1300" s="5"/>
      <c r="B1300" s="5"/>
      <c r="C1300" s="5"/>
      <c r="D1300" s="5"/>
      <c r="E1300" s="5"/>
      <c r="F1300" s="5"/>
      <c r="G1300" s="5"/>
      <c r="H1300" s="5"/>
      <c r="I1300" s="5"/>
      <c r="J1300" s="5"/>
      <c r="K1300" s="5"/>
      <c r="L1300" s="5"/>
      <c r="M1300" s="5"/>
      <c r="N1300" s="5"/>
    </row>
    <row r="1301" spans="1:14" ht="12.75" customHeight="1" x14ac:dyDescent="0.2">
      <c r="A1301" s="716" t="s">
        <v>410</v>
      </c>
      <c r="B1301" s="418"/>
      <c r="C1301" s="418"/>
      <c r="D1301" s="418"/>
      <c r="E1301" s="418"/>
      <c r="F1301" s="418"/>
      <c r="G1301" s="418"/>
      <c r="H1301" s="418"/>
      <c r="I1301" s="418"/>
      <c r="J1301" s="418"/>
      <c r="K1301" s="418"/>
      <c r="L1301" s="418"/>
      <c r="M1301" s="418"/>
      <c r="N1301" s="416"/>
    </row>
    <row r="1302" spans="1:14" ht="12.75" customHeight="1" x14ac:dyDescent="0.2">
      <c r="A1302" s="713" t="s">
        <v>39</v>
      </c>
      <c r="B1302" s="418"/>
      <c r="C1302" s="418"/>
      <c r="D1302" s="418"/>
      <c r="E1302" s="418"/>
      <c r="F1302" s="418"/>
      <c r="G1302" s="416"/>
      <c r="H1302" s="61" t="s">
        <v>40</v>
      </c>
      <c r="I1302" s="717" t="s">
        <v>404</v>
      </c>
      <c r="J1302" s="416"/>
      <c r="K1302" s="717" t="s">
        <v>184</v>
      </c>
      <c r="L1302" s="416"/>
      <c r="M1302" s="717" t="s">
        <v>405</v>
      </c>
      <c r="N1302" s="416"/>
    </row>
    <row r="1303" spans="1:14" ht="12.75" customHeight="1" x14ac:dyDescent="0.2">
      <c r="A1303" s="714" t="s">
        <v>411</v>
      </c>
      <c r="B1303" s="418"/>
      <c r="C1303" s="418"/>
      <c r="D1303" s="418"/>
      <c r="E1303" s="418"/>
      <c r="F1303" s="418"/>
      <c r="G1303" s="416"/>
      <c r="H1303" s="12" t="str">
        <f>IF(A1303="","",VLOOKUP(A1303,AA_Equipos,7,FALSE))</f>
        <v>% M.O.</v>
      </c>
      <c r="I1303" s="712">
        <f>M1326</f>
        <v>129055.53814199999</v>
      </c>
      <c r="J1303" s="416"/>
      <c r="K1303" s="722">
        <v>0.05</v>
      </c>
      <c r="L1303" s="416"/>
      <c r="M1303" s="712">
        <f t="shared" ref="M1303:M1307" si="169">IF(A1303="","",I1303*K1303)</f>
        <v>6452.7769071000002</v>
      </c>
      <c r="N1303" s="416"/>
    </row>
    <row r="1304" spans="1:14" ht="12.75" customHeight="1" x14ac:dyDescent="0.2">
      <c r="A1304" s="719" t="s">
        <v>435</v>
      </c>
      <c r="B1304" s="418"/>
      <c r="C1304" s="418"/>
      <c r="D1304" s="418"/>
      <c r="E1304" s="418"/>
      <c r="F1304" s="418"/>
      <c r="G1304" s="416"/>
      <c r="H1304" s="12" t="str">
        <f>IF(A1304="","",VLOOKUP(A1304,AA_Equipos,7,FALSE))</f>
        <v>Dia</v>
      </c>
      <c r="I1304" s="712">
        <f>IF(A1304="","",VLOOKUP(A1304,AA_Equipos,8,FALSE))</f>
        <v>103654</v>
      </c>
      <c r="J1304" s="416"/>
      <c r="K1304" s="723">
        <v>0.18</v>
      </c>
      <c r="L1304" s="416"/>
      <c r="M1304" s="712">
        <f t="shared" si="169"/>
        <v>18657.719999999998</v>
      </c>
      <c r="N1304" s="416"/>
    </row>
    <row r="1305" spans="1:14" ht="12.75" customHeight="1" x14ac:dyDescent="0.2">
      <c r="A1305" s="714" t="s">
        <v>441</v>
      </c>
      <c r="B1305" s="418"/>
      <c r="C1305" s="418"/>
      <c r="D1305" s="418"/>
      <c r="E1305" s="418"/>
      <c r="F1305" s="418"/>
      <c r="G1305" s="416"/>
      <c r="H1305" s="12" t="str">
        <f>IF(A1305="","",VLOOKUP(A1305,AA_Equipos,7,FALSE))</f>
        <v>Dia</v>
      </c>
      <c r="I1305" s="712">
        <f>IF(A1305="","",VLOOKUP(A1305,AA_Equipos,8,FALSE))</f>
        <v>75993</v>
      </c>
      <c r="J1305" s="416"/>
      <c r="K1305" s="715">
        <v>0.18</v>
      </c>
      <c r="L1305" s="416"/>
      <c r="M1305" s="712">
        <f t="shared" si="169"/>
        <v>13678.74</v>
      </c>
      <c r="N1305" s="416"/>
    </row>
    <row r="1306" spans="1:14" ht="12.75" customHeight="1" x14ac:dyDescent="0.2">
      <c r="A1306" s="714"/>
      <c r="B1306" s="418"/>
      <c r="C1306" s="418"/>
      <c r="D1306" s="418"/>
      <c r="E1306" s="418"/>
      <c r="F1306" s="418"/>
      <c r="G1306" s="416"/>
      <c r="H1306" s="12" t="str">
        <f>IF(A1306="","",VLOOKUP(A1306,AA_Equipos,7,FALSE))</f>
        <v/>
      </c>
      <c r="I1306" s="712" t="str">
        <f>IF(A1306="","",VLOOKUP(A1306,AA_Equipos,8,FALSE))</f>
        <v/>
      </c>
      <c r="J1306" s="416"/>
      <c r="K1306" s="715"/>
      <c r="L1306" s="416"/>
      <c r="M1306" s="712" t="str">
        <f t="shared" si="169"/>
        <v/>
      </c>
      <c r="N1306" s="416"/>
    </row>
    <row r="1307" spans="1:14" ht="12.75" customHeight="1" x14ac:dyDescent="0.2">
      <c r="A1307" s="714"/>
      <c r="B1307" s="418"/>
      <c r="C1307" s="418"/>
      <c r="D1307" s="418"/>
      <c r="E1307" s="418"/>
      <c r="F1307" s="418"/>
      <c r="G1307" s="416"/>
      <c r="H1307" s="12" t="str">
        <f>IF(A1307="","",VLOOKUP(A1307,AA_Equipos,7,FALSE))</f>
        <v/>
      </c>
      <c r="I1307" s="712" t="str">
        <f>IF(A1307="","",VLOOKUP(A1307,AA_Equipos,8,FALSE))</f>
        <v/>
      </c>
      <c r="J1307" s="416"/>
      <c r="K1307" s="715"/>
      <c r="L1307" s="416"/>
      <c r="M1307" s="712" t="str">
        <f t="shared" si="169"/>
        <v/>
      </c>
      <c r="N1307" s="416"/>
    </row>
    <row r="1308" spans="1:14" ht="12.75" customHeight="1" x14ac:dyDescent="0.25">
      <c r="A1308" s="5"/>
      <c r="B1308" s="5"/>
      <c r="C1308" s="5"/>
      <c r="D1308" s="5"/>
      <c r="E1308" s="5"/>
      <c r="F1308" s="5"/>
      <c r="G1308" s="5"/>
      <c r="H1308" s="5"/>
      <c r="I1308" s="5"/>
      <c r="J1308" s="5"/>
      <c r="K1308" s="713" t="s">
        <v>261</v>
      </c>
      <c r="L1308" s="416"/>
      <c r="M1308" s="712">
        <f>SUM(M1303:N1307)</f>
        <v>38789.236907099999</v>
      </c>
      <c r="N1308" s="416"/>
    </row>
    <row r="1309" spans="1:14" ht="12.75" customHeight="1" x14ac:dyDescent="0.25">
      <c r="A1309" s="5"/>
      <c r="B1309" s="5"/>
      <c r="C1309" s="5"/>
      <c r="D1309" s="5"/>
      <c r="E1309" s="5"/>
      <c r="F1309" s="5"/>
      <c r="G1309" s="5"/>
      <c r="H1309" s="5"/>
      <c r="I1309" s="5"/>
      <c r="J1309" s="5"/>
      <c r="K1309" s="5"/>
      <c r="L1309" s="5"/>
      <c r="M1309" s="5"/>
      <c r="N1309" s="5"/>
    </row>
    <row r="1310" spans="1:14" ht="12.75" customHeight="1" x14ac:dyDescent="0.2">
      <c r="A1310" s="716" t="s">
        <v>413</v>
      </c>
      <c r="B1310" s="418"/>
      <c r="C1310" s="418"/>
      <c r="D1310" s="418"/>
      <c r="E1310" s="418"/>
      <c r="F1310" s="418"/>
      <c r="G1310" s="418"/>
      <c r="H1310" s="418"/>
      <c r="I1310" s="418"/>
      <c r="J1310" s="418"/>
      <c r="K1310" s="418"/>
      <c r="L1310" s="418"/>
      <c r="M1310" s="418"/>
      <c r="N1310" s="416"/>
    </row>
    <row r="1311" spans="1:14" ht="12.75" customHeight="1" x14ac:dyDescent="0.2">
      <c r="A1311" s="713" t="s">
        <v>39</v>
      </c>
      <c r="B1311" s="418"/>
      <c r="C1311" s="418"/>
      <c r="D1311" s="418"/>
      <c r="E1311" s="418"/>
      <c r="F1311" s="418"/>
      <c r="G1311" s="416"/>
      <c r="H1311" s="61" t="s">
        <v>40</v>
      </c>
      <c r="I1311" s="717" t="s">
        <v>404</v>
      </c>
      <c r="J1311" s="416"/>
      <c r="K1311" s="717" t="s">
        <v>184</v>
      </c>
      <c r="L1311" s="416"/>
      <c r="M1311" s="717" t="s">
        <v>405</v>
      </c>
      <c r="N1311" s="416"/>
    </row>
    <row r="1312" spans="1:14" ht="12.75" customHeight="1" x14ac:dyDescent="0.2">
      <c r="A1312" s="714" t="s">
        <v>442</v>
      </c>
      <c r="B1312" s="418"/>
      <c r="C1312" s="418"/>
      <c r="D1312" s="418"/>
      <c r="E1312" s="418"/>
      <c r="F1312" s="418"/>
      <c r="G1312" s="416"/>
      <c r="H1312" s="12" t="s">
        <v>437</v>
      </c>
      <c r="I1312" s="712">
        <f>+M1308</f>
        <v>38789.236907099999</v>
      </c>
      <c r="J1312" s="416"/>
      <c r="K1312" s="722">
        <v>0.03</v>
      </c>
      <c r="L1312" s="416"/>
      <c r="M1312" s="712">
        <f t="shared" ref="M1312:M1316" si="170">IF(A1312="","",I1312*K1312)</f>
        <v>1163.677107213</v>
      </c>
      <c r="N1312" s="416"/>
    </row>
    <row r="1313" spans="1:16" ht="12.75" customHeight="1" x14ac:dyDescent="0.2">
      <c r="A1313" s="788" t="s">
        <v>1534</v>
      </c>
      <c r="B1313" s="418"/>
      <c r="C1313" s="418"/>
      <c r="D1313" s="418"/>
      <c r="E1313" s="418"/>
      <c r="F1313" s="418"/>
      <c r="G1313" s="416"/>
      <c r="H1313" s="107" t="s">
        <v>1535</v>
      </c>
      <c r="I1313" s="712">
        <f>+'13'!$J$68</f>
        <v>2206.6944848867188</v>
      </c>
      <c r="J1313" s="416"/>
      <c r="K1313" s="715">
        <f>+Indice!M5</f>
        <v>40</v>
      </c>
      <c r="L1313" s="416"/>
      <c r="M1313" s="712">
        <f t="shared" si="170"/>
        <v>88267.779395468751</v>
      </c>
      <c r="N1313" s="416"/>
    </row>
    <row r="1314" spans="1:16" ht="12.75" customHeight="1" x14ac:dyDescent="0.2">
      <c r="A1314" s="789" t="s">
        <v>1581</v>
      </c>
      <c r="B1314" s="418"/>
      <c r="C1314" s="418"/>
      <c r="D1314" s="418"/>
      <c r="E1314" s="418"/>
      <c r="F1314" s="418"/>
      <c r="G1314" s="416"/>
      <c r="H1314" s="107" t="s">
        <v>13</v>
      </c>
      <c r="I1314" s="712">
        <f>+M1290+M1294</f>
        <v>381325.8015</v>
      </c>
      <c r="J1314" s="416"/>
      <c r="K1314" s="722">
        <v>0.03</v>
      </c>
      <c r="L1314" s="416"/>
      <c r="M1314" s="712">
        <f t="shared" si="170"/>
        <v>11439.774045</v>
      </c>
      <c r="N1314" s="416"/>
    </row>
    <row r="1315" spans="1:16" ht="12.75" customHeight="1" x14ac:dyDescent="0.2">
      <c r="A1315" s="714"/>
      <c r="B1315" s="418"/>
      <c r="C1315" s="418"/>
      <c r="D1315" s="418"/>
      <c r="E1315" s="418"/>
      <c r="F1315" s="418"/>
      <c r="G1315" s="416"/>
      <c r="H1315" s="12"/>
      <c r="I1315" s="712"/>
      <c r="J1315" s="416"/>
      <c r="K1315" s="715"/>
      <c r="L1315" s="416"/>
      <c r="M1315" s="712" t="str">
        <f t="shared" si="170"/>
        <v/>
      </c>
      <c r="N1315" s="416"/>
    </row>
    <row r="1316" spans="1:16" ht="12.75" customHeight="1" x14ac:dyDescent="0.2">
      <c r="A1316" s="714"/>
      <c r="B1316" s="418"/>
      <c r="C1316" s="418"/>
      <c r="D1316" s="418"/>
      <c r="E1316" s="418"/>
      <c r="F1316" s="418"/>
      <c r="G1316" s="416"/>
      <c r="H1316" s="12"/>
      <c r="I1316" s="712"/>
      <c r="J1316" s="416"/>
      <c r="K1316" s="715"/>
      <c r="L1316" s="416"/>
      <c r="M1316" s="712" t="str">
        <f t="shared" si="170"/>
        <v/>
      </c>
      <c r="N1316" s="416"/>
    </row>
    <row r="1317" spans="1:16" ht="12.75" customHeight="1" x14ac:dyDescent="0.25">
      <c r="A1317" s="5"/>
      <c r="B1317" s="5"/>
      <c r="C1317" s="5"/>
      <c r="D1317" s="5"/>
      <c r="E1317" s="5"/>
      <c r="F1317" s="5"/>
      <c r="G1317" s="5"/>
      <c r="H1317" s="5"/>
      <c r="I1317" s="5"/>
      <c r="J1317" s="5"/>
      <c r="K1317" s="713" t="s">
        <v>261</v>
      </c>
      <c r="L1317" s="416"/>
      <c r="M1317" s="712">
        <f>SUM(M1312:N1316)</f>
        <v>100871.23054768176</v>
      </c>
      <c r="N1317" s="416"/>
    </row>
    <row r="1318" spans="1:16" ht="12.75" customHeight="1" x14ac:dyDescent="0.25">
      <c r="A1318" s="5"/>
      <c r="B1318" s="5"/>
      <c r="C1318" s="5"/>
      <c r="D1318" s="5"/>
      <c r="E1318" s="5"/>
      <c r="F1318" s="5"/>
      <c r="G1318" s="5"/>
      <c r="H1318" s="5"/>
      <c r="I1318" s="5"/>
      <c r="J1318" s="5"/>
      <c r="K1318" s="5"/>
      <c r="L1318" s="5"/>
      <c r="M1318" s="5"/>
      <c r="N1318" s="5"/>
    </row>
    <row r="1319" spans="1:16" ht="12.75" customHeight="1" x14ac:dyDescent="0.2">
      <c r="A1319" s="716" t="s">
        <v>415</v>
      </c>
      <c r="B1319" s="418"/>
      <c r="C1319" s="418"/>
      <c r="D1319" s="418"/>
      <c r="E1319" s="418"/>
      <c r="F1319" s="418"/>
      <c r="G1319" s="418"/>
      <c r="H1319" s="418"/>
      <c r="I1319" s="418"/>
      <c r="J1319" s="418"/>
      <c r="K1319" s="418"/>
      <c r="L1319" s="418"/>
      <c r="M1319" s="418"/>
      <c r="N1319" s="416"/>
    </row>
    <row r="1320" spans="1:16" ht="12.75" customHeight="1" x14ac:dyDescent="0.2">
      <c r="A1320" s="713" t="s">
        <v>39</v>
      </c>
      <c r="B1320" s="418"/>
      <c r="C1320" s="418"/>
      <c r="D1320" s="418"/>
      <c r="E1320" s="418"/>
      <c r="F1320" s="418"/>
      <c r="G1320" s="416"/>
      <c r="H1320" s="61" t="s">
        <v>40</v>
      </c>
      <c r="I1320" s="717" t="s">
        <v>404</v>
      </c>
      <c r="J1320" s="416"/>
      <c r="K1320" s="64" t="s">
        <v>253</v>
      </c>
      <c r="L1320" s="65" t="s">
        <v>416</v>
      </c>
      <c r="M1320" s="717" t="s">
        <v>405</v>
      </c>
      <c r="N1320" s="416"/>
    </row>
    <row r="1321" spans="1:16" ht="12.75" customHeight="1" x14ac:dyDescent="0.25">
      <c r="A1321" s="711" t="s">
        <v>439</v>
      </c>
      <c r="B1321" s="418"/>
      <c r="C1321" s="418"/>
      <c r="D1321" s="418"/>
      <c r="E1321" s="418"/>
      <c r="F1321" s="418"/>
      <c r="G1321" s="416"/>
      <c r="H1321" s="12" t="str">
        <f>IF(A1321="","",VLOOKUP(A1321,AA_Cuadrillas,4,FALSE))</f>
        <v>Cuadrilla</v>
      </c>
      <c r="I1321" s="712">
        <f>IF(A1321="","",VLOOKUP(A1321,AA_Cuadrillas,5,FALSE))</f>
        <v>379362</v>
      </c>
      <c r="J1321" s="416"/>
      <c r="K1321" s="3">
        <f>IF(A1321="","",'04'!$I$2)</f>
        <v>1.88995</v>
      </c>
      <c r="L1321" s="66">
        <v>0.18</v>
      </c>
      <c r="M1321" s="712">
        <f t="shared" ref="M1321:M1325" si="171">IF(A1321="","",I1321*K1321*L1321)</f>
        <v>129055.53814199999</v>
      </c>
      <c r="N1321" s="416"/>
    </row>
    <row r="1322" spans="1:16" ht="12.75" customHeight="1" x14ac:dyDescent="0.25">
      <c r="A1322" s="711"/>
      <c r="B1322" s="418"/>
      <c r="C1322" s="418"/>
      <c r="D1322" s="418"/>
      <c r="E1322" s="418"/>
      <c r="F1322" s="418"/>
      <c r="G1322" s="416"/>
      <c r="H1322" s="12" t="str">
        <f>IF(A1322="","",VLOOKUP(A1322,AA_Cuadrillas,4,FALSE))</f>
        <v/>
      </c>
      <c r="I1322" s="712" t="str">
        <f>IF(A1322="","",VLOOKUP(A1322,AA_Cuadrillas,5,FALSE))</f>
        <v/>
      </c>
      <c r="J1322" s="416"/>
      <c r="K1322" s="3" t="str">
        <f>IF(A1322="","",'04'!$I$2)</f>
        <v/>
      </c>
      <c r="L1322" s="3"/>
      <c r="M1322" s="712" t="str">
        <f t="shared" si="171"/>
        <v/>
      </c>
      <c r="N1322" s="416"/>
    </row>
    <row r="1323" spans="1:16" ht="12.75" customHeight="1" x14ac:dyDescent="0.25">
      <c r="A1323" s="711"/>
      <c r="B1323" s="418"/>
      <c r="C1323" s="418"/>
      <c r="D1323" s="418"/>
      <c r="E1323" s="418"/>
      <c r="F1323" s="418"/>
      <c r="G1323" s="416"/>
      <c r="H1323" s="12" t="str">
        <f>IF(A1323="","",VLOOKUP(A1323,AA_Cuadrillas,4,FALSE))</f>
        <v/>
      </c>
      <c r="I1323" s="712" t="str">
        <f>IF(A1323="","",VLOOKUP(A1323,AA_Cuadrillas,5,FALSE))</f>
        <v/>
      </c>
      <c r="J1323" s="416"/>
      <c r="K1323" s="3" t="str">
        <f>IF(A1323="","",'04'!$I$2)</f>
        <v/>
      </c>
      <c r="L1323" s="13"/>
      <c r="M1323" s="712" t="str">
        <f t="shared" si="171"/>
        <v/>
      </c>
      <c r="N1323" s="416"/>
    </row>
    <row r="1324" spans="1:16" ht="12.75" customHeight="1" x14ac:dyDescent="0.25">
      <c r="A1324" s="711"/>
      <c r="B1324" s="418"/>
      <c r="C1324" s="418"/>
      <c r="D1324" s="418"/>
      <c r="E1324" s="418"/>
      <c r="F1324" s="418"/>
      <c r="G1324" s="416"/>
      <c r="H1324" s="12" t="str">
        <f>IF(A1324="","",VLOOKUP(A1324,AA_Cuadrillas,4,FALSE))</f>
        <v/>
      </c>
      <c r="I1324" s="712" t="str">
        <f>IF(A1324="","",VLOOKUP(A1324,AA_Cuadrillas,5,FALSE))</f>
        <v/>
      </c>
      <c r="J1324" s="416"/>
      <c r="K1324" s="3" t="str">
        <f>IF(A1324="","",'04'!$I$2)</f>
        <v/>
      </c>
      <c r="L1324" s="13"/>
      <c r="M1324" s="712" t="str">
        <f t="shared" si="171"/>
        <v/>
      </c>
      <c r="N1324" s="416"/>
    </row>
    <row r="1325" spans="1:16" ht="12.75" customHeight="1" x14ac:dyDescent="0.25">
      <c r="A1325" s="711"/>
      <c r="B1325" s="418"/>
      <c r="C1325" s="418"/>
      <c r="D1325" s="418"/>
      <c r="E1325" s="418"/>
      <c r="F1325" s="418"/>
      <c r="G1325" s="416"/>
      <c r="H1325" s="12" t="str">
        <f>IF(A1325="","",VLOOKUP(A1325,AA_Cuadrillas,4,FALSE))</f>
        <v/>
      </c>
      <c r="I1325" s="712" t="str">
        <f>IF(A1325="","",VLOOKUP(A1325,AA_Cuadrillas,5,FALSE))</f>
        <v/>
      </c>
      <c r="J1325" s="416"/>
      <c r="K1325" s="3" t="str">
        <f>IF(A1325="","",'04'!$I$2)</f>
        <v/>
      </c>
      <c r="L1325" s="13"/>
      <c r="M1325" s="712" t="str">
        <f t="shared" si="171"/>
        <v/>
      </c>
      <c r="N1325" s="416"/>
    </row>
    <row r="1326" spans="1:16" ht="12.75" customHeight="1" x14ac:dyDescent="0.25">
      <c r="A1326" s="5"/>
      <c r="B1326" s="5"/>
      <c r="C1326" s="5"/>
      <c r="D1326" s="5"/>
      <c r="E1326" s="5"/>
      <c r="F1326" s="5"/>
      <c r="G1326" s="5"/>
      <c r="H1326" s="5"/>
      <c r="I1326" s="5"/>
      <c r="J1326" s="5"/>
      <c r="K1326" s="713" t="s">
        <v>261</v>
      </c>
      <c r="L1326" s="416"/>
      <c r="M1326" s="712">
        <f>SUM(M1321:N1325)</f>
        <v>129055.53814199999</v>
      </c>
      <c r="N1326" s="416"/>
    </row>
    <row r="1327" spans="1:16" ht="12.75" customHeight="1" x14ac:dyDescent="0.2"/>
    <row r="1328" spans="1:16" ht="12.75" customHeight="1" x14ac:dyDescent="0.2">
      <c r="A1328" s="787" t="s">
        <v>62</v>
      </c>
      <c r="B1328" s="410"/>
      <c r="C1328" s="410"/>
      <c r="D1328" s="410"/>
      <c r="E1328" s="410"/>
      <c r="F1328" s="410"/>
      <c r="G1328" s="410"/>
      <c r="H1328" s="410"/>
      <c r="I1328" s="410"/>
      <c r="J1328" s="410"/>
      <c r="K1328" s="410"/>
      <c r="L1328" s="410"/>
      <c r="M1328" s="410"/>
      <c r="N1328" s="411"/>
      <c r="O1328" s="272"/>
      <c r="P1328" s="9"/>
    </row>
    <row r="1329" spans="1:16" ht="12.75" customHeight="1" x14ac:dyDescent="0.2">
      <c r="A1329" s="412"/>
      <c r="B1329" s="413"/>
      <c r="C1329" s="413"/>
      <c r="D1329" s="413"/>
      <c r="E1329" s="413"/>
      <c r="F1329" s="413"/>
      <c r="G1329" s="413"/>
      <c r="H1329" s="413"/>
      <c r="I1329" s="413"/>
      <c r="J1329" s="413"/>
      <c r="K1329" s="413"/>
      <c r="L1329" s="413"/>
      <c r="M1329" s="413"/>
      <c r="N1329" s="414"/>
      <c r="O1329" s="272"/>
      <c r="P1329" s="9"/>
    </row>
    <row r="1330" spans="1:16" ht="12.75" customHeight="1" x14ac:dyDescent="0.2">
      <c r="A1330" s="49"/>
      <c r="B1330" s="49"/>
      <c r="C1330" s="49"/>
      <c r="D1330" s="49"/>
      <c r="E1330" s="49"/>
      <c r="F1330" s="49"/>
      <c r="G1330" s="49"/>
      <c r="H1330" s="49"/>
      <c r="I1330" s="49"/>
      <c r="J1330" s="49"/>
      <c r="K1330" s="49"/>
      <c r="L1330" s="49"/>
      <c r="M1330" s="49"/>
      <c r="N1330" s="49"/>
    </row>
    <row r="1331" spans="1:16" ht="12.75" customHeight="1" thickBot="1" x14ac:dyDescent="0.35">
      <c r="A1331" s="51" t="str">
        <f>VLOOKUP(A1328,'10'!$B$9:$N$100,13,FALSE)</f>
        <v>G019</v>
      </c>
      <c r="B1331" s="52" t="str">
        <f>A1328</f>
        <v>CONCRETO PARA PISO DE 4000 PSI IMPERMEABILIZADO A TODO COSTO (280 KG/CM2)</v>
      </c>
      <c r="C1331" s="53" t="s">
        <v>400</v>
      </c>
      <c r="D1331" s="54" t="s">
        <v>420</v>
      </c>
      <c r="E1331" s="55" t="s">
        <v>177</v>
      </c>
      <c r="F1331" s="59">
        <f>H1331+J1331+L1331+N1331</f>
        <v>779466.77586727508</v>
      </c>
      <c r="G1331" s="55" t="s">
        <v>349</v>
      </c>
      <c r="H1331" s="59">
        <f>M1353</f>
        <v>43793.221699815549</v>
      </c>
      <c r="I1331" s="55" t="s">
        <v>402</v>
      </c>
      <c r="J1331" s="70">
        <f>M1344</f>
        <v>504720.8015</v>
      </c>
      <c r="K1331" s="55" t="s">
        <v>351</v>
      </c>
      <c r="L1331" s="59">
        <f>M1362</f>
        <v>101897.21452545952</v>
      </c>
      <c r="M1331" s="55" t="s">
        <v>352</v>
      </c>
      <c r="N1331" s="59">
        <f>M1371</f>
        <v>129055.53814199999</v>
      </c>
    </row>
    <row r="1332" spans="1:16" ht="12.75" customHeight="1" thickBot="1" x14ac:dyDescent="0.3">
      <c r="A1332" s="60"/>
      <c r="B1332" s="60"/>
      <c r="C1332" s="60"/>
      <c r="D1332" s="60"/>
      <c r="E1332" s="60"/>
      <c r="F1332" s="60"/>
      <c r="G1332" s="60"/>
      <c r="J1332" s="60"/>
      <c r="K1332" s="60"/>
      <c r="L1332" s="327" t="s">
        <v>1934</v>
      </c>
      <c r="M1332" s="328">
        <f>+F1331*'01'!$O$16</f>
        <v>1008856.8196029352</v>
      </c>
      <c r="N1332" s="60"/>
    </row>
    <row r="1333" spans="1:16" ht="12.75" customHeight="1" x14ac:dyDescent="0.2">
      <c r="A1333" s="716" t="s">
        <v>403</v>
      </c>
      <c r="B1333" s="418"/>
      <c r="C1333" s="418"/>
      <c r="D1333" s="418"/>
      <c r="E1333" s="418"/>
      <c r="F1333" s="418"/>
      <c r="G1333" s="418"/>
      <c r="H1333" s="418"/>
      <c r="I1333" s="418"/>
      <c r="J1333" s="418"/>
      <c r="K1333" s="418"/>
      <c r="L1333" s="418"/>
      <c r="M1333" s="418"/>
      <c r="N1333" s="416"/>
    </row>
    <row r="1334" spans="1:16" ht="12.75" customHeight="1" x14ac:dyDescent="0.2">
      <c r="A1334" s="713" t="s">
        <v>39</v>
      </c>
      <c r="B1334" s="418"/>
      <c r="C1334" s="418"/>
      <c r="D1334" s="418"/>
      <c r="E1334" s="418"/>
      <c r="F1334" s="418"/>
      <c r="G1334" s="416"/>
      <c r="H1334" s="61" t="s">
        <v>40</v>
      </c>
      <c r="I1334" s="717" t="s">
        <v>404</v>
      </c>
      <c r="J1334" s="416"/>
      <c r="K1334" s="717" t="s">
        <v>184</v>
      </c>
      <c r="L1334" s="416"/>
      <c r="M1334" s="717" t="s">
        <v>405</v>
      </c>
      <c r="N1334" s="416"/>
    </row>
    <row r="1335" spans="1:16" ht="12.75" customHeight="1" x14ac:dyDescent="0.2">
      <c r="A1335" s="714" t="s">
        <v>431</v>
      </c>
      <c r="B1335" s="418"/>
      <c r="C1335" s="418"/>
      <c r="D1335" s="418"/>
      <c r="E1335" s="418"/>
      <c r="F1335" s="418"/>
      <c r="G1335" s="416"/>
      <c r="H1335" s="12" t="str">
        <f t="shared" ref="H1335:H1343" si="172">IF(A1335="","",VLOOKUP(A1335,AA_Materiales,7,FALSE))</f>
        <v>Kg</v>
      </c>
      <c r="I1335" s="712">
        <f t="shared" ref="I1335:I1343" si="173">IF(A1335="","",VLOOKUP(A1335,AA_Materiales,8,FALSE))</f>
        <v>761.6</v>
      </c>
      <c r="J1335" s="416"/>
      <c r="K1335" s="715">
        <v>420</v>
      </c>
      <c r="L1335" s="416"/>
      <c r="M1335" s="712">
        <f t="shared" ref="M1335:M1343" si="174">IF(A1335="","",I1335*K1335)</f>
        <v>319872</v>
      </c>
      <c r="N1335" s="416"/>
    </row>
    <row r="1336" spans="1:16" ht="12.75" customHeight="1" x14ac:dyDescent="0.2">
      <c r="A1336" s="714" t="s">
        <v>432</v>
      </c>
      <c r="B1336" s="418"/>
      <c r="C1336" s="418"/>
      <c r="D1336" s="418"/>
      <c r="E1336" s="418"/>
      <c r="F1336" s="418"/>
      <c r="G1336" s="416"/>
      <c r="H1336" s="12" t="str">
        <f t="shared" si="172"/>
        <v>m3</v>
      </c>
      <c r="I1336" s="712">
        <f t="shared" si="173"/>
        <v>65450</v>
      </c>
      <c r="J1336" s="416"/>
      <c r="K1336" s="715">
        <v>0.67</v>
      </c>
      <c r="L1336" s="416"/>
      <c r="M1336" s="712">
        <f t="shared" si="174"/>
        <v>43851.5</v>
      </c>
      <c r="N1336" s="416"/>
    </row>
    <row r="1337" spans="1:16" ht="12.75" customHeight="1" x14ac:dyDescent="0.2">
      <c r="A1337" s="714" t="s">
        <v>433</v>
      </c>
      <c r="B1337" s="418"/>
      <c r="C1337" s="418"/>
      <c r="D1337" s="418"/>
      <c r="E1337" s="418"/>
      <c r="F1337" s="418"/>
      <c r="G1337" s="416"/>
      <c r="H1337" s="12" t="str">
        <f t="shared" si="172"/>
        <v>m3</v>
      </c>
      <c r="I1337" s="712">
        <f t="shared" si="173"/>
        <v>113050</v>
      </c>
      <c r="J1337" s="416"/>
      <c r="K1337" s="715">
        <v>0.67</v>
      </c>
      <c r="L1337" s="416"/>
      <c r="M1337" s="712">
        <f t="shared" si="174"/>
        <v>75743.5</v>
      </c>
      <c r="N1337" s="416"/>
    </row>
    <row r="1338" spans="1:16" ht="12.75" customHeight="1" x14ac:dyDescent="0.2">
      <c r="A1338" s="714" t="s">
        <v>434</v>
      </c>
      <c r="B1338" s="418"/>
      <c r="C1338" s="418"/>
      <c r="D1338" s="418"/>
      <c r="E1338" s="418"/>
      <c r="F1338" s="418"/>
      <c r="G1338" s="416"/>
      <c r="H1338" s="12" t="str">
        <f t="shared" si="172"/>
        <v>Lt</v>
      </c>
      <c r="I1338" s="712">
        <f t="shared" si="173"/>
        <v>20</v>
      </c>
      <c r="J1338" s="416"/>
      <c r="K1338" s="715">
        <v>190</v>
      </c>
      <c r="L1338" s="416"/>
      <c r="M1338" s="712">
        <f t="shared" si="174"/>
        <v>3800</v>
      </c>
      <c r="N1338" s="416"/>
    </row>
    <row r="1339" spans="1:16" ht="12.75" customHeight="1" x14ac:dyDescent="0.2">
      <c r="A1339" s="714" t="s">
        <v>511</v>
      </c>
      <c r="B1339" s="418"/>
      <c r="C1339" s="418"/>
      <c r="D1339" s="418"/>
      <c r="E1339" s="418"/>
      <c r="F1339" s="418"/>
      <c r="G1339" s="416"/>
      <c r="H1339" s="12" t="str">
        <f t="shared" si="172"/>
        <v>Kg</v>
      </c>
      <c r="I1339" s="712">
        <f t="shared" si="173"/>
        <v>28851.55</v>
      </c>
      <c r="J1339" s="416"/>
      <c r="K1339" s="715">
        <v>2.13</v>
      </c>
      <c r="L1339" s="416"/>
      <c r="M1339" s="712">
        <f t="shared" si="174"/>
        <v>61453.801499999994</v>
      </c>
      <c r="N1339" s="416"/>
    </row>
    <row r="1340" spans="1:16" ht="12.75" customHeight="1" x14ac:dyDescent="0.2">
      <c r="A1340" s="714"/>
      <c r="B1340" s="418"/>
      <c r="C1340" s="418"/>
      <c r="D1340" s="418"/>
      <c r="E1340" s="418"/>
      <c r="F1340" s="418"/>
      <c r="G1340" s="416"/>
      <c r="H1340" s="12" t="str">
        <f t="shared" si="172"/>
        <v/>
      </c>
      <c r="I1340" s="712" t="str">
        <f t="shared" si="173"/>
        <v/>
      </c>
      <c r="J1340" s="416"/>
      <c r="K1340" s="715"/>
      <c r="L1340" s="416"/>
      <c r="M1340" s="712" t="str">
        <f t="shared" si="174"/>
        <v/>
      </c>
      <c r="N1340" s="416"/>
    </row>
    <row r="1341" spans="1:16" ht="12.75" customHeight="1" x14ac:dyDescent="0.2">
      <c r="A1341" s="714"/>
      <c r="B1341" s="418"/>
      <c r="C1341" s="418"/>
      <c r="D1341" s="418"/>
      <c r="E1341" s="418"/>
      <c r="F1341" s="418"/>
      <c r="G1341" s="416"/>
      <c r="H1341" s="12" t="str">
        <f t="shared" si="172"/>
        <v/>
      </c>
      <c r="I1341" s="712" t="str">
        <f t="shared" si="173"/>
        <v/>
      </c>
      <c r="J1341" s="416"/>
      <c r="K1341" s="715"/>
      <c r="L1341" s="416"/>
      <c r="M1341" s="712" t="str">
        <f t="shared" si="174"/>
        <v/>
      </c>
      <c r="N1341" s="416"/>
    </row>
    <row r="1342" spans="1:16" ht="12.75" customHeight="1" x14ac:dyDescent="0.2">
      <c r="A1342" s="714"/>
      <c r="B1342" s="418"/>
      <c r="C1342" s="418"/>
      <c r="D1342" s="418"/>
      <c r="E1342" s="418"/>
      <c r="F1342" s="418"/>
      <c r="G1342" s="416"/>
      <c r="H1342" s="12" t="str">
        <f t="shared" si="172"/>
        <v/>
      </c>
      <c r="I1342" s="712" t="str">
        <f t="shared" si="173"/>
        <v/>
      </c>
      <c r="J1342" s="416"/>
      <c r="K1342" s="715"/>
      <c r="L1342" s="416"/>
      <c r="M1342" s="712" t="str">
        <f t="shared" si="174"/>
        <v/>
      </c>
      <c r="N1342" s="416"/>
    </row>
    <row r="1343" spans="1:16" ht="12.75" customHeight="1" x14ac:dyDescent="0.2">
      <c r="A1343" s="714"/>
      <c r="B1343" s="418"/>
      <c r="C1343" s="418"/>
      <c r="D1343" s="418"/>
      <c r="E1343" s="418"/>
      <c r="F1343" s="418"/>
      <c r="G1343" s="416"/>
      <c r="H1343" s="12" t="str">
        <f t="shared" si="172"/>
        <v/>
      </c>
      <c r="I1343" s="712" t="str">
        <f t="shared" si="173"/>
        <v/>
      </c>
      <c r="J1343" s="416"/>
      <c r="K1343" s="715"/>
      <c r="L1343" s="416"/>
      <c r="M1343" s="712" t="str">
        <f t="shared" si="174"/>
        <v/>
      </c>
      <c r="N1343" s="416"/>
    </row>
    <row r="1344" spans="1:16" ht="12.75" customHeight="1" x14ac:dyDescent="0.25">
      <c r="A1344" s="5"/>
      <c r="B1344" s="5"/>
      <c r="C1344" s="5"/>
      <c r="D1344" s="5"/>
      <c r="E1344" s="5"/>
      <c r="F1344" s="5"/>
      <c r="G1344" s="5"/>
      <c r="H1344" s="5"/>
      <c r="I1344" s="5"/>
      <c r="J1344" s="5"/>
      <c r="K1344" s="713" t="s">
        <v>261</v>
      </c>
      <c r="L1344" s="416"/>
      <c r="M1344" s="712">
        <f>SUM(M1335:N1343)</f>
        <v>504720.8015</v>
      </c>
      <c r="N1344" s="416"/>
    </row>
    <row r="1345" spans="1:14" ht="12.75" customHeight="1" x14ac:dyDescent="0.25">
      <c r="A1345" s="5"/>
      <c r="B1345" s="5"/>
      <c r="C1345" s="5"/>
      <c r="D1345" s="5"/>
      <c r="E1345" s="5"/>
      <c r="F1345" s="5"/>
      <c r="G1345" s="5"/>
      <c r="H1345" s="5"/>
      <c r="I1345" s="5"/>
      <c r="J1345" s="5"/>
      <c r="K1345" s="5"/>
      <c r="L1345" s="5"/>
      <c r="M1345" s="5"/>
      <c r="N1345" s="5"/>
    </row>
    <row r="1346" spans="1:14" ht="12.75" customHeight="1" x14ac:dyDescent="0.2">
      <c r="A1346" s="716" t="s">
        <v>410</v>
      </c>
      <c r="B1346" s="418"/>
      <c r="C1346" s="418"/>
      <c r="D1346" s="418"/>
      <c r="E1346" s="418"/>
      <c r="F1346" s="418"/>
      <c r="G1346" s="418"/>
      <c r="H1346" s="418"/>
      <c r="I1346" s="418"/>
      <c r="J1346" s="418"/>
      <c r="K1346" s="418"/>
      <c r="L1346" s="418"/>
      <c r="M1346" s="418"/>
      <c r="N1346" s="416"/>
    </row>
    <row r="1347" spans="1:14" ht="12.75" customHeight="1" x14ac:dyDescent="0.2">
      <c r="A1347" s="713" t="s">
        <v>39</v>
      </c>
      <c r="B1347" s="418"/>
      <c r="C1347" s="418"/>
      <c r="D1347" s="418"/>
      <c r="E1347" s="418"/>
      <c r="F1347" s="418"/>
      <c r="G1347" s="416"/>
      <c r="H1347" s="61" t="s">
        <v>40</v>
      </c>
      <c r="I1347" s="717" t="s">
        <v>404</v>
      </c>
      <c r="J1347" s="416"/>
      <c r="K1347" s="717" t="s">
        <v>184</v>
      </c>
      <c r="L1347" s="416"/>
      <c r="M1347" s="717" t="s">
        <v>405</v>
      </c>
      <c r="N1347" s="416"/>
    </row>
    <row r="1348" spans="1:14" ht="12.75" customHeight="1" x14ac:dyDescent="0.2">
      <c r="A1348" s="714" t="s">
        <v>411</v>
      </c>
      <c r="B1348" s="418"/>
      <c r="C1348" s="418"/>
      <c r="D1348" s="418"/>
      <c r="E1348" s="418"/>
      <c r="F1348" s="418"/>
      <c r="G1348" s="416"/>
      <c r="H1348" s="12" t="str">
        <f>IF(A1348="","",VLOOKUP(A1348,AA_Equipos,7,FALSE))</f>
        <v>% M.O.</v>
      </c>
      <c r="I1348" s="712">
        <f>M1371</f>
        <v>129055.53814199999</v>
      </c>
      <c r="J1348" s="416"/>
      <c r="K1348" s="722">
        <v>0.03</v>
      </c>
      <c r="L1348" s="416"/>
      <c r="M1348" s="712">
        <f t="shared" ref="M1348:M1352" si="175">IF(A1348="","",I1348*K1348)</f>
        <v>3871.6661442599998</v>
      </c>
      <c r="N1348" s="416"/>
    </row>
    <row r="1349" spans="1:14" ht="12.75" customHeight="1" x14ac:dyDescent="0.2">
      <c r="A1349" s="719" t="s">
        <v>435</v>
      </c>
      <c r="B1349" s="418"/>
      <c r="C1349" s="418"/>
      <c r="D1349" s="418"/>
      <c r="E1349" s="418"/>
      <c r="F1349" s="418"/>
      <c r="G1349" s="416"/>
      <c r="H1349" s="12" t="str">
        <f>IF(A1349="","",VLOOKUP(A1349,AA_Equipos,7,FALSE))</f>
        <v>Dia</v>
      </c>
      <c r="I1349" s="712">
        <f>IF(A1349="","",VLOOKUP(A1349,AA_Equipos,8,FALSE))</f>
        <v>103654</v>
      </c>
      <c r="J1349" s="416"/>
      <c r="K1349" s="723">
        <f t="shared" ref="K1349:K1350" si="176">1/4.5</f>
        <v>0.22222222222222221</v>
      </c>
      <c r="L1349" s="416"/>
      <c r="M1349" s="712">
        <f t="shared" si="175"/>
        <v>23034.222222222223</v>
      </c>
      <c r="N1349" s="416"/>
    </row>
    <row r="1350" spans="1:14" ht="12.75" customHeight="1" x14ac:dyDescent="0.2">
      <c r="A1350" s="714" t="s">
        <v>441</v>
      </c>
      <c r="B1350" s="418"/>
      <c r="C1350" s="418"/>
      <c r="D1350" s="418"/>
      <c r="E1350" s="418"/>
      <c r="F1350" s="418"/>
      <c r="G1350" s="416"/>
      <c r="H1350" s="12" t="str">
        <f>IF(A1350="","",VLOOKUP(A1350,AA_Equipos,7,FALSE))</f>
        <v>Dia</v>
      </c>
      <c r="I1350" s="712">
        <f>IF(A1350="","",VLOOKUP(A1350,AA_Equipos,8,FALSE))</f>
        <v>75993</v>
      </c>
      <c r="J1350" s="416"/>
      <c r="K1350" s="715">
        <f t="shared" si="176"/>
        <v>0.22222222222222221</v>
      </c>
      <c r="L1350" s="416"/>
      <c r="M1350" s="712">
        <f t="shared" si="175"/>
        <v>16887.333333333332</v>
      </c>
      <c r="N1350" s="416"/>
    </row>
    <row r="1351" spans="1:14" ht="12.75" customHeight="1" x14ac:dyDescent="0.2">
      <c r="A1351" s="714"/>
      <c r="B1351" s="418"/>
      <c r="C1351" s="418"/>
      <c r="D1351" s="418"/>
      <c r="E1351" s="418"/>
      <c r="F1351" s="418"/>
      <c r="G1351" s="416"/>
      <c r="H1351" s="12" t="str">
        <f>IF(A1351="","",VLOOKUP(A1351,AA_Equipos,7,FALSE))</f>
        <v/>
      </c>
      <c r="I1351" s="712" t="str">
        <f>IF(A1351="","",VLOOKUP(A1351,AA_Equipos,8,FALSE))</f>
        <v/>
      </c>
      <c r="J1351" s="416"/>
      <c r="K1351" s="715"/>
      <c r="L1351" s="416"/>
      <c r="M1351" s="712" t="str">
        <f t="shared" si="175"/>
        <v/>
      </c>
      <c r="N1351" s="416"/>
    </row>
    <row r="1352" spans="1:14" ht="12.75" customHeight="1" x14ac:dyDescent="0.2">
      <c r="A1352" s="714"/>
      <c r="B1352" s="418"/>
      <c r="C1352" s="418"/>
      <c r="D1352" s="418"/>
      <c r="E1352" s="418"/>
      <c r="F1352" s="418"/>
      <c r="G1352" s="416"/>
      <c r="H1352" s="12" t="str">
        <f>IF(A1352="","",VLOOKUP(A1352,AA_Equipos,7,FALSE))</f>
        <v/>
      </c>
      <c r="I1352" s="712" t="str">
        <f>IF(A1352="","",VLOOKUP(A1352,AA_Equipos,8,FALSE))</f>
        <v/>
      </c>
      <c r="J1352" s="416"/>
      <c r="K1352" s="715"/>
      <c r="L1352" s="416"/>
      <c r="M1352" s="712" t="str">
        <f t="shared" si="175"/>
        <v/>
      </c>
      <c r="N1352" s="416"/>
    </row>
    <row r="1353" spans="1:14" ht="12.75" customHeight="1" x14ac:dyDescent="0.25">
      <c r="A1353" s="5"/>
      <c r="B1353" s="5"/>
      <c r="C1353" s="5"/>
      <c r="D1353" s="5"/>
      <c r="E1353" s="5"/>
      <c r="F1353" s="5"/>
      <c r="G1353" s="5"/>
      <c r="H1353" s="5"/>
      <c r="I1353" s="5"/>
      <c r="J1353" s="5"/>
      <c r="K1353" s="713" t="s">
        <v>261</v>
      </c>
      <c r="L1353" s="416"/>
      <c r="M1353" s="712">
        <f>SUM(M1348:N1352)</f>
        <v>43793.221699815549</v>
      </c>
      <c r="N1353" s="416"/>
    </row>
    <row r="1354" spans="1:14" ht="12.75" customHeight="1" x14ac:dyDescent="0.25">
      <c r="A1354" s="5"/>
      <c r="B1354" s="5"/>
      <c r="C1354" s="5"/>
      <c r="D1354" s="5"/>
      <c r="E1354" s="5"/>
      <c r="F1354" s="5"/>
      <c r="G1354" s="5"/>
      <c r="H1354" s="5"/>
      <c r="I1354" s="5"/>
      <c r="J1354" s="5"/>
      <c r="K1354" s="5"/>
      <c r="L1354" s="5"/>
      <c r="M1354" s="5"/>
      <c r="N1354" s="5"/>
    </row>
    <row r="1355" spans="1:14" ht="12.75" customHeight="1" x14ac:dyDescent="0.2">
      <c r="A1355" s="716" t="s">
        <v>413</v>
      </c>
      <c r="B1355" s="418"/>
      <c r="C1355" s="418"/>
      <c r="D1355" s="418"/>
      <c r="E1355" s="418"/>
      <c r="F1355" s="418"/>
      <c r="G1355" s="418"/>
      <c r="H1355" s="418"/>
      <c r="I1355" s="418"/>
      <c r="J1355" s="418"/>
      <c r="K1355" s="418"/>
      <c r="L1355" s="418"/>
      <c r="M1355" s="418"/>
      <c r="N1355" s="416"/>
    </row>
    <row r="1356" spans="1:14" ht="12.75" customHeight="1" x14ac:dyDescent="0.2">
      <c r="A1356" s="713" t="s">
        <v>39</v>
      </c>
      <c r="B1356" s="418"/>
      <c r="C1356" s="418"/>
      <c r="D1356" s="418"/>
      <c r="E1356" s="418"/>
      <c r="F1356" s="418"/>
      <c r="G1356" s="416"/>
      <c r="H1356" s="61" t="s">
        <v>40</v>
      </c>
      <c r="I1356" s="717" t="s">
        <v>404</v>
      </c>
      <c r="J1356" s="416"/>
      <c r="K1356" s="717" t="s">
        <v>184</v>
      </c>
      <c r="L1356" s="416"/>
      <c r="M1356" s="717" t="s">
        <v>405</v>
      </c>
      <c r="N1356" s="416"/>
    </row>
    <row r="1357" spans="1:14" ht="12.75" customHeight="1" x14ac:dyDescent="0.2">
      <c r="A1357" s="714" t="s">
        <v>442</v>
      </c>
      <c r="B1357" s="418"/>
      <c r="C1357" s="418"/>
      <c r="D1357" s="418"/>
      <c r="E1357" s="418"/>
      <c r="F1357" s="418"/>
      <c r="G1357" s="416"/>
      <c r="H1357" s="12" t="s">
        <v>437</v>
      </c>
      <c r="I1357" s="712">
        <f>+M1353</f>
        <v>43793.221699815549</v>
      </c>
      <c r="J1357" s="416"/>
      <c r="K1357" s="722">
        <v>0.05</v>
      </c>
      <c r="L1357" s="416"/>
      <c r="M1357" s="712">
        <f t="shared" ref="M1357:M1361" si="177">IF(A1357="","",I1357*K1357)</f>
        <v>2189.6610849907775</v>
      </c>
      <c r="N1357" s="416"/>
    </row>
    <row r="1358" spans="1:14" ht="12.75" customHeight="1" x14ac:dyDescent="0.2">
      <c r="A1358" s="788" t="s">
        <v>1534</v>
      </c>
      <c r="B1358" s="418"/>
      <c r="C1358" s="418"/>
      <c r="D1358" s="418"/>
      <c r="E1358" s="418"/>
      <c r="F1358" s="418"/>
      <c r="G1358" s="416"/>
      <c r="H1358" s="107" t="s">
        <v>1535</v>
      </c>
      <c r="I1358" s="712">
        <f>'13'!$J$68</f>
        <v>2206.6944848867188</v>
      </c>
      <c r="J1358" s="416"/>
      <c r="K1358" s="715">
        <f>+Indice!$M$5</f>
        <v>40</v>
      </c>
      <c r="L1358" s="416"/>
      <c r="M1358" s="712">
        <f t="shared" si="177"/>
        <v>88267.779395468751</v>
      </c>
      <c r="N1358" s="416"/>
    </row>
    <row r="1359" spans="1:14" ht="12.75" customHeight="1" x14ac:dyDescent="0.2">
      <c r="A1359" s="788" t="s">
        <v>1581</v>
      </c>
      <c r="B1359" s="418"/>
      <c r="C1359" s="418"/>
      <c r="D1359" s="418"/>
      <c r="E1359" s="418"/>
      <c r="F1359" s="418"/>
      <c r="G1359" s="416"/>
      <c r="H1359" s="107" t="s">
        <v>13</v>
      </c>
      <c r="I1359" s="712">
        <f>+M1335+M1339</f>
        <v>381325.8015</v>
      </c>
      <c r="J1359" s="416"/>
      <c r="K1359" s="722">
        <v>0.03</v>
      </c>
      <c r="L1359" s="416"/>
      <c r="M1359" s="712">
        <f t="shared" si="177"/>
        <v>11439.774045</v>
      </c>
      <c r="N1359" s="416"/>
    </row>
    <row r="1360" spans="1:14" ht="12.75" customHeight="1" x14ac:dyDescent="0.2">
      <c r="A1360" s="714"/>
      <c r="B1360" s="418"/>
      <c r="C1360" s="418"/>
      <c r="D1360" s="418"/>
      <c r="E1360" s="418"/>
      <c r="F1360" s="418"/>
      <c r="G1360" s="416"/>
      <c r="H1360" s="12"/>
      <c r="I1360" s="712"/>
      <c r="J1360" s="416"/>
      <c r="K1360" s="715"/>
      <c r="L1360" s="416"/>
      <c r="M1360" s="712" t="str">
        <f t="shared" si="177"/>
        <v/>
      </c>
      <c r="N1360" s="416"/>
    </row>
    <row r="1361" spans="1:16" ht="12.75" customHeight="1" x14ac:dyDescent="0.2">
      <c r="A1361" s="714"/>
      <c r="B1361" s="418"/>
      <c r="C1361" s="418"/>
      <c r="D1361" s="418"/>
      <c r="E1361" s="418"/>
      <c r="F1361" s="418"/>
      <c r="G1361" s="416"/>
      <c r="H1361" s="12"/>
      <c r="I1361" s="712"/>
      <c r="J1361" s="416"/>
      <c r="K1361" s="715"/>
      <c r="L1361" s="416"/>
      <c r="M1361" s="712" t="str">
        <f t="shared" si="177"/>
        <v/>
      </c>
      <c r="N1361" s="416"/>
    </row>
    <row r="1362" spans="1:16" ht="12.75" customHeight="1" x14ac:dyDescent="0.25">
      <c r="A1362" s="5"/>
      <c r="B1362" s="5"/>
      <c r="C1362" s="5"/>
      <c r="D1362" s="5"/>
      <c r="E1362" s="5"/>
      <c r="F1362" s="5"/>
      <c r="G1362" s="5"/>
      <c r="H1362" s="5"/>
      <c r="I1362" s="5"/>
      <c r="J1362" s="5"/>
      <c r="K1362" s="713" t="s">
        <v>261</v>
      </c>
      <c r="L1362" s="416"/>
      <c r="M1362" s="712">
        <f>SUM(M1357:N1361)</f>
        <v>101897.21452545952</v>
      </c>
      <c r="N1362" s="416"/>
    </row>
    <row r="1363" spans="1:16" ht="12.75" customHeight="1" x14ac:dyDescent="0.25">
      <c r="A1363" s="5"/>
      <c r="B1363" s="5"/>
      <c r="C1363" s="5"/>
      <c r="D1363" s="5"/>
      <c r="E1363" s="5"/>
      <c r="F1363" s="5"/>
      <c r="G1363" s="5"/>
      <c r="H1363" s="5"/>
      <c r="I1363" s="5"/>
      <c r="J1363" s="5"/>
      <c r="K1363" s="5"/>
      <c r="L1363" s="5"/>
      <c r="M1363" s="5"/>
      <c r="N1363" s="5"/>
    </row>
    <row r="1364" spans="1:16" ht="12.75" customHeight="1" x14ac:dyDescent="0.2">
      <c r="A1364" s="716" t="s">
        <v>415</v>
      </c>
      <c r="B1364" s="418"/>
      <c r="C1364" s="418"/>
      <c r="D1364" s="418"/>
      <c r="E1364" s="418"/>
      <c r="F1364" s="418"/>
      <c r="G1364" s="418"/>
      <c r="H1364" s="418"/>
      <c r="I1364" s="418"/>
      <c r="J1364" s="418"/>
      <c r="K1364" s="418"/>
      <c r="L1364" s="418"/>
      <c r="M1364" s="418"/>
      <c r="N1364" s="416"/>
    </row>
    <row r="1365" spans="1:16" ht="12.75" customHeight="1" x14ac:dyDescent="0.2">
      <c r="A1365" s="713" t="s">
        <v>39</v>
      </c>
      <c r="B1365" s="418"/>
      <c r="C1365" s="418"/>
      <c r="D1365" s="418"/>
      <c r="E1365" s="418"/>
      <c r="F1365" s="418"/>
      <c r="G1365" s="416"/>
      <c r="H1365" s="61" t="s">
        <v>40</v>
      </c>
      <c r="I1365" s="717" t="s">
        <v>404</v>
      </c>
      <c r="J1365" s="416"/>
      <c r="K1365" s="64" t="s">
        <v>253</v>
      </c>
      <c r="L1365" s="65" t="s">
        <v>416</v>
      </c>
      <c r="M1365" s="717" t="s">
        <v>405</v>
      </c>
      <c r="N1365" s="416"/>
    </row>
    <row r="1366" spans="1:16" ht="12.75" customHeight="1" x14ac:dyDescent="0.25">
      <c r="A1366" s="711" t="s">
        <v>439</v>
      </c>
      <c r="B1366" s="418"/>
      <c r="C1366" s="418"/>
      <c r="D1366" s="418"/>
      <c r="E1366" s="418"/>
      <c r="F1366" s="418"/>
      <c r="G1366" s="416"/>
      <c r="H1366" s="12" t="str">
        <f>IF(A1366="","",VLOOKUP(A1366,AA_Cuadrillas,4,FALSE))</f>
        <v>Cuadrilla</v>
      </c>
      <c r="I1366" s="712">
        <f>IF(A1366="","",VLOOKUP(A1366,AA_Cuadrillas,5,FALSE))</f>
        <v>379362</v>
      </c>
      <c r="J1366" s="416"/>
      <c r="K1366" s="3">
        <f>IF(A1366="","",'04'!$I$2)</f>
        <v>1.88995</v>
      </c>
      <c r="L1366" s="66">
        <v>0.18</v>
      </c>
      <c r="M1366" s="712">
        <f t="shared" ref="M1366:M1370" si="178">IF(A1366="","",I1366*K1366*L1366)</f>
        <v>129055.53814199999</v>
      </c>
      <c r="N1366" s="416"/>
    </row>
    <row r="1367" spans="1:16" ht="12.75" customHeight="1" x14ac:dyDescent="0.25">
      <c r="A1367" s="711"/>
      <c r="B1367" s="418"/>
      <c r="C1367" s="418"/>
      <c r="D1367" s="418"/>
      <c r="E1367" s="418"/>
      <c r="F1367" s="418"/>
      <c r="G1367" s="416"/>
      <c r="H1367" s="12" t="str">
        <f>IF(A1367="","",VLOOKUP(A1367,AA_Cuadrillas,4,FALSE))</f>
        <v/>
      </c>
      <c r="I1367" s="712" t="str">
        <f>IF(A1367="","",VLOOKUP(A1367,AA_Cuadrillas,5,FALSE))</f>
        <v/>
      </c>
      <c r="J1367" s="416"/>
      <c r="K1367" s="3" t="str">
        <f>IF(A1367="","",'04'!$I$2)</f>
        <v/>
      </c>
      <c r="L1367" s="3"/>
      <c r="M1367" s="712" t="str">
        <f t="shared" si="178"/>
        <v/>
      </c>
      <c r="N1367" s="416"/>
    </row>
    <row r="1368" spans="1:16" ht="12.75" customHeight="1" x14ac:dyDescent="0.25">
      <c r="A1368" s="711"/>
      <c r="B1368" s="418"/>
      <c r="C1368" s="418"/>
      <c r="D1368" s="418"/>
      <c r="E1368" s="418"/>
      <c r="F1368" s="418"/>
      <c r="G1368" s="416"/>
      <c r="H1368" s="12" t="str">
        <f>IF(A1368="","",VLOOKUP(A1368,AA_Cuadrillas,4,FALSE))</f>
        <v/>
      </c>
      <c r="I1368" s="712" t="str">
        <f>IF(A1368="","",VLOOKUP(A1368,AA_Cuadrillas,5,FALSE))</f>
        <v/>
      </c>
      <c r="J1368" s="416"/>
      <c r="K1368" s="3" t="str">
        <f>IF(A1368="","",'04'!$I$2)</f>
        <v/>
      </c>
      <c r="L1368" s="13"/>
      <c r="M1368" s="712" t="str">
        <f t="shared" si="178"/>
        <v/>
      </c>
      <c r="N1368" s="416"/>
    </row>
    <row r="1369" spans="1:16" ht="12.75" customHeight="1" x14ac:dyDescent="0.25">
      <c r="A1369" s="711"/>
      <c r="B1369" s="418"/>
      <c r="C1369" s="418"/>
      <c r="D1369" s="418"/>
      <c r="E1369" s="418"/>
      <c r="F1369" s="418"/>
      <c r="G1369" s="416"/>
      <c r="H1369" s="12" t="str">
        <f>IF(A1369="","",VLOOKUP(A1369,AA_Cuadrillas,4,FALSE))</f>
        <v/>
      </c>
      <c r="I1369" s="712" t="str">
        <f>IF(A1369="","",VLOOKUP(A1369,AA_Cuadrillas,5,FALSE))</f>
        <v/>
      </c>
      <c r="J1369" s="416"/>
      <c r="K1369" s="3" t="str">
        <f>IF(A1369="","",'04'!$I$2)</f>
        <v/>
      </c>
      <c r="L1369" s="13"/>
      <c r="M1369" s="712" t="str">
        <f t="shared" si="178"/>
        <v/>
      </c>
      <c r="N1369" s="416"/>
    </row>
    <row r="1370" spans="1:16" ht="12.75" customHeight="1" x14ac:dyDescent="0.25">
      <c r="A1370" s="711"/>
      <c r="B1370" s="418"/>
      <c r="C1370" s="418"/>
      <c r="D1370" s="418"/>
      <c r="E1370" s="418"/>
      <c r="F1370" s="418"/>
      <c r="G1370" s="416"/>
      <c r="H1370" s="12" t="str">
        <f>IF(A1370="","",VLOOKUP(A1370,AA_Cuadrillas,4,FALSE))</f>
        <v/>
      </c>
      <c r="I1370" s="712" t="str">
        <f>IF(A1370="","",VLOOKUP(A1370,AA_Cuadrillas,5,FALSE))</f>
        <v/>
      </c>
      <c r="J1370" s="416"/>
      <c r="K1370" s="3" t="str">
        <f>IF(A1370="","",'04'!$I$2)</f>
        <v/>
      </c>
      <c r="L1370" s="13"/>
      <c r="M1370" s="712" t="str">
        <f t="shared" si="178"/>
        <v/>
      </c>
      <c r="N1370" s="416"/>
    </row>
    <row r="1371" spans="1:16" ht="12.75" customHeight="1" x14ac:dyDescent="0.25">
      <c r="A1371" s="5"/>
      <c r="B1371" s="5"/>
      <c r="C1371" s="5"/>
      <c r="D1371" s="5"/>
      <c r="E1371" s="5"/>
      <c r="F1371" s="5"/>
      <c r="G1371" s="5"/>
      <c r="H1371" s="5"/>
      <c r="I1371" s="5"/>
      <c r="J1371" s="5"/>
      <c r="K1371" s="713" t="s">
        <v>261</v>
      </c>
      <c r="L1371" s="416"/>
      <c r="M1371" s="712">
        <f>SUM(M1366:N1370)</f>
        <v>129055.53814199999</v>
      </c>
      <c r="N1371" s="416"/>
    </row>
    <row r="1372" spans="1:16" ht="12.75" customHeight="1" x14ac:dyDescent="0.2"/>
    <row r="1373" spans="1:16" ht="12.75" customHeight="1" x14ac:dyDescent="0.2">
      <c r="A1373" s="787" t="s">
        <v>110</v>
      </c>
      <c r="B1373" s="410"/>
      <c r="C1373" s="410"/>
      <c r="D1373" s="410"/>
      <c r="E1373" s="410"/>
      <c r="F1373" s="410"/>
      <c r="G1373" s="410"/>
      <c r="H1373" s="410"/>
      <c r="I1373" s="410"/>
      <c r="J1373" s="410"/>
      <c r="K1373" s="410"/>
      <c r="L1373" s="410"/>
      <c r="M1373" s="410"/>
      <c r="N1373" s="411"/>
      <c r="O1373" s="272"/>
      <c r="P1373" s="9"/>
    </row>
    <row r="1374" spans="1:16" ht="12.75" customHeight="1" x14ac:dyDescent="0.2">
      <c r="A1374" s="412"/>
      <c r="B1374" s="413"/>
      <c r="C1374" s="413"/>
      <c r="D1374" s="413"/>
      <c r="E1374" s="413"/>
      <c r="F1374" s="413"/>
      <c r="G1374" s="413"/>
      <c r="H1374" s="413"/>
      <c r="I1374" s="413"/>
      <c r="J1374" s="413"/>
      <c r="K1374" s="413"/>
      <c r="L1374" s="413"/>
      <c r="M1374" s="413"/>
      <c r="N1374" s="414"/>
      <c r="O1374" s="272"/>
      <c r="P1374" s="9"/>
    </row>
    <row r="1375" spans="1:16" ht="12.75" customHeight="1" x14ac:dyDescent="0.2">
      <c r="A1375" s="49"/>
      <c r="B1375" s="49"/>
      <c r="C1375" s="49"/>
      <c r="D1375" s="49"/>
      <c r="E1375" s="49"/>
      <c r="F1375" s="49"/>
      <c r="G1375" s="49"/>
      <c r="H1375" s="49"/>
      <c r="I1375" s="49"/>
      <c r="J1375" s="49"/>
      <c r="K1375" s="49"/>
      <c r="L1375" s="49"/>
      <c r="M1375" s="49"/>
      <c r="N1375" s="49"/>
    </row>
    <row r="1376" spans="1:16" ht="12.75" customHeight="1" thickBot="1" x14ac:dyDescent="0.35">
      <c r="A1376" s="51" t="str">
        <f>VLOOKUP(A1373,'10'!$B$9:$N$100,13,FALSE)</f>
        <v>G024</v>
      </c>
      <c r="B1376" s="52" t="str">
        <f>A1373</f>
        <v>RELLENO CON GRAVA EN AREAS DE TANQUES DE PLANTA DE TRATAMIENTO (INCLUYE MATERIALES, HERRAMIENTAS, TRANSPORTE Y MANO DE OBRA)</v>
      </c>
      <c r="C1376" s="53" t="s">
        <v>400</v>
      </c>
      <c r="D1376" s="54" t="s">
        <v>420</v>
      </c>
      <c r="E1376" s="55" t="s">
        <v>177</v>
      </c>
      <c r="F1376" s="59">
        <f>H1376+J1376+L1376+N1376</f>
        <v>216497.56621210047</v>
      </c>
      <c r="G1376" s="55" t="s">
        <v>349</v>
      </c>
      <c r="H1376" s="59">
        <f>M1398</f>
        <v>277.4937907756813</v>
      </c>
      <c r="I1376" s="55" t="s">
        <v>402</v>
      </c>
      <c r="J1376" s="59">
        <f>M1389</f>
        <v>118702.5</v>
      </c>
      <c r="K1376" s="55" t="s">
        <v>351</v>
      </c>
      <c r="L1376" s="59">
        <f>M1407</f>
        <v>88267.779395468751</v>
      </c>
      <c r="M1376" s="55" t="s">
        <v>352</v>
      </c>
      <c r="N1376" s="59">
        <f>M1416</f>
        <v>9249.7930258560446</v>
      </c>
    </row>
    <row r="1377" spans="1:14" ht="12.75" customHeight="1" thickBot="1" x14ac:dyDescent="0.3">
      <c r="A1377" s="60"/>
      <c r="B1377" s="60"/>
      <c r="C1377" s="60"/>
      <c r="D1377" s="60"/>
      <c r="E1377" s="60"/>
      <c r="F1377" s="60"/>
      <c r="G1377" s="60"/>
      <c r="J1377" s="60"/>
      <c r="K1377" s="60"/>
      <c r="L1377" s="327" t="s">
        <v>1934</v>
      </c>
      <c r="M1377" s="328">
        <f>+F1376*'01'!$O$16</f>
        <v>280210.84780360997</v>
      </c>
      <c r="N1377" s="60"/>
    </row>
    <row r="1378" spans="1:14" ht="12.75" customHeight="1" x14ac:dyDescent="0.2">
      <c r="A1378" s="716" t="s">
        <v>403</v>
      </c>
      <c r="B1378" s="418"/>
      <c r="C1378" s="418"/>
      <c r="D1378" s="418"/>
      <c r="E1378" s="418"/>
      <c r="F1378" s="418"/>
      <c r="G1378" s="418"/>
      <c r="H1378" s="418"/>
      <c r="I1378" s="418"/>
      <c r="J1378" s="418"/>
      <c r="K1378" s="418"/>
      <c r="L1378" s="418"/>
      <c r="M1378" s="418"/>
      <c r="N1378" s="416"/>
    </row>
    <row r="1379" spans="1:14" ht="12.75" customHeight="1" x14ac:dyDescent="0.2">
      <c r="A1379" s="713" t="s">
        <v>39</v>
      </c>
      <c r="B1379" s="418"/>
      <c r="C1379" s="418"/>
      <c r="D1379" s="418"/>
      <c r="E1379" s="418"/>
      <c r="F1379" s="418"/>
      <c r="G1379" s="416"/>
      <c r="H1379" s="61" t="s">
        <v>40</v>
      </c>
      <c r="I1379" s="717" t="s">
        <v>404</v>
      </c>
      <c r="J1379" s="416"/>
      <c r="K1379" s="717" t="s">
        <v>184</v>
      </c>
      <c r="L1379" s="416"/>
      <c r="M1379" s="717" t="s">
        <v>405</v>
      </c>
      <c r="N1379" s="416"/>
    </row>
    <row r="1380" spans="1:14" ht="12.75" customHeight="1" x14ac:dyDescent="0.2">
      <c r="A1380" s="714" t="s">
        <v>515</v>
      </c>
      <c r="B1380" s="418"/>
      <c r="C1380" s="418"/>
      <c r="D1380" s="418"/>
      <c r="E1380" s="418"/>
      <c r="F1380" s="418"/>
      <c r="G1380" s="416"/>
      <c r="H1380" s="12" t="str">
        <f t="shared" ref="H1380:H1388" si="179">IF(A1380="","",VLOOKUP(A1380,AA_Materiales,7,FALSE))</f>
        <v>m3</v>
      </c>
      <c r="I1380" s="712">
        <f t="shared" ref="I1380:I1388" si="180">IF(A1380="","",VLOOKUP(A1380,AA_Materiales,8,FALSE))</f>
        <v>113050</v>
      </c>
      <c r="J1380" s="416"/>
      <c r="K1380" s="715">
        <v>1.05</v>
      </c>
      <c r="L1380" s="416"/>
      <c r="M1380" s="712">
        <f t="shared" ref="M1380:M1388" si="181">IF(A1380="","",I1380*K1380)</f>
        <v>118702.5</v>
      </c>
      <c r="N1380" s="416"/>
    </row>
    <row r="1381" spans="1:14" ht="12.75" customHeight="1" x14ac:dyDescent="0.2">
      <c r="A1381" s="714"/>
      <c r="B1381" s="418"/>
      <c r="C1381" s="418"/>
      <c r="D1381" s="418"/>
      <c r="E1381" s="418"/>
      <c r="F1381" s="418"/>
      <c r="G1381" s="416"/>
      <c r="H1381" s="12" t="str">
        <f t="shared" si="179"/>
        <v/>
      </c>
      <c r="I1381" s="712" t="str">
        <f t="shared" si="180"/>
        <v/>
      </c>
      <c r="J1381" s="416"/>
      <c r="K1381" s="715"/>
      <c r="L1381" s="416"/>
      <c r="M1381" s="712" t="str">
        <f t="shared" si="181"/>
        <v/>
      </c>
      <c r="N1381" s="416"/>
    </row>
    <row r="1382" spans="1:14" ht="12.75" customHeight="1" x14ac:dyDescent="0.2">
      <c r="A1382" s="714"/>
      <c r="B1382" s="418"/>
      <c r="C1382" s="418"/>
      <c r="D1382" s="418"/>
      <c r="E1382" s="418"/>
      <c r="F1382" s="418"/>
      <c r="G1382" s="416"/>
      <c r="H1382" s="12" t="str">
        <f t="shared" si="179"/>
        <v/>
      </c>
      <c r="I1382" s="712" t="str">
        <f t="shared" si="180"/>
        <v/>
      </c>
      <c r="J1382" s="416"/>
      <c r="K1382" s="715"/>
      <c r="L1382" s="416"/>
      <c r="M1382" s="712" t="str">
        <f t="shared" si="181"/>
        <v/>
      </c>
      <c r="N1382" s="416"/>
    </row>
    <row r="1383" spans="1:14" ht="12.75" customHeight="1" x14ac:dyDescent="0.2">
      <c r="A1383" s="714"/>
      <c r="B1383" s="418"/>
      <c r="C1383" s="418"/>
      <c r="D1383" s="418"/>
      <c r="E1383" s="418"/>
      <c r="F1383" s="418"/>
      <c r="G1383" s="416"/>
      <c r="H1383" s="12" t="str">
        <f t="shared" si="179"/>
        <v/>
      </c>
      <c r="I1383" s="712" t="str">
        <f t="shared" si="180"/>
        <v/>
      </c>
      <c r="J1383" s="416"/>
      <c r="K1383" s="715"/>
      <c r="L1383" s="416"/>
      <c r="M1383" s="712" t="str">
        <f t="shared" si="181"/>
        <v/>
      </c>
      <c r="N1383" s="416"/>
    </row>
    <row r="1384" spans="1:14" ht="12.75" customHeight="1" x14ac:dyDescent="0.2">
      <c r="A1384" s="714"/>
      <c r="B1384" s="418"/>
      <c r="C1384" s="418"/>
      <c r="D1384" s="418"/>
      <c r="E1384" s="418"/>
      <c r="F1384" s="418"/>
      <c r="G1384" s="416"/>
      <c r="H1384" s="12" t="str">
        <f t="shared" si="179"/>
        <v/>
      </c>
      <c r="I1384" s="712" t="str">
        <f t="shared" si="180"/>
        <v/>
      </c>
      <c r="J1384" s="416"/>
      <c r="K1384" s="715"/>
      <c r="L1384" s="416"/>
      <c r="M1384" s="712" t="str">
        <f t="shared" si="181"/>
        <v/>
      </c>
      <c r="N1384" s="416"/>
    </row>
    <row r="1385" spans="1:14" ht="12.75" customHeight="1" x14ac:dyDescent="0.2">
      <c r="A1385" s="714"/>
      <c r="B1385" s="418"/>
      <c r="C1385" s="418"/>
      <c r="D1385" s="418"/>
      <c r="E1385" s="418"/>
      <c r="F1385" s="418"/>
      <c r="G1385" s="416"/>
      <c r="H1385" s="12" t="str">
        <f t="shared" si="179"/>
        <v/>
      </c>
      <c r="I1385" s="712" t="str">
        <f t="shared" si="180"/>
        <v/>
      </c>
      <c r="J1385" s="416"/>
      <c r="K1385" s="715"/>
      <c r="L1385" s="416"/>
      <c r="M1385" s="712" t="str">
        <f t="shared" si="181"/>
        <v/>
      </c>
      <c r="N1385" s="416"/>
    </row>
    <row r="1386" spans="1:14" ht="12.75" customHeight="1" x14ac:dyDescent="0.2">
      <c r="A1386" s="714"/>
      <c r="B1386" s="418"/>
      <c r="C1386" s="418"/>
      <c r="D1386" s="418"/>
      <c r="E1386" s="418"/>
      <c r="F1386" s="418"/>
      <c r="G1386" s="416"/>
      <c r="H1386" s="12" t="str">
        <f t="shared" si="179"/>
        <v/>
      </c>
      <c r="I1386" s="712" t="str">
        <f t="shared" si="180"/>
        <v/>
      </c>
      <c r="J1386" s="416"/>
      <c r="K1386" s="715"/>
      <c r="L1386" s="416"/>
      <c r="M1386" s="712" t="str">
        <f t="shared" si="181"/>
        <v/>
      </c>
      <c r="N1386" s="416"/>
    </row>
    <row r="1387" spans="1:14" ht="12.75" customHeight="1" x14ac:dyDescent="0.2">
      <c r="A1387" s="714"/>
      <c r="B1387" s="418"/>
      <c r="C1387" s="418"/>
      <c r="D1387" s="418"/>
      <c r="E1387" s="418"/>
      <c r="F1387" s="418"/>
      <c r="G1387" s="416"/>
      <c r="H1387" s="12" t="str">
        <f t="shared" si="179"/>
        <v/>
      </c>
      <c r="I1387" s="712" t="str">
        <f t="shared" si="180"/>
        <v/>
      </c>
      <c r="J1387" s="416"/>
      <c r="K1387" s="715"/>
      <c r="L1387" s="416"/>
      <c r="M1387" s="712" t="str">
        <f t="shared" si="181"/>
        <v/>
      </c>
      <c r="N1387" s="416"/>
    </row>
    <row r="1388" spans="1:14" ht="12.75" customHeight="1" x14ac:dyDescent="0.2">
      <c r="A1388" s="714"/>
      <c r="B1388" s="418"/>
      <c r="C1388" s="418"/>
      <c r="D1388" s="418"/>
      <c r="E1388" s="418"/>
      <c r="F1388" s="418"/>
      <c r="G1388" s="416"/>
      <c r="H1388" s="12" t="str">
        <f t="shared" si="179"/>
        <v/>
      </c>
      <c r="I1388" s="712" t="str">
        <f t="shared" si="180"/>
        <v/>
      </c>
      <c r="J1388" s="416"/>
      <c r="K1388" s="715"/>
      <c r="L1388" s="416"/>
      <c r="M1388" s="712" t="str">
        <f t="shared" si="181"/>
        <v/>
      </c>
      <c r="N1388" s="416"/>
    </row>
    <row r="1389" spans="1:14" ht="12.75" customHeight="1" x14ac:dyDescent="0.25">
      <c r="A1389" s="5"/>
      <c r="B1389" s="5"/>
      <c r="C1389" s="5"/>
      <c r="D1389" s="5"/>
      <c r="E1389" s="5"/>
      <c r="F1389" s="5"/>
      <c r="G1389" s="5"/>
      <c r="H1389" s="5"/>
      <c r="I1389" s="5"/>
      <c r="J1389" s="5"/>
      <c r="K1389" s="713" t="s">
        <v>261</v>
      </c>
      <c r="L1389" s="416"/>
      <c r="M1389" s="712">
        <f>SUM(M1380:N1388)</f>
        <v>118702.5</v>
      </c>
      <c r="N1389" s="416"/>
    </row>
    <row r="1390" spans="1:14" ht="12.75" customHeight="1" x14ac:dyDescent="0.25">
      <c r="A1390" s="5"/>
      <c r="B1390" s="5"/>
      <c r="C1390" s="5"/>
      <c r="D1390" s="5"/>
      <c r="E1390" s="5"/>
      <c r="F1390" s="5"/>
      <c r="G1390" s="5"/>
      <c r="H1390" s="5"/>
      <c r="I1390" s="5"/>
      <c r="J1390" s="5"/>
      <c r="K1390" s="5"/>
      <c r="L1390" s="5"/>
      <c r="M1390" s="5"/>
      <c r="N1390" s="5"/>
    </row>
    <row r="1391" spans="1:14" ht="12.75" customHeight="1" x14ac:dyDescent="0.2">
      <c r="A1391" s="716" t="s">
        <v>410</v>
      </c>
      <c r="B1391" s="418"/>
      <c r="C1391" s="418"/>
      <c r="D1391" s="418"/>
      <c r="E1391" s="418"/>
      <c r="F1391" s="418"/>
      <c r="G1391" s="418"/>
      <c r="H1391" s="418"/>
      <c r="I1391" s="418"/>
      <c r="J1391" s="418"/>
      <c r="K1391" s="418"/>
      <c r="L1391" s="418"/>
      <c r="M1391" s="418"/>
      <c r="N1391" s="416"/>
    </row>
    <row r="1392" spans="1:14" ht="12.75" customHeight="1" x14ac:dyDescent="0.2">
      <c r="A1392" s="713" t="s">
        <v>39</v>
      </c>
      <c r="B1392" s="418"/>
      <c r="C1392" s="418"/>
      <c r="D1392" s="418"/>
      <c r="E1392" s="418"/>
      <c r="F1392" s="418"/>
      <c r="G1392" s="416"/>
      <c r="H1392" s="61" t="s">
        <v>40</v>
      </c>
      <c r="I1392" s="717" t="s">
        <v>404</v>
      </c>
      <c r="J1392" s="416"/>
      <c r="K1392" s="717" t="s">
        <v>184</v>
      </c>
      <c r="L1392" s="416"/>
      <c r="M1392" s="717" t="s">
        <v>405</v>
      </c>
      <c r="N1392" s="416"/>
    </row>
    <row r="1393" spans="1:14" ht="12.75" customHeight="1" x14ac:dyDescent="0.2">
      <c r="A1393" s="714" t="s">
        <v>411</v>
      </c>
      <c r="B1393" s="418"/>
      <c r="C1393" s="418"/>
      <c r="D1393" s="418"/>
      <c r="E1393" s="418"/>
      <c r="F1393" s="418"/>
      <c r="G1393" s="416"/>
      <c r="H1393" s="12" t="str">
        <f>IF(A1393="","",VLOOKUP(A1393,AA_Equipos,7,FALSE))</f>
        <v>% M.O.</v>
      </c>
      <c r="I1393" s="712">
        <f>M1416</f>
        <v>9249.7930258560446</v>
      </c>
      <c r="J1393" s="416"/>
      <c r="K1393" s="722">
        <v>0.03</v>
      </c>
      <c r="L1393" s="416"/>
      <c r="M1393" s="712">
        <f t="shared" ref="M1393:M1397" si="182">IF(A1393="","",I1393*K1393)</f>
        <v>277.4937907756813</v>
      </c>
      <c r="N1393" s="416"/>
    </row>
    <row r="1394" spans="1:14" ht="12.75" customHeight="1" x14ac:dyDescent="0.2">
      <c r="A1394" s="719"/>
      <c r="B1394" s="418"/>
      <c r="C1394" s="418"/>
      <c r="D1394" s="418"/>
      <c r="E1394" s="418"/>
      <c r="F1394" s="418"/>
      <c r="G1394" s="416"/>
      <c r="H1394" s="12" t="str">
        <f>IF(A1394="","",VLOOKUP(A1394,AA_Equipos,7,FALSE))</f>
        <v/>
      </c>
      <c r="I1394" s="712" t="str">
        <f>IF(A1394="","",VLOOKUP(A1394,AA_Equipos,8,FALSE))</f>
        <v/>
      </c>
      <c r="J1394" s="416"/>
      <c r="K1394" s="723"/>
      <c r="L1394" s="416"/>
      <c r="M1394" s="712" t="str">
        <f t="shared" si="182"/>
        <v/>
      </c>
      <c r="N1394" s="416"/>
    </row>
    <row r="1395" spans="1:14" ht="12.75" customHeight="1" x14ac:dyDescent="0.2">
      <c r="A1395" s="719"/>
      <c r="B1395" s="418"/>
      <c r="C1395" s="418"/>
      <c r="D1395" s="418"/>
      <c r="E1395" s="418"/>
      <c r="F1395" s="418"/>
      <c r="G1395" s="416"/>
      <c r="H1395" s="12" t="str">
        <f>IF(A1395="","",VLOOKUP(A1395,AA_Equipos,7,FALSE))</f>
        <v/>
      </c>
      <c r="I1395" s="712" t="str">
        <f>IF(A1395="","",VLOOKUP(A1395,AA_Equipos,8,FALSE))</f>
        <v/>
      </c>
      <c r="J1395" s="416"/>
      <c r="K1395" s="715"/>
      <c r="L1395" s="416"/>
      <c r="M1395" s="712" t="str">
        <f t="shared" si="182"/>
        <v/>
      </c>
      <c r="N1395" s="416"/>
    </row>
    <row r="1396" spans="1:14" ht="12.75" customHeight="1" x14ac:dyDescent="0.2">
      <c r="A1396" s="714"/>
      <c r="B1396" s="418"/>
      <c r="C1396" s="418"/>
      <c r="D1396" s="418"/>
      <c r="E1396" s="418"/>
      <c r="F1396" s="418"/>
      <c r="G1396" s="416"/>
      <c r="H1396" s="12" t="str">
        <f>IF(A1396="","",VLOOKUP(A1396,AA_Equipos,7,FALSE))</f>
        <v/>
      </c>
      <c r="I1396" s="712" t="str">
        <f>IF(A1396="","",VLOOKUP(A1396,AA_Equipos,8,FALSE))</f>
        <v/>
      </c>
      <c r="J1396" s="416"/>
      <c r="K1396" s="715"/>
      <c r="L1396" s="416"/>
      <c r="M1396" s="712" t="str">
        <f t="shared" si="182"/>
        <v/>
      </c>
      <c r="N1396" s="416"/>
    </row>
    <row r="1397" spans="1:14" ht="12.75" customHeight="1" x14ac:dyDescent="0.2">
      <c r="A1397" s="714"/>
      <c r="B1397" s="418"/>
      <c r="C1397" s="418"/>
      <c r="D1397" s="418"/>
      <c r="E1397" s="418"/>
      <c r="F1397" s="418"/>
      <c r="G1397" s="416"/>
      <c r="H1397" s="12" t="str">
        <f>IF(A1397="","",VLOOKUP(A1397,AA_Equipos,7,FALSE))</f>
        <v/>
      </c>
      <c r="I1397" s="712" t="str">
        <f>IF(A1397="","",VLOOKUP(A1397,AA_Equipos,8,FALSE))</f>
        <v/>
      </c>
      <c r="J1397" s="416"/>
      <c r="K1397" s="715"/>
      <c r="L1397" s="416"/>
      <c r="M1397" s="712" t="str">
        <f t="shared" si="182"/>
        <v/>
      </c>
      <c r="N1397" s="416"/>
    </row>
    <row r="1398" spans="1:14" ht="12.75" customHeight="1" x14ac:dyDescent="0.25">
      <c r="A1398" s="5"/>
      <c r="B1398" s="5"/>
      <c r="C1398" s="5"/>
      <c r="D1398" s="5"/>
      <c r="E1398" s="5"/>
      <c r="F1398" s="5"/>
      <c r="G1398" s="5"/>
      <c r="H1398" s="5"/>
      <c r="I1398" s="5"/>
      <c r="J1398" s="5"/>
      <c r="K1398" s="713" t="s">
        <v>261</v>
      </c>
      <c r="L1398" s="416"/>
      <c r="M1398" s="712">
        <f>SUM(M1393:N1397)</f>
        <v>277.4937907756813</v>
      </c>
      <c r="N1398" s="416"/>
    </row>
    <row r="1399" spans="1:14" ht="12.75" customHeight="1" x14ac:dyDescent="0.25">
      <c r="A1399" s="5"/>
      <c r="B1399" s="5"/>
      <c r="C1399" s="5"/>
      <c r="D1399" s="5"/>
      <c r="E1399" s="5"/>
      <c r="F1399" s="5"/>
      <c r="G1399" s="5"/>
      <c r="H1399" s="5"/>
      <c r="I1399" s="5"/>
      <c r="J1399" s="5"/>
      <c r="K1399" s="5"/>
      <c r="L1399" s="5"/>
      <c r="M1399" s="5"/>
      <c r="N1399" s="5"/>
    </row>
    <row r="1400" spans="1:14" ht="12.75" customHeight="1" x14ac:dyDescent="0.2">
      <c r="A1400" s="716" t="s">
        <v>413</v>
      </c>
      <c r="B1400" s="418"/>
      <c r="C1400" s="418"/>
      <c r="D1400" s="418"/>
      <c r="E1400" s="418"/>
      <c r="F1400" s="418"/>
      <c r="G1400" s="418"/>
      <c r="H1400" s="418"/>
      <c r="I1400" s="418"/>
      <c r="J1400" s="418"/>
      <c r="K1400" s="418"/>
      <c r="L1400" s="418"/>
      <c r="M1400" s="418"/>
      <c r="N1400" s="416"/>
    </row>
    <row r="1401" spans="1:14" ht="12.75" customHeight="1" x14ac:dyDescent="0.2">
      <c r="A1401" s="713" t="s">
        <v>39</v>
      </c>
      <c r="B1401" s="418"/>
      <c r="C1401" s="418"/>
      <c r="D1401" s="418"/>
      <c r="E1401" s="418"/>
      <c r="F1401" s="418"/>
      <c r="G1401" s="416"/>
      <c r="H1401" s="61" t="s">
        <v>40</v>
      </c>
      <c r="I1401" s="717" t="s">
        <v>404</v>
      </c>
      <c r="J1401" s="416"/>
      <c r="K1401" s="717" t="s">
        <v>184</v>
      </c>
      <c r="L1401" s="416"/>
      <c r="M1401" s="717" t="s">
        <v>405</v>
      </c>
      <c r="N1401" s="416"/>
    </row>
    <row r="1402" spans="1:14" ht="12.75" customHeight="1" x14ac:dyDescent="0.2">
      <c r="A1402" s="714" t="s">
        <v>438</v>
      </c>
      <c r="B1402" s="418"/>
      <c r="C1402" s="418"/>
      <c r="D1402" s="418"/>
      <c r="E1402" s="418"/>
      <c r="F1402" s="418"/>
      <c r="G1402" s="416"/>
      <c r="H1402" s="12" t="s">
        <v>467</v>
      </c>
      <c r="I1402" s="712">
        <f>+'13'!$J$68</f>
        <v>2206.6944848867188</v>
      </c>
      <c r="J1402" s="416"/>
      <c r="K1402" s="715">
        <f>Indice!$M$5</f>
        <v>40</v>
      </c>
      <c r="L1402" s="416"/>
      <c r="M1402" s="712">
        <f t="shared" ref="M1402:M1406" si="183">IF(A1402="","",I1402*K1402)</f>
        <v>88267.779395468751</v>
      </c>
      <c r="N1402" s="416"/>
    </row>
    <row r="1403" spans="1:14" ht="12.75" customHeight="1" x14ac:dyDescent="0.2">
      <c r="A1403" s="719"/>
      <c r="B1403" s="418"/>
      <c r="C1403" s="418"/>
      <c r="D1403" s="418"/>
      <c r="E1403" s="418"/>
      <c r="F1403" s="418"/>
      <c r="G1403" s="416"/>
      <c r="H1403" s="12"/>
      <c r="I1403" s="712"/>
      <c r="J1403" s="416"/>
      <c r="K1403" s="800"/>
      <c r="L1403" s="416"/>
      <c r="M1403" s="712" t="str">
        <f t="shared" si="183"/>
        <v/>
      </c>
      <c r="N1403" s="416"/>
    </row>
    <row r="1404" spans="1:14" ht="12.75" customHeight="1" x14ac:dyDescent="0.2">
      <c r="A1404" s="714"/>
      <c r="B1404" s="418"/>
      <c r="C1404" s="418"/>
      <c r="D1404" s="418"/>
      <c r="E1404" s="418"/>
      <c r="F1404" s="418"/>
      <c r="G1404" s="416"/>
      <c r="H1404" s="12"/>
      <c r="I1404" s="712"/>
      <c r="J1404" s="416"/>
      <c r="K1404" s="715"/>
      <c r="L1404" s="416"/>
      <c r="M1404" s="712" t="str">
        <f t="shared" si="183"/>
        <v/>
      </c>
      <c r="N1404" s="416"/>
    </row>
    <row r="1405" spans="1:14" ht="12.75" customHeight="1" x14ac:dyDescent="0.2">
      <c r="A1405" s="714"/>
      <c r="B1405" s="418"/>
      <c r="C1405" s="418"/>
      <c r="D1405" s="418"/>
      <c r="E1405" s="418"/>
      <c r="F1405" s="418"/>
      <c r="G1405" s="416"/>
      <c r="H1405" s="12"/>
      <c r="I1405" s="712"/>
      <c r="J1405" s="416"/>
      <c r="K1405" s="715"/>
      <c r="L1405" s="416"/>
      <c r="M1405" s="712" t="str">
        <f t="shared" si="183"/>
        <v/>
      </c>
      <c r="N1405" s="416"/>
    </row>
    <row r="1406" spans="1:14" ht="12.75" customHeight="1" x14ac:dyDescent="0.2">
      <c r="A1406" s="714"/>
      <c r="B1406" s="418"/>
      <c r="C1406" s="418"/>
      <c r="D1406" s="418"/>
      <c r="E1406" s="418"/>
      <c r="F1406" s="418"/>
      <c r="G1406" s="416"/>
      <c r="H1406" s="12"/>
      <c r="I1406" s="712"/>
      <c r="J1406" s="416"/>
      <c r="K1406" s="715"/>
      <c r="L1406" s="416"/>
      <c r="M1406" s="712" t="str">
        <f t="shared" si="183"/>
        <v/>
      </c>
      <c r="N1406" s="416"/>
    </row>
    <row r="1407" spans="1:14" ht="12.75" customHeight="1" x14ac:dyDescent="0.25">
      <c r="A1407" s="5"/>
      <c r="B1407" s="5"/>
      <c r="C1407" s="5"/>
      <c r="D1407" s="5"/>
      <c r="E1407" s="5"/>
      <c r="F1407" s="5"/>
      <c r="G1407" s="5"/>
      <c r="H1407" s="5"/>
      <c r="I1407" s="5"/>
      <c r="J1407" s="5"/>
      <c r="K1407" s="713" t="s">
        <v>261</v>
      </c>
      <c r="L1407" s="416"/>
      <c r="M1407" s="712">
        <f>SUM(M1402:N1406)</f>
        <v>88267.779395468751</v>
      </c>
      <c r="N1407" s="416"/>
    </row>
    <row r="1408" spans="1:14" ht="12.75" customHeight="1" x14ac:dyDescent="0.25">
      <c r="A1408" s="5"/>
      <c r="B1408" s="5"/>
      <c r="C1408" s="5"/>
      <c r="D1408" s="5"/>
      <c r="E1408" s="5"/>
      <c r="F1408" s="5"/>
      <c r="G1408" s="5"/>
      <c r="H1408" s="5"/>
      <c r="I1408" s="5"/>
      <c r="J1408" s="5"/>
      <c r="K1408" s="5"/>
      <c r="L1408" s="5"/>
      <c r="M1408" s="5"/>
      <c r="N1408" s="5"/>
    </row>
    <row r="1409" spans="1:16" ht="12.75" customHeight="1" x14ac:dyDescent="0.2">
      <c r="A1409" s="716" t="s">
        <v>415</v>
      </c>
      <c r="B1409" s="418"/>
      <c r="C1409" s="418"/>
      <c r="D1409" s="418"/>
      <c r="E1409" s="418"/>
      <c r="F1409" s="418"/>
      <c r="G1409" s="418"/>
      <c r="H1409" s="418"/>
      <c r="I1409" s="418"/>
      <c r="J1409" s="418"/>
      <c r="K1409" s="418"/>
      <c r="L1409" s="418"/>
      <c r="M1409" s="418"/>
      <c r="N1409" s="416"/>
    </row>
    <row r="1410" spans="1:16" ht="12.75" customHeight="1" x14ac:dyDescent="0.2">
      <c r="A1410" s="713" t="s">
        <v>39</v>
      </c>
      <c r="B1410" s="418"/>
      <c r="C1410" s="418"/>
      <c r="D1410" s="418"/>
      <c r="E1410" s="418"/>
      <c r="F1410" s="418"/>
      <c r="G1410" s="416"/>
      <c r="H1410" s="61" t="s">
        <v>40</v>
      </c>
      <c r="I1410" s="717" t="s">
        <v>404</v>
      </c>
      <c r="J1410" s="416"/>
      <c r="K1410" s="64" t="s">
        <v>253</v>
      </c>
      <c r="L1410" s="65" t="s">
        <v>416</v>
      </c>
      <c r="M1410" s="717" t="s">
        <v>405</v>
      </c>
      <c r="N1410" s="416"/>
    </row>
    <row r="1411" spans="1:16" ht="12.75" customHeight="1" x14ac:dyDescent="0.25">
      <c r="A1411" s="711" t="s">
        <v>421</v>
      </c>
      <c r="B1411" s="418"/>
      <c r="C1411" s="418"/>
      <c r="D1411" s="418"/>
      <c r="E1411" s="418"/>
      <c r="F1411" s="418"/>
      <c r="G1411" s="416"/>
      <c r="H1411" s="12" t="str">
        <f>IF(A1411="","",VLOOKUP(A1411,AA_Cuadrillas,4,FALSE))</f>
        <v>Cuadrilla</v>
      </c>
      <c r="I1411" s="712">
        <f>IF(A1411="","",VLOOKUP(A1411,AA_Cuadrillas,5,FALSE))</f>
        <v>70036</v>
      </c>
      <c r="J1411" s="416"/>
      <c r="K1411" s="3">
        <f>IF(A1411="","",'04'!$I$2)</f>
        <v>1.88995</v>
      </c>
      <c r="L1411" s="66">
        <f>1/14.31</f>
        <v>6.9881201956673647E-2</v>
      </c>
      <c r="M1411" s="712">
        <f t="shared" ref="M1411:M1415" si="184">IF(A1411="","",I1411*K1411*L1411)</f>
        <v>9249.7930258560446</v>
      </c>
      <c r="N1411" s="416"/>
    </row>
    <row r="1412" spans="1:16" ht="12.75" customHeight="1" x14ac:dyDescent="0.25">
      <c r="A1412" s="711"/>
      <c r="B1412" s="418"/>
      <c r="C1412" s="418"/>
      <c r="D1412" s="418"/>
      <c r="E1412" s="418"/>
      <c r="F1412" s="418"/>
      <c r="G1412" s="416"/>
      <c r="H1412" s="12" t="str">
        <f>IF(A1412="","",VLOOKUP(A1412,AA_Cuadrillas,4,FALSE))</f>
        <v/>
      </c>
      <c r="I1412" s="712" t="str">
        <f>IF(A1412="","",VLOOKUP(A1412,AA_Cuadrillas,5,FALSE))</f>
        <v/>
      </c>
      <c r="J1412" s="416"/>
      <c r="K1412" s="3" t="str">
        <f>IF(A1412="","",'04'!$I$2)</f>
        <v/>
      </c>
      <c r="L1412" s="3"/>
      <c r="M1412" s="712" t="str">
        <f t="shared" si="184"/>
        <v/>
      </c>
      <c r="N1412" s="416"/>
    </row>
    <row r="1413" spans="1:16" ht="12.75" customHeight="1" x14ac:dyDescent="0.25">
      <c r="A1413" s="711"/>
      <c r="B1413" s="418"/>
      <c r="C1413" s="418"/>
      <c r="D1413" s="418"/>
      <c r="E1413" s="418"/>
      <c r="F1413" s="418"/>
      <c r="G1413" s="416"/>
      <c r="H1413" s="12" t="str">
        <f>IF(A1413="","",VLOOKUP(A1413,AA_Cuadrillas,4,FALSE))</f>
        <v/>
      </c>
      <c r="I1413" s="712" t="str">
        <f>IF(A1413="","",VLOOKUP(A1413,AA_Cuadrillas,5,FALSE))</f>
        <v/>
      </c>
      <c r="J1413" s="416"/>
      <c r="K1413" s="3" t="str">
        <f>IF(A1413="","",'04'!$I$2)</f>
        <v/>
      </c>
      <c r="L1413" s="13"/>
      <c r="M1413" s="712" t="str">
        <f t="shared" si="184"/>
        <v/>
      </c>
      <c r="N1413" s="416"/>
    </row>
    <row r="1414" spans="1:16" ht="12.75" customHeight="1" x14ac:dyDescent="0.25">
      <c r="A1414" s="711"/>
      <c r="B1414" s="418"/>
      <c r="C1414" s="418"/>
      <c r="D1414" s="418"/>
      <c r="E1414" s="418"/>
      <c r="F1414" s="418"/>
      <c r="G1414" s="416"/>
      <c r="H1414" s="12" t="str">
        <f>IF(A1414="","",VLOOKUP(A1414,AA_Cuadrillas,4,FALSE))</f>
        <v/>
      </c>
      <c r="I1414" s="712" t="str">
        <f>IF(A1414="","",VLOOKUP(A1414,AA_Cuadrillas,5,FALSE))</f>
        <v/>
      </c>
      <c r="J1414" s="416"/>
      <c r="K1414" s="3" t="str">
        <f>IF(A1414="","",'04'!$I$2)</f>
        <v/>
      </c>
      <c r="L1414" s="13"/>
      <c r="M1414" s="712" t="str">
        <f t="shared" si="184"/>
        <v/>
      </c>
      <c r="N1414" s="416"/>
    </row>
    <row r="1415" spans="1:16" ht="12.75" customHeight="1" x14ac:dyDescent="0.25">
      <c r="A1415" s="711"/>
      <c r="B1415" s="418"/>
      <c r="C1415" s="418"/>
      <c r="D1415" s="418"/>
      <c r="E1415" s="418"/>
      <c r="F1415" s="418"/>
      <c r="G1415" s="416"/>
      <c r="H1415" s="12" t="str">
        <f>IF(A1415="","",VLOOKUP(A1415,AA_Cuadrillas,4,FALSE))</f>
        <v/>
      </c>
      <c r="I1415" s="712" t="str">
        <f>IF(A1415="","",VLOOKUP(A1415,AA_Cuadrillas,5,FALSE))</f>
        <v/>
      </c>
      <c r="J1415" s="416"/>
      <c r="K1415" s="3" t="str">
        <f>IF(A1415="","",'04'!$I$2)</f>
        <v/>
      </c>
      <c r="L1415" s="13"/>
      <c r="M1415" s="712" t="str">
        <f t="shared" si="184"/>
        <v/>
      </c>
      <c r="N1415" s="416"/>
    </row>
    <row r="1416" spans="1:16" ht="12.75" customHeight="1" x14ac:dyDescent="0.25">
      <c r="A1416" s="5"/>
      <c r="B1416" s="5"/>
      <c r="C1416" s="5"/>
      <c r="D1416" s="5"/>
      <c r="E1416" s="5"/>
      <c r="F1416" s="5"/>
      <c r="G1416" s="5"/>
      <c r="H1416" s="5"/>
      <c r="I1416" s="5"/>
      <c r="J1416" s="5"/>
      <c r="K1416" s="713" t="s">
        <v>261</v>
      </c>
      <c r="L1416" s="416"/>
      <c r="M1416" s="712">
        <f>SUM(M1411:N1415)</f>
        <v>9249.7930258560446</v>
      </c>
      <c r="N1416" s="416"/>
    </row>
    <row r="1417" spans="1:16" ht="12.75" customHeight="1" x14ac:dyDescent="0.2"/>
    <row r="1418" spans="1:16" ht="12.75" customHeight="1" x14ac:dyDescent="0.2">
      <c r="A1418" s="787" t="s">
        <v>153</v>
      </c>
      <c r="B1418" s="410"/>
      <c r="C1418" s="410"/>
      <c r="D1418" s="410"/>
      <c r="E1418" s="410"/>
      <c r="F1418" s="410"/>
      <c r="G1418" s="410"/>
      <c r="H1418" s="410"/>
      <c r="I1418" s="410"/>
      <c r="J1418" s="410"/>
      <c r="K1418" s="410"/>
      <c r="L1418" s="410"/>
      <c r="M1418" s="410"/>
      <c r="N1418" s="411"/>
      <c r="O1418" s="272"/>
      <c r="P1418" s="9"/>
    </row>
    <row r="1419" spans="1:16" ht="12.75" customHeight="1" x14ac:dyDescent="0.2">
      <c r="A1419" s="412"/>
      <c r="B1419" s="413"/>
      <c r="C1419" s="413"/>
      <c r="D1419" s="413"/>
      <c r="E1419" s="413"/>
      <c r="F1419" s="413"/>
      <c r="G1419" s="413"/>
      <c r="H1419" s="413"/>
      <c r="I1419" s="413"/>
      <c r="J1419" s="413"/>
      <c r="K1419" s="413"/>
      <c r="L1419" s="413"/>
      <c r="M1419" s="413"/>
      <c r="N1419" s="414"/>
      <c r="O1419" s="272"/>
      <c r="P1419" s="9"/>
    </row>
    <row r="1420" spans="1:16" ht="12.75" customHeight="1" x14ac:dyDescent="0.2">
      <c r="A1420" s="49"/>
      <c r="B1420" s="49"/>
      <c r="C1420" s="49"/>
      <c r="D1420" s="49"/>
      <c r="E1420" s="49"/>
      <c r="F1420" s="49"/>
      <c r="G1420" s="49"/>
      <c r="H1420" s="49"/>
      <c r="I1420" s="49"/>
      <c r="J1420" s="49"/>
      <c r="K1420" s="49"/>
      <c r="L1420" s="49"/>
      <c r="M1420" s="49"/>
      <c r="N1420" s="49"/>
    </row>
    <row r="1421" spans="1:16" ht="12.75" customHeight="1" thickBot="1" x14ac:dyDescent="0.35">
      <c r="A1421" s="51" t="str">
        <f>VLOOKUP(A1418,'10'!$B$9:$N$100,13,FALSE)</f>
        <v>G040</v>
      </c>
      <c r="B1421" s="52" t="str">
        <f>A1418</f>
        <v>SUMINISTRO E INSTALACIÓN DE TUBERIA DE VENTILACIÓN Ø2" (INCLUYE MATERIALES, HERRAMIENTAS Y MANO DE OBRA)</v>
      </c>
      <c r="C1421" s="53" t="s">
        <v>400</v>
      </c>
      <c r="D1421" s="54" t="s">
        <v>475</v>
      </c>
      <c r="E1421" s="55" t="s">
        <v>177</v>
      </c>
      <c r="F1421" s="59">
        <f>H1421+J1421+L1421+N1421</f>
        <v>674361.83371729986</v>
      </c>
      <c r="G1421" s="55" t="s">
        <v>349</v>
      </c>
      <c r="H1421" s="59">
        <f>M1443</f>
        <v>198.54680730000004</v>
      </c>
      <c r="I1421" s="55" t="s">
        <v>402</v>
      </c>
      <c r="J1421" s="70">
        <f>M1434</f>
        <v>648102</v>
      </c>
      <c r="K1421" s="55" t="s">
        <v>351</v>
      </c>
      <c r="L1421" s="59">
        <f>M1452</f>
        <v>19443.059999999998</v>
      </c>
      <c r="M1421" s="55" t="s">
        <v>352</v>
      </c>
      <c r="N1421" s="59">
        <f>M1461</f>
        <v>6618.2269100000012</v>
      </c>
    </row>
    <row r="1422" spans="1:16" ht="12.75" customHeight="1" thickBot="1" x14ac:dyDescent="0.3">
      <c r="A1422" s="60"/>
      <c r="B1422" s="60"/>
      <c r="C1422" s="60"/>
      <c r="D1422" s="60"/>
      <c r="E1422" s="60"/>
      <c r="F1422" s="60"/>
      <c r="G1422" s="60"/>
      <c r="J1422" s="60"/>
      <c r="K1422" s="60"/>
      <c r="L1422" s="327" t="s">
        <v>1934</v>
      </c>
      <c r="M1422" s="328">
        <f>+F1421*'01'!$O$16</f>
        <v>872820.44070276525</v>
      </c>
      <c r="N1422" s="60"/>
    </row>
    <row r="1423" spans="1:16" ht="12.75" customHeight="1" x14ac:dyDescent="0.2">
      <c r="A1423" s="716" t="s">
        <v>403</v>
      </c>
      <c r="B1423" s="418"/>
      <c r="C1423" s="418"/>
      <c r="D1423" s="418"/>
      <c r="E1423" s="418"/>
      <c r="F1423" s="418"/>
      <c r="G1423" s="418"/>
      <c r="H1423" s="418"/>
      <c r="I1423" s="418"/>
      <c r="J1423" s="418"/>
      <c r="K1423" s="418"/>
      <c r="L1423" s="418"/>
      <c r="M1423" s="418"/>
      <c r="N1423" s="416"/>
    </row>
    <row r="1424" spans="1:16" ht="12.75" customHeight="1" x14ac:dyDescent="0.2">
      <c r="A1424" s="713" t="s">
        <v>39</v>
      </c>
      <c r="B1424" s="418"/>
      <c r="C1424" s="418"/>
      <c r="D1424" s="418"/>
      <c r="E1424" s="418"/>
      <c r="F1424" s="418"/>
      <c r="G1424" s="416"/>
      <c r="H1424" s="61" t="s">
        <v>40</v>
      </c>
      <c r="I1424" s="717" t="s">
        <v>404</v>
      </c>
      <c r="J1424" s="416"/>
      <c r="K1424" s="717" t="s">
        <v>184</v>
      </c>
      <c r="L1424" s="416"/>
      <c r="M1424" s="717" t="s">
        <v>405</v>
      </c>
      <c r="N1424" s="416"/>
    </row>
    <row r="1425" spans="1:14" ht="12.75" customHeight="1" x14ac:dyDescent="0.2">
      <c r="A1425" s="714" t="s">
        <v>516</v>
      </c>
      <c r="B1425" s="418"/>
      <c r="C1425" s="418"/>
      <c r="D1425" s="418"/>
      <c r="E1425" s="418"/>
      <c r="F1425" s="418"/>
      <c r="G1425" s="416"/>
      <c r="H1425" s="12" t="str">
        <f t="shared" ref="H1425:H1433" si="185">IF(A1425="","",VLOOKUP(A1425,AA_Materiales,7,FALSE))</f>
        <v>Unidad</v>
      </c>
      <c r="I1425" s="712">
        <f t="shared" ref="I1425:I1433" si="186">IF(A1425="","",VLOOKUP(A1425,AA_Materiales,8,FALSE))</f>
        <v>174706</v>
      </c>
      <c r="J1425" s="416"/>
      <c r="K1425" s="715">
        <v>2</v>
      </c>
      <c r="L1425" s="416"/>
      <c r="M1425" s="712">
        <f t="shared" ref="M1425:M1433" si="187">IF(A1425="","",I1425*K1425)</f>
        <v>349412</v>
      </c>
      <c r="N1425" s="416"/>
    </row>
    <row r="1426" spans="1:14" ht="12.75" customHeight="1" x14ac:dyDescent="0.2">
      <c r="A1426" s="714" t="s">
        <v>517</v>
      </c>
      <c r="B1426" s="418"/>
      <c r="C1426" s="418"/>
      <c r="D1426" s="418"/>
      <c r="E1426" s="418"/>
      <c r="F1426" s="418"/>
      <c r="G1426" s="416"/>
      <c r="H1426" s="12" t="str">
        <f t="shared" si="185"/>
        <v>Unidad</v>
      </c>
      <c r="I1426" s="712">
        <f t="shared" si="186"/>
        <v>178500</v>
      </c>
      <c r="J1426" s="416"/>
      <c r="K1426" s="715">
        <v>1</v>
      </c>
      <c r="L1426" s="416"/>
      <c r="M1426" s="712">
        <f t="shared" si="187"/>
        <v>178500</v>
      </c>
      <c r="N1426" s="416"/>
    </row>
    <row r="1427" spans="1:14" ht="12.75" customHeight="1" x14ac:dyDescent="0.2">
      <c r="A1427" s="714" t="s">
        <v>518</v>
      </c>
      <c r="B1427" s="418"/>
      <c r="C1427" s="418"/>
      <c r="D1427" s="418"/>
      <c r="E1427" s="418"/>
      <c r="F1427" s="418"/>
      <c r="G1427" s="416"/>
      <c r="H1427" s="12" t="str">
        <f t="shared" si="185"/>
        <v>Unidad</v>
      </c>
      <c r="I1427" s="712">
        <f t="shared" si="186"/>
        <v>120190</v>
      </c>
      <c r="J1427" s="416"/>
      <c r="K1427" s="715">
        <v>1</v>
      </c>
      <c r="L1427" s="416"/>
      <c r="M1427" s="712">
        <f t="shared" si="187"/>
        <v>120190</v>
      </c>
      <c r="N1427" s="416"/>
    </row>
    <row r="1428" spans="1:14" ht="12.75" customHeight="1" x14ac:dyDescent="0.2">
      <c r="A1428" s="714"/>
      <c r="B1428" s="418"/>
      <c r="C1428" s="418"/>
      <c r="D1428" s="418"/>
      <c r="E1428" s="418"/>
      <c r="F1428" s="418"/>
      <c r="G1428" s="416"/>
      <c r="H1428" s="12" t="str">
        <f t="shared" si="185"/>
        <v/>
      </c>
      <c r="I1428" s="712" t="str">
        <f t="shared" si="186"/>
        <v/>
      </c>
      <c r="J1428" s="416"/>
      <c r="K1428" s="715"/>
      <c r="L1428" s="416"/>
      <c r="M1428" s="712" t="str">
        <f t="shared" si="187"/>
        <v/>
      </c>
      <c r="N1428" s="416"/>
    </row>
    <row r="1429" spans="1:14" ht="12.75" customHeight="1" x14ac:dyDescent="0.2">
      <c r="A1429" s="714"/>
      <c r="B1429" s="418"/>
      <c r="C1429" s="418"/>
      <c r="D1429" s="418"/>
      <c r="E1429" s="418"/>
      <c r="F1429" s="418"/>
      <c r="G1429" s="416"/>
      <c r="H1429" s="12" t="str">
        <f t="shared" si="185"/>
        <v/>
      </c>
      <c r="I1429" s="712" t="str">
        <f t="shared" si="186"/>
        <v/>
      </c>
      <c r="J1429" s="416"/>
      <c r="K1429" s="715"/>
      <c r="L1429" s="416"/>
      <c r="M1429" s="712" t="str">
        <f t="shared" si="187"/>
        <v/>
      </c>
      <c r="N1429" s="416"/>
    </row>
    <row r="1430" spans="1:14" ht="12.75" customHeight="1" x14ac:dyDescent="0.2">
      <c r="A1430" s="714"/>
      <c r="B1430" s="418"/>
      <c r="C1430" s="418"/>
      <c r="D1430" s="418"/>
      <c r="E1430" s="418"/>
      <c r="F1430" s="418"/>
      <c r="G1430" s="416"/>
      <c r="H1430" s="12" t="str">
        <f t="shared" si="185"/>
        <v/>
      </c>
      <c r="I1430" s="712" t="str">
        <f t="shared" si="186"/>
        <v/>
      </c>
      <c r="J1430" s="416"/>
      <c r="K1430" s="715"/>
      <c r="L1430" s="416"/>
      <c r="M1430" s="712" t="str">
        <f t="shared" si="187"/>
        <v/>
      </c>
      <c r="N1430" s="416"/>
    </row>
    <row r="1431" spans="1:14" ht="12.75" customHeight="1" x14ac:dyDescent="0.2">
      <c r="A1431" s="714"/>
      <c r="B1431" s="418"/>
      <c r="C1431" s="418"/>
      <c r="D1431" s="418"/>
      <c r="E1431" s="418"/>
      <c r="F1431" s="418"/>
      <c r="G1431" s="416"/>
      <c r="H1431" s="12" t="str">
        <f t="shared" si="185"/>
        <v/>
      </c>
      <c r="I1431" s="712" t="str">
        <f t="shared" si="186"/>
        <v/>
      </c>
      <c r="J1431" s="416"/>
      <c r="K1431" s="715"/>
      <c r="L1431" s="416"/>
      <c r="M1431" s="712" t="str">
        <f t="shared" si="187"/>
        <v/>
      </c>
      <c r="N1431" s="416"/>
    </row>
    <row r="1432" spans="1:14" ht="12.75" customHeight="1" x14ac:dyDescent="0.2">
      <c r="A1432" s="714"/>
      <c r="B1432" s="418"/>
      <c r="C1432" s="418"/>
      <c r="D1432" s="418"/>
      <c r="E1432" s="418"/>
      <c r="F1432" s="418"/>
      <c r="G1432" s="416"/>
      <c r="H1432" s="12" t="str">
        <f t="shared" si="185"/>
        <v/>
      </c>
      <c r="I1432" s="712" t="str">
        <f t="shared" si="186"/>
        <v/>
      </c>
      <c r="J1432" s="416"/>
      <c r="K1432" s="715"/>
      <c r="L1432" s="416"/>
      <c r="M1432" s="712" t="str">
        <f t="shared" si="187"/>
        <v/>
      </c>
      <c r="N1432" s="416"/>
    </row>
    <row r="1433" spans="1:14" ht="12.75" customHeight="1" x14ac:dyDescent="0.2">
      <c r="A1433" s="714"/>
      <c r="B1433" s="418"/>
      <c r="C1433" s="418"/>
      <c r="D1433" s="418"/>
      <c r="E1433" s="418"/>
      <c r="F1433" s="418"/>
      <c r="G1433" s="416"/>
      <c r="H1433" s="12" t="str">
        <f t="shared" si="185"/>
        <v/>
      </c>
      <c r="I1433" s="712" t="str">
        <f t="shared" si="186"/>
        <v/>
      </c>
      <c r="J1433" s="416"/>
      <c r="K1433" s="715"/>
      <c r="L1433" s="416"/>
      <c r="M1433" s="712" t="str">
        <f t="shared" si="187"/>
        <v/>
      </c>
      <c r="N1433" s="416"/>
    </row>
    <row r="1434" spans="1:14" ht="12.75" customHeight="1" x14ac:dyDescent="0.25">
      <c r="A1434" s="5"/>
      <c r="B1434" s="5"/>
      <c r="C1434" s="5"/>
      <c r="D1434" s="5"/>
      <c r="E1434" s="5"/>
      <c r="F1434" s="5"/>
      <c r="G1434" s="5"/>
      <c r="H1434" s="5"/>
      <c r="I1434" s="5"/>
      <c r="J1434" s="5"/>
      <c r="K1434" s="713" t="s">
        <v>261</v>
      </c>
      <c r="L1434" s="416"/>
      <c r="M1434" s="712">
        <f>SUM(M1425:N1433)</f>
        <v>648102</v>
      </c>
      <c r="N1434" s="416"/>
    </row>
    <row r="1435" spans="1:14" ht="12.75" customHeight="1" x14ac:dyDescent="0.25">
      <c r="A1435" s="5"/>
      <c r="B1435" s="5"/>
      <c r="C1435" s="5"/>
      <c r="D1435" s="5"/>
      <c r="E1435" s="5"/>
      <c r="F1435" s="5"/>
      <c r="G1435" s="5"/>
      <c r="H1435" s="5"/>
      <c r="I1435" s="5"/>
      <c r="J1435" s="5"/>
      <c r="K1435" s="5"/>
      <c r="L1435" s="5"/>
      <c r="M1435" s="5"/>
      <c r="N1435" s="5"/>
    </row>
    <row r="1436" spans="1:14" ht="12.75" customHeight="1" x14ac:dyDescent="0.2">
      <c r="A1436" s="716" t="s">
        <v>410</v>
      </c>
      <c r="B1436" s="418"/>
      <c r="C1436" s="418"/>
      <c r="D1436" s="418"/>
      <c r="E1436" s="418"/>
      <c r="F1436" s="418"/>
      <c r="G1436" s="418"/>
      <c r="H1436" s="418"/>
      <c r="I1436" s="418"/>
      <c r="J1436" s="418"/>
      <c r="K1436" s="418"/>
      <c r="L1436" s="418"/>
      <c r="M1436" s="418"/>
      <c r="N1436" s="416"/>
    </row>
    <row r="1437" spans="1:14" ht="12.75" customHeight="1" x14ac:dyDescent="0.2">
      <c r="A1437" s="713" t="s">
        <v>39</v>
      </c>
      <c r="B1437" s="418"/>
      <c r="C1437" s="418"/>
      <c r="D1437" s="418"/>
      <c r="E1437" s="418"/>
      <c r="F1437" s="418"/>
      <c r="G1437" s="416"/>
      <c r="H1437" s="61" t="s">
        <v>40</v>
      </c>
      <c r="I1437" s="717" t="s">
        <v>404</v>
      </c>
      <c r="J1437" s="416"/>
      <c r="K1437" s="717" t="s">
        <v>184</v>
      </c>
      <c r="L1437" s="416"/>
      <c r="M1437" s="717" t="s">
        <v>405</v>
      </c>
      <c r="N1437" s="416"/>
    </row>
    <row r="1438" spans="1:14" ht="12.75" customHeight="1" x14ac:dyDescent="0.2">
      <c r="A1438" s="714" t="s">
        <v>411</v>
      </c>
      <c r="B1438" s="418"/>
      <c r="C1438" s="418"/>
      <c r="D1438" s="418"/>
      <c r="E1438" s="418"/>
      <c r="F1438" s="418"/>
      <c r="G1438" s="416"/>
      <c r="H1438" s="12" t="str">
        <f>IF(A1438="","",VLOOKUP(A1438,AA_Equipos,7,FALSE))</f>
        <v>% M.O.</v>
      </c>
      <c r="I1438" s="712">
        <f>M1461</f>
        <v>6618.2269100000012</v>
      </c>
      <c r="J1438" s="416"/>
      <c r="K1438" s="722">
        <v>0.03</v>
      </c>
      <c r="L1438" s="416"/>
      <c r="M1438" s="712">
        <f t="shared" ref="M1438:M1442" si="188">IF(A1438="","",I1438*K1438)</f>
        <v>198.54680730000004</v>
      </c>
      <c r="N1438" s="416"/>
    </row>
    <row r="1439" spans="1:14" ht="12.75" customHeight="1" x14ac:dyDescent="0.2">
      <c r="A1439" s="719"/>
      <c r="B1439" s="418"/>
      <c r="C1439" s="418"/>
      <c r="D1439" s="418"/>
      <c r="E1439" s="418"/>
      <c r="F1439" s="418"/>
      <c r="G1439" s="416"/>
      <c r="H1439" s="12" t="str">
        <f>IF(A1439="","",VLOOKUP(A1439,AA_Equipos,7,FALSE))</f>
        <v/>
      </c>
      <c r="I1439" s="712" t="str">
        <f>IF(A1439="","",VLOOKUP(A1439,AA_Equipos,8,FALSE))</f>
        <v/>
      </c>
      <c r="J1439" s="416"/>
      <c r="K1439" s="723"/>
      <c r="L1439" s="416"/>
      <c r="M1439" s="712" t="str">
        <f t="shared" si="188"/>
        <v/>
      </c>
      <c r="N1439" s="416"/>
    </row>
    <row r="1440" spans="1:14" ht="12.75" customHeight="1" x14ac:dyDescent="0.2">
      <c r="A1440" s="719"/>
      <c r="B1440" s="418"/>
      <c r="C1440" s="418"/>
      <c r="D1440" s="418"/>
      <c r="E1440" s="418"/>
      <c r="F1440" s="418"/>
      <c r="G1440" s="416"/>
      <c r="H1440" s="12" t="str">
        <f>IF(A1440="","",VLOOKUP(A1440,AA_Equipos,7,FALSE))</f>
        <v/>
      </c>
      <c r="I1440" s="712" t="str">
        <f>IF(A1440="","",VLOOKUP(A1440,AA_Equipos,8,FALSE))</f>
        <v/>
      </c>
      <c r="J1440" s="416"/>
      <c r="K1440" s="715"/>
      <c r="L1440" s="416"/>
      <c r="M1440" s="712" t="str">
        <f t="shared" si="188"/>
        <v/>
      </c>
      <c r="N1440" s="416"/>
    </row>
    <row r="1441" spans="1:14" ht="12.75" customHeight="1" x14ac:dyDescent="0.2">
      <c r="A1441" s="714"/>
      <c r="B1441" s="418"/>
      <c r="C1441" s="418"/>
      <c r="D1441" s="418"/>
      <c r="E1441" s="418"/>
      <c r="F1441" s="418"/>
      <c r="G1441" s="416"/>
      <c r="H1441" s="12" t="str">
        <f>IF(A1441="","",VLOOKUP(A1441,AA_Equipos,7,FALSE))</f>
        <v/>
      </c>
      <c r="I1441" s="712" t="str">
        <f>IF(A1441="","",VLOOKUP(A1441,AA_Equipos,8,FALSE))</f>
        <v/>
      </c>
      <c r="J1441" s="416"/>
      <c r="K1441" s="715"/>
      <c r="L1441" s="416"/>
      <c r="M1441" s="712" t="str">
        <f t="shared" si="188"/>
        <v/>
      </c>
      <c r="N1441" s="416"/>
    </row>
    <row r="1442" spans="1:14" ht="12.75" customHeight="1" x14ac:dyDescent="0.2">
      <c r="A1442" s="714"/>
      <c r="B1442" s="418"/>
      <c r="C1442" s="418"/>
      <c r="D1442" s="418"/>
      <c r="E1442" s="418"/>
      <c r="F1442" s="418"/>
      <c r="G1442" s="416"/>
      <c r="H1442" s="12" t="str">
        <f>IF(A1442="","",VLOOKUP(A1442,AA_Equipos,7,FALSE))</f>
        <v/>
      </c>
      <c r="I1442" s="712" t="str">
        <f>IF(A1442="","",VLOOKUP(A1442,AA_Equipos,8,FALSE))</f>
        <v/>
      </c>
      <c r="J1442" s="416"/>
      <c r="K1442" s="715"/>
      <c r="L1442" s="416"/>
      <c r="M1442" s="712" t="str">
        <f t="shared" si="188"/>
        <v/>
      </c>
      <c r="N1442" s="416"/>
    </row>
    <row r="1443" spans="1:14" ht="12.75" customHeight="1" x14ac:dyDescent="0.25">
      <c r="A1443" s="5"/>
      <c r="B1443" s="5"/>
      <c r="C1443" s="5"/>
      <c r="D1443" s="5"/>
      <c r="E1443" s="5"/>
      <c r="F1443" s="5"/>
      <c r="G1443" s="5"/>
      <c r="H1443" s="5"/>
      <c r="I1443" s="5"/>
      <c r="J1443" s="5"/>
      <c r="K1443" s="713" t="s">
        <v>261</v>
      </c>
      <c r="L1443" s="416"/>
      <c r="M1443" s="712">
        <f>SUM(M1438:N1442)</f>
        <v>198.54680730000004</v>
      </c>
      <c r="N1443" s="416"/>
    </row>
    <row r="1444" spans="1:14" ht="12.75" customHeight="1" x14ac:dyDescent="0.25">
      <c r="A1444" s="5"/>
      <c r="B1444" s="5"/>
      <c r="C1444" s="5"/>
      <c r="D1444" s="5"/>
      <c r="E1444" s="5"/>
      <c r="F1444" s="5"/>
      <c r="G1444" s="5"/>
      <c r="H1444" s="5"/>
      <c r="I1444" s="5"/>
      <c r="J1444" s="5"/>
      <c r="K1444" s="5"/>
      <c r="L1444" s="5"/>
      <c r="M1444" s="5"/>
      <c r="N1444" s="5"/>
    </row>
    <row r="1445" spans="1:14" ht="12.75" customHeight="1" x14ac:dyDescent="0.2">
      <c r="A1445" s="716" t="s">
        <v>413</v>
      </c>
      <c r="B1445" s="418"/>
      <c r="C1445" s="418"/>
      <c r="D1445" s="418"/>
      <c r="E1445" s="418"/>
      <c r="F1445" s="418"/>
      <c r="G1445" s="418"/>
      <c r="H1445" s="418"/>
      <c r="I1445" s="418"/>
      <c r="J1445" s="418"/>
      <c r="K1445" s="418"/>
      <c r="L1445" s="418"/>
      <c r="M1445" s="418"/>
      <c r="N1445" s="416"/>
    </row>
    <row r="1446" spans="1:14" ht="12.75" customHeight="1" x14ac:dyDescent="0.2">
      <c r="A1446" s="713" t="s">
        <v>39</v>
      </c>
      <c r="B1446" s="418"/>
      <c r="C1446" s="418"/>
      <c r="D1446" s="418"/>
      <c r="E1446" s="418"/>
      <c r="F1446" s="418"/>
      <c r="G1446" s="416"/>
      <c r="H1446" s="61" t="s">
        <v>40</v>
      </c>
      <c r="I1446" s="717" t="s">
        <v>404</v>
      </c>
      <c r="J1446" s="416"/>
      <c r="K1446" s="717" t="s">
        <v>184</v>
      </c>
      <c r="L1446" s="416"/>
      <c r="M1446" s="717" t="s">
        <v>405</v>
      </c>
      <c r="N1446" s="416"/>
    </row>
    <row r="1447" spans="1:14" ht="12.75" customHeight="1" x14ac:dyDescent="0.2">
      <c r="A1447" s="714" t="s">
        <v>438</v>
      </c>
      <c r="B1447" s="418"/>
      <c r="C1447" s="418"/>
      <c r="D1447" s="418"/>
      <c r="E1447" s="418"/>
      <c r="F1447" s="418"/>
      <c r="G1447" s="416"/>
      <c r="H1447" s="12" t="s">
        <v>426</v>
      </c>
      <c r="I1447" s="712">
        <f>+M1434</f>
        <v>648102</v>
      </c>
      <c r="J1447" s="416"/>
      <c r="K1447" s="722">
        <v>0.03</v>
      </c>
      <c r="L1447" s="416"/>
      <c r="M1447" s="712">
        <f t="shared" ref="M1447:M1451" si="189">IF(A1447="","",I1447*K1447)</f>
        <v>19443.059999999998</v>
      </c>
      <c r="N1447" s="416"/>
    </row>
    <row r="1448" spans="1:14" ht="12.75" customHeight="1" x14ac:dyDescent="0.2">
      <c r="A1448" s="719"/>
      <c r="B1448" s="418"/>
      <c r="C1448" s="418"/>
      <c r="D1448" s="418"/>
      <c r="E1448" s="418"/>
      <c r="F1448" s="418"/>
      <c r="G1448" s="416"/>
      <c r="H1448" s="12"/>
      <c r="I1448" s="712"/>
      <c r="J1448" s="416"/>
      <c r="K1448" s="800"/>
      <c r="L1448" s="416"/>
      <c r="M1448" s="712" t="str">
        <f t="shared" si="189"/>
        <v/>
      </c>
      <c r="N1448" s="416"/>
    </row>
    <row r="1449" spans="1:14" ht="12.75" customHeight="1" x14ac:dyDescent="0.2">
      <c r="A1449" s="714"/>
      <c r="B1449" s="418"/>
      <c r="C1449" s="418"/>
      <c r="D1449" s="418"/>
      <c r="E1449" s="418"/>
      <c r="F1449" s="418"/>
      <c r="G1449" s="416"/>
      <c r="H1449" s="12"/>
      <c r="I1449" s="712"/>
      <c r="J1449" s="416"/>
      <c r="K1449" s="715"/>
      <c r="L1449" s="416"/>
      <c r="M1449" s="712" t="str">
        <f t="shared" si="189"/>
        <v/>
      </c>
      <c r="N1449" s="416"/>
    </row>
    <row r="1450" spans="1:14" ht="12.75" customHeight="1" x14ac:dyDescent="0.2">
      <c r="A1450" s="714"/>
      <c r="B1450" s="418"/>
      <c r="C1450" s="418"/>
      <c r="D1450" s="418"/>
      <c r="E1450" s="418"/>
      <c r="F1450" s="418"/>
      <c r="G1450" s="416"/>
      <c r="H1450" s="12"/>
      <c r="I1450" s="712"/>
      <c r="J1450" s="416"/>
      <c r="K1450" s="715"/>
      <c r="L1450" s="416"/>
      <c r="M1450" s="712" t="str">
        <f t="shared" si="189"/>
        <v/>
      </c>
      <c r="N1450" s="416"/>
    </row>
    <row r="1451" spans="1:14" ht="12.75" customHeight="1" x14ac:dyDescent="0.2">
      <c r="A1451" s="714"/>
      <c r="B1451" s="418"/>
      <c r="C1451" s="418"/>
      <c r="D1451" s="418"/>
      <c r="E1451" s="418"/>
      <c r="F1451" s="418"/>
      <c r="G1451" s="416"/>
      <c r="H1451" s="12"/>
      <c r="I1451" s="712"/>
      <c r="J1451" s="416"/>
      <c r="K1451" s="715"/>
      <c r="L1451" s="416"/>
      <c r="M1451" s="712" t="str">
        <f t="shared" si="189"/>
        <v/>
      </c>
      <c r="N1451" s="416"/>
    </row>
    <row r="1452" spans="1:14" ht="12.75" customHeight="1" x14ac:dyDescent="0.25">
      <c r="A1452" s="5"/>
      <c r="B1452" s="5"/>
      <c r="C1452" s="5"/>
      <c r="D1452" s="5"/>
      <c r="E1452" s="5"/>
      <c r="F1452" s="5"/>
      <c r="G1452" s="5"/>
      <c r="H1452" s="5"/>
      <c r="I1452" s="5"/>
      <c r="J1452" s="5"/>
      <c r="K1452" s="713" t="s">
        <v>261</v>
      </c>
      <c r="L1452" s="416"/>
      <c r="M1452" s="712">
        <f>SUM(M1447:N1451)</f>
        <v>19443.059999999998</v>
      </c>
      <c r="N1452" s="416"/>
    </row>
    <row r="1453" spans="1:14" ht="12.75" customHeight="1" x14ac:dyDescent="0.25">
      <c r="A1453" s="5"/>
      <c r="B1453" s="5"/>
      <c r="C1453" s="5"/>
      <c r="D1453" s="5"/>
      <c r="E1453" s="5"/>
      <c r="F1453" s="5"/>
      <c r="G1453" s="5"/>
      <c r="H1453" s="5"/>
      <c r="I1453" s="5"/>
      <c r="J1453" s="5"/>
      <c r="K1453" s="5"/>
      <c r="L1453" s="5"/>
      <c r="M1453" s="5"/>
      <c r="N1453" s="5"/>
    </row>
    <row r="1454" spans="1:14" ht="12.75" customHeight="1" x14ac:dyDescent="0.2">
      <c r="A1454" s="716" t="s">
        <v>415</v>
      </c>
      <c r="B1454" s="418"/>
      <c r="C1454" s="418"/>
      <c r="D1454" s="418"/>
      <c r="E1454" s="418"/>
      <c r="F1454" s="418"/>
      <c r="G1454" s="418"/>
      <c r="H1454" s="418"/>
      <c r="I1454" s="418"/>
      <c r="J1454" s="418"/>
      <c r="K1454" s="418"/>
      <c r="L1454" s="418"/>
      <c r="M1454" s="418"/>
      <c r="N1454" s="416"/>
    </row>
    <row r="1455" spans="1:14" ht="12.75" customHeight="1" x14ac:dyDescent="0.2">
      <c r="A1455" s="713" t="s">
        <v>39</v>
      </c>
      <c r="B1455" s="418"/>
      <c r="C1455" s="418"/>
      <c r="D1455" s="418"/>
      <c r="E1455" s="418"/>
      <c r="F1455" s="418"/>
      <c r="G1455" s="416"/>
      <c r="H1455" s="61" t="s">
        <v>40</v>
      </c>
      <c r="I1455" s="717" t="s">
        <v>404</v>
      </c>
      <c r="J1455" s="416"/>
      <c r="K1455" s="64" t="s">
        <v>253</v>
      </c>
      <c r="L1455" s="65" t="s">
        <v>416</v>
      </c>
      <c r="M1455" s="717" t="s">
        <v>405</v>
      </c>
      <c r="N1455" s="416"/>
    </row>
    <row r="1456" spans="1:14" ht="12.75" customHeight="1" x14ac:dyDescent="0.25">
      <c r="A1456" s="711" t="s">
        <v>421</v>
      </c>
      <c r="B1456" s="418"/>
      <c r="C1456" s="418"/>
      <c r="D1456" s="418"/>
      <c r="E1456" s="418"/>
      <c r="F1456" s="418"/>
      <c r="G1456" s="416"/>
      <c r="H1456" s="12" t="str">
        <f>IF(A1456="","",VLOOKUP(A1456,AA_Cuadrillas,4,FALSE))</f>
        <v>Cuadrilla</v>
      </c>
      <c r="I1456" s="712">
        <f>IF(A1456="","",VLOOKUP(A1456,AA_Cuadrillas,5,FALSE))</f>
        <v>70036</v>
      </c>
      <c r="J1456" s="416"/>
      <c r="K1456" s="3">
        <f>IF(A1456="","",'04'!$I$2)</f>
        <v>1.88995</v>
      </c>
      <c r="L1456" s="66">
        <v>0.05</v>
      </c>
      <c r="M1456" s="712">
        <f t="shared" ref="M1456:M1460" si="190">IF(A1456="","",I1456*K1456*L1456)</f>
        <v>6618.2269100000012</v>
      </c>
      <c r="N1456" s="416"/>
    </row>
    <row r="1457" spans="1:16" ht="12.75" customHeight="1" x14ac:dyDescent="0.25">
      <c r="A1457" s="711"/>
      <c r="B1457" s="418"/>
      <c r="C1457" s="418"/>
      <c r="D1457" s="418"/>
      <c r="E1457" s="418"/>
      <c r="F1457" s="418"/>
      <c r="G1457" s="416"/>
      <c r="H1457" s="12" t="str">
        <f>IF(A1457="","",VLOOKUP(A1457,AA_Cuadrillas,4,FALSE))</f>
        <v/>
      </c>
      <c r="I1457" s="712" t="str">
        <f>IF(A1457="","",VLOOKUP(A1457,AA_Cuadrillas,5,FALSE))</f>
        <v/>
      </c>
      <c r="J1457" s="416"/>
      <c r="K1457" s="3" t="str">
        <f>IF(A1457="","",'04'!$I$2)</f>
        <v/>
      </c>
      <c r="L1457" s="3"/>
      <c r="M1457" s="712" t="str">
        <f t="shared" si="190"/>
        <v/>
      </c>
      <c r="N1457" s="416"/>
    </row>
    <row r="1458" spans="1:16" ht="12.75" customHeight="1" x14ac:dyDescent="0.25">
      <c r="A1458" s="711"/>
      <c r="B1458" s="418"/>
      <c r="C1458" s="418"/>
      <c r="D1458" s="418"/>
      <c r="E1458" s="418"/>
      <c r="F1458" s="418"/>
      <c r="G1458" s="416"/>
      <c r="H1458" s="12" t="str">
        <f>IF(A1458="","",VLOOKUP(A1458,AA_Cuadrillas,4,FALSE))</f>
        <v/>
      </c>
      <c r="I1458" s="712" t="str">
        <f>IF(A1458="","",VLOOKUP(A1458,AA_Cuadrillas,5,FALSE))</f>
        <v/>
      </c>
      <c r="J1458" s="416"/>
      <c r="K1458" s="3" t="str">
        <f>IF(A1458="","",'04'!$I$2)</f>
        <v/>
      </c>
      <c r="L1458" s="13"/>
      <c r="M1458" s="712" t="str">
        <f t="shared" si="190"/>
        <v/>
      </c>
      <c r="N1458" s="416"/>
    </row>
    <row r="1459" spans="1:16" ht="12.75" customHeight="1" x14ac:dyDescent="0.25">
      <c r="A1459" s="711"/>
      <c r="B1459" s="418"/>
      <c r="C1459" s="418"/>
      <c r="D1459" s="418"/>
      <c r="E1459" s="418"/>
      <c r="F1459" s="418"/>
      <c r="G1459" s="416"/>
      <c r="H1459" s="12" t="str">
        <f>IF(A1459="","",VLOOKUP(A1459,AA_Cuadrillas,4,FALSE))</f>
        <v/>
      </c>
      <c r="I1459" s="712" t="str">
        <f>IF(A1459="","",VLOOKUP(A1459,AA_Cuadrillas,5,FALSE))</f>
        <v/>
      </c>
      <c r="J1459" s="416"/>
      <c r="K1459" s="3" t="str">
        <f>IF(A1459="","",'04'!$I$2)</f>
        <v/>
      </c>
      <c r="L1459" s="13"/>
      <c r="M1459" s="712" t="str">
        <f t="shared" si="190"/>
        <v/>
      </c>
      <c r="N1459" s="416"/>
    </row>
    <row r="1460" spans="1:16" ht="12.75" customHeight="1" x14ac:dyDescent="0.25">
      <c r="A1460" s="711"/>
      <c r="B1460" s="418"/>
      <c r="C1460" s="418"/>
      <c r="D1460" s="418"/>
      <c r="E1460" s="418"/>
      <c r="F1460" s="418"/>
      <c r="G1460" s="416"/>
      <c r="H1460" s="12" t="str">
        <f>IF(A1460="","",VLOOKUP(A1460,AA_Cuadrillas,4,FALSE))</f>
        <v/>
      </c>
      <c r="I1460" s="712" t="str">
        <f>IF(A1460="","",VLOOKUP(A1460,AA_Cuadrillas,5,FALSE))</f>
        <v/>
      </c>
      <c r="J1460" s="416"/>
      <c r="K1460" s="3" t="str">
        <f>IF(A1460="","",'04'!$I$2)</f>
        <v/>
      </c>
      <c r="L1460" s="13"/>
      <c r="M1460" s="712" t="str">
        <f t="shared" si="190"/>
        <v/>
      </c>
      <c r="N1460" s="416"/>
    </row>
    <row r="1461" spans="1:16" ht="12.75" customHeight="1" x14ac:dyDescent="0.25">
      <c r="A1461" s="5"/>
      <c r="B1461" s="5"/>
      <c r="C1461" s="5"/>
      <c r="D1461" s="5"/>
      <c r="E1461" s="5"/>
      <c r="F1461" s="5"/>
      <c r="G1461" s="5"/>
      <c r="H1461" s="5"/>
      <c r="I1461" s="5"/>
      <c r="J1461" s="5"/>
      <c r="K1461" s="713" t="s">
        <v>261</v>
      </c>
      <c r="L1461" s="416"/>
      <c r="M1461" s="712">
        <f>SUM(M1456:N1460)</f>
        <v>6618.2269100000012</v>
      </c>
      <c r="N1461" s="416"/>
    </row>
    <row r="1462" spans="1:16" ht="12.75" customHeight="1" x14ac:dyDescent="0.2"/>
    <row r="1463" spans="1:16" ht="12.75" customHeight="1" x14ac:dyDescent="0.2">
      <c r="A1463" s="787" t="s">
        <v>115</v>
      </c>
      <c r="B1463" s="410"/>
      <c r="C1463" s="410"/>
      <c r="D1463" s="410"/>
      <c r="E1463" s="410"/>
      <c r="F1463" s="410"/>
      <c r="G1463" s="410"/>
      <c r="H1463" s="410"/>
      <c r="I1463" s="410"/>
      <c r="J1463" s="410"/>
      <c r="K1463" s="410"/>
      <c r="L1463" s="410"/>
      <c r="M1463" s="410"/>
      <c r="N1463" s="411"/>
      <c r="O1463" s="272"/>
      <c r="P1463" s="9"/>
    </row>
    <row r="1464" spans="1:16" ht="12.75" customHeight="1" x14ac:dyDescent="0.2">
      <c r="A1464" s="412"/>
      <c r="B1464" s="413"/>
      <c r="C1464" s="413"/>
      <c r="D1464" s="413"/>
      <c r="E1464" s="413"/>
      <c r="F1464" s="413"/>
      <c r="G1464" s="413"/>
      <c r="H1464" s="413"/>
      <c r="I1464" s="413"/>
      <c r="J1464" s="413"/>
      <c r="K1464" s="413"/>
      <c r="L1464" s="413"/>
      <c r="M1464" s="413"/>
      <c r="N1464" s="414"/>
      <c r="O1464" s="272"/>
      <c r="P1464" s="9"/>
    </row>
    <row r="1465" spans="1:16" ht="12.75" customHeight="1" x14ac:dyDescent="0.2">
      <c r="A1465" s="49"/>
      <c r="B1465" s="49"/>
      <c r="C1465" s="49"/>
      <c r="D1465" s="49"/>
      <c r="E1465" s="49"/>
      <c r="F1465" s="49"/>
      <c r="G1465" s="49"/>
      <c r="H1465" s="49"/>
      <c r="I1465" s="49"/>
      <c r="J1465" s="49"/>
      <c r="K1465" s="49"/>
      <c r="L1465" s="49"/>
      <c r="M1465" s="49"/>
      <c r="N1465" s="49"/>
    </row>
    <row r="1466" spans="1:16" ht="12.75" customHeight="1" thickBot="1" x14ac:dyDescent="0.35">
      <c r="A1466" s="51" t="str">
        <f>VLOOKUP(A1463,'10'!$B$9:$N$100,13,FALSE)</f>
        <v>G025</v>
      </c>
      <c r="B1466" s="52" t="str">
        <f>A1463</f>
        <v>CONCRETO PARA SOLADO DE 2000 PSI PARA ANDÉN PERIMETRAL A TODO COSTO (140 KG/CM2)</v>
      </c>
      <c r="C1466" s="53" t="s">
        <v>400</v>
      </c>
      <c r="D1466" s="54" t="s">
        <v>420</v>
      </c>
      <c r="E1466" s="55" t="s">
        <v>177</v>
      </c>
      <c r="F1466" s="59">
        <f>H1466+J1466+L1466+N1466</f>
        <v>553921.62526605651</v>
      </c>
      <c r="G1466" s="55" t="s">
        <v>349</v>
      </c>
      <c r="H1466" s="59">
        <f>M1484</f>
        <v>22529.386144259995</v>
      </c>
      <c r="I1466" s="55" t="s">
        <v>402</v>
      </c>
      <c r="J1466" s="59">
        <f>M1475</f>
        <v>308138</v>
      </c>
      <c r="K1466" s="55" t="s">
        <v>351</v>
      </c>
      <c r="L1466" s="59">
        <f>M1493</f>
        <v>94198.700979796544</v>
      </c>
      <c r="M1466" s="55" t="s">
        <v>352</v>
      </c>
      <c r="N1466" s="59">
        <f>M1502</f>
        <v>129055.53814199999</v>
      </c>
    </row>
    <row r="1467" spans="1:16" ht="12.75" customHeight="1" thickBot="1" x14ac:dyDescent="0.3">
      <c r="A1467" s="60"/>
      <c r="B1467" s="60"/>
      <c r="C1467" s="60"/>
      <c r="D1467" s="60"/>
      <c r="E1467" s="60"/>
      <c r="F1467" s="60"/>
      <c r="G1467" s="60"/>
      <c r="J1467" s="60"/>
      <c r="K1467" s="60"/>
      <c r="L1467" s="327" t="s">
        <v>1934</v>
      </c>
      <c r="M1467" s="328">
        <f>+F1466*'01'!$O$16</f>
        <v>716935.76490597962</v>
      </c>
      <c r="N1467" s="60"/>
    </row>
    <row r="1468" spans="1:16" ht="12.75" customHeight="1" x14ac:dyDescent="0.2">
      <c r="A1468" s="716" t="s">
        <v>403</v>
      </c>
      <c r="B1468" s="418"/>
      <c r="C1468" s="418"/>
      <c r="D1468" s="418"/>
      <c r="E1468" s="418"/>
      <c r="F1468" s="418"/>
      <c r="G1468" s="418"/>
      <c r="H1468" s="418"/>
      <c r="I1468" s="418"/>
      <c r="J1468" s="418"/>
      <c r="K1468" s="418"/>
      <c r="L1468" s="418"/>
      <c r="M1468" s="418"/>
      <c r="N1468" s="416"/>
    </row>
    <row r="1469" spans="1:16" ht="12.75" customHeight="1" x14ac:dyDescent="0.2">
      <c r="A1469" s="713" t="s">
        <v>39</v>
      </c>
      <c r="B1469" s="418"/>
      <c r="C1469" s="418"/>
      <c r="D1469" s="418"/>
      <c r="E1469" s="418"/>
      <c r="F1469" s="418"/>
      <c r="G1469" s="416"/>
      <c r="H1469" s="61" t="s">
        <v>40</v>
      </c>
      <c r="I1469" s="717" t="s">
        <v>404</v>
      </c>
      <c r="J1469" s="416"/>
      <c r="K1469" s="717" t="s">
        <v>184</v>
      </c>
      <c r="L1469" s="416"/>
      <c r="M1469" s="717" t="s">
        <v>405</v>
      </c>
      <c r="N1469" s="416"/>
    </row>
    <row r="1470" spans="1:16" ht="12.75" customHeight="1" x14ac:dyDescent="0.2">
      <c r="A1470" s="714" t="s">
        <v>431</v>
      </c>
      <c r="B1470" s="418"/>
      <c r="C1470" s="418"/>
      <c r="D1470" s="418"/>
      <c r="E1470" s="418"/>
      <c r="F1470" s="418"/>
      <c r="G1470" s="416"/>
      <c r="H1470" s="12" t="str">
        <f>IF(A1470="","",VLOOKUP(A1470,AA_Materiales,7,FALSE))</f>
        <v>Kg</v>
      </c>
      <c r="I1470" s="712">
        <f>IF(A1470="","",VLOOKUP(A1470,AA_Materiales,8,FALSE))</f>
        <v>761.6</v>
      </c>
      <c r="J1470" s="416"/>
      <c r="K1470" s="715">
        <v>230</v>
      </c>
      <c r="L1470" s="416"/>
      <c r="M1470" s="712">
        <f t="shared" ref="M1470:M1474" si="191">IF(A1470="","",I1470*K1470)</f>
        <v>175168</v>
      </c>
      <c r="N1470" s="416"/>
    </row>
    <row r="1471" spans="1:16" ht="12.75" customHeight="1" x14ac:dyDescent="0.2">
      <c r="A1471" s="714" t="s">
        <v>432</v>
      </c>
      <c r="B1471" s="418"/>
      <c r="C1471" s="418"/>
      <c r="D1471" s="418"/>
      <c r="E1471" s="418"/>
      <c r="F1471" s="418"/>
      <c r="G1471" s="416"/>
      <c r="H1471" s="12" t="str">
        <f>IF(A1471="","",VLOOKUP(A1471,AA_Materiales,7,FALSE))</f>
        <v>m3</v>
      </c>
      <c r="I1471" s="712">
        <f>IF(A1471="","",VLOOKUP(A1471,AA_Materiales,8,FALSE))</f>
        <v>65450</v>
      </c>
      <c r="J1471" s="416"/>
      <c r="K1471" s="715">
        <v>0.6</v>
      </c>
      <c r="L1471" s="416"/>
      <c r="M1471" s="712">
        <f t="shared" si="191"/>
        <v>39270</v>
      </c>
      <c r="N1471" s="416"/>
    </row>
    <row r="1472" spans="1:16" ht="12.75" customHeight="1" x14ac:dyDescent="0.2">
      <c r="A1472" s="714" t="s">
        <v>433</v>
      </c>
      <c r="B1472" s="418"/>
      <c r="C1472" s="418"/>
      <c r="D1472" s="418"/>
      <c r="E1472" s="418"/>
      <c r="F1472" s="418"/>
      <c r="G1472" s="416"/>
      <c r="H1472" s="12" t="str">
        <f>IF(A1472="","",VLOOKUP(A1472,AA_Materiales,7,FALSE))</f>
        <v>m3</v>
      </c>
      <c r="I1472" s="712">
        <f>IF(A1472="","",VLOOKUP(A1472,AA_Materiales,8,FALSE))</f>
        <v>113050</v>
      </c>
      <c r="J1472" s="416"/>
      <c r="K1472" s="715">
        <v>0.8</v>
      </c>
      <c r="L1472" s="416"/>
      <c r="M1472" s="712">
        <f t="shared" si="191"/>
        <v>90440</v>
      </c>
      <c r="N1472" s="416"/>
    </row>
    <row r="1473" spans="1:14" ht="12.75" customHeight="1" x14ac:dyDescent="0.2">
      <c r="A1473" s="714" t="s">
        <v>434</v>
      </c>
      <c r="B1473" s="418"/>
      <c r="C1473" s="418"/>
      <c r="D1473" s="418"/>
      <c r="E1473" s="418"/>
      <c r="F1473" s="418"/>
      <c r="G1473" s="416"/>
      <c r="H1473" s="12" t="str">
        <f>IF(A1473="","",VLOOKUP(A1473,AA_Materiales,7,FALSE))</f>
        <v>Lt</v>
      </c>
      <c r="I1473" s="712">
        <f>IF(A1473="","",VLOOKUP(A1473,AA_Materiales,8,FALSE))</f>
        <v>20</v>
      </c>
      <c r="J1473" s="416"/>
      <c r="K1473" s="715">
        <v>163</v>
      </c>
      <c r="L1473" s="416"/>
      <c r="M1473" s="712">
        <f t="shared" si="191"/>
        <v>3260</v>
      </c>
      <c r="N1473" s="416"/>
    </row>
    <row r="1474" spans="1:14" ht="12.75" customHeight="1" x14ac:dyDescent="0.2">
      <c r="A1474" s="714"/>
      <c r="B1474" s="418"/>
      <c r="C1474" s="418"/>
      <c r="D1474" s="418"/>
      <c r="E1474" s="418"/>
      <c r="F1474" s="418"/>
      <c r="G1474" s="416"/>
      <c r="H1474" s="12" t="str">
        <f>IF(A1474="","",VLOOKUP(A1474,AA_Materiales,7,FALSE))</f>
        <v/>
      </c>
      <c r="I1474" s="712" t="str">
        <f>IF(A1474="","",VLOOKUP(A1474,AA_Materiales,8,FALSE))</f>
        <v/>
      </c>
      <c r="J1474" s="416"/>
      <c r="K1474" s="715"/>
      <c r="L1474" s="416"/>
      <c r="M1474" s="712" t="str">
        <f t="shared" si="191"/>
        <v/>
      </c>
      <c r="N1474" s="416"/>
    </row>
    <row r="1475" spans="1:14" ht="12.75" customHeight="1" x14ac:dyDescent="0.25">
      <c r="A1475" s="5"/>
      <c r="B1475" s="5"/>
      <c r="C1475" s="5"/>
      <c r="D1475" s="5"/>
      <c r="E1475" s="5"/>
      <c r="F1475" s="5"/>
      <c r="G1475" s="5"/>
      <c r="H1475" s="5"/>
      <c r="I1475" s="5"/>
      <c r="J1475" s="5"/>
      <c r="K1475" s="713" t="s">
        <v>261</v>
      </c>
      <c r="L1475" s="416"/>
      <c r="M1475" s="712">
        <f>SUM(M1470:N1474)</f>
        <v>308138</v>
      </c>
      <c r="N1475" s="416"/>
    </row>
    <row r="1476" spans="1:14" ht="12.75" customHeight="1" x14ac:dyDescent="0.25">
      <c r="A1476" s="5"/>
      <c r="B1476" s="5"/>
      <c r="C1476" s="5"/>
      <c r="D1476" s="5"/>
      <c r="E1476" s="5"/>
      <c r="F1476" s="5"/>
      <c r="G1476" s="5"/>
      <c r="H1476" s="5"/>
      <c r="I1476" s="5"/>
      <c r="J1476" s="5"/>
      <c r="K1476" s="5"/>
      <c r="L1476" s="5"/>
      <c r="M1476" s="5"/>
      <c r="N1476" s="5"/>
    </row>
    <row r="1477" spans="1:14" ht="12.75" customHeight="1" x14ac:dyDescent="0.2">
      <c r="A1477" s="716" t="s">
        <v>410</v>
      </c>
      <c r="B1477" s="418"/>
      <c r="C1477" s="418"/>
      <c r="D1477" s="418"/>
      <c r="E1477" s="418"/>
      <c r="F1477" s="418"/>
      <c r="G1477" s="418"/>
      <c r="H1477" s="418"/>
      <c r="I1477" s="418"/>
      <c r="J1477" s="418"/>
      <c r="K1477" s="418"/>
      <c r="L1477" s="418"/>
      <c r="M1477" s="418"/>
      <c r="N1477" s="416"/>
    </row>
    <row r="1478" spans="1:14" ht="12.75" customHeight="1" x14ac:dyDescent="0.2">
      <c r="A1478" s="713" t="s">
        <v>39</v>
      </c>
      <c r="B1478" s="418"/>
      <c r="C1478" s="418"/>
      <c r="D1478" s="418"/>
      <c r="E1478" s="418"/>
      <c r="F1478" s="418"/>
      <c r="G1478" s="416"/>
      <c r="H1478" s="61" t="s">
        <v>40</v>
      </c>
      <c r="I1478" s="717" t="s">
        <v>404</v>
      </c>
      <c r="J1478" s="416"/>
      <c r="K1478" s="717" t="s">
        <v>184</v>
      </c>
      <c r="L1478" s="416"/>
      <c r="M1478" s="717" t="s">
        <v>405</v>
      </c>
      <c r="N1478" s="416"/>
    </row>
    <row r="1479" spans="1:14" ht="12.75" customHeight="1" x14ac:dyDescent="0.2">
      <c r="A1479" s="714" t="s">
        <v>411</v>
      </c>
      <c r="B1479" s="418"/>
      <c r="C1479" s="418"/>
      <c r="D1479" s="418"/>
      <c r="E1479" s="418"/>
      <c r="F1479" s="418"/>
      <c r="G1479" s="416"/>
      <c r="H1479" s="12" t="str">
        <f>IF(A1479="","",VLOOKUP(A1479,AA_Equipos,7,FALSE))</f>
        <v>% M.O.</v>
      </c>
      <c r="I1479" s="712">
        <f>M1502</f>
        <v>129055.53814199999</v>
      </c>
      <c r="J1479" s="416"/>
      <c r="K1479" s="722">
        <v>0.03</v>
      </c>
      <c r="L1479" s="416"/>
      <c r="M1479" s="712">
        <f t="shared" ref="M1479:M1483" si="192">IF(A1479="","",I1479*K1479)</f>
        <v>3871.6661442599998</v>
      </c>
      <c r="N1479" s="416"/>
    </row>
    <row r="1480" spans="1:14" ht="12.75" customHeight="1" x14ac:dyDescent="0.2">
      <c r="A1480" s="719" t="s">
        <v>435</v>
      </c>
      <c r="B1480" s="418"/>
      <c r="C1480" s="418"/>
      <c r="D1480" s="418"/>
      <c r="E1480" s="418"/>
      <c r="F1480" s="418"/>
      <c r="G1480" s="416"/>
      <c r="H1480" s="12" t="str">
        <f>IF(A1480="","",VLOOKUP(A1480,AA_Equipos,7,FALSE))</f>
        <v>Dia</v>
      </c>
      <c r="I1480" s="712">
        <f>IF(A1480="","",VLOOKUP(A1480,AA_Equipos,8,FALSE))</f>
        <v>103654</v>
      </c>
      <c r="J1480" s="416"/>
      <c r="K1480" s="723">
        <v>0.18</v>
      </c>
      <c r="L1480" s="416"/>
      <c r="M1480" s="712">
        <f t="shared" si="192"/>
        <v>18657.719999999998</v>
      </c>
      <c r="N1480" s="416"/>
    </row>
    <row r="1481" spans="1:14" ht="12.75" customHeight="1" x14ac:dyDescent="0.2">
      <c r="A1481" s="714"/>
      <c r="B1481" s="418"/>
      <c r="C1481" s="418"/>
      <c r="D1481" s="418"/>
      <c r="E1481" s="418"/>
      <c r="F1481" s="418"/>
      <c r="G1481" s="416"/>
      <c r="H1481" s="12" t="str">
        <f>IF(A1481="","",VLOOKUP(A1481,AA_Equipos,7,FALSE))</f>
        <v/>
      </c>
      <c r="I1481" s="712" t="str">
        <f>IF(A1481="","",VLOOKUP(A1481,AA_Equipos,8,FALSE))</f>
        <v/>
      </c>
      <c r="J1481" s="416"/>
      <c r="K1481" s="715"/>
      <c r="L1481" s="416"/>
      <c r="M1481" s="712" t="str">
        <f t="shared" si="192"/>
        <v/>
      </c>
      <c r="N1481" s="416"/>
    </row>
    <row r="1482" spans="1:14" ht="12.75" customHeight="1" x14ac:dyDescent="0.2">
      <c r="A1482" s="714"/>
      <c r="B1482" s="418"/>
      <c r="C1482" s="418"/>
      <c r="D1482" s="418"/>
      <c r="E1482" s="418"/>
      <c r="F1482" s="418"/>
      <c r="G1482" s="416"/>
      <c r="H1482" s="12" t="str">
        <f>IF(A1482="","",VLOOKUP(A1482,AA_Equipos,7,FALSE))</f>
        <v/>
      </c>
      <c r="I1482" s="712" t="str">
        <f>IF(A1482="","",VLOOKUP(A1482,AA_Equipos,8,FALSE))</f>
        <v/>
      </c>
      <c r="J1482" s="416"/>
      <c r="K1482" s="715"/>
      <c r="L1482" s="416"/>
      <c r="M1482" s="712" t="str">
        <f t="shared" si="192"/>
        <v/>
      </c>
      <c r="N1482" s="416"/>
    </row>
    <row r="1483" spans="1:14" ht="12.75" customHeight="1" x14ac:dyDescent="0.2">
      <c r="A1483" s="714"/>
      <c r="B1483" s="418"/>
      <c r="C1483" s="418"/>
      <c r="D1483" s="418"/>
      <c r="E1483" s="418"/>
      <c r="F1483" s="418"/>
      <c r="G1483" s="416"/>
      <c r="H1483" s="12" t="str">
        <f>IF(A1483="","",VLOOKUP(A1483,AA_Equipos,7,FALSE))</f>
        <v/>
      </c>
      <c r="I1483" s="712" t="str">
        <f>IF(A1483="","",VLOOKUP(A1483,AA_Equipos,8,FALSE))</f>
        <v/>
      </c>
      <c r="J1483" s="416"/>
      <c r="K1483" s="715"/>
      <c r="L1483" s="416"/>
      <c r="M1483" s="712" t="str">
        <f t="shared" si="192"/>
        <v/>
      </c>
      <c r="N1483" s="416"/>
    </row>
    <row r="1484" spans="1:14" ht="12.75" customHeight="1" x14ac:dyDescent="0.25">
      <c r="A1484" s="5"/>
      <c r="B1484" s="5"/>
      <c r="C1484" s="5"/>
      <c r="D1484" s="5"/>
      <c r="E1484" s="5"/>
      <c r="F1484" s="5"/>
      <c r="G1484" s="5"/>
      <c r="H1484" s="5"/>
      <c r="I1484" s="5"/>
      <c r="J1484" s="5"/>
      <c r="K1484" s="713" t="s">
        <v>261</v>
      </c>
      <c r="L1484" s="416"/>
      <c r="M1484" s="712">
        <f>SUM(M1479:N1483)</f>
        <v>22529.386144259995</v>
      </c>
      <c r="N1484" s="416"/>
    </row>
    <row r="1485" spans="1:14" ht="12.75" customHeight="1" x14ac:dyDescent="0.25">
      <c r="A1485" s="5"/>
      <c r="B1485" s="5"/>
      <c r="C1485" s="5"/>
      <c r="D1485" s="5"/>
      <c r="E1485" s="5"/>
      <c r="F1485" s="5"/>
      <c r="G1485" s="5"/>
      <c r="H1485" s="5"/>
      <c r="I1485" s="5"/>
      <c r="J1485" s="5"/>
      <c r="K1485" s="5"/>
      <c r="L1485" s="5"/>
      <c r="M1485" s="5"/>
      <c r="N1485" s="5"/>
    </row>
    <row r="1486" spans="1:14" ht="12.75" customHeight="1" x14ac:dyDescent="0.2">
      <c r="A1486" s="716" t="s">
        <v>413</v>
      </c>
      <c r="B1486" s="418"/>
      <c r="C1486" s="418"/>
      <c r="D1486" s="418"/>
      <c r="E1486" s="418"/>
      <c r="F1486" s="418"/>
      <c r="G1486" s="418"/>
      <c r="H1486" s="418"/>
      <c r="I1486" s="418"/>
      <c r="J1486" s="418"/>
      <c r="K1486" s="418"/>
      <c r="L1486" s="418"/>
      <c r="M1486" s="418"/>
      <c r="N1486" s="416"/>
    </row>
    <row r="1487" spans="1:14" ht="12.75" customHeight="1" x14ac:dyDescent="0.2">
      <c r="A1487" s="713" t="s">
        <v>39</v>
      </c>
      <c r="B1487" s="418"/>
      <c r="C1487" s="418"/>
      <c r="D1487" s="418"/>
      <c r="E1487" s="418"/>
      <c r="F1487" s="418"/>
      <c r="G1487" s="416"/>
      <c r="H1487" s="61" t="s">
        <v>40</v>
      </c>
      <c r="I1487" s="717" t="s">
        <v>404</v>
      </c>
      <c r="J1487" s="416"/>
      <c r="K1487" s="717" t="s">
        <v>184</v>
      </c>
      <c r="L1487" s="416"/>
      <c r="M1487" s="717" t="s">
        <v>405</v>
      </c>
      <c r="N1487" s="416"/>
    </row>
    <row r="1488" spans="1:14" ht="12.75" customHeight="1" x14ac:dyDescent="0.2">
      <c r="A1488" s="714" t="s">
        <v>436</v>
      </c>
      <c r="B1488" s="418"/>
      <c r="C1488" s="418"/>
      <c r="D1488" s="418"/>
      <c r="E1488" s="418"/>
      <c r="F1488" s="418"/>
      <c r="G1488" s="416"/>
      <c r="H1488" s="12" t="s">
        <v>437</v>
      </c>
      <c r="I1488" s="712">
        <f>+M1484</f>
        <v>22529.386144259995</v>
      </c>
      <c r="J1488" s="416"/>
      <c r="K1488" s="722">
        <v>0.03</v>
      </c>
      <c r="L1488" s="416"/>
      <c r="M1488" s="712">
        <f>IF(A1488="","",I1488*K1488)</f>
        <v>675.88158432779983</v>
      </c>
      <c r="N1488" s="416"/>
    </row>
    <row r="1489" spans="1:16" ht="12.75" customHeight="1" x14ac:dyDescent="0.2">
      <c r="A1489" s="788" t="s">
        <v>1534</v>
      </c>
      <c r="B1489" s="418"/>
      <c r="C1489" s="418"/>
      <c r="D1489" s="418"/>
      <c r="E1489" s="418"/>
      <c r="F1489" s="418"/>
      <c r="G1489" s="416"/>
      <c r="H1489" s="107" t="s">
        <v>467</v>
      </c>
      <c r="I1489" s="712">
        <f>+'13'!$J$68</f>
        <v>2206.6944848867188</v>
      </c>
      <c r="J1489" s="416"/>
      <c r="K1489" s="723">
        <f>+Indice!$M$5</f>
        <v>40</v>
      </c>
      <c r="L1489" s="416"/>
      <c r="M1489" s="712">
        <f>IF(A1489="","",I1489*K1489)</f>
        <v>88267.779395468751</v>
      </c>
      <c r="N1489" s="416"/>
    </row>
    <row r="1490" spans="1:16" ht="12.75" customHeight="1" x14ac:dyDescent="0.2">
      <c r="A1490" s="789" t="s">
        <v>1581</v>
      </c>
      <c r="B1490" s="418"/>
      <c r="C1490" s="418"/>
      <c r="D1490" s="418"/>
      <c r="E1490" s="418"/>
      <c r="F1490" s="418"/>
      <c r="G1490" s="416"/>
      <c r="H1490" s="107" t="s">
        <v>13</v>
      </c>
      <c r="I1490" s="712">
        <f>+M1470</f>
        <v>175168</v>
      </c>
      <c r="J1490" s="416"/>
      <c r="K1490" s="722">
        <v>0.03</v>
      </c>
      <c r="L1490" s="416"/>
      <c r="M1490" s="712">
        <f t="shared" ref="M1490:M1492" si="193">IF(A1490="","",I1490*K1490)</f>
        <v>5255.04</v>
      </c>
      <c r="N1490" s="416"/>
    </row>
    <row r="1491" spans="1:16" ht="12.75" customHeight="1" x14ac:dyDescent="0.2">
      <c r="A1491" s="714"/>
      <c r="B1491" s="418"/>
      <c r="C1491" s="418"/>
      <c r="D1491" s="418"/>
      <c r="E1491" s="418"/>
      <c r="F1491" s="418"/>
      <c r="G1491" s="416"/>
      <c r="H1491" s="12"/>
      <c r="I1491" s="712"/>
      <c r="J1491" s="416"/>
      <c r="K1491" s="715"/>
      <c r="L1491" s="416"/>
      <c r="M1491" s="712" t="str">
        <f t="shared" si="193"/>
        <v/>
      </c>
      <c r="N1491" s="416"/>
    </row>
    <row r="1492" spans="1:16" ht="12.75" customHeight="1" x14ac:dyDescent="0.2">
      <c r="A1492" s="714"/>
      <c r="B1492" s="418"/>
      <c r="C1492" s="418"/>
      <c r="D1492" s="418"/>
      <c r="E1492" s="418"/>
      <c r="F1492" s="418"/>
      <c r="G1492" s="416"/>
      <c r="H1492" s="12"/>
      <c r="I1492" s="712"/>
      <c r="J1492" s="416"/>
      <c r="K1492" s="715"/>
      <c r="L1492" s="416"/>
      <c r="M1492" s="712" t="str">
        <f t="shared" si="193"/>
        <v/>
      </c>
      <c r="N1492" s="416"/>
    </row>
    <row r="1493" spans="1:16" ht="12.75" customHeight="1" x14ac:dyDescent="0.25">
      <c r="A1493" s="5"/>
      <c r="B1493" s="5"/>
      <c r="C1493" s="5"/>
      <c r="D1493" s="5"/>
      <c r="E1493" s="5"/>
      <c r="F1493" s="5"/>
      <c r="G1493" s="5"/>
      <c r="H1493" s="5"/>
      <c r="I1493" s="5"/>
      <c r="J1493" s="5"/>
      <c r="K1493" s="713" t="s">
        <v>261</v>
      </c>
      <c r="L1493" s="416"/>
      <c r="M1493" s="712">
        <f>SUM(M1488:N1492)</f>
        <v>94198.700979796544</v>
      </c>
      <c r="N1493" s="416"/>
    </row>
    <row r="1494" spans="1:16" ht="12.75" customHeight="1" x14ac:dyDescent="0.25">
      <c r="A1494" s="5"/>
      <c r="B1494" s="5"/>
      <c r="C1494" s="5"/>
      <c r="D1494" s="5"/>
      <c r="E1494" s="5"/>
      <c r="F1494" s="5"/>
      <c r="G1494" s="5"/>
      <c r="H1494" s="5"/>
      <c r="I1494" s="5"/>
      <c r="J1494" s="5"/>
      <c r="K1494" s="5"/>
      <c r="L1494" s="5"/>
      <c r="M1494" s="5"/>
      <c r="N1494" s="5"/>
    </row>
    <row r="1495" spans="1:16" ht="12.75" customHeight="1" x14ac:dyDescent="0.2">
      <c r="A1495" s="716" t="s">
        <v>415</v>
      </c>
      <c r="B1495" s="418"/>
      <c r="C1495" s="418"/>
      <c r="D1495" s="418"/>
      <c r="E1495" s="418"/>
      <c r="F1495" s="418"/>
      <c r="G1495" s="418"/>
      <c r="H1495" s="418"/>
      <c r="I1495" s="418"/>
      <c r="J1495" s="418"/>
      <c r="K1495" s="418"/>
      <c r="L1495" s="418"/>
      <c r="M1495" s="418"/>
      <c r="N1495" s="416"/>
    </row>
    <row r="1496" spans="1:16" ht="12.75" customHeight="1" x14ac:dyDescent="0.2">
      <c r="A1496" s="713" t="s">
        <v>39</v>
      </c>
      <c r="B1496" s="418"/>
      <c r="C1496" s="418"/>
      <c r="D1496" s="418"/>
      <c r="E1496" s="418"/>
      <c r="F1496" s="418"/>
      <c r="G1496" s="416"/>
      <c r="H1496" s="61" t="s">
        <v>40</v>
      </c>
      <c r="I1496" s="717" t="s">
        <v>404</v>
      </c>
      <c r="J1496" s="416"/>
      <c r="K1496" s="64" t="s">
        <v>253</v>
      </c>
      <c r="L1496" s="65" t="s">
        <v>416</v>
      </c>
      <c r="M1496" s="717" t="s">
        <v>405</v>
      </c>
      <c r="N1496" s="416"/>
    </row>
    <row r="1497" spans="1:16" ht="12.75" customHeight="1" x14ac:dyDescent="0.25">
      <c r="A1497" s="711" t="s">
        <v>439</v>
      </c>
      <c r="B1497" s="418"/>
      <c r="C1497" s="418"/>
      <c r="D1497" s="418"/>
      <c r="E1497" s="418"/>
      <c r="F1497" s="418"/>
      <c r="G1497" s="416"/>
      <c r="H1497" s="12" t="str">
        <f>IF(A1497="","",VLOOKUP(A1497,AA_Cuadrillas,4,FALSE))</f>
        <v>Cuadrilla</v>
      </c>
      <c r="I1497" s="712">
        <f>IF(A1497="","",VLOOKUP(A1497,AA_Cuadrillas,5,FALSE))</f>
        <v>379362</v>
      </c>
      <c r="J1497" s="416"/>
      <c r="K1497" s="3">
        <f>IF(A1497="","",'04'!$I$2)</f>
        <v>1.88995</v>
      </c>
      <c r="L1497" s="66">
        <v>0.18</v>
      </c>
      <c r="M1497" s="712">
        <f t="shared" ref="M1497:M1501" si="194">IF(A1497="","",I1497*K1497*L1497)</f>
        <v>129055.53814199999</v>
      </c>
      <c r="N1497" s="416"/>
    </row>
    <row r="1498" spans="1:16" ht="12.75" customHeight="1" x14ac:dyDescent="0.25">
      <c r="A1498" s="711"/>
      <c r="B1498" s="418"/>
      <c r="C1498" s="418"/>
      <c r="D1498" s="418"/>
      <c r="E1498" s="418"/>
      <c r="F1498" s="418"/>
      <c r="G1498" s="416"/>
      <c r="H1498" s="12" t="str">
        <f>IF(A1498="","",VLOOKUP(A1498,AA_Cuadrillas,4,FALSE))</f>
        <v/>
      </c>
      <c r="I1498" s="712" t="str">
        <f>IF(A1498="","",VLOOKUP(A1498,AA_Cuadrillas,5,FALSE))</f>
        <v/>
      </c>
      <c r="J1498" s="416"/>
      <c r="K1498" s="3" t="str">
        <f>IF(A1498="","",'04'!$I$2)</f>
        <v/>
      </c>
      <c r="L1498" s="3"/>
      <c r="M1498" s="712" t="str">
        <f t="shared" si="194"/>
        <v/>
      </c>
      <c r="N1498" s="416"/>
    </row>
    <row r="1499" spans="1:16" ht="12.75" customHeight="1" x14ac:dyDescent="0.25">
      <c r="A1499" s="711"/>
      <c r="B1499" s="418"/>
      <c r="C1499" s="418"/>
      <c r="D1499" s="418"/>
      <c r="E1499" s="418"/>
      <c r="F1499" s="418"/>
      <c r="G1499" s="416"/>
      <c r="H1499" s="12" t="str">
        <f>IF(A1499="","",VLOOKUP(A1499,AA_Cuadrillas,4,FALSE))</f>
        <v/>
      </c>
      <c r="I1499" s="712" t="str">
        <f>IF(A1499="","",VLOOKUP(A1499,AA_Cuadrillas,5,FALSE))</f>
        <v/>
      </c>
      <c r="J1499" s="416"/>
      <c r="K1499" s="3" t="str">
        <f>IF(A1499="","",'04'!$I$2)</f>
        <v/>
      </c>
      <c r="L1499" s="13"/>
      <c r="M1499" s="712" t="str">
        <f t="shared" si="194"/>
        <v/>
      </c>
      <c r="N1499" s="416"/>
    </row>
    <row r="1500" spans="1:16" ht="12.75" customHeight="1" x14ac:dyDescent="0.25">
      <c r="A1500" s="711"/>
      <c r="B1500" s="418"/>
      <c r="C1500" s="418"/>
      <c r="D1500" s="418"/>
      <c r="E1500" s="418"/>
      <c r="F1500" s="418"/>
      <c r="G1500" s="416"/>
      <c r="H1500" s="12" t="str">
        <f>IF(A1500="","",VLOOKUP(A1500,AA_Cuadrillas,4,FALSE))</f>
        <v/>
      </c>
      <c r="I1500" s="712" t="str">
        <f>IF(A1500="","",VLOOKUP(A1500,AA_Cuadrillas,5,FALSE))</f>
        <v/>
      </c>
      <c r="J1500" s="416"/>
      <c r="K1500" s="3" t="str">
        <f>IF(A1500="","",'04'!$I$2)</f>
        <v/>
      </c>
      <c r="L1500" s="13"/>
      <c r="M1500" s="712" t="str">
        <f t="shared" si="194"/>
        <v/>
      </c>
      <c r="N1500" s="416"/>
    </row>
    <row r="1501" spans="1:16" ht="12.75" customHeight="1" x14ac:dyDescent="0.25">
      <c r="A1501" s="711"/>
      <c r="B1501" s="418"/>
      <c r="C1501" s="418"/>
      <c r="D1501" s="418"/>
      <c r="E1501" s="418"/>
      <c r="F1501" s="418"/>
      <c r="G1501" s="416"/>
      <c r="H1501" s="12" t="str">
        <f>IF(A1501="","",VLOOKUP(A1501,AA_Cuadrillas,4,FALSE))</f>
        <v/>
      </c>
      <c r="I1501" s="712" t="str">
        <f>IF(A1501="","",VLOOKUP(A1501,AA_Cuadrillas,5,FALSE))</f>
        <v/>
      </c>
      <c r="J1501" s="416"/>
      <c r="K1501" s="3" t="str">
        <f>IF(A1501="","",'04'!$I$2)</f>
        <v/>
      </c>
      <c r="L1501" s="13"/>
      <c r="M1501" s="712" t="str">
        <f t="shared" si="194"/>
        <v/>
      </c>
      <c r="N1501" s="416"/>
    </row>
    <row r="1502" spans="1:16" ht="12.75" customHeight="1" x14ac:dyDescent="0.25">
      <c r="A1502" s="5"/>
      <c r="B1502" s="5"/>
      <c r="C1502" s="5"/>
      <c r="D1502" s="5"/>
      <c r="E1502" s="5"/>
      <c r="F1502" s="5"/>
      <c r="G1502" s="5"/>
      <c r="H1502" s="5"/>
      <c r="I1502" s="5"/>
      <c r="J1502" s="5"/>
      <c r="K1502" s="713" t="s">
        <v>261</v>
      </c>
      <c r="L1502" s="416"/>
      <c r="M1502" s="712">
        <f>SUM(M1497:N1501)</f>
        <v>129055.53814199999</v>
      </c>
      <c r="N1502" s="416"/>
    </row>
    <row r="1503" spans="1:16" ht="12.75" customHeight="1" x14ac:dyDescent="0.2"/>
    <row r="1504" spans="1:16" ht="12.75" customHeight="1" x14ac:dyDescent="0.2">
      <c r="A1504" s="787" t="s">
        <v>88</v>
      </c>
      <c r="B1504" s="410"/>
      <c r="C1504" s="410"/>
      <c r="D1504" s="410"/>
      <c r="E1504" s="410"/>
      <c r="F1504" s="410"/>
      <c r="G1504" s="410"/>
      <c r="H1504" s="410"/>
      <c r="I1504" s="410"/>
      <c r="J1504" s="410"/>
      <c r="K1504" s="410"/>
      <c r="L1504" s="410"/>
      <c r="M1504" s="410"/>
      <c r="N1504" s="411"/>
      <c r="O1504" s="272"/>
      <c r="P1504" s="9"/>
    </row>
    <row r="1505" spans="1:16" ht="12.75" customHeight="1" x14ac:dyDescent="0.2">
      <c r="A1505" s="412"/>
      <c r="B1505" s="413"/>
      <c r="C1505" s="413"/>
      <c r="D1505" s="413"/>
      <c r="E1505" s="413"/>
      <c r="F1505" s="413"/>
      <c r="G1505" s="413"/>
      <c r="H1505" s="413"/>
      <c r="I1505" s="413"/>
      <c r="J1505" s="413"/>
      <c r="K1505" s="413"/>
      <c r="L1505" s="413"/>
      <c r="M1505" s="413"/>
      <c r="N1505" s="414"/>
      <c r="O1505" s="272"/>
      <c r="P1505" s="9"/>
    </row>
    <row r="1506" spans="1:16" ht="12.75" customHeight="1" x14ac:dyDescent="0.2">
      <c r="A1506" s="49"/>
      <c r="B1506" s="49"/>
      <c r="C1506" s="49"/>
      <c r="D1506" s="49"/>
      <c r="E1506" s="49"/>
      <c r="F1506" s="49"/>
      <c r="G1506" s="49"/>
      <c r="H1506" s="49"/>
      <c r="I1506" s="49"/>
      <c r="J1506" s="49"/>
      <c r="K1506" s="49"/>
      <c r="L1506" s="49"/>
      <c r="M1506" s="49"/>
      <c r="N1506" s="49"/>
    </row>
    <row r="1507" spans="1:16" ht="12.75" customHeight="1" thickBot="1" x14ac:dyDescent="0.35">
      <c r="A1507" s="51" t="str">
        <f>VLOOKUP(A1504,'10'!$B$9:$N$100,13,FALSE)</f>
        <v>G002</v>
      </c>
      <c r="B1507" s="52" t="str">
        <f>A1504</f>
        <v>EXCAVACIÓN MECÁNICA EN CONGLOMERADO (INCLUYE MAQUINARIA)</v>
      </c>
      <c r="C1507" s="53" t="s">
        <v>400</v>
      </c>
      <c r="D1507" s="54" t="s">
        <v>420</v>
      </c>
      <c r="E1507" s="55" t="s">
        <v>177</v>
      </c>
      <c r="F1507" s="59">
        <f>H1507+J1507+L1507+N1507</f>
        <v>19253.585455555556</v>
      </c>
      <c r="G1507" s="55" t="s">
        <v>349</v>
      </c>
      <c r="H1507" s="59">
        <f>M1526</f>
        <v>11900</v>
      </c>
      <c r="I1507" s="55" t="s">
        <v>402</v>
      </c>
      <c r="J1507" s="59">
        <f>M1517</f>
        <v>0</v>
      </c>
      <c r="K1507" s="55" t="s">
        <v>351</v>
      </c>
      <c r="L1507" s="59">
        <f>M1535</f>
        <v>0</v>
      </c>
      <c r="M1507" s="55" t="s">
        <v>352</v>
      </c>
      <c r="N1507" s="59">
        <f>M1544</f>
        <v>7353.5854555555561</v>
      </c>
    </row>
    <row r="1508" spans="1:16" ht="12.75" customHeight="1" thickBot="1" x14ac:dyDescent="0.3">
      <c r="A1508" s="60"/>
      <c r="B1508" s="60"/>
      <c r="C1508" s="60"/>
      <c r="D1508" s="60"/>
      <c r="E1508" s="60"/>
      <c r="F1508" s="60"/>
      <c r="G1508" s="60"/>
      <c r="J1508" s="60"/>
      <c r="K1508" s="60"/>
      <c r="L1508" s="327" t="s">
        <v>1934</v>
      </c>
      <c r="M1508" s="328">
        <f>+F1507*'01'!$O$16</f>
        <v>24919.742046776577</v>
      </c>
      <c r="N1508" s="60"/>
    </row>
    <row r="1509" spans="1:16" ht="12.75" customHeight="1" x14ac:dyDescent="0.2">
      <c r="A1509" s="716" t="s">
        <v>403</v>
      </c>
      <c r="B1509" s="418"/>
      <c r="C1509" s="418"/>
      <c r="D1509" s="418"/>
      <c r="E1509" s="418"/>
      <c r="F1509" s="418"/>
      <c r="G1509" s="418"/>
      <c r="H1509" s="418"/>
      <c r="I1509" s="418"/>
      <c r="J1509" s="418"/>
      <c r="K1509" s="418"/>
      <c r="L1509" s="418"/>
      <c r="M1509" s="418"/>
      <c r="N1509" s="416"/>
    </row>
    <row r="1510" spans="1:16" ht="12.75" customHeight="1" x14ac:dyDescent="0.2">
      <c r="A1510" s="713" t="s">
        <v>39</v>
      </c>
      <c r="B1510" s="418"/>
      <c r="C1510" s="418"/>
      <c r="D1510" s="418"/>
      <c r="E1510" s="418"/>
      <c r="F1510" s="418"/>
      <c r="G1510" s="416"/>
      <c r="H1510" s="61" t="s">
        <v>40</v>
      </c>
      <c r="I1510" s="717" t="s">
        <v>404</v>
      </c>
      <c r="J1510" s="416"/>
      <c r="K1510" s="717" t="s">
        <v>184</v>
      </c>
      <c r="L1510" s="416"/>
      <c r="M1510" s="717" t="s">
        <v>405</v>
      </c>
      <c r="N1510" s="416"/>
    </row>
    <row r="1511" spans="1:16" ht="12.75" customHeight="1" x14ac:dyDescent="0.2">
      <c r="A1511" s="714"/>
      <c r="B1511" s="418"/>
      <c r="C1511" s="418"/>
      <c r="D1511" s="418"/>
      <c r="E1511" s="418"/>
      <c r="F1511" s="418"/>
      <c r="G1511" s="416"/>
      <c r="H1511" s="12" t="str">
        <f t="shared" ref="H1511:H1516" si="195">IF(A1511="","",VLOOKUP(A1511,AA_Materiales,7,FALSE))</f>
        <v/>
      </c>
      <c r="I1511" s="712" t="str">
        <f t="shared" ref="I1511:I1516" si="196">IF(A1511="","",VLOOKUP(A1511,AA_Materiales,8,FALSE))</f>
        <v/>
      </c>
      <c r="J1511" s="416"/>
      <c r="K1511" s="715"/>
      <c r="L1511" s="416"/>
      <c r="M1511" s="712" t="str">
        <f t="shared" ref="M1511:M1516" si="197">IF(A1511="","",I1511*K1511)</f>
        <v/>
      </c>
      <c r="N1511" s="416"/>
    </row>
    <row r="1512" spans="1:16" ht="12.75" customHeight="1" x14ac:dyDescent="0.2">
      <c r="A1512" s="714"/>
      <c r="B1512" s="418"/>
      <c r="C1512" s="418"/>
      <c r="D1512" s="418"/>
      <c r="E1512" s="418"/>
      <c r="F1512" s="418"/>
      <c r="G1512" s="416"/>
      <c r="H1512" s="12" t="str">
        <f t="shared" si="195"/>
        <v/>
      </c>
      <c r="I1512" s="712" t="str">
        <f t="shared" si="196"/>
        <v/>
      </c>
      <c r="J1512" s="416"/>
      <c r="K1512" s="715"/>
      <c r="L1512" s="416"/>
      <c r="M1512" s="712" t="str">
        <f t="shared" si="197"/>
        <v/>
      </c>
      <c r="N1512" s="416"/>
    </row>
    <row r="1513" spans="1:16" ht="12.75" customHeight="1" x14ac:dyDescent="0.2">
      <c r="A1513" s="714"/>
      <c r="B1513" s="418"/>
      <c r="C1513" s="418"/>
      <c r="D1513" s="418"/>
      <c r="E1513" s="418"/>
      <c r="F1513" s="418"/>
      <c r="G1513" s="416"/>
      <c r="H1513" s="12" t="str">
        <f t="shared" si="195"/>
        <v/>
      </c>
      <c r="I1513" s="712" t="str">
        <f t="shared" si="196"/>
        <v/>
      </c>
      <c r="J1513" s="416"/>
      <c r="K1513" s="715"/>
      <c r="L1513" s="416"/>
      <c r="M1513" s="712" t="str">
        <f t="shared" si="197"/>
        <v/>
      </c>
      <c r="N1513" s="416"/>
    </row>
    <row r="1514" spans="1:16" ht="12.75" customHeight="1" x14ac:dyDescent="0.2">
      <c r="A1514" s="714"/>
      <c r="B1514" s="418"/>
      <c r="C1514" s="418"/>
      <c r="D1514" s="418"/>
      <c r="E1514" s="418"/>
      <c r="F1514" s="418"/>
      <c r="G1514" s="416"/>
      <c r="H1514" s="12" t="str">
        <f t="shared" si="195"/>
        <v/>
      </c>
      <c r="I1514" s="712" t="str">
        <f t="shared" si="196"/>
        <v/>
      </c>
      <c r="J1514" s="416"/>
      <c r="K1514" s="715"/>
      <c r="L1514" s="416"/>
      <c r="M1514" s="712" t="str">
        <f t="shared" si="197"/>
        <v/>
      </c>
      <c r="N1514" s="416"/>
    </row>
    <row r="1515" spans="1:16" ht="12.75" customHeight="1" x14ac:dyDescent="0.2">
      <c r="A1515" s="714"/>
      <c r="B1515" s="418"/>
      <c r="C1515" s="418"/>
      <c r="D1515" s="418"/>
      <c r="E1515" s="418"/>
      <c r="F1515" s="418"/>
      <c r="G1515" s="416"/>
      <c r="H1515" s="12" t="str">
        <f t="shared" si="195"/>
        <v/>
      </c>
      <c r="I1515" s="712" t="str">
        <f t="shared" si="196"/>
        <v/>
      </c>
      <c r="J1515" s="416"/>
      <c r="K1515" s="715"/>
      <c r="L1515" s="416"/>
      <c r="M1515" s="712" t="str">
        <f t="shared" si="197"/>
        <v/>
      </c>
      <c r="N1515" s="416"/>
    </row>
    <row r="1516" spans="1:16" ht="12.75" customHeight="1" x14ac:dyDescent="0.2">
      <c r="A1516" s="714"/>
      <c r="B1516" s="418"/>
      <c r="C1516" s="418"/>
      <c r="D1516" s="418"/>
      <c r="E1516" s="418"/>
      <c r="F1516" s="418"/>
      <c r="G1516" s="416"/>
      <c r="H1516" s="12" t="str">
        <f t="shared" si="195"/>
        <v/>
      </c>
      <c r="I1516" s="712" t="str">
        <f t="shared" si="196"/>
        <v/>
      </c>
      <c r="J1516" s="416"/>
      <c r="K1516" s="715"/>
      <c r="L1516" s="416"/>
      <c r="M1516" s="712" t="str">
        <f t="shared" si="197"/>
        <v/>
      </c>
      <c r="N1516" s="416"/>
    </row>
    <row r="1517" spans="1:16" ht="12.75" customHeight="1" x14ac:dyDescent="0.25">
      <c r="A1517" s="5"/>
      <c r="B1517" s="5"/>
      <c r="C1517" s="5"/>
      <c r="D1517" s="5"/>
      <c r="E1517" s="5"/>
      <c r="F1517" s="5"/>
      <c r="G1517" s="5"/>
      <c r="H1517" s="5"/>
      <c r="I1517" s="5"/>
      <c r="J1517" s="5"/>
      <c r="K1517" s="713" t="s">
        <v>261</v>
      </c>
      <c r="L1517" s="416"/>
      <c r="M1517" s="712">
        <f>SUM(M1511:N1516)</f>
        <v>0</v>
      </c>
      <c r="N1517" s="416"/>
    </row>
    <row r="1518" spans="1:16" ht="12.75" customHeight="1" x14ac:dyDescent="0.25">
      <c r="A1518" s="5"/>
      <c r="B1518" s="5"/>
      <c r="C1518" s="5"/>
      <c r="D1518" s="5"/>
      <c r="E1518" s="5"/>
      <c r="F1518" s="5"/>
      <c r="G1518" s="5"/>
      <c r="H1518" s="5"/>
      <c r="I1518" s="5"/>
      <c r="J1518" s="5"/>
      <c r="K1518" s="5"/>
      <c r="L1518" s="5"/>
      <c r="M1518" s="5"/>
      <c r="N1518" s="5"/>
    </row>
    <row r="1519" spans="1:16" ht="12.75" customHeight="1" x14ac:dyDescent="0.2">
      <c r="A1519" s="716" t="s">
        <v>410</v>
      </c>
      <c r="B1519" s="418"/>
      <c r="C1519" s="418"/>
      <c r="D1519" s="418"/>
      <c r="E1519" s="418"/>
      <c r="F1519" s="418"/>
      <c r="G1519" s="418"/>
      <c r="H1519" s="418"/>
      <c r="I1519" s="418"/>
      <c r="J1519" s="418"/>
      <c r="K1519" s="418"/>
      <c r="L1519" s="418"/>
      <c r="M1519" s="418"/>
      <c r="N1519" s="416"/>
    </row>
    <row r="1520" spans="1:16" ht="12.75" customHeight="1" x14ac:dyDescent="0.2">
      <c r="A1520" s="713" t="s">
        <v>39</v>
      </c>
      <c r="B1520" s="418"/>
      <c r="C1520" s="418"/>
      <c r="D1520" s="418"/>
      <c r="E1520" s="418"/>
      <c r="F1520" s="418"/>
      <c r="G1520" s="416"/>
      <c r="H1520" s="61" t="s">
        <v>40</v>
      </c>
      <c r="I1520" s="717" t="s">
        <v>404</v>
      </c>
      <c r="J1520" s="416"/>
      <c r="K1520" s="717"/>
      <c r="L1520" s="416"/>
      <c r="M1520" s="717" t="s">
        <v>405</v>
      </c>
      <c r="N1520" s="416"/>
    </row>
    <row r="1521" spans="1:14" ht="12.75" customHeight="1" x14ac:dyDescent="0.2">
      <c r="A1521" s="714" t="s">
        <v>468</v>
      </c>
      <c r="B1521" s="418"/>
      <c r="C1521" s="418"/>
      <c r="D1521" s="418"/>
      <c r="E1521" s="418"/>
      <c r="F1521" s="418"/>
      <c r="G1521" s="416"/>
      <c r="H1521" s="12" t="str">
        <f>IF(A1521="","",VLOOKUP(A1521,AA_Equipos,7,FALSE))</f>
        <v>Hora</v>
      </c>
      <c r="I1521" s="712">
        <f>IF(A1521="","",VLOOKUP(A1521,AA_Equipos,8,FALSE))</f>
        <v>154700</v>
      </c>
      <c r="J1521" s="416"/>
      <c r="K1521" s="715">
        <f>1/13</f>
        <v>7.6923076923076927E-2</v>
      </c>
      <c r="L1521" s="416"/>
      <c r="M1521" s="712">
        <f>IF(A1521="","",I1521*K1521)</f>
        <v>11900</v>
      </c>
      <c r="N1521" s="416"/>
    </row>
    <row r="1522" spans="1:14" ht="12.75" customHeight="1" x14ac:dyDescent="0.2">
      <c r="A1522" s="719"/>
      <c r="B1522" s="418"/>
      <c r="C1522" s="418"/>
      <c r="D1522" s="418"/>
      <c r="E1522" s="418"/>
      <c r="F1522" s="418"/>
      <c r="G1522" s="416"/>
      <c r="H1522" s="12" t="str">
        <f>IF(A1522="","",VLOOKUP(A1522,AA_Equipos,7,FALSE))</f>
        <v/>
      </c>
      <c r="I1522" s="712" t="str">
        <f>IF(A1522="","",VLOOKUP(A1522,AA_Equipos,8,FALSE))</f>
        <v/>
      </c>
      <c r="J1522" s="416"/>
      <c r="K1522" s="723"/>
      <c r="L1522" s="416"/>
      <c r="M1522" s="712" t="str">
        <f t="shared" ref="M1522:M1525" si="198">IF(A1522="","",I1522*K1522)</f>
        <v/>
      </c>
      <c r="N1522" s="416"/>
    </row>
    <row r="1523" spans="1:14" ht="12.75" customHeight="1" x14ac:dyDescent="0.2">
      <c r="A1523" s="714"/>
      <c r="B1523" s="418"/>
      <c r="C1523" s="418"/>
      <c r="D1523" s="418"/>
      <c r="E1523" s="418"/>
      <c r="F1523" s="418"/>
      <c r="G1523" s="416"/>
      <c r="H1523" s="12" t="str">
        <f>IF(A1523="","",VLOOKUP(A1523,AA_Equipos,7,FALSE))</f>
        <v/>
      </c>
      <c r="I1523" s="712" t="str">
        <f>IF(A1523="","",VLOOKUP(A1523,AA_Equipos,8,FALSE))</f>
        <v/>
      </c>
      <c r="J1523" s="416"/>
      <c r="K1523" s="786"/>
      <c r="L1523" s="416"/>
      <c r="M1523" s="712" t="str">
        <f t="shared" si="198"/>
        <v/>
      </c>
      <c r="N1523" s="416"/>
    </row>
    <row r="1524" spans="1:14" ht="12.75" customHeight="1" x14ac:dyDescent="0.2">
      <c r="A1524" s="714"/>
      <c r="B1524" s="418"/>
      <c r="C1524" s="418"/>
      <c r="D1524" s="418"/>
      <c r="E1524" s="418"/>
      <c r="F1524" s="418"/>
      <c r="G1524" s="416"/>
      <c r="H1524" s="12" t="str">
        <f>IF(A1524="","",VLOOKUP(A1524,AA_Equipos,7,FALSE))</f>
        <v/>
      </c>
      <c r="I1524" s="712" t="str">
        <f>IF(A1524="","",VLOOKUP(A1524,AA_Equipos,8,FALSE))</f>
        <v/>
      </c>
      <c r="J1524" s="416"/>
      <c r="K1524" s="715"/>
      <c r="L1524" s="416"/>
      <c r="M1524" s="712" t="str">
        <f t="shared" si="198"/>
        <v/>
      </c>
      <c r="N1524" s="416"/>
    </row>
    <row r="1525" spans="1:14" ht="12.75" customHeight="1" x14ac:dyDescent="0.2">
      <c r="A1525" s="714"/>
      <c r="B1525" s="418"/>
      <c r="C1525" s="418"/>
      <c r="D1525" s="418"/>
      <c r="E1525" s="418"/>
      <c r="F1525" s="418"/>
      <c r="G1525" s="416"/>
      <c r="H1525" s="12" t="str">
        <f>IF(A1525="","",VLOOKUP(A1525,AA_Equipos,7,FALSE))</f>
        <v/>
      </c>
      <c r="I1525" s="712" t="str">
        <f>IF(A1525="","",VLOOKUP(A1525,AA_Equipos,8,FALSE))</f>
        <v/>
      </c>
      <c r="J1525" s="416"/>
      <c r="K1525" s="715"/>
      <c r="L1525" s="416"/>
      <c r="M1525" s="712" t="str">
        <f t="shared" si="198"/>
        <v/>
      </c>
      <c r="N1525" s="416"/>
    </row>
    <row r="1526" spans="1:14" ht="12.75" customHeight="1" x14ac:dyDescent="0.25">
      <c r="A1526" s="5"/>
      <c r="B1526" s="5"/>
      <c r="C1526" s="5"/>
      <c r="D1526" s="5"/>
      <c r="E1526" s="5"/>
      <c r="F1526" s="5"/>
      <c r="G1526" s="5"/>
      <c r="H1526" s="5"/>
      <c r="I1526" s="5"/>
      <c r="J1526" s="5"/>
      <c r="K1526" s="713" t="s">
        <v>261</v>
      </c>
      <c r="L1526" s="416"/>
      <c r="M1526" s="712">
        <f>SUM(M1521:N1525)</f>
        <v>11900</v>
      </c>
      <c r="N1526" s="416"/>
    </row>
    <row r="1527" spans="1:14" ht="12.75" customHeight="1" x14ac:dyDescent="0.25">
      <c r="A1527" s="5"/>
      <c r="B1527" s="5"/>
      <c r="C1527" s="5"/>
      <c r="D1527" s="5"/>
      <c r="E1527" s="5"/>
      <c r="F1527" s="5"/>
      <c r="G1527" s="5"/>
      <c r="H1527" s="5"/>
      <c r="I1527" s="5"/>
      <c r="J1527" s="5"/>
      <c r="K1527" s="5"/>
      <c r="L1527" s="5"/>
      <c r="M1527" s="5"/>
      <c r="N1527" s="5"/>
    </row>
    <row r="1528" spans="1:14" ht="12.75" customHeight="1" x14ac:dyDescent="0.2">
      <c r="A1528" s="716" t="s">
        <v>413</v>
      </c>
      <c r="B1528" s="418"/>
      <c r="C1528" s="418"/>
      <c r="D1528" s="418"/>
      <c r="E1528" s="418"/>
      <c r="F1528" s="418"/>
      <c r="G1528" s="418"/>
      <c r="H1528" s="418"/>
      <c r="I1528" s="418"/>
      <c r="J1528" s="418"/>
      <c r="K1528" s="418"/>
      <c r="L1528" s="418"/>
      <c r="M1528" s="418"/>
      <c r="N1528" s="416"/>
    </row>
    <row r="1529" spans="1:14" ht="12.75" customHeight="1" x14ac:dyDescent="0.2">
      <c r="A1529" s="713" t="s">
        <v>39</v>
      </c>
      <c r="B1529" s="418"/>
      <c r="C1529" s="418"/>
      <c r="D1529" s="418"/>
      <c r="E1529" s="418"/>
      <c r="F1529" s="418"/>
      <c r="G1529" s="416"/>
      <c r="H1529" s="61" t="s">
        <v>40</v>
      </c>
      <c r="I1529" s="717" t="s">
        <v>404</v>
      </c>
      <c r="J1529" s="416"/>
      <c r="K1529" s="717" t="s">
        <v>184</v>
      </c>
      <c r="L1529" s="416"/>
      <c r="M1529" s="717" t="s">
        <v>405</v>
      </c>
      <c r="N1529" s="416"/>
    </row>
    <row r="1530" spans="1:14" ht="12.75" customHeight="1" x14ac:dyDescent="0.2">
      <c r="A1530" s="714"/>
      <c r="B1530" s="418"/>
      <c r="C1530" s="418"/>
      <c r="D1530" s="418"/>
      <c r="E1530" s="418"/>
      <c r="F1530" s="418"/>
      <c r="G1530" s="416"/>
      <c r="H1530" s="12"/>
      <c r="I1530" s="712"/>
      <c r="J1530" s="416"/>
      <c r="K1530" s="722"/>
      <c r="L1530" s="416"/>
      <c r="M1530" s="712" t="str">
        <f t="shared" ref="M1530:M1534" si="199">IF(A1530="","",I1530*K1530)</f>
        <v/>
      </c>
      <c r="N1530" s="416"/>
    </row>
    <row r="1531" spans="1:14" ht="12.75" customHeight="1" x14ac:dyDescent="0.2">
      <c r="A1531" s="719"/>
      <c r="B1531" s="418"/>
      <c r="C1531" s="418"/>
      <c r="D1531" s="418"/>
      <c r="E1531" s="418"/>
      <c r="F1531" s="418"/>
      <c r="G1531" s="416"/>
      <c r="H1531" s="12"/>
      <c r="I1531" s="712"/>
      <c r="J1531" s="416"/>
      <c r="K1531" s="722"/>
      <c r="L1531" s="416"/>
      <c r="M1531" s="712" t="str">
        <f t="shared" si="199"/>
        <v/>
      </c>
      <c r="N1531" s="416"/>
    </row>
    <row r="1532" spans="1:14" ht="12.75" customHeight="1" x14ac:dyDescent="0.2">
      <c r="A1532" s="714"/>
      <c r="B1532" s="418"/>
      <c r="C1532" s="418"/>
      <c r="D1532" s="418"/>
      <c r="E1532" s="418"/>
      <c r="F1532" s="418"/>
      <c r="G1532" s="416"/>
      <c r="H1532" s="12"/>
      <c r="I1532" s="712"/>
      <c r="J1532" s="416"/>
      <c r="K1532" s="715"/>
      <c r="L1532" s="416"/>
      <c r="M1532" s="712" t="str">
        <f t="shared" si="199"/>
        <v/>
      </c>
      <c r="N1532" s="416"/>
    </row>
    <row r="1533" spans="1:14" ht="12.75" customHeight="1" x14ac:dyDescent="0.2">
      <c r="A1533" s="714"/>
      <c r="B1533" s="418"/>
      <c r="C1533" s="418"/>
      <c r="D1533" s="418"/>
      <c r="E1533" s="418"/>
      <c r="F1533" s="418"/>
      <c r="G1533" s="416"/>
      <c r="H1533" s="12"/>
      <c r="I1533" s="712"/>
      <c r="J1533" s="416"/>
      <c r="K1533" s="715"/>
      <c r="L1533" s="416"/>
      <c r="M1533" s="712" t="str">
        <f t="shared" si="199"/>
        <v/>
      </c>
      <c r="N1533" s="416"/>
    </row>
    <row r="1534" spans="1:14" ht="12.75" customHeight="1" x14ac:dyDescent="0.2">
      <c r="A1534" s="714"/>
      <c r="B1534" s="418"/>
      <c r="C1534" s="418"/>
      <c r="D1534" s="418"/>
      <c r="E1534" s="418"/>
      <c r="F1534" s="418"/>
      <c r="G1534" s="416"/>
      <c r="H1534" s="12"/>
      <c r="I1534" s="712"/>
      <c r="J1534" s="416"/>
      <c r="K1534" s="715"/>
      <c r="L1534" s="416"/>
      <c r="M1534" s="712" t="str">
        <f t="shared" si="199"/>
        <v/>
      </c>
      <c r="N1534" s="416"/>
    </row>
    <row r="1535" spans="1:14" ht="12.75" customHeight="1" x14ac:dyDescent="0.25">
      <c r="A1535" s="5"/>
      <c r="B1535" s="5"/>
      <c r="C1535" s="5"/>
      <c r="D1535" s="5"/>
      <c r="E1535" s="5"/>
      <c r="F1535" s="5"/>
      <c r="G1535" s="5"/>
      <c r="H1535" s="5"/>
      <c r="I1535" s="5"/>
      <c r="J1535" s="5"/>
      <c r="K1535" s="713" t="s">
        <v>261</v>
      </c>
      <c r="L1535" s="416"/>
      <c r="M1535" s="712">
        <f>SUM(M1530:N1534)</f>
        <v>0</v>
      </c>
      <c r="N1535" s="416"/>
    </row>
    <row r="1536" spans="1:14" ht="12.75" customHeight="1" x14ac:dyDescent="0.25">
      <c r="A1536" s="5"/>
      <c r="B1536" s="5"/>
      <c r="C1536" s="5"/>
      <c r="D1536" s="5"/>
      <c r="E1536" s="5"/>
      <c r="F1536" s="5"/>
      <c r="G1536" s="5"/>
      <c r="H1536" s="5"/>
      <c r="I1536" s="5"/>
      <c r="J1536" s="5"/>
      <c r="K1536" s="5"/>
      <c r="L1536" s="5"/>
      <c r="M1536" s="5"/>
      <c r="N1536" s="5"/>
    </row>
    <row r="1537" spans="1:16" ht="12.75" customHeight="1" x14ac:dyDescent="0.2">
      <c r="A1537" s="716" t="s">
        <v>415</v>
      </c>
      <c r="B1537" s="418"/>
      <c r="C1537" s="418"/>
      <c r="D1537" s="418"/>
      <c r="E1537" s="418"/>
      <c r="F1537" s="418"/>
      <c r="G1537" s="418"/>
      <c r="H1537" s="418"/>
      <c r="I1537" s="418"/>
      <c r="J1537" s="418"/>
      <c r="K1537" s="418"/>
      <c r="L1537" s="418"/>
      <c r="M1537" s="418"/>
      <c r="N1537" s="416"/>
    </row>
    <row r="1538" spans="1:16" ht="12.75" customHeight="1" x14ac:dyDescent="0.2">
      <c r="A1538" s="713" t="s">
        <v>39</v>
      </c>
      <c r="B1538" s="418"/>
      <c r="C1538" s="418"/>
      <c r="D1538" s="418"/>
      <c r="E1538" s="418"/>
      <c r="F1538" s="418"/>
      <c r="G1538" s="416"/>
      <c r="H1538" s="61" t="s">
        <v>40</v>
      </c>
      <c r="I1538" s="717" t="s">
        <v>404</v>
      </c>
      <c r="J1538" s="416"/>
      <c r="K1538" s="64" t="s">
        <v>253</v>
      </c>
      <c r="L1538" s="65" t="s">
        <v>416</v>
      </c>
      <c r="M1538" s="717" t="s">
        <v>405</v>
      </c>
      <c r="N1538" s="416"/>
    </row>
    <row r="1539" spans="1:16" ht="12.75" customHeight="1" x14ac:dyDescent="0.25">
      <c r="A1539" s="711" t="s">
        <v>421</v>
      </c>
      <c r="B1539" s="418"/>
      <c r="C1539" s="418"/>
      <c r="D1539" s="418"/>
      <c r="E1539" s="418"/>
      <c r="F1539" s="418"/>
      <c r="G1539" s="416"/>
      <c r="H1539" s="12" t="str">
        <f>IF(A1539="","",VLOOKUP(A1539,AA_Cuadrillas,4,FALSE))</f>
        <v>Cuadrilla</v>
      </c>
      <c r="I1539" s="712">
        <f>IF(A1539="","",VLOOKUP(A1539,AA_Cuadrillas,5,FALSE))</f>
        <v>70036</v>
      </c>
      <c r="J1539" s="416"/>
      <c r="K1539" s="3">
        <f>IF(A1539="","",'04'!$I$2)</f>
        <v>1.88995</v>
      </c>
      <c r="L1539" s="66">
        <f>1/18</f>
        <v>5.5555555555555552E-2</v>
      </c>
      <c r="M1539" s="712">
        <f>IF(A1539="","",I1539*K1539*L1539)</f>
        <v>7353.5854555555561</v>
      </c>
      <c r="N1539" s="416"/>
    </row>
    <row r="1540" spans="1:16" ht="12.75" customHeight="1" x14ac:dyDescent="0.25">
      <c r="A1540" s="711"/>
      <c r="B1540" s="418"/>
      <c r="C1540" s="418"/>
      <c r="D1540" s="418"/>
      <c r="E1540" s="418"/>
      <c r="F1540" s="418"/>
      <c r="G1540" s="416"/>
      <c r="H1540" s="12" t="str">
        <f>IF(A1540="","",VLOOKUP(A1540,AA_Cuadrillas,4,FALSE))</f>
        <v/>
      </c>
      <c r="I1540" s="712" t="str">
        <f>IF(A1540="","",VLOOKUP(A1540,AA_Cuadrillas,5,FALSE))</f>
        <v/>
      </c>
      <c r="J1540" s="416"/>
      <c r="K1540" s="3" t="str">
        <f>IF(A1540="","",'04'!$I$2)</f>
        <v/>
      </c>
      <c r="L1540" s="3"/>
      <c r="M1540" s="712" t="str">
        <f t="shared" ref="M1540:M1543" si="200">IF(A1540="","",I1540*K1540*L1540)</f>
        <v/>
      </c>
      <c r="N1540" s="416"/>
    </row>
    <row r="1541" spans="1:16" ht="12.75" customHeight="1" x14ac:dyDescent="0.25">
      <c r="A1541" s="711"/>
      <c r="B1541" s="418"/>
      <c r="C1541" s="418"/>
      <c r="D1541" s="418"/>
      <c r="E1541" s="418"/>
      <c r="F1541" s="418"/>
      <c r="G1541" s="416"/>
      <c r="H1541" s="12" t="str">
        <f>IF(A1541="","",VLOOKUP(A1541,AA_Cuadrillas,4,FALSE))</f>
        <v/>
      </c>
      <c r="I1541" s="712" t="str">
        <f>IF(A1541="","",VLOOKUP(A1541,AA_Cuadrillas,5,FALSE))</f>
        <v/>
      </c>
      <c r="J1541" s="416"/>
      <c r="K1541" s="3" t="str">
        <f>IF(A1541="","",'04'!$I$2)</f>
        <v/>
      </c>
      <c r="L1541" s="13"/>
      <c r="M1541" s="712" t="str">
        <f t="shared" si="200"/>
        <v/>
      </c>
      <c r="N1541" s="416"/>
    </row>
    <row r="1542" spans="1:16" ht="12.75" customHeight="1" x14ac:dyDescent="0.25">
      <c r="A1542" s="711"/>
      <c r="B1542" s="418"/>
      <c r="C1542" s="418"/>
      <c r="D1542" s="418"/>
      <c r="E1542" s="418"/>
      <c r="F1542" s="418"/>
      <c r="G1542" s="416"/>
      <c r="H1542" s="12" t="str">
        <f>IF(A1542="","",VLOOKUP(A1542,AA_Cuadrillas,4,FALSE))</f>
        <v/>
      </c>
      <c r="I1542" s="712" t="str">
        <f>IF(A1542="","",VLOOKUP(A1542,AA_Cuadrillas,5,FALSE))</f>
        <v/>
      </c>
      <c r="J1542" s="416"/>
      <c r="K1542" s="3" t="str">
        <f>IF(A1542="","",'04'!$I$2)</f>
        <v/>
      </c>
      <c r="L1542" s="13"/>
      <c r="M1542" s="712" t="str">
        <f t="shared" si="200"/>
        <v/>
      </c>
      <c r="N1542" s="416"/>
    </row>
    <row r="1543" spans="1:16" ht="12.75" customHeight="1" x14ac:dyDescent="0.25">
      <c r="A1543" s="711"/>
      <c r="B1543" s="418"/>
      <c r="C1543" s="418"/>
      <c r="D1543" s="418"/>
      <c r="E1543" s="418"/>
      <c r="F1543" s="418"/>
      <c r="G1543" s="416"/>
      <c r="H1543" s="12" t="str">
        <f>IF(A1543="","",VLOOKUP(A1543,AA_Cuadrillas,4,FALSE))</f>
        <v/>
      </c>
      <c r="I1543" s="712" t="str">
        <f>IF(A1543="","",VLOOKUP(A1543,AA_Cuadrillas,5,FALSE))</f>
        <v/>
      </c>
      <c r="J1543" s="416"/>
      <c r="K1543" s="3" t="str">
        <f>IF(A1543="","",'04'!$I$2)</f>
        <v/>
      </c>
      <c r="L1543" s="13"/>
      <c r="M1543" s="712" t="str">
        <f t="shared" si="200"/>
        <v/>
      </c>
      <c r="N1543" s="416"/>
    </row>
    <row r="1544" spans="1:16" ht="12.75" customHeight="1" x14ac:dyDescent="0.25">
      <c r="A1544" s="5"/>
      <c r="B1544" s="5"/>
      <c r="C1544" s="5"/>
      <c r="D1544" s="5"/>
      <c r="E1544" s="5"/>
      <c r="F1544" s="5"/>
      <c r="G1544" s="5"/>
      <c r="H1544" s="5"/>
      <c r="I1544" s="5"/>
      <c r="J1544" s="5"/>
      <c r="K1544" s="713" t="s">
        <v>261</v>
      </c>
      <c r="L1544" s="416"/>
      <c r="M1544" s="712">
        <f>SUM(M1539:N1543)</f>
        <v>7353.5854555555561</v>
      </c>
      <c r="N1544" s="416"/>
    </row>
    <row r="1545" spans="1:16" ht="12.75" customHeight="1" x14ac:dyDescent="0.2"/>
    <row r="1546" spans="1:16" ht="12.75" customHeight="1" x14ac:dyDescent="0.2">
      <c r="A1546" s="784" t="s">
        <v>1751</v>
      </c>
      <c r="B1546" s="410"/>
      <c r="C1546" s="410"/>
      <c r="D1546" s="410"/>
      <c r="E1546" s="410"/>
      <c r="F1546" s="410"/>
      <c r="G1546" s="410"/>
      <c r="H1546" s="410"/>
      <c r="I1546" s="410"/>
      <c r="J1546" s="410"/>
      <c r="K1546" s="410"/>
      <c r="L1546" s="410"/>
      <c r="M1546" s="410"/>
      <c r="N1546" s="411"/>
      <c r="O1546" s="272"/>
      <c r="P1546" s="9"/>
    </row>
    <row r="1547" spans="1:16" ht="12.75" customHeight="1" x14ac:dyDescent="0.2">
      <c r="A1547" s="412"/>
      <c r="B1547" s="413"/>
      <c r="C1547" s="413"/>
      <c r="D1547" s="413"/>
      <c r="E1547" s="413"/>
      <c r="F1547" s="413"/>
      <c r="G1547" s="413"/>
      <c r="H1547" s="413"/>
      <c r="I1547" s="413"/>
      <c r="J1547" s="413"/>
      <c r="K1547" s="413"/>
      <c r="L1547" s="413"/>
      <c r="M1547" s="413"/>
      <c r="N1547" s="414"/>
      <c r="O1547" s="272"/>
      <c r="P1547" s="9"/>
    </row>
    <row r="1548" spans="1:16" ht="12.75" customHeight="1" x14ac:dyDescent="0.2">
      <c r="A1548" s="49"/>
      <c r="B1548" s="49"/>
      <c r="C1548" s="49"/>
      <c r="D1548" s="49"/>
      <c r="E1548" s="49"/>
      <c r="F1548" s="49"/>
      <c r="G1548" s="49"/>
      <c r="H1548" s="49"/>
      <c r="I1548" s="49"/>
      <c r="J1548" s="49"/>
      <c r="K1548" s="49"/>
      <c r="L1548" s="49"/>
      <c r="M1548" s="49"/>
      <c r="N1548" s="49"/>
    </row>
    <row r="1549" spans="1:16" ht="12.75" customHeight="1" thickBot="1" x14ac:dyDescent="0.35">
      <c r="A1549" s="51" t="str">
        <f>VLOOKUP(A1546,'10'!$B$9:$N$100,13,FALSE)</f>
        <v>G060</v>
      </c>
      <c r="B1549" s="52" t="str">
        <f>A1546</f>
        <v>SUMINISTRO E INSTALACIÓN DE TUBERÍA PVC Ø4" RDE 21 (INCLUYE TUBERÍA, PEGAMENTO, LIMPIADOR, HERRAMIENTA MENOR Y MANO DE OBRA)</v>
      </c>
      <c r="C1549" s="53" t="s">
        <v>400</v>
      </c>
      <c r="D1549" s="54" t="s">
        <v>450</v>
      </c>
      <c r="E1549" s="55" t="s">
        <v>177</v>
      </c>
      <c r="F1549" s="59">
        <f>H1549+J1549+L1549+N1549</f>
        <v>86080.257027968168</v>
      </c>
      <c r="G1549" s="55" t="s">
        <v>349</v>
      </c>
      <c r="H1549" s="59">
        <f>M1566</f>
        <v>403.30161653055302</v>
      </c>
      <c r="I1549" s="55" t="s">
        <v>402</v>
      </c>
      <c r="J1549" s="59">
        <f>M1557</f>
        <v>73895.960000000006</v>
      </c>
      <c r="K1549" s="55" t="s">
        <v>351</v>
      </c>
      <c r="L1549" s="59">
        <f>M1575</f>
        <v>3714.9630808265283</v>
      </c>
      <c r="M1549" s="55" t="s">
        <v>352</v>
      </c>
      <c r="N1549" s="59">
        <f>M1584</f>
        <v>8066.0323306110595</v>
      </c>
    </row>
    <row r="1550" spans="1:16" ht="12.75" customHeight="1" thickBot="1" x14ac:dyDescent="0.3">
      <c r="A1550" s="60"/>
      <c r="B1550" s="60"/>
      <c r="C1550" s="60"/>
      <c r="D1550" s="60"/>
      <c r="E1550" s="60"/>
      <c r="F1550" s="60"/>
      <c r="G1550" s="60"/>
      <c r="J1550" s="60"/>
      <c r="K1550" s="60"/>
      <c r="L1550" s="327" t="s">
        <v>1934</v>
      </c>
      <c r="M1550" s="328">
        <f>+F1549*'01'!$O$16</f>
        <v>111412.90049112555</v>
      </c>
      <c r="N1550" s="60"/>
    </row>
    <row r="1551" spans="1:16" ht="12.75" customHeight="1" x14ac:dyDescent="0.2">
      <c r="A1551" s="716" t="s">
        <v>403</v>
      </c>
      <c r="B1551" s="418"/>
      <c r="C1551" s="418"/>
      <c r="D1551" s="418"/>
      <c r="E1551" s="418"/>
      <c r="F1551" s="418"/>
      <c r="G1551" s="418"/>
      <c r="H1551" s="418"/>
      <c r="I1551" s="418"/>
      <c r="J1551" s="418"/>
      <c r="K1551" s="418"/>
      <c r="L1551" s="418"/>
      <c r="M1551" s="418"/>
      <c r="N1551" s="416"/>
    </row>
    <row r="1552" spans="1:16" ht="12.75" customHeight="1" x14ac:dyDescent="0.2">
      <c r="A1552" s="713" t="s">
        <v>39</v>
      </c>
      <c r="B1552" s="418"/>
      <c r="C1552" s="418"/>
      <c r="D1552" s="418"/>
      <c r="E1552" s="418"/>
      <c r="F1552" s="418"/>
      <c r="G1552" s="416"/>
      <c r="H1552" s="61" t="s">
        <v>40</v>
      </c>
      <c r="I1552" s="717" t="s">
        <v>404</v>
      </c>
      <c r="J1552" s="416"/>
      <c r="K1552" s="717" t="s">
        <v>184</v>
      </c>
      <c r="L1552" s="416"/>
      <c r="M1552" s="717" t="s">
        <v>405</v>
      </c>
      <c r="N1552" s="416"/>
    </row>
    <row r="1553" spans="1:16" ht="12.75" customHeight="1" x14ac:dyDescent="0.2">
      <c r="A1553" s="714" t="s">
        <v>536</v>
      </c>
      <c r="B1553" s="418"/>
      <c r="C1553" s="418"/>
      <c r="D1553" s="418"/>
      <c r="E1553" s="418"/>
      <c r="F1553" s="418"/>
      <c r="G1553" s="416"/>
      <c r="H1553" s="12" t="str">
        <f>IF(A1553="","",VLOOKUP(A1553,AA_Materiales,7,FALSE))</f>
        <v>Galón</v>
      </c>
      <c r="I1553" s="712">
        <f>IF(A1553="","",VLOOKUP(A1553,AA_Materiales,8,FALSE))</f>
        <v>150369</v>
      </c>
      <c r="J1553" s="416"/>
      <c r="K1553" s="715">
        <v>0.04</v>
      </c>
      <c r="L1553" s="416"/>
      <c r="M1553" s="712">
        <f t="shared" ref="M1553:M1554" si="201">IF(A1553="","",I1553*K1553)</f>
        <v>6014.76</v>
      </c>
      <c r="N1553" s="416"/>
    </row>
    <row r="1554" spans="1:16" ht="12.75" customHeight="1" x14ac:dyDescent="0.2">
      <c r="A1554" s="714" t="s">
        <v>537</v>
      </c>
      <c r="B1554" s="418"/>
      <c r="C1554" s="418"/>
      <c r="D1554" s="418"/>
      <c r="E1554" s="418"/>
      <c r="F1554" s="418"/>
      <c r="G1554" s="416"/>
      <c r="H1554" s="12" t="str">
        <f>IF(A1554="","",VLOOKUP(A1554,AA_Materiales,7,FALSE))</f>
        <v>Galón</v>
      </c>
      <c r="I1554" s="712">
        <f>IF(A1554="","",VLOOKUP(A1554,AA_Materiales,8,FALSE))</f>
        <v>72505</v>
      </c>
      <c r="J1554" s="416"/>
      <c r="K1554" s="715">
        <v>0.04</v>
      </c>
      <c r="L1554" s="416"/>
      <c r="M1554" s="712">
        <f t="shared" si="201"/>
        <v>2900.2000000000003</v>
      </c>
      <c r="N1554" s="416"/>
    </row>
    <row r="1555" spans="1:16" ht="12.75" customHeight="1" x14ac:dyDescent="0.2">
      <c r="A1555" s="789" t="s">
        <v>535</v>
      </c>
      <c r="B1555" s="418"/>
      <c r="C1555" s="418"/>
      <c r="D1555" s="418"/>
      <c r="E1555" s="418"/>
      <c r="F1555" s="418"/>
      <c r="G1555" s="416"/>
      <c r="H1555" s="12" t="str">
        <f>IF(A1555="","",VLOOKUP(A1555,AA_Materiales,7,FALSE))</f>
        <v>ml</v>
      </c>
      <c r="I1555" s="712">
        <f>IF(A1555="","",VLOOKUP(A1555,AA_Materiales,8,FALSE))</f>
        <v>64981</v>
      </c>
      <c r="J1555" s="416"/>
      <c r="K1555" s="715">
        <v>1</v>
      </c>
      <c r="L1555" s="416"/>
      <c r="M1555" s="712">
        <f t="shared" ref="M1555" si="202">IF(A1555="","",I1555*K1555)</f>
        <v>64981</v>
      </c>
      <c r="N1555" s="416"/>
      <c r="O1555" s="9"/>
      <c r="P1555" s="9"/>
    </row>
    <row r="1556" spans="1:16" ht="12.75" customHeight="1" x14ac:dyDescent="0.2">
      <c r="A1556" s="714"/>
      <c r="B1556" s="418"/>
      <c r="C1556" s="418"/>
      <c r="D1556" s="418"/>
      <c r="E1556" s="418"/>
      <c r="F1556" s="418"/>
      <c r="G1556" s="416"/>
      <c r="H1556" s="12" t="str">
        <f>IF(A1556="","",VLOOKUP(A1556,AA_Materiales,7,FALSE))</f>
        <v/>
      </c>
      <c r="I1556" s="712" t="str">
        <f>IF(A1556="","",VLOOKUP(A1556,AA_Materiales,8,FALSE))</f>
        <v/>
      </c>
      <c r="J1556" s="416"/>
      <c r="K1556" s="715"/>
      <c r="L1556" s="416"/>
      <c r="M1556" s="712" t="str">
        <f>IF(A1556="","",I1556*K1556)</f>
        <v/>
      </c>
      <c r="N1556" s="416"/>
    </row>
    <row r="1557" spans="1:16" ht="12.75" customHeight="1" x14ac:dyDescent="0.25">
      <c r="A1557" s="5"/>
      <c r="B1557" s="5"/>
      <c r="C1557" s="5"/>
      <c r="D1557" s="5"/>
      <c r="E1557" s="5"/>
      <c r="F1557" s="5"/>
      <c r="G1557" s="5"/>
      <c r="H1557" s="5"/>
      <c r="I1557" s="5"/>
      <c r="J1557" s="5"/>
      <c r="K1557" s="713" t="s">
        <v>261</v>
      </c>
      <c r="L1557" s="416"/>
      <c r="M1557" s="712">
        <f>SUM(M1553:N1556)</f>
        <v>73895.960000000006</v>
      </c>
      <c r="N1557" s="416"/>
    </row>
    <row r="1558" spans="1:16" ht="12.75" customHeight="1" x14ac:dyDescent="0.25">
      <c r="A1558" s="5"/>
      <c r="B1558" s="5"/>
      <c r="C1558" s="5"/>
      <c r="D1558" s="5"/>
      <c r="E1558" s="5"/>
      <c r="F1558" s="5"/>
      <c r="G1558" s="5"/>
      <c r="H1558" s="5"/>
      <c r="I1558" s="5"/>
      <c r="J1558" s="5"/>
      <c r="K1558" s="5"/>
      <c r="L1558" s="5"/>
      <c r="M1558" s="5"/>
      <c r="N1558" s="5"/>
    </row>
    <row r="1559" spans="1:16" ht="12.75" customHeight="1" x14ac:dyDescent="0.2">
      <c r="A1559" s="716" t="s">
        <v>410</v>
      </c>
      <c r="B1559" s="418"/>
      <c r="C1559" s="418"/>
      <c r="D1559" s="418"/>
      <c r="E1559" s="418"/>
      <c r="F1559" s="418"/>
      <c r="G1559" s="418"/>
      <c r="H1559" s="418"/>
      <c r="I1559" s="418"/>
      <c r="J1559" s="418"/>
      <c r="K1559" s="418"/>
      <c r="L1559" s="418"/>
      <c r="M1559" s="418"/>
      <c r="N1559" s="416"/>
    </row>
    <row r="1560" spans="1:16" ht="12.75" customHeight="1" x14ac:dyDescent="0.2">
      <c r="A1560" s="713" t="s">
        <v>39</v>
      </c>
      <c r="B1560" s="418"/>
      <c r="C1560" s="418"/>
      <c r="D1560" s="418"/>
      <c r="E1560" s="418"/>
      <c r="F1560" s="418"/>
      <c r="G1560" s="416"/>
      <c r="H1560" s="61" t="s">
        <v>40</v>
      </c>
      <c r="I1560" s="717" t="s">
        <v>404</v>
      </c>
      <c r="J1560" s="416"/>
      <c r="K1560" s="717" t="s">
        <v>184</v>
      </c>
      <c r="L1560" s="416"/>
      <c r="M1560" s="717" t="s">
        <v>405</v>
      </c>
      <c r="N1560" s="416"/>
    </row>
    <row r="1561" spans="1:16" ht="12.75" customHeight="1" x14ac:dyDescent="0.2">
      <c r="A1561" s="714" t="s">
        <v>411</v>
      </c>
      <c r="B1561" s="418"/>
      <c r="C1561" s="418"/>
      <c r="D1561" s="418"/>
      <c r="E1561" s="418"/>
      <c r="F1561" s="418"/>
      <c r="G1561" s="416"/>
      <c r="H1561" s="12" t="str">
        <f>IF(A1561="","",VLOOKUP(A1561,AA_Equipos,7,FALSE))</f>
        <v>% M.O.</v>
      </c>
      <c r="I1561" s="712">
        <f>M1584</f>
        <v>8066.0323306110595</v>
      </c>
      <c r="J1561" s="416"/>
      <c r="K1561" s="722">
        <v>0.05</v>
      </c>
      <c r="L1561" s="416"/>
      <c r="M1561" s="712">
        <f t="shared" ref="M1561:M1565" si="203">IF(A1561="","",I1561*K1561)</f>
        <v>403.30161653055302</v>
      </c>
      <c r="N1561" s="416"/>
    </row>
    <row r="1562" spans="1:16" ht="12.75" customHeight="1" x14ac:dyDescent="0.2">
      <c r="A1562" s="719"/>
      <c r="B1562" s="418"/>
      <c r="C1562" s="418"/>
      <c r="D1562" s="418"/>
      <c r="E1562" s="418"/>
      <c r="F1562" s="418"/>
      <c r="G1562" s="416"/>
      <c r="H1562" s="12" t="str">
        <f>IF(A1562="","",VLOOKUP(A1562,AA_Equipos,7,FALSE))</f>
        <v/>
      </c>
      <c r="I1562" s="712" t="str">
        <f>IF(A1562="","",VLOOKUP(A1562,AA_Equipos,8,FALSE))</f>
        <v/>
      </c>
      <c r="J1562" s="416"/>
      <c r="K1562" s="723"/>
      <c r="L1562" s="416"/>
      <c r="M1562" s="712" t="str">
        <f t="shared" si="203"/>
        <v/>
      </c>
      <c r="N1562" s="416"/>
    </row>
    <row r="1563" spans="1:16" ht="12.75" customHeight="1" x14ac:dyDescent="0.2">
      <c r="A1563" s="714"/>
      <c r="B1563" s="418"/>
      <c r="C1563" s="418"/>
      <c r="D1563" s="418"/>
      <c r="E1563" s="418"/>
      <c r="F1563" s="418"/>
      <c r="G1563" s="416"/>
      <c r="H1563" s="12" t="str">
        <f>IF(A1563="","",VLOOKUP(A1563,AA_Equipos,7,FALSE))</f>
        <v/>
      </c>
      <c r="I1563" s="712" t="str">
        <f>IF(A1563="","",VLOOKUP(A1563,AA_Equipos,8,FALSE))</f>
        <v/>
      </c>
      <c r="J1563" s="416"/>
      <c r="K1563" s="715"/>
      <c r="L1563" s="416"/>
      <c r="M1563" s="712" t="str">
        <f t="shared" si="203"/>
        <v/>
      </c>
      <c r="N1563" s="416"/>
    </row>
    <row r="1564" spans="1:16" ht="12.75" customHeight="1" x14ac:dyDescent="0.2">
      <c r="A1564" s="714"/>
      <c r="B1564" s="418"/>
      <c r="C1564" s="418"/>
      <c r="D1564" s="418"/>
      <c r="E1564" s="418"/>
      <c r="F1564" s="418"/>
      <c r="G1564" s="416"/>
      <c r="H1564" s="12" t="str">
        <f>IF(A1564="","",VLOOKUP(A1564,AA_Equipos,7,FALSE))</f>
        <v/>
      </c>
      <c r="I1564" s="712" t="str">
        <f>IF(A1564="","",VLOOKUP(A1564,AA_Equipos,8,FALSE))</f>
        <v/>
      </c>
      <c r="J1564" s="416"/>
      <c r="K1564" s="715"/>
      <c r="L1564" s="416"/>
      <c r="M1564" s="712" t="str">
        <f t="shared" si="203"/>
        <v/>
      </c>
      <c r="N1564" s="416"/>
    </row>
    <row r="1565" spans="1:16" ht="12.75" customHeight="1" x14ac:dyDescent="0.2">
      <c r="A1565" s="714"/>
      <c r="B1565" s="418"/>
      <c r="C1565" s="418"/>
      <c r="D1565" s="418"/>
      <c r="E1565" s="418"/>
      <c r="F1565" s="418"/>
      <c r="G1565" s="416"/>
      <c r="H1565" s="12" t="str">
        <f>IF(A1565="","",VLOOKUP(A1565,AA_Equipos,7,FALSE))</f>
        <v/>
      </c>
      <c r="I1565" s="712" t="str">
        <f>IF(A1565="","",VLOOKUP(A1565,AA_Equipos,8,FALSE))</f>
        <v/>
      </c>
      <c r="J1565" s="416"/>
      <c r="K1565" s="715"/>
      <c r="L1565" s="416"/>
      <c r="M1565" s="712" t="str">
        <f t="shared" si="203"/>
        <v/>
      </c>
      <c r="N1565" s="416"/>
    </row>
    <row r="1566" spans="1:16" ht="12.75" customHeight="1" x14ac:dyDescent="0.25">
      <c r="A1566" s="5"/>
      <c r="B1566" s="5"/>
      <c r="C1566" s="5"/>
      <c r="D1566" s="5"/>
      <c r="E1566" s="5"/>
      <c r="F1566" s="5"/>
      <c r="G1566" s="5"/>
      <c r="H1566" s="5"/>
      <c r="I1566" s="5"/>
      <c r="J1566" s="5"/>
      <c r="K1566" s="713" t="s">
        <v>261</v>
      </c>
      <c r="L1566" s="416"/>
      <c r="M1566" s="712">
        <f>SUM(M1561:N1565)</f>
        <v>403.30161653055302</v>
      </c>
      <c r="N1566" s="416"/>
    </row>
    <row r="1567" spans="1:16" ht="12.75" customHeight="1" x14ac:dyDescent="0.25">
      <c r="A1567" s="5"/>
      <c r="B1567" s="5"/>
      <c r="C1567" s="5"/>
      <c r="D1567" s="5"/>
      <c r="E1567" s="5"/>
      <c r="F1567" s="5"/>
      <c r="G1567" s="5"/>
      <c r="H1567" s="5"/>
      <c r="I1567" s="5"/>
      <c r="J1567" s="5"/>
      <c r="K1567" s="5"/>
      <c r="L1567" s="5"/>
      <c r="M1567" s="5"/>
      <c r="N1567" s="5"/>
    </row>
    <row r="1568" spans="1:16" ht="12.75" customHeight="1" x14ac:dyDescent="0.2">
      <c r="A1568" s="716" t="s">
        <v>413</v>
      </c>
      <c r="B1568" s="418"/>
      <c r="C1568" s="418"/>
      <c r="D1568" s="418"/>
      <c r="E1568" s="418"/>
      <c r="F1568" s="418"/>
      <c r="G1568" s="418"/>
      <c r="H1568" s="418"/>
      <c r="I1568" s="418"/>
      <c r="J1568" s="418"/>
      <c r="K1568" s="418"/>
      <c r="L1568" s="418"/>
      <c r="M1568" s="418"/>
      <c r="N1568" s="416"/>
    </row>
    <row r="1569" spans="1:14" ht="12.75" customHeight="1" x14ac:dyDescent="0.2">
      <c r="A1569" s="713" t="s">
        <v>39</v>
      </c>
      <c r="B1569" s="418"/>
      <c r="C1569" s="418"/>
      <c r="D1569" s="418"/>
      <c r="E1569" s="418"/>
      <c r="F1569" s="418"/>
      <c r="G1569" s="416"/>
      <c r="H1569" s="61" t="s">
        <v>40</v>
      </c>
      <c r="I1569" s="717" t="s">
        <v>404</v>
      </c>
      <c r="J1569" s="416"/>
      <c r="K1569" s="717" t="s">
        <v>184</v>
      </c>
      <c r="L1569" s="416"/>
      <c r="M1569" s="717" t="s">
        <v>405</v>
      </c>
      <c r="N1569" s="416"/>
    </row>
    <row r="1570" spans="1:14" ht="12.75" customHeight="1" x14ac:dyDescent="0.2">
      <c r="A1570" s="788" t="s">
        <v>414</v>
      </c>
      <c r="B1570" s="418"/>
      <c r="C1570" s="418"/>
      <c r="D1570" s="418"/>
      <c r="E1570" s="418"/>
      <c r="F1570" s="418"/>
      <c r="G1570" s="416"/>
      <c r="H1570" s="231" t="s">
        <v>13</v>
      </c>
      <c r="I1570" s="712">
        <f>+M1557+M1566</f>
        <v>74299.261616530566</v>
      </c>
      <c r="J1570" s="416"/>
      <c r="K1570" s="722">
        <v>0.05</v>
      </c>
      <c r="L1570" s="416"/>
      <c r="M1570" s="712">
        <f t="shared" ref="M1570:M1574" si="204">IF(A1570="","",I1570*K1570)</f>
        <v>3714.9630808265283</v>
      </c>
      <c r="N1570" s="416"/>
    </row>
    <row r="1571" spans="1:14" ht="12.75" customHeight="1" x14ac:dyDescent="0.2">
      <c r="A1571" s="719"/>
      <c r="B1571" s="418"/>
      <c r="C1571" s="418"/>
      <c r="D1571" s="418"/>
      <c r="E1571" s="418"/>
      <c r="F1571" s="418"/>
      <c r="G1571" s="416"/>
      <c r="H1571" s="12"/>
      <c r="I1571" s="712"/>
      <c r="J1571" s="416"/>
      <c r="K1571" s="722"/>
      <c r="L1571" s="416"/>
      <c r="M1571" s="712" t="str">
        <f t="shared" si="204"/>
        <v/>
      </c>
      <c r="N1571" s="416"/>
    </row>
    <row r="1572" spans="1:14" ht="12.75" customHeight="1" x14ac:dyDescent="0.2">
      <c r="A1572" s="714"/>
      <c r="B1572" s="418"/>
      <c r="C1572" s="418"/>
      <c r="D1572" s="418"/>
      <c r="E1572" s="418"/>
      <c r="F1572" s="418"/>
      <c r="G1572" s="416"/>
      <c r="H1572" s="12"/>
      <c r="I1572" s="712"/>
      <c r="J1572" s="416"/>
      <c r="K1572" s="715"/>
      <c r="L1572" s="416"/>
      <c r="M1572" s="712" t="str">
        <f t="shared" si="204"/>
        <v/>
      </c>
      <c r="N1572" s="416"/>
    </row>
    <row r="1573" spans="1:14" ht="12.75" customHeight="1" x14ac:dyDescent="0.2">
      <c r="A1573" s="714"/>
      <c r="B1573" s="418"/>
      <c r="C1573" s="418"/>
      <c r="D1573" s="418"/>
      <c r="E1573" s="418"/>
      <c r="F1573" s="418"/>
      <c r="G1573" s="416"/>
      <c r="H1573" s="12"/>
      <c r="I1573" s="712"/>
      <c r="J1573" s="416"/>
      <c r="K1573" s="715"/>
      <c r="L1573" s="416"/>
      <c r="M1573" s="712" t="str">
        <f t="shared" si="204"/>
        <v/>
      </c>
      <c r="N1573" s="416"/>
    </row>
    <row r="1574" spans="1:14" ht="12.75" customHeight="1" x14ac:dyDescent="0.2">
      <c r="A1574" s="714"/>
      <c r="B1574" s="418"/>
      <c r="C1574" s="418"/>
      <c r="D1574" s="418"/>
      <c r="E1574" s="418"/>
      <c r="F1574" s="418"/>
      <c r="G1574" s="416"/>
      <c r="H1574" s="12"/>
      <c r="I1574" s="712"/>
      <c r="J1574" s="416"/>
      <c r="K1574" s="715"/>
      <c r="L1574" s="416"/>
      <c r="M1574" s="712" t="str">
        <f t="shared" si="204"/>
        <v/>
      </c>
      <c r="N1574" s="416"/>
    </row>
    <row r="1575" spans="1:14" ht="12.75" customHeight="1" x14ac:dyDescent="0.25">
      <c r="A1575" s="5"/>
      <c r="B1575" s="5"/>
      <c r="C1575" s="5"/>
      <c r="D1575" s="5"/>
      <c r="E1575" s="5"/>
      <c r="F1575" s="5"/>
      <c r="G1575" s="5"/>
      <c r="H1575" s="5"/>
      <c r="I1575" s="5"/>
      <c r="J1575" s="5"/>
      <c r="K1575" s="713" t="s">
        <v>261</v>
      </c>
      <c r="L1575" s="416"/>
      <c r="M1575" s="712">
        <f>SUM(M1570:N1574)</f>
        <v>3714.9630808265283</v>
      </c>
      <c r="N1575" s="416"/>
    </row>
    <row r="1576" spans="1:14" ht="12.75" customHeight="1" x14ac:dyDescent="0.25">
      <c r="A1576" s="5"/>
      <c r="B1576" s="5"/>
      <c r="C1576" s="5"/>
      <c r="D1576" s="5"/>
      <c r="E1576" s="5"/>
      <c r="F1576" s="5"/>
      <c r="G1576" s="5"/>
      <c r="H1576" s="5"/>
      <c r="I1576" s="5"/>
      <c r="J1576" s="5"/>
      <c r="K1576" s="5"/>
      <c r="L1576" s="5"/>
      <c r="M1576" s="5"/>
      <c r="N1576" s="5"/>
    </row>
    <row r="1577" spans="1:14" ht="12.75" customHeight="1" x14ac:dyDescent="0.2">
      <c r="A1577" s="716" t="s">
        <v>415</v>
      </c>
      <c r="B1577" s="418"/>
      <c r="C1577" s="418"/>
      <c r="D1577" s="418"/>
      <c r="E1577" s="418"/>
      <c r="F1577" s="418"/>
      <c r="G1577" s="418"/>
      <c r="H1577" s="418"/>
      <c r="I1577" s="418"/>
      <c r="J1577" s="418"/>
      <c r="K1577" s="418"/>
      <c r="L1577" s="418"/>
      <c r="M1577" s="418"/>
      <c r="N1577" s="416"/>
    </row>
    <row r="1578" spans="1:14" ht="12.75" customHeight="1" x14ac:dyDescent="0.2">
      <c r="A1578" s="713" t="s">
        <v>39</v>
      </c>
      <c r="B1578" s="418"/>
      <c r="C1578" s="418"/>
      <c r="D1578" s="418"/>
      <c r="E1578" s="418"/>
      <c r="F1578" s="418"/>
      <c r="G1578" s="416"/>
      <c r="H1578" s="61" t="s">
        <v>40</v>
      </c>
      <c r="I1578" s="717" t="s">
        <v>404</v>
      </c>
      <c r="J1578" s="416"/>
      <c r="K1578" s="64" t="s">
        <v>253</v>
      </c>
      <c r="L1578" s="65" t="s">
        <v>416</v>
      </c>
      <c r="M1578" s="717" t="s">
        <v>405</v>
      </c>
      <c r="N1578" s="416"/>
    </row>
    <row r="1579" spans="1:14" ht="12.75" customHeight="1" x14ac:dyDescent="0.25">
      <c r="A1579" s="711" t="s">
        <v>427</v>
      </c>
      <c r="B1579" s="418"/>
      <c r="C1579" s="418"/>
      <c r="D1579" s="418"/>
      <c r="E1579" s="418"/>
      <c r="F1579" s="418"/>
      <c r="G1579" s="416"/>
      <c r="H1579" s="12" t="str">
        <f>IF(A1579="","",VLOOKUP(A1579,AA_Cuadrillas,4,FALSE))</f>
        <v>Cuadrilla</v>
      </c>
      <c r="I1579" s="712">
        <f>IF(A1579="","",VLOOKUP(A1579,AA_Cuadrillas,5,FALSE))</f>
        <v>169254</v>
      </c>
      <c r="J1579" s="416"/>
      <c r="K1579" s="3">
        <f>IF(A1579="","",'04'!$I$2)</f>
        <v>1.88995</v>
      </c>
      <c r="L1579" s="66">
        <v>2.5215681047904594E-2</v>
      </c>
      <c r="M1579" s="712">
        <f t="shared" ref="M1579:M1583" si="205">IF(A1579="","",I1579*K1579*L1579)</f>
        <v>8066.0323306110595</v>
      </c>
      <c r="N1579" s="416"/>
    </row>
    <row r="1580" spans="1:14" ht="12.75" customHeight="1" x14ac:dyDescent="0.25">
      <c r="A1580" s="711"/>
      <c r="B1580" s="418"/>
      <c r="C1580" s="418"/>
      <c r="D1580" s="418"/>
      <c r="E1580" s="418"/>
      <c r="F1580" s="418"/>
      <c r="G1580" s="416"/>
      <c r="H1580" s="12" t="str">
        <f>IF(A1580="","",VLOOKUP(A1580,AA_Cuadrillas,4,FALSE))</f>
        <v/>
      </c>
      <c r="I1580" s="712" t="str">
        <f>IF(A1580="","",VLOOKUP(A1580,AA_Cuadrillas,5,FALSE))</f>
        <v/>
      </c>
      <c r="J1580" s="416"/>
      <c r="K1580" s="3" t="str">
        <f>IF(A1580="","",'04'!$I$2)</f>
        <v/>
      </c>
      <c r="L1580" s="3"/>
      <c r="M1580" s="712" t="str">
        <f t="shared" si="205"/>
        <v/>
      </c>
      <c r="N1580" s="416"/>
    </row>
    <row r="1581" spans="1:14" ht="12.75" customHeight="1" x14ac:dyDescent="0.25">
      <c r="A1581" s="711"/>
      <c r="B1581" s="418"/>
      <c r="C1581" s="418"/>
      <c r="D1581" s="418"/>
      <c r="E1581" s="418"/>
      <c r="F1581" s="418"/>
      <c r="G1581" s="416"/>
      <c r="H1581" s="12" t="str">
        <f>IF(A1581="","",VLOOKUP(A1581,AA_Cuadrillas,4,FALSE))</f>
        <v/>
      </c>
      <c r="I1581" s="712" t="str">
        <f>IF(A1581="","",VLOOKUP(A1581,AA_Cuadrillas,5,FALSE))</f>
        <v/>
      </c>
      <c r="J1581" s="416"/>
      <c r="K1581" s="3" t="str">
        <f>IF(A1581="","",'04'!$I$2)</f>
        <v/>
      </c>
      <c r="L1581" s="13"/>
      <c r="M1581" s="712" t="str">
        <f t="shared" si="205"/>
        <v/>
      </c>
      <c r="N1581" s="416"/>
    </row>
    <row r="1582" spans="1:14" ht="12.75" customHeight="1" x14ac:dyDescent="0.25">
      <c r="A1582" s="711"/>
      <c r="B1582" s="418"/>
      <c r="C1582" s="418"/>
      <c r="D1582" s="418"/>
      <c r="E1582" s="418"/>
      <c r="F1582" s="418"/>
      <c r="G1582" s="416"/>
      <c r="H1582" s="12" t="str">
        <f>IF(A1582="","",VLOOKUP(A1582,AA_Cuadrillas,4,FALSE))</f>
        <v/>
      </c>
      <c r="I1582" s="712" t="str">
        <f>IF(A1582="","",VLOOKUP(A1582,AA_Cuadrillas,5,FALSE))</f>
        <v/>
      </c>
      <c r="J1582" s="416"/>
      <c r="K1582" s="3" t="str">
        <f>IF(A1582="","",'04'!$I$2)</f>
        <v/>
      </c>
      <c r="L1582" s="13"/>
      <c r="M1582" s="712" t="str">
        <f t="shared" si="205"/>
        <v/>
      </c>
      <c r="N1582" s="416"/>
    </row>
    <row r="1583" spans="1:14" ht="12.75" customHeight="1" x14ac:dyDescent="0.25">
      <c r="A1583" s="711"/>
      <c r="B1583" s="418"/>
      <c r="C1583" s="418"/>
      <c r="D1583" s="418"/>
      <c r="E1583" s="418"/>
      <c r="F1583" s="418"/>
      <c r="G1583" s="416"/>
      <c r="H1583" s="12" t="str">
        <f>IF(A1583="","",VLOOKUP(A1583,AA_Cuadrillas,4,FALSE))</f>
        <v/>
      </c>
      <c r="I1583" s="712" t="str">
        <f>IF(A1583="","",VLOOKUP(A1583,AA_Cuadrillas,5,FALSE))</f>
        <v/>
      </c>
      <c r="J1583" s="416"/>
      <c r="K1583" s="3" t="str">
        <f>IF(A1583="","",'04'!$I$2)</f>
        <v/>
      </c>
      <c r="L1583" s="13"/>
      <c r="M1583" s="712" t="str">
        <f t="shared" si="205"/>
        <v/>
      </c>
      <c r="N1583" s="416"/>
    </row>
    <row r="1584" spans="1:14" ht="12.75" customHeight="1" x14ac:dyDescent="0.25">
      <c r="A1584" s="5"/>
      <c r="B1584" s="5"/>
      <c r="C1584" s="5"/>
      <c r="D1584" s="5"/>
      <c r="E1584" s="5"/>
      <c r="F1584" s="5"/>
      <c r="G1584" s="5"/>
      <c r="H1584" s="5"/>
      <c r="I1584" s="5"/>
      <c r="J1584" s="5"/>
      <c r="K1584" s="713" t="s">
        <v>261</v>
      </c>
      <c r="L1584" s="416"/>
      <c r="M1584" s="712">
        <f>SUM(M1579:N1583)</f>
        <v>8066.0323306110595</v>
      </c>
      <c r="N1584" s="416"/>
    </row>
    <row r="1585" spans="1:16" ht="12.75" customHeight="1" x14ac:dyDescent="0.2"/>
    <row r="1586" spans="1:16" ht="12.75" customHeight="1" x14ac:dyDescent="0.2">
      <c r="A1586" s="785" t="s">
        <v>150</v>
      </c>
      <c r="B1586" s="410"/>
      <c r="C1586" s="410"/>
      <c r="D1586" s="410"/>
      <c r="E1586" s="410"/>
      <c r="F1586" s="410"/>
      <c r="G1586" s="410"/>
      <c r="H1586" s="410"/>
      <c r="I1586" s="410"/>
      <c r="J1586" s="410"/>
      <c r="K1586" s="410"/>
      <c r="L1586" s="410"/>
      <c r="M1586" s="410"/>
      <c r="N1586" s="411"/>
      <c r="O1586" s="272"/>
      <c r="P1586" s="9"/>
    </row>
    <row r="1587" spans="1:16" ht="12.75" customHeight="1" x14ac:dyDescent="0.2">
      <c r="A1587" s="412"/>
      <c r="B1587" s="413"/>
      <c r="C1587" s="413"/>
      <c r="D1587" s="413"/>
      <c r="E1587" s="413"/>
      <c r="F1587" s="413"/>
      <c r="G1587" s="413"/>
      <c r="H1587" s="413"/>
      <c r="I1587" s="413"/>
      <c r="J1587" s="413"/>
      <c r="K1587" s="413"/>
      <c r="L1587" s="413"/>
      <c r="M1587" s="413"/>
      <c r="N1587" s="414"/>
      <c r="O1587" s="272"/>
      <c r="P1587" s="9"/>
    </row>
    <row r="1588" spans="1:16" ht="12.75" customHeight="1" x14ac:dyDescent="0.2">
      <c r="A1588" s="49"/>
      <c r="B1588" s="49"/>
      <c r="C1588" s="49"/>
      <c r="D1588" s="49"/>
      <c r="E1588" s="49"/>
      <c r="F1588" s="49"/>
      <c r="G1588" s="49"/>
      <c r="H1588" s="49"/>
      <c r="I1588" s="49"/>
      <c r="J1588" s="49"/>
      <c r="K1588" s="49"/>
      <c r="L1588" s="49"/>
      <c r="M1588" s="49"/>
      <c r="N1588" s="49"/>
    </row>
    <row r="1589" spans="1:16" ht="12.75" customHeight="1" thickBot="1" x14ac:dyDescent="0.35">
      <c r="A1589" s="51" t="str">
        <f>VLOOKUP(A1586,'10'!$B$9:$N$100,13,FALSE)</f>
        <v>G045</v>
      </c>
      <c r="B1589" s="52" t="str">
        <f>A1586</f>
        <v>PUERTA DE ACCESO PEATONAL AL PREDIO DE UNA HOJA 1.20x2.00m EN MALLA ESLABONADA NO. 10 (INCLUYE MARCO, TUBERÍA HG DE 2", SOLDADURA, PINTURA, PORTACANDADOS, BISAGRAS, MATERIALES, HERRAMIENTA MENOR, EQUIPO Y MANO DE OBRA)</v>
      </c>
      <c r="C1589" s="53" t="s">
        <v>400</v>
      </c>
      <c r="D1589" s="54" t="s">
        <v>475</v>
      </c>
      <c r="E1589" s="55" t="s">
        <v>177</v>
      </c>
      <c r="F1589" s="59">
        <f>H1589+J1589+L1589+N1589</f>
        <v>1458453.0009320637</v>
      </c>
      <c r="G1589" s="55" t="s">
        <v>349</v>
      </c>
      <c r="H1589" s="59">
        <f>M1612</f>
        <v>91201.568545999995</v>
      </c>
      <c r="I1589" s="55" t="s">
        <v>402</v>
      </c>
      <c r="J1589" s="70">
        <f>M1603</f>
        <v>1087839.0109200608</v>
      </c>
      <c r="K1589" s="55" t="s">
        <v>351</v>
      </c>
      <c r="L1589" s="59">
        <f>M1621</f>
        <v>54391.950546003041</v>
      </c>
      <c r="M1589" s="55" t="s">
        <v>352</v>
      </c>
      <c r="N1589" s="59">
        <f>M1628</f>
        <v>225020.47091999999</v>
      </c>
    </row>
    <row r="1590" spans="1:16" ht="12.75" customHeight="1" thickBot="1" x14ac:dyDescent="0.3">
      <c r="A1590" s="60"/>
      <c r="B1590" s="60"/>
      <c r="C1590" s="60"/>
      <c r="D1590" s="60"/>
      <c r="E1590" s="60"/>
      <c r="F1590" s="60"/>
      <c r="G1590" s="60"/>
      <c r="J1590" s="60"/>
      <c r="K1590" s="60"/>
      <c r="L1590" s="327" t="s">
        <v>1934</v>
      </c>
      <c r="M1590" s="328">
        <f>+F1589*'01'!$O$16</f>
        <v>1887662.568328914</v>
      </c>
      <c r="N1590" s="60"/>
    </row>
    <row r="1591" spans="1:16" ht="12.75" customHeight="1" x14ac:dyDescent="0.2">
      <c r="A1591" s="716" t="s">
        <v>403</v>
      </c>
      <c r="B1591" s="418"/>
      <c r="C1591" s="418"/>
      <c r="D1591" s="418"/>
      <c r="E1591" s="418"/>
      <c r="F1591" s="418"/>
      <c r="G1591" s="418"/>
      <c r="H1591" s="418"/>
      <c r="I1591" s="418"/>
      <c r="J1591" s="418"/>
      <c r="K1591" s="418"/>
      <c r="L1591" s="418"/>
      <c r="M1591" s="418"/>
      <c r="N1591" s="416"/>
    </row>
    <row r="1592" spans="1:16" ht="12.75" customHeight="1" x14ac:dyDescent="0.2">
      <c r="A1592" s="713" t="s">
        <v>39</v>
      </c>
      <c r="B1592" s="418"/>
      <c r="C1592" s="418"/>
      <c r="D1592" s="418"/>
      <c r="E1592" s="418"/>
      <c r="F1592" s="418"/>
      <c r="G1592" s="416"/>
      <c r="H1592" s="61" t="s">
        <v>40</v>
      </c>
      <c r="I1592" s="717" t="s">
        <v>404</v>
      </c>
      <c r="J1592" s="416"/>
      <c r="K1592" s="717" t="s">
        <v>184</v>
      </c>
      <c r="L1592" s="416"/>
      <c r="M1592" s="717" t="s">
        <v>405</v>
      </c>
      <c r="N1592" s="416"/>
    </row>
    <row r="1593" spans="1:16" ht="12.75" customHeight="1" x14ac:dyDescent="0.2">
      <c r="A1593" s="714" t="s">
        <v>458</v>
      </c>
      <c r="B1593" s="418"/>
      <c r="C1593" s="418"/>
      <c r="D1593" s="418"/>
      <c r="E1593" s="418"/>
      <c r="F1593" s="418"/>
      <c r="G1593" s="416"/>
      <c r="H1593" s="12" t="str">
        <f t="shared" ref="H1593:H1602" si="206">IF(A1593="","",VLOOKUP(A1593,AA_Materiales,7,FALSE))</f>
        <v>ml</v>
      </c>
      <c r="I1593" s="712">
        <f t="shared" ref="I1593:I1602" si="207">IF(A1593="","",VLOOKUP(A1593,AA_Materiales,8,FALSE))</f>
        <v>39448.5</v>
      </c>
      <c r="J1593" s="416"/>
      <c r="K1593" s="715">
        <v>14.6</v>
      </c>
      <c r="L1593" s="416"/>
      <c r="M1593" s="712">
        <f t="shared" ref="M1593:M1602" si="208">IF(A1593="","",I1593*K1593)</f>
        <v>575948.1</v>
      </c>
      <c r="N1593" s="416"/>
    </row>
    <row r="1594" spans="1:16" ht="12.75" customHeight="1" x14ac:dyDescent="0.2">
      <c r="A1594" s="714" t="s">
        <v>471</v>
      </c>
      <c r="B1594" s="418"/>
      <c r="C1594" s="418"/>
      <c r="D1594" s="418"/>
      <c r="E1594" s="418"/>
      <c r="F1594" s="418"/>
      <c r="G1594" s="416"/>
      <c r="H1594" s="12" t="str">
        <f t="shared" si="206"/>
        <v>Kg</v>
      </c>
      <c r="I1594" s="712">
        <f t="shared" si="207"/>
        <v>27370</v>
      </c>
      <c r="J1594" s="416"/>
      <c r="K1594" s="715">
        <v>4.5</v>
      </c>
      <c r="L1594" s="416"/>
      <c r="M1594" s="712">
        <f t="shared" si="208"/>
        <v>123165</v>
      </c>
      <c r="N1594" s="416"/>
    </row>
    <row r="1595" spans="1:16" ht="12.75" customHeight="1" x14ac:dyDescent="0.2">
      <c r="A1595" s="789" t="s">
        <v>453</v>
      </c>
      <c r="B1595" s="418"/>
      <c r="C1595" s="418"/>
      <c r="D1595" s="418"/>
      <c r="E1595" s="418"/>
      <c r="F1595" s="418"/>
      <c r="G1595" s="416"/>
      <c r="H1595" s="12" t="str">
        <f t="shared" si="206"/>
        <v>m2</v>
      </c>
      <c r="I1595" s="712">
        <f t="shared" si="207"/>
        <v>17433.5</v>
      </c>
      <c r="J1595" s="416"/>
      <c r="K1595" s="715">
        <v>2.4</v>
      </c>
      <c r="L1595" s="416"/>
      <c r="M1595" s="712">
        <f t="shared" si="208"/>
        <v>41840.400000000001</v>
      </c>
      <c r="N1595" s="416"/>
    </row>
    <row r="1596" spans="1:16" ht="12.75" customHeight="1" x14ac:dyDescent="0.2">
      <c r="A1596" s="714" t="s">
        <v>459</v>
      </c>
      <c r="B1596" s="418"/>
      <c r="C1596" s="418"/>
      <c r="D1596" s="418"/>
      <c r="E1596" s="418"/>
      <c r="F1596" s="418"/>
      <c r="G1596" s="416"/>
      <c r="H1596" s="12" t="str">
        <f t="shared" si="206"/>
        <v>Galón</v>
      </c>
      <c r="I1596" s="712">
        <f t="shared" si="207"/>
        <v>78421</v>
      </c>
      <c r="J1596" s="416"/>
      <c r="K1596" s="715">
        <v>0.5</v>
      </c>
      <c r="L1596" s="416"/>
      <c r="M1596" s="712">
        <f t="shared" si="208"/>
        <v>39210.5</v>
      </c>
      <c r="N1596" s="416"/>
    </row>
    <row r="1597" spans="1:16" ht="12.75" customHeight="1" x14ac:dyDescent="0.2">
      <c r="A1597" s="714" t="s">
        <v>454</v>
      </c>
      <c r="B1597" s="418"/>
      <c r="C1597" s="418"/>
      <c r="D1597" s="418"/>
      <c r="E1597" s="418"/>
      <c r="F1597" s="418"/>
      <c r="G1597" s="416"/>
      <c r="H1597" s="12" t="str">
        <f t="shared" si="206"/>
        <v>ml</v>
      </c>
      <c r="I1597" s="712">
        <f t="shared" si="207"/>
        <v>11433.333333333334</v>
      </c>
      <c r="J1597" s="416"/>
      <c r="K1597" s="715">
        <v>8.8000000000000007</v>
      </c>
      <c r="L1597" s="416"/>
      <c r="M1597" s="712">
        <f t="shared" si="208"/>
        <v>100613.33333333334</v>
      </c>
      <c r="N1597" s="416"/>
    </row>
    <row r="1598" spans="1:16" ht="12.75" customHeight="1" x14ac:dyDescent="0.2">
      <c r="A1598" s="714" t="s">
        <v>505</v>
      </c>
      <c r="B1598" s="418"/>
      <c r="C1598" s="418"/>
      <c r="D1598" s="418"/>
      <c r="E1598" s="418"/>
      <c r="F1598" s="418"/>
      <c r="G1598" s="416"/>
      <c r="H1598" s="12" t="str">
        <f t="shared" si="206"/>
        <v>m3</v>
      </c>
      <c r="I1598" s="712">
        <f t="shared" si="207"/>
        <v>779466.77586727508</v>
      </c>
      <c r="J1598" s="416"/>
      <c r="K1598" s="715">
        <v>0.1</v>
      </c>
      <c r="L1598" s="416"/>
      <c r="M1598" s="712">
        <f t="shared" si="208"/>
        <v>77946.677586727514</v>
      </c>
      <c r="N1598" s="416"/>
    </row>
    <row r="1599" spans="1:16" ht="12.75" customHeight="1" x14ac:dyDescent="0.2">
      <c r="A1599" s="714" t="s">
        <v>506</v>
      </c>
      <c r="B1599" s="418"/>
      <c r="C1599" s="418"/>
      <c r="D1599" s="418"/>
      <c r="E1599" s="418"/>
      <c r="F1599" s="418"/>
      <c r="G1599" s="416"/>
      <c r="H1599" s="12" t="str">
        <f t="shared" si="206"/>
        <v>Galón</v>
      </c>
      <c r="I1599" s="712">
        <f t="shared" si="207"/>
        <v>29750</v>
      </c>
      <c r="J1599" s="416"/>
      <c r="K1599" s="715">
        <v>0.8</v>
      </c>
      <c r="L1599" s="416"/>
      <c r="M1599" s="712">
        <f t="shared" si="208"/>
        <v>23800</v>
      </c>
      <c r="N1599" s="416"/>
    </row>
    <row r="1600" spans="1:16" ht="12.75" customHeight="1" x14ac:dyDescent="0.2">
      <c r="A1600" s="714" t="s">
        <v>507</v>
      </c>
      <c r="B1600" s="418"/>
      <c r="C1600" s="418"/>
      <c r="D1600" s="418"/>
      <c r="E1600" s="418"/>
      <c r="F1600" s="418"/>
      <c r="G1600" s="416"/>
      <c r="H1600" s="12" t="str">
        <f t="shared" si="206"/>
        <v>Unidad</v>
      </c>
      <c r="I1600" s="712">
        <f t="shared" si="207"/>
        <v>18921</v>
      </c>
      <c r="J1600" s="416"/>
      <c r="K1600" s="715">
        <v>2</v>
      </c>
      <c r="L1600" s="416"/>
      <c r="M1600" s="712">
        <f t="shared" si="208"/>
        <v>37842</v>
      </c>
      <c r="N1600" s="416"/>
    </row>
    <row r="1601" spans="1:14" ht="12.75" customHeight="1" x14ac:dyDescent="0.2">
      <c r="A1601" s="714" t="s">
        <v>508</v>
      </c>
      <c r="B1601" s="418"/>
      <c r="C1601" s="418"/>
      <c r="D1601" s="418"/>
      <c r="E1601" s="418"/>
      <c r="F1601" s="418"/>
      <c r="G1601" s="416"/>
      <c r="H1601" s="12" t="str">
        <f t="shared" si="206"/>
        <v>Unidad</v>
      </c>
      <c r="I1601" s="712">
        <f t="shared" si="207"/>
        <v>22491</v>
      </c>
      <c r="J1601" s="416"/>
      <c r="K1601" s="715">
        <v>3</v>
      </c>
      <c r="L1601" s="416"/>
      <c r="M1601" s="712">
        <f t="shared" si="208"/>
        <v>67473</v>
      </c>
      <c r="N1601" s="416"/>
    </row>
    <row r="1602" spans="1:14" ht="12.75" customHeight="1" x14ac:dyDescent="0.2">
      <c r="A1602" s="714"/>
      <c r="B1602" s="418"/>
      <c r="C1602" s="418"/>
      <c r="D1602" s="418"/>
      <c r="E1602" s="418"/>
      <c r="F1602" s="418"/>
      <c r="G1602" s="416"/>
      <c r="H1602" s="12" t="str">
        <f t="shared" si="206"/>
        <v/>
      </c>
      <c r="I1602" s="712" t="str">
        <f t="shared" si="207"/>
        <v/>
      </c>
      <c r="J1602" s="416"/>
      <c r="K1602" s="715"/>
      <c r="L1602" s="416"/>
      <c r="M1602" s="712" t="str">
        <f t="shared" si="208"/>
        <v/>
      </c>
      <c r="N1602" s="416"/>
    </row>
    <row r="1603" spans="1:14" ht="12.75" customHeight="1" x14ac:dyDescent="0.25">
      <c r="A1603" s="5"/>
      <c r="B1603" s="5"/>
      <c r="C1603" s="5"/>
      <c r="D1603" s="5"/>
      <c r="E1603" s="5"/>
      <c r="F1603" s="5"/>
      <c r="G1603" s="5"/>
      <c r="H1603" s="5"/>
      <c r="I1603" s="5"/>
      <c r="J1603" s="5"/>
      <c r="K1603" s="713" t="s">
        <v>261</v>
      </c>
      <c r="L1603" s="416"/>
      <c r="M1603" s="712">
        <f>SUM(M1593:N1602)</f>
        <v>1087839.0109200608</v>
      </c>
      <c r="N1603" s="416"/>
    </row>
    <row r="1604" spans="1:14" ht="12.75" customHeight="1" x14ac:dyDescent="0.25">
      <c r="A1604" s="5"/>
      <c r="B1604" s="5"/>
      <c r="C1604" s="5"/>
      <c r="D1604" s="5"/>
      <c r="E1604" s="5"/>
      <c r="F1604" s="5"/>
      <c r="G1604" s="5"/>
      <c r="H1604" s="5"/>
      <c r="I1604" s="5"/>
      <c r="J1604" s="5"/>
      <c r="K1604" s="5"/>
      <c r="L1604" s="5"/>
      <c r="M1604" s="5"/>
      <c r="N1604" s="5"/>
    </row>
    <row r="1605" spans="1:14" ht="12.75" customHeight="1" x14ac:dyDescent="0.2">
      <c r="A1605" s="716" t="s">
        <v>410</v>
      </c>
      <c r="B1605" s="418"/>
      <c r="C1605" s="418"/>
      <c r="D1605" s="418"/>
      <c r="E1605" s="418"/>
      <c r="F1605" s="418"/>
      <c r="G1605" s="418"/>
      <c r="H1605" s="418"/>
      <c r="I1605" s="418"/>
      <c r="J1605" s="418"/>
      <c r="K1605" s="418"/>
      <c r="L1605" s="418"/>
      <c r="M1605" s="418"/>
      <c r="N1605" s="416"/>
    </row>
    <row r="1606" spans="1:14" ht="12.75" customHeight="1" x14ac:dyDescent="0.2">
      <c r="A1606" s="713" t="s">
        <v>39</v>
      </c>
      <c r="B1606" s="418"/>
      <c r="C1606" s="418"/>
      <c r="D1606" s="418"/>
      <c r="E1606" s="418"/>
      <c r="F1606" s="418"/>
      <c r="G1606" s="416"/>
      <c r="H1606" s="61" t="s">
        <v>40</v>
      </c>
      <c r="I1606" s="717" t="s">
        <v>404</v>
      </c>
      <c r="J1606" s="416"/>
      <c r="K1606" s="717" t="s">
        <v>184</v>
      </c>
      <c r="L1606" s="416"/>
      <c r="M1606" s="717" t="s">
        <v>405</v>
      </c>
      <c r="N1606" s="416"/>
    </row>
    <row r="1607" spans="1:14" ht="12.75" customHeight="1" x14ac:dyDescent="0.2">
      <c r="A1607" s="714" t="s">
        <v>411</v>
      </c>
      <c r="B1607" s="418"/>
      <c r="C1607" s="418"/>
      <c r="D1607" s="418"/>
      <c r="E1607" s="418"/>
      <c r="F1607" s="418"/>
      <c r="G1607" s="416"/>
      <c r="H1607" s="12" t="str">
        <f>IF(A1607="","",VLOOKUP(A1607,AA_Equipos,7,FALSE))</f>
        <v>% M.O.</v>
      </c>
      <c r="I1607" s="712">
        <f>+M1628</f>
        <v>225020.47091999999</v>
      </c>
      <c r="J1607" s="416"/>
      <c r="K1607" s="722">
        <v>0.05</v>
      </c>
      <c r="L1607" s="416"/>
      <c r="M1607" s="712">
        <f t="shared" ref="M1607:M1611" si="209">IF(A1607="","",I1607*K1607)</f>
        <v>11251.023546</v>
      </c>
      <c r="N1607" s="416"/>
    </row>
    <row r="1608" spans="1:14" ht="12.75" customHeight="1" x14ac:dyDescent="0.2">
      <c r="A1608" s="719" t="s">
        <v>472</v>
      </c>
      <c r="B1608" s="418"/>
      <c r="C1608" s="418"/>
      <c r="D1608" s="418"/>
      <c r="E1608" s="418"/>
      <c r="F1608" s="418"/>
      <c r="G1608" s="416"/>
      <c r="H1608" s="12" t="str">
        <f>IF(A1608="","",VLOOKUP(A1608,AA_Equipos,7,FALSE))</f>
        <v>Dia</v>
      </c>
      <c r="I1608" s="712">
        <f>IF(A1608="","",VLOOKUP(A1608,AA_Equipos,8,FALSE))</f>
        <v>166493</v>
      </c>
      <c r="J1608" s="416"/>
      <c r="K1608" s="723">
        <v>0.35</v>
      </c>
      <c r="L1608" s="416"/>
      <c r="M1608" s="712">
        <f t="shared" si="209"/>
        <v>58272.549999999996</v>
      </c>
      <c r="N1608" s="416"/>
    </row>
    <row r="1609" spans="1:14" ht="12.75" customHeight="1" x14ac:dyDescent="0.2">
      <c r="A1609" s="714" t="s">
        <v>481</v>
      </c>
      <c r="B1609" s="418"/>
      <c r="C1609" s="418"/>
      <c r="D1609" s="418"/>
      <c r="E1609" s="418"/>
      <c r="F1609" s="418"/>
      <c r="G1609" s="416"/>
      <c r="H1609" s="12" t="str">
        <f>IF(A1609="","",VLOOKUP(A1609,AA_Equipos,7,FALSE))</f>
        <v>Dia</v>
      </c>
      <c r="I1609" s="712">
        <f>IF(A1609="","",VLOOKUP(A1609,AA_Equipos,8,FALSE))</f>
        <v>40000</v>
      </c>
      <c r="J1609" s="416"/>
      <c r="K1609" s="723">
        <v>0.35</v>
      </c>
      <c r="L1609" s="416"/>
      <c r="M1609" s="712">
        <f t="shared" si="209"/>
        <v>14000</v>
      </c>
      <c r="N1609" s="416"/>
    </row>
    <row r="1610" spans="1:14" ht="12.75" customHeight="1" x14ac:dyDescent="0.2">
      <c r="A1610" s="714" t="s">
        <v>441</v>
      </c>
      <c r="B1610" s="418"/>
      <c r="C1610" s="418"/>
      <c r="D1610" s="418"/>
      <c r="E1610" s="418"/>
      <c r="F1610" s="418"/>
      <c r="G1610" s="416"/>
      <c r="H1610" s="12" t="str">
        <f>IF(A1610="","",VLOOKUP(A1610,AA_Equipos,7,FALSE))</f>
        <v>Dia</v>
      </c>
      <c r="I1610" s="712">
        <f>IF(A1610="","",VLOOKUP(A1610,AA_Equipos,8,FALSE))</f>
        <v>75993</v>
      </c>
      <c r="J1610" s="416"/>
      <c r="K1610" s="723">
        <v>0.01</v>
      </c>
      <c r="L1610" s="416"/>
      <c r="M1610" s="712">
        <f t="shared" si="209"/>
        <v>759.93000000000006</v>
      </c>
      <c r="N1610" s="416"/>
    </row>
    <row r="1611" spans="1:14" ht="12.75" customHeight="1" x14ac:dyDescent="0.2">
      <c r="A1611" s="714" t="s">
        <v>509</v>
      </c>
      <c r="B1611" s="418"/>
      <c r="C1611" s="418"/>
      <c r="D1611" s="418"/>
      <c r="E1611" s="418"/>
      <c r="F1611" s="418"/>
      <c r="G1611" s="416"/>
      <c r="H1611" s="12" t="str">
        <f>IF(A1611="","",VLOOKUP(A1611,AA_Equipos,7,FALSE))</f>
        <v>Dia</v>
      </c>
      <c r="I1611" s="712">
        <f>IF(A1611="","",VLOOKUP(A1611,AA_Equipos,8,FALSE))</f>
        <v>19765.900000000001</v>
      </c>
      <c r="J1611" s="416"/>
      <c r="K1611" s="715">
        <v>0.35</v>
      </c>
      <c r="L1611" s="416"/>
      <c r="M1611" s="712">
        <f t="shared" si="209"/>
        <v>6918.0650000000005</v>
      </c>
      <c r="N1611" s="416"/>
    </row>
    <row r="1612" spans="1:14" ht="12.75" customHeight="1" x14ac:dyDescent="0.25">
      <c r="A1612" s="5"/>
      <c r="B1612" s="5"/>
      <c r="C1612" s="5"/>
      <c r="D1612" s="5"/>
      <c r="E1612" s="5"/>
      <c r="F1612" s="5"/>
      <c r="G1612" s="5"/>
      <c r="H1612" s="5"/>
      <c r="I1612" s="5"/>
      <c r="J1612" s="5"/>
      <c r="K1612" s="713" t="s">
        <v>261</v>
      </c>
      <c r="L1612" s="416"/>
      <c r="M1612" s="712">
        <f>SUM(M1607:N1611)</f>
        <v>91201.568545999995</v>
      </c>
      <c r="N1612" s="416"/>
    </row>
    <row r="1613" spans="1:14" ht="12.75" customHeight="1" x14ac:dyDescent="0.25">
      <c r="A1613" s="5"/>
      <c r="B1613" s="5"/>
      <c r="C1613" s="5"/>
      <c r="D1613" s="5"/>
      <c r="E1613" s="5"/>
      <c r="F1613" s="5"/>
      <c r="G1613" s="5"/>
      <c r="H1613" s="5"/>
      <c r="I1613" s="5"/>
      <c r="J1613" s="5"/>
      <c r="K1613" s="5"/>
      <c r="L1613" s="5"/>
      <c r="M1613" s="5"/>
      <c r="N1613" s="5"/>
    </row>
    <row r="1614" spans="1:14" ht="12.75" customHeight="1" x14ac:dyDescent="0.2">
      <c r="A1614" s="716" t="s">
        <v>413</v>
      </c>
      <c r="B1614" s="418"/>
      <c r="C1614" s="418"/>
      <c r="D1614" s="418"/>
      <c r="E1614" s="418"/>
      <c r="F1614" s="418"/>
      <c r="G1614" s="418"/>
      <c r="H1614" s="418"/>
      <c r="I1614" s="418"/>
      <c r="J1614" s="418"/>
      <c r="K1614" s="418"/>
      <c r="L1614" s="418"/>
      <c r="M1614" s="418"/>
      <c r="N1614" s="416"/>
    </row>
    <row r="1615" spans="1:14" ht="12.75" customHeight="1" x14ac:dyDescent="0.2">
      <c r="A1615" s="713" t="s">
        <v>39</v>
      </c>
      <c r="B1615" s="418"/>
      <c r="C1615" s="418"/>
      <c r="D1615" s="418"/>
      <c r="E1615" s="418"/>
      <c r="F1615" s="418"/>
      <c r="G1615" s="416"/>
      <c r="H1615" s="61" t="s">
        <v>40</v>
      </c>
      <c r="I1615" s="717" t="s">
        <v>404</v>
      </c>
      <c r="J1615" s="416"/>
      <c r="K1615" s="717" t="s">
        <v>184</v>
      </c>
      <c r="L1615" s="416"/>
      <c r="M1615" s="717" t="s">
        <v>405</v>
      </c>
      <c r="N1615" s="416"/>
    </row>
    <row r="1616" spans="1:14" ht="12.75" customHeight="1" x14ac:dyDescent="0.2">
      <c r="A1616" s="714" t="s">
        <v>443</v>
      </c>
      <c r="B1616" s="418"/>
      <c r="C1616" s="418"/>
      <c r="D1616" s="418"/>
      <c r="E1616" s="418"/>
      <c r="F1616" s="418"/>
      <c r="G1616" s="416"/>
      <c r="H1616" s="12" t="s">
        <v>426</v>
      </c>
      <c r="I1616" s="712">
        <f>+M1603</f>
        <v>1087839.0109200608</v>
      </c>
      <c r="J1616" s="416"/>
      <c r="K1616" s="722">
        <v>0.05</v>
      </c>
      <c r="L1616" s="416"/>
      <c r="M1616" s="712">
        <f t="shared" ref="M1616:M1620" si="210">IF(A1616="","",I1616*K1616)</f>
        <v>54391.950546003041</v>
      </c>
      <c r="N1616" s="416"/>
    </row>
    <row r="1617" spans="1:16" ht="12.75" customHeight="1" x14ac:dyDescent="0.2">
      <c r="A1617" s="719"/>
      <c r="B1617" s="418"/>
      <c r="C1617" s="418"/>
      <c r="D1617" s="418"/>
      <c r="E1617" s="418"/>
      <c r="F1617" s="418"/>
      <c r="G1617" s="416"/>
      <c r="H1617" s="12"/>
      <c r="I1617" s="712"/>
      <c r="J1617" s="416"/>
      <c r="K1617" s="722"/>
      <c r="L1617" s="416"/>
      <c r="M1617" s="712" t="str">
        <f t="shared" si="210"/>
        <v/>
      </c>
      <c r="N1617" s="416"/>
    </row>
    <row r="1618" spans="1:16" ht="12.75" customHeight="1" x14ac:dyDescent="0.2">
      <c r="A1618" s="714"/>
      <c r="B1618" s="418"/>
      <c r="C1618" s="418"/>
      <c r="D1618" s="418"/>
      <c r="E1618" s="418"/>
      <c r="F1618" s="418"/>
      <c r="G1618" s="416"/>
      <c r="H1618" s="12"/>
      <c r="I1618" s="712"/>
      <c r="J1618" s="416"/>
      <c r="K1618" s="715"/>
      <c r="L1618" s="416"/>
      <c r="M1618" s="712" t="str">
        <f t="shared" si="210"/>
        <v/>
      </c>
      <c r="N1618" s="416"/>
    </row>
    <row r="1619" spans="1:16" ht="12.75" customHeight="1" x14ac:dyDescent="0.2">
      <c r="A1619" s="714"/>
      <c r="B1619" s="418"/>
      <c r="C1619" s="418"/>
      <c r="D1619" s="418"/>
      <c r="E1619" s="418"/>
      <c r="F1619" s="418"/>
      <c r="G1619" s="416"/>
      <c r="H1619" s="12"/>
      <c r="I1619" s="712"/>
      <c r="J1619" s="416"/>
      <c r="K1619" s="715"/>
      <c r="L1619" s="416"/>
      <c r="M1619" s="712" t="str">
        <f t="shared" si="210"/>
        <v/>
      </c>
      <c r="N1619" s="416"/>
    </row>
    <row r="1620" spans="1:16" ht="12.75" customHeight="1" x14ac:dyDescent="0.2">
      <c r="A1620" s="714"/>
      <c r="B1620" s="418"/>
      <c r="C1620" s="418"/>
      <c r="D1620" s="418"/>
      <c r="E1620" s="418"/>
      <c r="F1620" s="418"/>
      <c r="G1620" s="416"/>
      <c r="H1620" s="12"/>
      <c r="I1620" s="712"/>
      <c r="J1620" s="416"/>
      <c r="K1620" s="715"/>
      <c r="L1620" s="416"/>
      <c r="M1620" s="712" t="str">
        <f t="shared" si="210"/>
        <v/>
      </c>
      <c r="N1620" s="416"/>
    </row>
    <row r="1621" spans="1:16" ht="12.75" customHeight="1" x14ac:dyDescent="0.25">
      <c r="A1621" s="5"/>
      <c r="B1621" s="5"/>
      <c r="C1621" s="5"/>
      <c r="D1621" s="5"/>
      <c r="E1621" s="5"/>
      <c r="F1621" s="5"/>
      <c r="G1621" s="5"/>
      <c r="H1621" s="5"/>
      <c r="I1621" s="5"/>
      <c r="J1621" s="5"/>
      <c r="K1621" s="713" t="s">
        <v>261</v>
      </c>
      <c r="L1621" s="416"/>
      <c r="M1621" s="712">
        <f>SUM(M1616:N1620)</f>
        <v>54391.950546003041</v>
      </c>
      <c r="N1621" s="416"/>
    </row>
    <row r="1622" spans="1:16" ht="12.75" customHeight="1" x14ac:dyDescent="0.25">
      <c r="A1622" s="5"/>
      <c r="B1622" s="5"/>
      <c r="C1622" s="5"/>
      <c r="D1622" s="5"/>
      <c r="E1622" s="5"/>
      <c r="F1622" s="5"/>
      <c r="G1622" s="5"/>
      <c r="H1622" s="5"/>
      <c r="I1622" s="5"/>
      <c r="J1622" s="5"/>
      <c r="K1622" s="5"/>
      <c r="L1622" s="5"/>
      <c r="M1622" s="5"/>
      <c r="N1622" s="5"/>
    </row>
    <row r="1623" spans="1:16" ht="12.75" customHeight="1" x14ac:dyDescent="0.2">
      <c r="A1623" s="716" t="s">
        <v>415</v>
      </c>
      <c r="B1623" s="418"/>
      <c r="C1623" s="418"/>
      <c r="D1623" s="418"/>
      <c r="E1623" s="418"/>
      <c r="F1623" s="418"/>
      <c r="G1623" s="418"/>
      <c r="H1623" s="418"/>
      <c r="I1623" s="418"/>
      <c r="J1623" s="418"/>
      <c r="K1623" s="418"/>
      <c r="L1623" s="418"/>
      <c r="M1623" s="418"/>
      <c r="N1623" s="416"/>
    </row>
    <row r="1624" spans="1:16" ht="12.75" customHeight="1" x14ac:dyDescent="0.2">
      <c r="A1624" s="713" t="s">
        <v>39</v>
      </c>
      <c r="B1624" s="418"/>
      <c r="C1624" s="418"/>
      <c r="D1624" s="418"/>
      <c r="E1624" s="418"/>
      <c r="F1624" s="418"/>
      <c r="G1624" s="416"/>
      <c r="H1624" s="61" t="s">
        <v>40</v>
      </c>
      <c r="I1624" s="717" t="s">
        <v>404</v>
      </c>
      <c r="J1624" s="416"/>
      <c r="K1624" s="64" t="s">
        <v>253</v>
      </c>
      <c r="L1624" s="65" t="s">
        <v>416</v>
      </c>
      <c r="M1624" s="717" t="s">
        <v>405</v>
      </c>
      <c r="N1624" s="416"/>
    </row>
    <row r="1625" spans="1:16" ht="12.75" customHeight="1" x14ac:dyDescent="0.25">
      <c r="A1625" s="711" t="s">
        <v>510</v>
      </c>
      <c r="B1625" s="418"/>
      <c r="C1625" s="418"/>
      <c r="D1625" s="418"/>
      <c r="E1625" s="418"/>
      <c r="F1625" s="418"/>
      <c r="G1625" s="416"/>
      <c r="H1625" s="12" t="str">
        <f>IF(A1625="","",VLOOKUP(A1625,AA_Cuadrillas,4,FALSE))</f>
        <v>Cuadrilla</v>
      </c>
      <c r="I1625" s="712">
        <f>IF(A1625="","",VLOOKUP(A1625,AA_Cuadrillas,5,FALSE))</f>
        <v>297654</v>
      </c>
      <c r="J1625" s="416"/>
      <c r="K1625" s="3">
        <f>IF(A1625="","",'04'!$I$2)</f>
        <v>1.88995</v>
      </c>
      <c r="L1625" s="66">
        <v>0.4</v>
      </c>
      <c r="M1625" s="712">
        <f t="shared" ref="M1625:M1627" si="211">IF(A1625="","",I1625*K1625*L1625)</f>
        <v>225020.47091999999</v>
      </c>
      <c r="N1625" s="416"/>
    </row>
    <row r="1626" spans="1:16" ht="12.75" customHeight="1" x14ac:dyDescent="0.25">
      <c r="A1626" s="711"/>
      <c r="B1626" s="418"/>
      <c r="C1626" s="418"/>
      <c r="D1626" s="418"/>
      <c r="E1626" s="418"/>
      <c r="F1626" s="418"/>
      <c r="G1626" s="416"/>
      <c r="H1626" s="12" t="str">
        <f>IF(A1626="","",VLOOKUP(A1626,AA_Cuadrillas,4,FALSE))</f>
        <v/>
      </c>
      <c r="I1626" s="712" t="str">
        <f>IF(A1626="","",VLOOKUP(A1626,AA_Cuadrillas,5,FALSE))</f>
        <v/>
      </c>
      <c r="J1626" s="416"/>
      <c r="K1626" s="3" t="str">
        <f>IF(A1626="","",'04'!$I$2)</f>
        <v/>
      </c>
      <c r="L1626" s="13"/>
      <c r="M1626" s="712" t="str">
        <f t="shared" si="211"/>
        <v/>
      </c>
      <c r="N1626" s="416"/>
    </row>
    <row r="1627" spans="1:16" ht="12.75" customHeight="1" x14ac:dyDescent="0.25">
      <c r="A1627" s="711"/>
      <c r="B1627" s="418"/>
      <c r="C1627" s="418"/>
      <c r="D1627" s="418"/>
      <c r="E1627" s="418"/>
      <c r="F1627" s="418"/>
      <c r="G1627" s="416"/>
      <c r="H1627" s="12" t="str">
        <f>IF(A1627="","",VLOOKUP(A1627,AA_Cuadrillas,4,FALSE))</f>
        <v/>
      </c>
      <c r="I1627" s="712" t="str">
        <f>IF(A1627="","",VLOOKUP(A1627,AA_Cuadrillas,5,FALSE))</f>
        <v/>
      </c>
      <c r="J1627" s="416"/>
      <c r="K1627" s="3" t="str">
        <f>IF(A1627="","",'04'!$I$2)</f>
        <v/>
      </c>
      <c r="L1627" s="13"/>
      <c r="M1627" s="712" t="str">
        <f t="shared" si="211"/>
        <v/>
      </c>
      <c r="N1627" s="416"/>
    </row>
    <row r="1628" spans="1:16" ht="12.75" customHeight="1" x14ac:dyDescent="0.25">
      <c r="A1628" s="5"/>
      <c r="B1628" s="5"/>
      <c r="C1628" s="5"/>
      <c r="D1628" s="5"/>
      <c r="E1628" s="5"/>
      <c r="F1628" s="5"/>
      <c r="G1628" s="5"/>
      <c r="H1628" s="5"/>
      <c r="I1628" s="5"/>
      <c r="J1628" s="5"/>
      <c r="K1628" s="713" t="s">
        <v>261</v>
      </c>
      <c r="L1628" s="416"/>
      <c r="M1628" s="712">
        <f>SUM(M1625:N1627)</f>
        <v>225020.47091999999</v>
      </c>
      <c r="N1628" s="416"/>
    </row>
    <row r="1629" spans="1:16" ht="12.75" customHeight="1" x14ac:dyDescent="0.2"/>
    <row r="1630" spans="1:16" ht="12.75" customHeight="1" x14ac:dyDescent="0.2">
      <c r="A1630" s="785" t="s">
        <v>154</v>
      </c>
      <c r="B1630" s="410"/>
      <c r="C1630" s="410"/>
      <c r="D1630" s="410"/>
      <c r="E1630" s="410"/>
      <c r="F1630" s="410"/>
      <c r="G1630" s="410"/>
      <c r="H1630" s="410"/>
      <c r="I1630" s="410"/>
      <c r="J1630" s="410"/>
      <c r="K1630" s="410"/>
      <c r="L1630" s="410"/>
      <c r="M1630" s="410"/>
      <c r="N1630" s="411"/>
      <c r="O1630" s="272"/>
      <c r="P1630" s="9"/>
    </row>
    <row r="1631" spans="1:16" ht="12.75" customHeight="1" x14ac:dyDescent="0.2">
      <c r="A1631" s="412"/>
      <c r="B1631" s="413"/>
      <c r="C1631" s="413"/>
      <c r="D1631" s="413"/>
      <c r="E1631" s="413"/>
      <c r="F1631" s="413"/>
      <c r="G1631" s="413"/>
      <c r="H1631" s="413"/>
      <c r="I1631" s="413"/>
      <c r="J1631" s="413"/>
      <c r="K1631" s="413"/>
      <c r="L1631" s="413"/>
      <c r="M1631" s="413"/>
      <c r="N1631" s="414"/>
      <c r="O1631" s="272"/>
      <c r="P1631" s="9"/>
    </row>
    <row r="1632" spans="1:16" ht="12.75" customHeight="1" x14ac:dyDescent="0.2">
      <c r="A1632" s="49"/>
      <c r="B1632" s="49"/>
      <c r="C1632" s="49"/>
      <c r="D1632" s="49"/>
      <c r="E1632" s="49"/>
      <c r="F1632" s="49"/>
      <c r="G1632" s="49"/>
      <c r="H1632" s="49"/>
      <c r="I1632" s="49"/>
      <c r="J1632" s="49"/>
      <c r="K1632" s="49"/>
      <c r="L1632" s="49"/>
      <c r="M1632" s="49"/>
      <c r="N1632" s="49"/>
    </row>
    <row r="1633" spans="1:14" ht="12.75" customHeight="1" thickBot="1" x14ac:dyDescent="0.35">
      <c r="A1633" s="51" t="str">
        <f>VLOOKUP(A1630,'10'!$B$9:$N$100,13,FALSE)</f>
        <v>G041</v>
      </c>
      <c r="B1633" s="52" t="str">
        <f>A1630</f>
        <v>CONSTRUCCIÓN DE CABEZAL DE DESCARGA EN CONCRETO DE 4000 PSI (INCLUYE REPLANTEO, EXCAVACIÓN MANUAL, RECEBO, SOLADO, ACERO DE REFUERZO, CONCREO DE 4000 PSI, FORMALETA METALICA, HERRAMIENTA MENOR Y MANO DE OBRA)</v>
      </c>
      <c r="C1633" s="53" t="s">
        <v>400</v>
      </c>
      <c r="D1633" s="54" t="s">
        <v>475</v>
      </c>
      <c r="E1633" s="55" t="s">
        <v>177</v>
      </c>
      <c r="F1633" s="59">
        <f>H1633+J1633+L1633+N1633</f>
        <v>941877.22051086789</v>
      </c>
      <c r="G1633" s="55" t="s">
        <v>349</v>
      </c>
      <c r="H1633" s="59">
        <f>M1655</f>
        <v>0</v>
      </c>
      <c r="I1633" s="55" t="s">
        <v>402</v>
      </c>
      <c r="J1633" s="70">
        <f>M1646</f>
        <v>783591.07308586792</v>
      </c>
      <c r="K1633" s="55" t="s">
        <v>351</v>
      </c>
      <c r="L1633" s="59">
        <f>M1664</f>
        <v>0</v>
      </c>
      <c r="M1633" s="55" t="s">
        <v>352</v>
      </c>
      <c r="N1633" s="59">
        <f>M1673</f>
        <v>158286.147425</v>
      </c>
    </row>
    <row r="1634" spans="1:14" ht="12.75" customHeight="1" thickBot="1" x14ac:dyDescent="0.3">
      <c r="A1634" s="60"/>
      <c r="B1634" s="60"/>
      <c r="C1634" s="60"/>
      <c r="D1634" s="60"/>
      <c r="E1634" s="60"/>
      <c r="F1634" s="60"/>
      <c r="G1634" s="60"/>
      <c r="J1634" s="60"/>
      <c r="K1634" s="60"/>
      <c r="L1634" s="327" t="s">
        <v>1934</v>
      </c>
      <c r="M1634" s="328">
        <f>+F1633*'01'!$O$16</f>
        <v>1219063.1936605426</v>
      </c>
      <c r="N1634" s="60"/>
    </row>
    <row r="1635" spans="1:14" ht="12.75" customHeight="1" x14ac:dyDescent="0.2">
      <c r="A1635" s="716" t="s">
        <v>403</v>
      </c>
      <c r="B1635" s="418"/>
      <c r="C1635" s="418"/>
      <c r="D1635" s="418"/>
      <c r="E1635" s="418"/>
      <c r="F1635" s="418"/>
      <c r="G1635" s="418"/>
      <c r="H1635" s="418"/>
      <c r="I1635" s="418"/>
      <c r="J1635" s="418"/>
      <c r="K1635" s="418"/>
      <c r="L1635" s="418"/>
      <c r="M1635" s="418"/>
      <c r="N1635" s="416"/>
    </row>
    <row r="1636" spans="1:14" ht="12.75" customHeight="1" x14ac:dyDescent="0.2">
      <c r="A1636" s="713" t="s">
        <v>39</v>
      </c>
      <c r="B1636" s="418"/>
      <c r="C1636" s="418"/>
      <c r="D1636" s="418"/>
      <c r="E1636" s="418"/>
      <c r="F1636" s="418"/>
      <c r="G1636" s="416"/>
      <c r="H1636" s="61" t="s">
        <v>40</v>
      </c>
      <c r="I1636" s="717" t="s">
        <v>404</v>
      </c>
      <c r="J1636" s="416"/>
      <c r="K1636" s="717" t="s">
        <v>184</v>
      </c>
      <c r="L1636" s="416"/>
      <c r="M1636" s="717" t="s">
        <v>405</v>
      </c>
      <c r="N1636" s="416"/>
    </row>
    <row r="1637" spans="1:14" ht="12.75" customHeight="1" x14ac:dyDescent="0.2">
      <c r="A1637" s="788" t="s">
        <v>519</v>
      </c>
      <c r="B1637" s="418"/>
      <c r="C1637" s="418"/>
      <c r="D1637" s="418"/>
      <c r="E1637" s="418"/>
      <c r="F1637" s="418"/>
      <c r="G1637" s="416"/>
      <c r="H1637" s="12" t="str">
        <f t="shared" ref="H1637:H1645" si="212">IF(A1637="","",VLOOKUP(A1637,AA_Materiales,7,FALSE))</f>
        <v>m2</v>
      </c>
      <c r="I1637" s="712">
        <f t="shared" ref="I1637:I1645" si="213">IF(A1637="","",VLOOKUP(A1637,AA_Materiales,8,FALSE))</f>
        <v>5165.5045752643746</v>
      </c>
      <c r="J1637" s="416"/>
      <c r="K1637" s="715">
        <f>+'18'!F33</f>
        <v>0.71624999999999983</v>
      </c>
      <c r="L1637" s="416"/>
      <c r="M1637" s="712">
        <f t="shared" ref="M1637:M1645" si="214">IF(A1637="","",I1637*K1637)</f>
        <v>3699.7926520331075</v>
      </c>
      <c r="N1637" s="416"/>
    </row>
    <row r="1638" spans="1:14" ht="12.75" customHeight="1" x14ac:dyDescent="0.2">
      <c r="A1638" s="719" t="s">
        <v>520</v>
      </c>
      <c r="B1638" s="418"/>
      <c r="C1638" s="418"/>
      <c r="D1638" s="418"/>
      <c r="E1638" s="418"/>
      <c r="F1638" s="418"/>
      <c r="G1638" s="416"/>
      <c r="H1638" s="12" t="str">
        <f t="shared" si="212"/>
        <v>m3</v>
      </c>
      <c r="I1638" s="712">
        <f t="shared" si="213"/>
        <v>69126.000000000015</v>
      </c>
      <c r="J1638" s="416"/>
      <c r="K1638" s="715">
        <f>+'18'!F44</f>
        <v>0.14324999999999996</v>
      </c>
      <c r="L1638" s="416"/>
      <c r="M1638" s="712">
        <f t="shared" si="214"/>
        <v>9902.2994999999992</v>
      </c>
      <c r="N1638" s="416"/>
    </row>
    <row r="1639" spans="1:14" ht="27" customHeight="1" x14ac:dyDescent="0.2">
      <c r="A1639" s="719" t="s">
        <v>521</v>
      </c>
      <c r="B1639" s="418"/>
      <c r="C1639" s="418"/>
      <c r="D1639" s="418"/>
      <c r="E1639" s="418"/>
      <c r="F1639" s="418"/>
      <c r="G1639" s="416"/>
      <c r="H1639" s="12" t="str">
        <f t="shared" si="212"/>
        <v>m3</v>
      </c>
      <c r="I1639" s="712">
        <f t="shared" si="213"/>
        <v>139300.48782583541</v>
      </c>
      <c r="J1639" s="416"/>
      <c r="K1639" s="715">
        <f>+'18'!F56</f>
        <v>0.14324999999999996</v>
      </c>
      <c r="L1639" s="416"/>
      <c r="M1639" s="712">
        <f t="shared" si="214"/>
        <v>19954.794881050919</v>
      </c>
      <c r="N1639" s="416"/>
    </row>
    <row r="1640" spans="1:14" ht="12.75" customHeight="1" x14ac:dyDescent="0.2">
      <c r="A1640" s="719" t="s">
        <v>522</v>
      </c>
      <c r="B1640" s="418"/>
      <c r="C1640" s="418"/>
      <c r="D1640" s="418"/>
      <c r="E1640" s="418"/>
      <c r="F1640" s="418"/>
      <c r="G1640" s="416"/>
      <c r="H1640" s="12" t="str">
        <f t="shared" si="212"/>
        <v>m3</v>
      </c>
      <c r="I1640" s="712">
        <f t="shared" si="213"/>
        <v>568340.14513763634</v>
      </c>
      <c r="J1640" s="416"/>
      <c r="K1640" s="715">
        <f>+'18'!F67</f>
        <v>3.581249999999999E-2</v>
      </c>
      <c r="L1640" s="416"/>
      <c r="M1640" s="712">
        <f t="shared" si="214"/>
        <v>20353.681447741597</v>
      </c>
      <c r="N1640" s="416"/>
    </row>
    <row r="1641" spans="1:14" ht="12.75" customHeight="1" x14ac:dyDescent="0.2">
      <c r="A1641" s="719" t="s">
        <v>523</v>
      </c>
      <c r="B1641" s="418"/>
      <c r="C1641" s="418"/>
      <c r="D1641" s="418"/>
      <c r="E1641" s="418"/>
      <c r="F1641" s="418"/>
      <c r="G1641" s="416"/>
      <c r="H1641" s="12" t="str">
        <f t="shared" si="212"/>
        <v>Kg</v>
      </c>
      <c r="I1641" s="712">
        <f t="shared" si="213"/>
        <v>7128.02232826</v>
      </c>
      <c r="J1641" s="416"/>
      <c r="K1641" s="715">
        <f>+'18'!F78</f>
        <v>22</v>
      </c>
      <c r="L1641" s="416"/>
      <c r="M1641" s="712">
        <f t="shared" si="214"/>
        <v>156816.49122172</v>
      </c>
      <c r="N1641" s="416"/>
    </row>
    <row r="1642" spans="1:14" ht="12.75" customHeight="1" x14ac:dyDescent="0.2">
      <c r="A1642" s="719" t="s">
        <v>541</v>
      </c>
      <c r="B1642" s="418"/>
      <c r="C1642" s="418"/>
      <c r="D1642" s="418"/>
      <c r="E1642" s="418"/>
      <c r="F1642" s="418"/>
      <c r="G1642" s="416"/>
      <c r="H1642" s="12" t="str">
        <f t="shared" si="212"/>
        <v>m3</v>
      </c>
      <c r="I1642" s="712">
        <f t="shared" si="213"/>
        <v>1069692.5030110567</v>
      </c>
      <c r="J1642" s="416"/>
      <c r="K1642" s="715">
        <f>+'18'!F100</f>
        <v>0.26</v>
      </c>
      <c r="L1642" s="416"/>
      <c r="M1642" s="712">
        <f t="shared" si="214"/>
        <v>278120.05078287475</v>
      </c>
      <c r="N1642" s="416"/>
    </row>
    <row r="1643" spans="1:14" ht="12.75" customHeight="1" x14ac:dyDescent="0.2">
      <c r="A1643" s="719" t="s">
        <v>514</v>
      </c>
      <c r="B1643" s="418"/>
      <c r="C1643" s="418"/>
      <c r="D1643" s="418"/>
      <c r="E1643" s="418"/>
      <c r="F1643" s="418"/>
      <c r="G1643" s="416"/>
      <c r="H1643" s="12" t="str">
        <f t="shared" si="212"/>
        <v>m2</v>
      </c>
      <c r="I1643" s="712">
        <f t="shared" si="213"/>
        <v>93569.51193665</v>
      </c>
      <c r="J1643" s="416"/>
      <c r="K1643" s="715">
        <f>+'18'!F89</f>
        <v>3.1500000000000004</v>
      </c>
      <c r="L1643" s="416"/>
      <c r="M1643" s="712">
        <f t="shared" si="214"/>
        <v>294743.96260044753</v>
      </c>
      <c r="N1643" s="416"/>
    </row>
    <row r="1644" spans="1:14" ht="12.75" customHeight="1" x14ac:dyDescent="0.2">
      <c r="A1644" s="719"/>
      <c r="B1644" s="418"/>
      <c r="C1644" s="418"/>
      <c r="D1644" s="418"/>
      <c r="E1644" s="418"/>
      <c r="F1644" s="418"/>
      <c r="G1644" s="416"/>
      <c r="H1644" s="12" t="str">
        <f t="shared" si="212"/>
        <v/>
      </c>
      <c r="I1644" s="712" t="str">
        <f t="shared" si="213"/>
        <v/>
      </c>
      <c r="J1644" s="416"/>
      <c r="K1644" s="715"/>
      <c r="L1644" s="416"/>
      <c r="M1644" s="712" t="str">
        <f t="shared" si="214"/>
        <v/>
      </c>
      <c r="N1644" s="416"/>
    </row>
    <row r="1645" spans="1:14" ht="12.75" customHeight="1" x14ac:dyDescent="0.2">
      <c r="A1645" s="719"/>
      <c r="B1645" s="418"/>
      <c r="C1645" s="418"/>
      <c r="D1645" s="418"/>
      <c r="E1645" s="418"/>
      <c r="F1645" s="418"/>
      <c r="G1645" s="416"/>
      <c r="H1645" s="12" t="str">
        <f t="shared" si="212"/>
        <v/>
      </c>
      <c r="I1645" s="712" t="str">
        <f t="shared" si="213"/>
        <v/>
      </c>
      <c r="J1645" s="416"/>
      <c r="K1645" s="715"/>
      <c r="L1645" s="416"/>
      <c r="M1645" s="712" t="str">
        <f t="shared" si="214"/>
        <v/>
      </c>
      <c r="N1645" s="416"/>
    </row>
    <row r="1646" spans="1:14" ht="12.75" customHeight="1" x14ac:dyDescent="0.25">
      <c r="A1646" s="5"/>
      <c r="B1646" s="5"/>
      <c r="C1646" s="5"/>
      <c r="D1646" s="5"/>
      <c r="E1646" s="5"/>
      <c r="F1646" s="5"/>
      <c r="G1646" s="5"/>
      <c r="H1646" s="5"/>
      <c r="I1646" s="5"/>
      <c r="J1646" s="5"/>
      <c r="K1646" s="713" t="s">
        <v>261</v>
      </c>
      <c r="L1646" s="416"/>
      <c r="M1646" s="712">
        <f>SUM(M1637:N1645)</f>
        <v>783591.07308586792</v>
      </c>
      <c r="N1646" s="416"/>
    </row>
    <row r="1647" spans="1:14" ht="12.75" customHeight="1" x14ac:dyDescent="0.25">
      <c r="A1647" s="5"/>
      <c r="B1647" s="5"/>
      <c r="C1647" s="5"/>
      <c r="D1647" s="5"/>
      <c r="E1647" s="5"/>
      <c r="F1647" s="5"/>
      <c r="G1647" s="5"/>
      <c r="H1647" s="5"/>
      <c r="I1647" s="5"/>
      <c r="J1647" s="5"/>
      <c r="K1647" s="5"/>
      <c r="L1647" s="5"/>
      <c r="M1647" s="5"/>
      <c r="N1647" s="5"/>
    </row>
    <row r="1648" spans="1:14" ht="12.75" customHeight="1" x14ac:dyDescent="0.2">
      <c r="A1648" s="716" t="s">
        <v>410</v>
      </c>
      <c r="B1648" s="418"/>
      <c r="C1648" s="418"/>
      <c r="D1648" s="418"/>
      <c r="E1648" s="418"/>
      <c r="F1648" s="418"/>
      <c r="G1648" s="418"/>
      <c r="H1648" s="418"/>
      <c r="I1648" s="418"/>
      <c r="J1648" s="418"/>
      <c r="K1648" s="418"/>
      <c r="L1648" s="418"/>
      <c r="M1648" s="418"/>
      <c r="N1648" s="416"/>
    </row>
    <row r="1649" spans="1:14" ht="12.75" customHeight="1" x14ac:dyDescent="0.2">
      <c r="A1649" s="713" t="s">
        <v>39</v>
      </c>
      <c r="B1649" s="418"/>
      <c r="C1649" s="418"/>
      <c r="D1649" s="418"/>
      <c r="E1649" s="418"/>
      <c r="F1649" s="418"/>
      <c r="G1649" s="416"/>
      <c r="H1649" s="61" t="s">
        <v>40</v>
      </c>
      <c r="I1649" s="717" t="s">
        <v>404</v>
      </c>
      <c r="J1649" s="416"/>
      <c r="K1649" s="717" t="s">
        <v>184</v>
      </c>
      <c r="L1649" s="416"/>
      <c r="M1649" s="717" t="s">
        <v>405</v>
      </c>
      <c r="N1649" s="416"/>
    </row>
    <row r="1650" spans="1:14" ht="12.75" customHeight="1" x14ac:dyDescent="0.2">
      <c r="A1650" s="714"/>
      <c r="B1650" s="418"/>
      <c r="C1650" s="418"/>
      <c r="D1650" s="418"/>
      <c r="E1650" s="418"/>
      <c r="F1650" s="418"/>
      <c r="G1650" s="416"/>
      <c r="H1650" s="12" t="str">
        <f>IF(A1650="","",VLOOKUP(A1650,AA_Equipos,7,FALSE))</f>
        <v/>
      </c>
      <c r="I1650" s="712"/>
      <c r="J1650" s="416"/>
      <c r="K1650" s="722"/>
      <c r="L1650" s="416"/>
      <c r="M1650" s="712" t="str">
        <f t="shared" ref="M1650:M1654" si="215">IF(A1650="","",I1650*K1650)</f>
        <v/>
      </c>
      <c r="N1650" s="416"/>
    </row>
    <row r="1651" spans="1:14" ht="12.75" customHeight="1" x14ac:dyDescent="0.2">
      <c r="A1651" s="719"/>
      <c r="B1651" s="418"/>
      <c r="C1651" s="418"/>
      <c r="D1651" s="418"/>
      <c r="E1651" s="418"/>
      <c r="F1651" s="418"/>
      <c r="G1651" s="416"/>
      <c r="H1651" s="12" t="str">
        <f>IF(A1651="","",VLOOKUP(A1651,AA_Equipos,7,FALSE))</f>
        <v/>
      </c>
      <c r="I1651" s="712" t="str">
        <f>IF(A1651="","",VLOOKUP(A1651,AA_Equipos,8,FALSE))</f>
        <v/>
      </c>
      <c r="J1651" s="416"/>
      <c r="K1651" s="723"/>
      <c r="L1651" s="416"/>
      <c r="M1651" s="712" t="str">
        <f t="shared" si="215"/>
        <v/>
      </c>
      <c r="N1651" s="416"/>
    </row>
    <row r="1652" spans="1:14" ht="12.75" customHeight="1" x14ac:dyDescent="0.2">
      <c r="A1652" s="714"/>
      <c r="B1652" s="418"/>
      <c r="C1652" s="418"/>
      <c r="D1652" s="418"/>
      <c r="E1652" s="418"/>
      <c r="F1652" s="418"/>
      <c r="G1652" s="416"/>
      <c r="H1652" s="12" t="str">
        <f>IF(A1652="","",VLOOKUP(A1652,AA_Equipos,7,FALSE))</f>
        <v/>
      </c>
      <c r="I1652" s="712" t="str">
        <f>IF(A1652="","",VLOOKUP(A1652,AA_Equipos,8,FALSE))</f>
        <v/>
      </c>
      <c r="J1652" s="416"/>
      <c r="K1652" s="786"/>
      <c r="L1652" s="416"/>
      <c r="M1652" s="712" t="str">
        <f t="shared" si="215"/>
        <v/>
      </c>
      <c r="N1652" s="416"/>
    </row>
    <row r="1653" spans="1:14" ht="12.75" customHeight="1" x14ac:dyDescent="0.2">
      <c r="A1653" s="714"/>
      <c r="B1653" s="418"/>
      <c r="C1653" s="418"/>
      <c r="D1653" s="418"/>
      <c r="E1653" s="418"/>
      <c r="F1653" s="418"/>
      <c r="G1653" s="416"/>
      <c r="H1653" s="12" t="str">
        <f>IF(A1653="","",VLOOKUP(A1653,AA_Equipos,7,FALSE))</f>
        <v/>
      </c>
      <c r="I1653" s="712" t="str">
        <f>IF(A1653="","",VLOOKUP(A1653,AA_Equipos,8,FALSE))</f>
        <v/>
      </c>
      <c r="J1653" s="416"/>
      <c r="K1653" s="715"/>
      <c r="L1653" s="416"/>
      <c r="M1653" s="712" t="str">
        <f t="shared" si="215"/>
        <v/>
      </c>
      <c r="N1653" s="416"/>
    </row>
    <row r="1654" spans="1:14" ht="12.75" customHeight="1" x14ac:dyDescent="0.2">
      <c r="A1654" s="714"/>
      <c r="B1654" s="418"/>
      <c r="C1654" s="418"/>
      <c r="D1654" s="418"/>
      <c r="E1654" s="418"/>
      <c r="F1654" s="418"/>
      <c r="G1654" s="416"/>
      <c r="H1654" s="12" t="str">
        <f>IF(A1654="","",VLOOKUP(A1654,AA_Equipos,7,FALSE))</f>
        <v/>
      </c>
      <c r="I1654" s="712" t="str">
        <f>IF(A1654="","",VLOOKUP(A1654,AA_Equipos,8,FALSE))</f>
        <v/>
      </c>
      <c r="J1654" s="416"/>
      <c r="K1654" s="715"/>
      <c r="L1654" s="416"/>
      <c r="M1654" s="712" t="str">
        <f t="shared" si="215"/>
        <v/>
      </c>
      <c r="N1654" s="416"/>
    </row>
    <row r="1655" spans="1:14" ht="12.75" customHeight="1" x14ac:dyDescent="0.25">
      <c r="A1655" s="5"/>
      <c r="B1655" s="5"/>
      <c r="C1655" s="5"/>
      <c r="D1655" s="5"/>
      <c r="E1655" s="5"/>
      <c r="F1655" s="5"/>
      <c r="G1655" s="5"/>
      <c r="H1655" s="5"/>
      <c r="I1655" s="5"/>
      <c r="J1655" s="5"/>
      <c r="K1655" s="713" t="s">
        <v>261</v>
      </c>
      <c r="L1655" s="416"/>
      <c r="M1655" s="712">
        <f>SUM(M1650:N1654)</f>
        <v>0</v>
      </c>
      <c r="N1655" s="416"/>
    </row>
    <row r="1656" spans="1:14" ht="12.75" customHeight="1" x14ac:dyDescent="0.25">
      <c r="A1656" s="5"/>
      <c r="B1656" s="5"/>
      <c r="C1656" s="5"/>
      <c r="D1656" s="5"/>
      <c r="E1656" s="5"/>
      <c r="F1656" s="5"/>
      <c r="G1656" s="5"/>
      <c r="H1656" s="5"/>
      <c r="I1656" s="5"/>
      <c r="J1656" s="5"/>
      <c r="K1656" s="5"/>
      <c r="L1656" s="5"/>
      <c r="M1656" s="5"/>
      <c r="N1656" s="5"/>
    </row>
    <row r="1657" spans="1:14" ht="12.75" customHeight="1" x14ac:dyDescent="0.2">
      <c r="A1657" s="716" t="s">
        <v>413</v>
      </c>
      <c r="B1657" s="418"/>
      <c r="C1657" s="418"/>
      <c r="D1657" s="418"/>
      <c r="E1657" s="418"/>
      <c r="F1657" s="418"/>
      <c r="G1657" s="418"/>
      <c r="H1657" s="418"/>
      <c r="I1657" s="418"/>
      <c r="J1657" s="418"/>
      <c r="K1657" s="418"/>
      <c r="L1657" s="418"/>
      <c r="M1657" s="418"/>
      <c r="N1657" s="416"/>
    </row>
    <row r="1658" spans="1:14" ht="12.75" customHeight="1" x14ac:dyDescent="0.2">
      <c r="A1658" s="713" t="s">
        <v>39</v>
      </c>
      <c r="B1658" s="418"/>
      <c r="C1658" s="418"/>
      <c r="D1658" s="418"/>
      <c r="E1658" s="418"/>
      <c r="F1658" s="418"/>
      <c r="G1658" s="416"/>
      <c r="H1658" s="61" t="s">
        <v>40</v>
      </c>
      <c r="I1658" s="717" t="s">
        <v>404</v>
      </c>
      <c r="J1658" s="416"/>
      <c r="K1658" s="717" t="s">
        <v>184</v>
      </c>
      <c r="L1658" s="416"/>
      <c r="M1658" s="717" t="s">
        <v>405</v>
      </c>
      <c r="N1658" s="416"/>
    </row>
    <row r="1659" spans="1:14" ht="12.75" customHeight="1" x14ac:dyDescent="0.2">
      <c r="A1659" s="714"/>
      <c r="B1659" s="418"/>
      <c r="C1659" s="418"/>
      <c r="D1659" s="418"/>
      <c r="E1659" s="418"/>
      <c r="F1659" s="418"/>
      <c r="G1659" s="416"/>
      <c r="H1659" s="12" t="s">
        <v>426</v>
      </c>
      <c r="I1659" s="712"/>
      <c r="J1659" s="416"/>
      <c r="K1659" s="722"/>
      <c r="L1659" s="416"/>
      <c r="M1659" s="712" t="str">
        <f t="shared" ref="M1659:M1663" si="216">IF(A1659="","",I1659*K1659)</f>
        <v/>
      </c>
      <c r="N1659" s="416"/>
    </row>
    <row r="1660" spans="1:14" ht="12.75" customHeight="1" x14ac:dyDescent="0.2">
      <c r="A1660" s="719"/>
      <c r="B1660" s="418"/>
      <c r="C1660" s="418"/>
      <c r="D1660" s="418"/>
      <c r="E1660" s="418"/>
      <c r="F1660" s="418"/>
      <c r="G1660" s="416"/>
      <c r="H1660" s="12"/>
      <c r="I1660" s="712"/>
      <c r="J1660" s="416"/>
      <c r="K1660" s="722"/>
      <c r="L1660" s="416"/>
      <c r="M1660" s="712" t="str">
        <f t="shared" si="216"/>
        <v/>
      </c>
      <c r="N1660" s="416"/>
    </row>
    <row r="1661" spans="1:14" ht="12.75" customHeight="1" x14ac:dyDescent="0.2">
      <c r="A1661" s="714"/>
      <c r="B1661" s="418"/>
      <c r="C1661" s="418"/>
      <c r="D1661" s="418"/>
      <c r="E1661" s="418"/>
      <c r="F1661" s="418"/>
      <c r="G1661" s="416"/>
      <c r="H1661" s="12"/>
      <c r="I1661" s="712"/>
      <c r="J1661" s="416"/>
      <c r="K1661" s="715"/>
      <c r="L1661" s="416"/>
      <c r="M1661" s="712" t="str">
        <f t="shared" si="216"/>
        <v/>
      </c>
      <c r="N1661" s="416"/>
    </row>
    <row r="1662" spans="1:14" ht="12.75" customHeight="1" x14ac:dyDescent="0.2">
      <c r="A1662" s="714"/>
      <c r="B1662" s="418"/>
      <c r="C1662" s="418"/>
      <c r="D1662" s="418"/>
      <c r="E1662" s="418"/>
      <c r="F1662" s="418"/>
      <c r="G1662" s="416"/>
      <c r="H1662" s="12"/>
      <c r="I1662" s="712"/>
      <c r="J1662" s="416"/>
      <c r="K1662" s="715"/>
      <c r="L1662" s="416"/>
      <c r="M1662" s="712" t="str">
        <f t="shared" si="216"/>
        <v/>
      </c>
      <c r="N1662" s="416"/>
    </row>
    <row r="1663" spans="1:14" ht="12.75" customHeight="1" x14ac:dyDescent="0.2">
      <c r="A1663" s="714"/>
      <c r="B1663" s="418"/>
      <c r="C1663" s="418"/>
      <c r="D1663" s="418"/>
      <c r="E1663" s="418"/>
      <c r="F1663" s="418"/>
      <c r="G1663" s="416"/>
      <c r="H1663" s="12"/>
      <c r="I1663" s="712"/>
      <c r="J1663" s="416"/>
      <c r="K1663" s="715"/>
      <c r="L1663" s="416"/>
      <c r="M1663" s="712" t="str">
        <f t="shared" si="216"/>
        <v/>
      </c>
      <c r="N1663" s="416"/>
    </row>
    <row r="1664" spans="1:14" ht="12.75" customHeight="1" x14ac:dyDescent="0.25">
      <c r="A1664" s="5"/>
      <c r="B1664" s="5"/>
      <c r="C1664" s="5"/>
      <c r="D1664" s="5"/>
      <c r="E1664" s="5"/>
      <c r="F1664" s="5"/>
      <c r="G1664" s="5"/>
      <c r="H1664" s="5"/>
      <c r="I1664" s="5"/>
      <c r="J1664" s="5"/>
      <c r="K1664" s="713" t="s">
        <v>261</v>
      </c>
      <c r="L1664" s="416"/>
      <c r="M1664" s="712">
        <f>SUM(M1659:N1663)</f>
        <v>0</v>
      </c>
      <c r="N1664" s="416"/>
    </row>
    <row r="1665" spans="1:16" ht="12.75" customHeight="1" x14ac:dyDescent="0.25">
      <c r="A1665" s="5"/>
      <c r="B1665" s="5"/>
      <c r="C1665" s="5"/>
      <c r="D1665" s="5"/>
      <c r="E1665" s="5"/>
      <c r="F1665" s="5"/>
      <c r="G1665" s="5"/>
      <c r="H1665" s="5"/>
      <c r="I1665" s="5"/>
      <c r="J1665" s="5"/>
      <c r="K1665" s="5"/>
      <c r="L1665" s="5"/>
      <c r="M1665" s="5"/>
      <c r="N1665" s="5"/>
    </row>
    <row r="1666" spans="1:16" ht="12.75" customHeight="1" x14ac:dyDescent="0.2">
      <c r="A1666" s="716" t="s">
        <v>415</v>
      </c>
      <c r="B1666" s="418"/>
      <c r="C1666" s="418"/>
      <c r="D1666" s="418"/>
      <c r="E1666" s="418"/>
      <c r="F1666" s="418"/>
      <c r="G1666" s="418"/>
      <c r="H1666" s="418"/>
      <c r="I1666" s="418"/>
      <c r="J1666" s="418"/>
      <c r="K1666" s="418"/>
      <c r="L1666" s="418"/>
      <c r="M1666" s="418"/>
      <c r="N1666" s="416"/>
    </row>
    <row r="1667" spans="1:16" ht="12.75" customHeight="1" x14ac:dyDescent="0.2">
      <c r="A1667" s="713" t="s">
        <v>39</v>
      </c>
      <c r="B1667" s="418"/>
      <c r="C1667" s="418"/>
      <c r="D1667" s="418"/>
      <c r="E1667" s="418"/>
      <c r="F1667" s="418"/>
      <c r="G1667" s="416"/>
      <c r="H1667" s="61" t="s">
        <v>40</v>
      </c>
      <c r="I1667" s="717" t="s">
        <v>404</v>
      </c>
      <c r="J1667" s="416"/>
      <c r="K1667" s="64" t="s">
        <v>253</v>
      </c>
      <c r="L1667" s="65" t="s">
        <v>416</v>
      </c>
      <c r="M1667" s="717" t="s">
        <v>405</v>
      </c>
      <c r="N1667" s="416"/>
    </row>
    <row r="1668" spans="1:16" ht="12.75" customHeight="1" x14ac:dyDescent="0.25">
      <c r="A1668" s="711" t="s">
        <v>449</v>
      </c>
      <c r="B1668" s="418"/>
      <c r="C1668" s="418"/>
      <c r="D1668" s="418"/>
      <c r="E1668" s="418"/>
      <c r="F1668" s="418"/>
      <c r="G1668" s="416"/>
      <c r="H1668" s="12" t="str">
        <f>IF(A1668="","",VLOOKUP(A1668,AA_Cuadrillas,4,FALSE))</f>
        <v>Cuadrilla</v>
      </c>
      <c r="I1668" s="712">
        <f>IF(A1668="","",VLOOKUP(A1668,AA_Cuadrillas,5,FALSE))</f>
        <v>239290</v>
      </c>
      <c r="J1668" s="416"/>
      <c r="K1668" s="3">
        <f>IF(A1668="","",'04'!$I$2)</f>
        <v>1.88995</v>
      </c>
      <c r="L1668" s="71">
        <v>0.35</v>
      </c>
      <c r="M1668" s="712">
        <f t="shared" ref="M1668:M1672" si="217">IF(A1668="","",I1668*K1668*L1668)</f>
        <v>158286.147425</v>
      </c>
      <c r="N1668" s="416"/>
    </row>
    <row r="1669" spans="1:16" ht="12.75" customHeight="1" x14ac:dyDescent="0.25">
      <c r="A1669" s="711"/>
      <c r="B1669" s="418"/>
      <c r="C1669" s="418"/>
      <c r="D1669" s="418"/>
      <c r="E1669" s="418"/>
      <c r="F1669" s="418"/>
      <c r="G1669" s="416"/>
      <c r="H1669" s="12" t="str">
        <f>IF(A1669="","",VLOOKUP(A1669,AA_Cuadrillas,4,FALSE))</f>
        <v/>
      </c>
      <c r="I1669" s="712" t="str">
        <f>IF(A1669="","",VLOOKUP(A1669,AA_Cuadrillas,5,FALSE))</f>
        <v/>
      </c>
      <c r="J1669" s="416"/>
      <c r="K1669" s="3" t="str">
        <f>IF(A1669="","",'04'!$I$2)</f>
        <v/>
      </c>
      <c r="L1669" s="3"/>
      <c r="M1669" s="712" t="str">
        <f t="shared" si="217"/>
        <v/>
      </c>
      <c r="N1669" s="416"/>
    </row>
    <row r="1670" spans="1:16" ht="12.75" customHeight="1" x14ac:dyDescent="0.25">
      <c r="A1670" s="711"/>
      <c r="B1670" s="418"/>
      <c r="C1670" s="418"/>
      <c r="D1670" s="418"/>
      <c r="E1670" s="418"/>
      <c r="F1670" s="418"/>
      <c r="G1670" s="416"/>
      <c r="H1670" s="12" t="str">
        <f>IF(A1670="","",VLOOKUP(A1670,AA_Cuadrillas,4,FALSE))</f>
        <v/>
      </c>
      <c r="I1670" s="712" t="str">
        <f>IF(A1670="","",VLOOKUP(A1670,AA_Cuadrillas,5,FALSE))</f>
        <v/>
      </c>
      <c r="J1670" s="416"/>
      <c r="K1670" s="3" t="str">
        <f>IF(A1670="","",'04'!$I$2)</f>
        <v/>
      </c>
      <c r="L1670" s="13"/>
      <c r="M1670" s="712" t="str">
        <f t="shared" si="217"/>
        <v/>
      </c>
      <c r="N1670" s="416"/>
    </row>
    <row r="1671" spans="1:16" ht="12.75" customHeight="1" x14ac:dyDescent="0.25">
      <c r="A1671" s="711"/>
      <c r="B1671" s="418"/>
      <c r="C1671" s="418"/>
      <c r="D1671" s="418"/>
      <c r="E1671" s="418"/>
      <c r="F1671" s="418"/>
      <c r="G1671" s="416"/>
      <c r="H1671" s="12" t="str">
        <f>IF(A1671="","",VLOOKUP(A1671,AA_Cuadrillas,4,FALSE))</f>
        <v/>
      </c>
      <c r="I1671" s="712" t="str">
        <f>IF(A1671="","",VLOOKUP(A1671,AA_Cuadrillas,5,FALSE))</f>
        <v/>
      </c>
      <c r="J1671" s="416"/>
      <c r="K1671" s="3" t="str">
        <f>IF(A1671="","",'04'!$I$2)</f>
        <v/>
      </c>
      <c r="L1671" s="13"/>
      <c r="M1671" s="712" t="str">
        <f t="shared" si="217"/>
        <v/>
      </c>
      <c r="N1671" s="416"/>
    </row>
    <row r="1672" spans="1:16" ht="12.75" customHeight="1" x14ac:dyDescent="0.25">
      <c r="A1672" s="711"/>
      <c r="B1672" s="418"/>
      <c r="C1672" s="418"/>
      <c r="D1672" s="418"/>
      <c r="E1672" s="418"/>
      <c r="F1672" s="418"/>
      <c r="G1672" s="416"/>
      <c r="H1672" s="12" t="str">
        <f>IF(A1672="","",VLOOKUP(A1672,AA_Cuadrillas,4,FALSE))</f>
        <v/>
      </c>
      <c r="I1672" s="712" t="str">
        <f>IF(A1672="","",VLOOKUP(A1672,AA_Cuadrillas,5,FALSE))</f>
        <v/>
      </c>
      <c r="J1672" s="416"/>
      <c r="K1672" s="3" t="str">
        <f>IF(A1672="","",'04'!$I$2)</f>
        <v/>
      </c>
      <c r="L1672" s="13"/>
      <c r="M1672" s="712" t="str">
        <f t="shared" si="217"/>
        <v/>
      </c>
      <c r="N1672" s="416"/>
    </row>
    <row r="1673" spans="1:16" ht="12.75" customHeight="1" x14ac:dyDescent="0.25">
      <c r="A1673" s="5"/>
      <c r="B1673" s="5"/>
      <c r="C1673" s="5"/>
      <c r="D1673" s="5"/>
      <c r="E1673" s="5"/>
      <c r="F1673" s="5"/>
      <c r="G1673" s="5"/>
      <c r="H1673" s="5"/>
      <c r="I1673" s="5"/>
      <c r="J1673" s="5"/>
      <c r="K1673" s="713" t="s">
        <v>261</v>
      </c>
      <c r="L1673" s="416"/>
      <c r="M1673" s="712">
        <f>SUM(M1668:N1672)</f>
        <v>158286.147425</v>
      </c>
      <c r="N1673" s="416"/>
    </row>
    <row r="1674" spans="1:16" ht="12.75" customHeight="1" x14ac:dyDescent="0.2"/>
    <row r="1675" spans="1:16" ht="12.75" customHeight="1" x14ac:dyDescent="0.2">
      <c r="A1675" s="784" t="s">
        <v>1584</v>
      </c>
      <c r="B1675" s="410"/>
      <c r="C1675" s="410"/>
      <c r="D1675" s="410"/>
      <c r="E1675" s="410"/>
      <c r="F1675" s="410"/>
      <c r="G1675" s="410"/>
      <c r="H1675" s="410"/>
      <c r="I1675" s="410"/>
      <c r="J1675" s="410"/>
      <c r="K1675" s="410"/>
      <c r="L1675" s="410"/>
      <c r="M1675" s="410"/>
      <c r="N1675" s="411"/>
      <c r="O1675" s="272"/>
      <c r="P1675" s="9"/>
    </row>
    <row r="1676" spans="1:16" ht="12.75" customHeight="1" x14ac:dyDescent="0.2">
      <c r="A1676" s="412"/>
      <c r="B1676" s="413"/>
      <c r="C1676" s="413"/>
      <c r="D1676" s="413"/>
      <c r="E1676" s="413"/>
      <c r="F1676" s="413"/>
      <c r="G1676" s="413"/>
      <c r="H1676" s="413"/>
      <c r="I1676" s="413"/>
      <c r="J1676" s="413"/>
      <c r="K1676" s="413"/>
      <c r="L1676" s="413"/>
      <c r="M1676" s="413"/>
      <c r="N1676" s="414"/>
      <c r="O1676" s="272"/>
      <c r="P1676" s="9"/>
    </row>
    <row r="1677" spans="1:16" ht="12.75" customHeight="1" x14ac:dyDescent="0.2">
      <c r="A1677" s="49"/>
      <c r="B1677" s="49"/>
      <c r="C1677" s="49"/>
      <c r="D1677" s="49"/>
      <c r="E1677" s="49"/>
      <c r="F1677" s="49"/>
      <c r="G1677" s="49"/>
      <c r="H1677" s="49"/>
      <c r="I1677" s="49"/>
      <c r="J1677" s="49"/>
      <c r="K1677" s="49"/>
      <c r="L1677" s="49"/>
      <c r="M1677" s="49"/>
      <c r="N1677" s="49"/>
    </row>
    <row r="1678" spans="1:16" ht="12.75" customHeight="1" thickBot="1" x14ac:dyDescent="0.35">
      <c r="A1678" s="51" t="str">
        <f>VLOOKUP(A1675,'10'!$B$9:$N$100,13,FALSE)</f>
        <v>G043</v>
      </c>
      <c r="B1678" s="52" t="str">
        <f>A1675</f>
        <v>SUMINISTRO E INSTALACIÓN DE TUBERÍA NOVAFORT Ø6" PARA LAVADO Y REBOSE (INCLUYE MATERIALES, HERRAMIENTA MENOR Y MANO DE OBRA)</v>
      </c>
      <c r="C1678" s="53" t="s">
        <v>400</v>
      </c>
      <c r="D1678" s="54" t="s">
        <v>450</v>
      </c>
      <c r="E1678" s="55" t="s">
        <v>177</v>
      </c>
      <c r="F1678" s="59">
        <f>H1678+J1678+L1678+N1678</f>
        <v>80265.252962496874</v>
      </c>
      <c r="G1678" s="55" t="s">
        <v>349</v>
      </c>
      <c r="H1678" s="59">
        <f>M1688</f>
        <v>65939.273333333331</v>
      </c>
      <c r="I1678" s="55" t="s">
        <v>402</v>
      </c>
      <c r="J1678" s="59">
        <f>M1697</f>
        <v>523.94375118750008</v>
      </c>
      <c r="K1678" s="55" t="s">
        <v>351</v>
      </c>
      <c r="L1678" s="59">
        <f>M1706</f>
        <v>3323.1608542260419</v>
      </c>
      <c r="M1678" s="55" t="s">
        <v>352</v>
      </c>
      <c r="N1678" s="59">
        <f>M1715</f>
        <v>10478.875023750001</v>
      </c>
    </row>
    <row r="1679" spans="1:16" ht="12.75" customHeight="1" thickBot="1" x14ac:dyDescent="0.3">
      <c r="A1679" s="60"/>
      <c r="B1679" s="60"/>
      <c r="C1679" s="60"/>
      <c r="D1679" s="60"/>
      <c r="E1679" s="60"/>
      <c r="F1679" s="60"/>
      <c r="G1679" s="60"/>
      <c r="J1679" s="60"/>
      <c r="K1679" s="60"/>
      <c r="L1679" s="327" t="s">
        <v>1934</v>
      </c>
      <c r="M1679" s="328">
        <f>+F1678*'01'!$O$16</f>
        <v>103886.5931627059</v>
      </c>
      <c r="N1679" s="60"/>
    </row>
    <row r="1680" spans="1:16" ht="12.75" customHeight="1" x14ac:dyDescent="0.2">
      <c r="A1680" s="716" t="s">
        <v>403</v>
      </c>
      <c r="B1680" s="418"/>
      <c r="C1680" s="418"/>
      <c r="D1680" s="418"/>
      <c r="E1680" s="418"/>
      <c r="F1680" s="418"/>
      <c r="G1680" s="418"/>
      <c r="H1680" s="418"/>
      <c r="I1680" s="418"/>
      <c r="J1680" s="418"/>
      <c r="K1680" s="418"/>
      <c r="L1680" s="418"/>
      <c r="M1680" s="418"/>
      <c r="N1680" s="416"/>
    </row>
    <row r="1681" spans="1:14" ht="12.75" customHeight="1" x14ac:dyDescent="0.2">
      <c r="A1681" s="713" t="s">
        <v>39</v>
      </c>
      <c r="B1681" s="418"/>
      <c r="C1681" s="418"/>
      <c r="D1681" s="418"/>
      <c r="E1681" s="418"/>
      <c r="F1681" s="418"/>
      <c r="G1681" s="416"/>
      <c r="H1681" s="61" t="s">
        <v>40</v>
      </c>
      <c r="I1681" s="717" t="s">
        <v>404</v>
      </c>
      <c r="J1681" s="416"/>
      <c r="K1681" s="717" t="s">
        <v>184</v>
      </c>
      <c r="L1681" s="416"/>
      <c r="M1681" s="717" t="s">
        <v>405</v>
      </c>
      <c r="N1681" s="416"/>
    </row>
    <row r="1682" spans="1:14" ht="12.75" customHeight="1" x14ac:dyDescent="0.2">
      <c r="A1682" s="788" t="s">
        <v>542</v>
      </c>
      <c r="B1682" s="418"/>
      <c r="C1682" s="418"/>
      <c r="D1682" s="418"/>
      <c r="E1682" s="418"/>
      <c r="F1682" s="418"/>
      <c r="G1682" s="416"/>
      <c r="H1682" s="12" t="str">
        <f t="shared" ref="H1682:H1687" si="218">IF(A1682="","",VLOOKUP(A1682,AA_Materiales,7,FALSE))</f>
        <v>ml</v>
      </c>
      <c r="I1682" s="712">
        <f t="shared" ref="I1682:I1687" si="219">IF(A1682="","",VLOOKUP(A1682,AA_Materiales,8,FALSE))</f>
        <v>52566.833333333336</v>
      </c>
      <c r="J1682" s="416"/>
      <c r="K1682" s="715">
        <v>1</v>
      </c>
      <c r="L1682" s="416"/>
      <c r="M1682" s="712">
        <f t="shared" ref="M1682:M1687" si="220">IF(A1682="","",I1682*K1682)</f>
        <v>52566.833333333336</v>
      </c>
      <c r="N1682" s="416"/>
    </row>
    <row r="1683" spans="1:14" ht="12.75" customHeight="1" x14ac:dyDescent="0.2">
      <c r="A1683" s="788" t="s">
        <v>536</v>
      </c>
      <c r="B1683" s="418"/>
      <c r="C1683" s="418"/>
      <c r="D1683" s="418"/>
      <c r="E1683" s="418"/>
      <c r="F1683" s="418"/>
      <c r="G1683" s="416"/>
      <c r="H1683" s="12" t="str">
        <f t="shared" si="218"/>
        <v>Galón</v>
      </c>
      <c r="I1683" s="712">
        <f t="shared" si="219"/>
        <v>150369</v>
      </c>
      <c r="J1683" s="416"/>
      <c r="K1683" s="715">
        <v>0.06</v>
      </c>
      <c r="L1683" s="416"/>
      <c r="M1683" s="712">
        <f t="shared" si="220"/>
        <v>9022.14</v>
      </c>
      <c r="N1683" s="416"/>
    </row>
    <row r="1684" spans="1:14" ht="12.75" customHeight="1" x14ac:dyDescent="0.2">
      <c r="A1684" s="788" t="s">
        <v>537</v>
      </c>
      <c r="B1684" s="418"/>
      <c r="C1684" s="418"/>
      <c r="D1684" s="418"/>
      <c r="E1684" s="418"/>
      <c r="F1684" s="418"/>
      <c r="G1684" s="416"/>
      <c r="H1684" s="12" t="str">
        <f t="shared" si="218"/>
        <v>Galón</v>
      </c>
      <c r="I1684" s="712">
        <f t="shared" si="219"/>
        <v>72505</v>
      </c>
      <c r="J1684" s="416"/>
      <c r="K1684" s="715">
        <v>0.06</v>
      </c>
      <c r="L1684" s="416"/>
      <c r="M1684" s="712">
        <f t="shared" si="220"/>
        <v>4350.3</v>
      </c>
      <c r="N1684" s="416"/>
    </row>
    <row r="1685" spans="1:14" ht="12.75" customHeight="1" x14ac:dyDescent="0.2">
      <c r="A1685" s="719"/>
      <c r="B1685" s="418"/>
      <c r="C1685" s="418"/>
      <c r="D1685" s="418"/>
      <c r="E1685" s="418"/>
      <c r="F1685" s="418"/>
      <c r="G1685" s="416"/>
      <c r="H1685" s="12" t="str">
        <f t="shared" si="218"/>
        <v/>
      </c>
      <c r="I1685" s="712" t="str">
        <f t="shared" si="219"/>
        <v/>
      </c>
      <c r="J1685" s="416"/>
      <c r="K1685" s="715"/>
      <c r="L1685" s="416"/>
      <c r="M1685" s="712" t="str">
        <f t="shared" si="220"/>
        <v/>
      </c>
      <c r="N1685" s="416"/>
    </row>
    <row r="1686" spans="1:14" ht="12.75" customHeight="1" x14ac:dyDescent="0.2">
      <c r="A1686" s="719"/>
      <c r="B1686" s="418"/>
      <c r="C1686" s="418"/>
      <c r="D1686" s="418"/>
      <c r="E1686" s="418"/>
      <c r="F1686" s="418"/>
      <c r="G1686" s="416"/>
      <c r="H1686" s="12" t="str">
        <f t="shared" si="218"/>
        <v/>
      </c>
      <c r="I1686" s="712" t="str">
        <f t="shared" si="219"/>
        <v/>
      </c>
      <c r="J1686" s="416"/>
      <c r="K1686" s="715"/>
      <c r="L1686" s="416"/>
      <c r="M1686" s="712" t="str">
        <f t="shared" si="220"/>
        <v/>
      </c>
      <c r="N1686" s="416"/>
    </row>
    <row r="1687" spans="1:14" ht="12.75" customHeight="1" x14ac:dyDescent="0.2">
      <c r="A1687" s="719"/>
      <c r="B1687" s="418"/>
      <c r="C1687" s="418"/>
      <c r="D1687" s="418"/>
      <c r="E1687" s="418"/>
      <c r="F1687" s="418"/>
      <c r="G1687" s="416"/>
      <c r="H1687" s="12" t="str">
        <f t="shared" si="218"/>
        <v/>
      </c>
      <c r="I1687" s="712" t="str">
        <f t="shared" si="219"/>
        <v/>
      </c>
      <c r="J1687" s="416"/>
      <c r="K1687" s="715"/>
      <c r="L1687" s="416"/>
      <c r="M1687" s="712" t="str">
        <f t="shared" si="220"/>
        <v/>
      </c>
      <c r="N1687" s="416"/>
    </row>
    <row r="1688" spans="1:14" ht="12.75" customHeight="1" x14ac:dyDescent="0.25">
      <c r="A1688" s="5"/>
      <c r="B1688" s="5"/>
      <c r="C1688" s="5"/>
      <c r="D1688" s="5"/>
      <c r="E1688" s="5"/>
      <c r="F1688" s="5"/>
      <c r="G1688" s="5"/>
      <c r="H1688" s="5"/>
      <c r="I1688" s="5"/>
      <c r="J1688" s="5"/>
      <c r="K1688" s="713" t="s">
        <v>261</v>
      </c>
      <c r="L1688" s="416"/>
      <c r="M1688" s="712">
        <f>SUM(M1682:N1687)</f>
        <v>65939.273333333331</v>
      </c>
      <c r="N1688" s="416"/>
    </row>
    <row r="1689" spans="1:14" ht="12.75" customHeight="1" x14ac:dyDescent="0.25">
      <c r="A1689" s="5"/>
      <c r="B1689" s="5"/>
      <c r="C1689" s="5"/>
      <c r="D1689" s="5"/>
      <c r="E1689" s="5"/>
      <c r="F1689" s="5"/>
      <c r="G1689" s="5"/>
      <c r="H1689" s="5"/>
      <c r="I1689" s="5"/>
      <c r="J1689" s="5"/>
      <c r="K1689" s="5"/>
      <c r="L1689" s="5"/>
      <c r="M1689" s="5"/>
      <c r="N1689" s="5"/>
    </row>
    <row r="1690" spans="1:14" ht="12.75" customHeight="1" x14ac:dyDescent="0.2">
      <c r="A1690" s="716" t="s">
        <v>410</v>
      </c>
      <c r="B1690" s="418"/>
      <c r="C1690" s="418"/>
      <c r="D1690" s="418"/>
      <c r="E1690" s="418"/>
      <c r="F1690" s="418"/>
      <c r="G1690" s="418"/>
      <c r="H1690" s="418"/>
      <c r="I1690" s="418"/>
      <c r="J1690" s="418"/>
      <c r="K1690" s="418"/>
      <c r="L1690" s="418"/>
      <c r="M1690" s="418"/>
      <c r="N1690" s="416"/>
    </row>
    <row r="1691" spans="1:14" ht="12.75" customHeight="1" x14ac:dyDescent="0.2">
      <c r="A1691" s="713" t="s">
        <v>39</v>
      </c>
      <c r="B1691" s="418"/>
      <c r="C1691" s="418"/>
      <c r="D1691" s="418"/>
      <c r="E1691" s="418"/>
      <c r="F1691" s="418"/>
      <c r="G1691" s="416"/>
      <c r="H1691" s="61" t="s">
        <v>40</v>
      </c>
      <c r="I1691" s="717" t="s">
        <v>404</v>
      </c>
      <c r="J1691" s="416"/>
      <c r="K1691" s="717" t="s">
        <v>184</v>
      </c>
      <c r="L1691" s="416"/>
      <c r="M1691" s="717" t="s">
        <v>405</v>
      </c>
      <c r="N1691" s="416"/>
    </row>
    <row r="1692" spans="1:14" ht="12.75" customHeight="1" x14ac:dyDescent="0.2">
      <c r="A1692" s="714" t="s">
        <v>411</v>
      </c>
      <c r="B1692" s="418"/>
      <c r="C1692" s="418"/>
      <c r="D1692" s="418"/>
      <c r="E1692" s="418"/>
      <c r="F1692" s="418"/>
      <c r="G1692" s="416"/>
      <c r="H1692" s="12" t="str">
        <f>IF(A1692="","",VLOOKUP(A1692,AA_Equipos,7,FALSE))</f>
        <v>% M.O.</v>
      </c>
      <c r="I1692" s="712">
        <f>+M1715</f>
        <v>10478.875023750001</v>
      </c>
      <c r="J1692" s="416"/>
      <c r="K1692" s="722">
        <v>0.05</v>
      </c>
      <c r="L1692" s="416"/>
      <c r="M1692" s="712">
        <f t="shared" ref="M1692:M1696" si="221">IF(A1692="","",I1692*K1692)</f>
        <v>523.94375118750008</v>
      </c>
      <c r="N1692" s="416"/>
    </row>
    <row r="1693" spans="1:14" ht="12.75" customHeight="1" x14ac:dyDescent="0.2">
      <c r="A1693" s="719"/>
      <c r="B1693" s="418"/>
      <c r="C1693" s="418"/>
      <c r="D1693" s="418"/>
      <c r="E1693" s="418"/>
      <c r="F1693" s="418"/>
      <c r="G1693" s="416"/>
      <c r="H1693" s="12" t="str">
        <f>IF(A1693="","",VLOOKUP(A1693,AA_Equipos,7,FALSE))</f>
        <v/>
      </c>
      <c r="I1693" s="712" t="str">
        <f>IF(A1693="","",VLOOKUP(A1693,AA_Equipos,8,FALSE))</f>
        <v/>
      </c>
      <c r="J1693" s="416"/>
      <c r="K1693" s="723"/>
      <c r="L1693" s="416"/>
      <c r="M1693" s="712" t="str">
        <f t="shared" si="221"/>
        <v/>
      </c>
      <c r="N1693" s="416"/>
    </row>
    <row r="1694" spans="1:14" ht="12.75" customHeight="1" x14ac:dyDescent="0.2">
      <c r="A1694" s="714"/>
      <c r="B1694" s="418"/>
      <c r="C1694" s="418"/>
      <c r="D1694" s="418"/>
      <c r="E1694" s="418"/>
      <c r="F1694" s="418"/>
      <c r="G1694" s="416"/>
      <c r="H1694" s="12" t="str">
        <f>IF(A1694="","",VLOOKUP(A1694,AA_Equipos,7,FALSE))</f>
        <v/>
      </c>
      <c r="I1694" s="712" t="str">
        <f>IF(A1694="","",VLOOKUP(A1694,AA_Equipos,8,FALSE))</f>
        <v/>
      </c>
      <c r="J1694" s="416"/>
      <c r="K1694" s="786"/>
      <c r="L1694" s="416"/>
      <c r="M1694" s="712" t="str">
        <f t="shared" si="221"/>
        <v/>
      </c>
      <c r="N1694" s="416"/>
    </row>
    <row r="1695" spans="1:14" ht="12.75" customHeight="1" x14ac:dyDescent="0.2">
      <c r="A1695" s="714"/>
      <c r="B1695" s="418"/>
      <c r="C1695" s="418"/>
      <c r="D1695" s="418"/>
      <c r="E1695" s="418"/>
      <c r="F1695" s="418"/>
      <c r="G1695" s="416"/>
      <c r="H1695" s="12" t="str">
        <f>IF(A1695="","",VLOOKUP(A1695,AA_Equipos,7,FALSE))</f>
        <v/>
      </c>
      <c r="I1695" s="712" t="str">
        <f>IF(A1695="","",VLOOKUP(A1695,AA_Equipos,8,FALSE))</f>
        <v/>
      </c>
      <c r="J1695" s="416"/>
      <c r="K1695" s="715"/>
      <c r="L1695" s="416"/>
      <c r="M1695" s="712" t="str">
        <f t="shared" si="221"/>
        <v/>
      </c>
      <c r="N1695" s="416"/>
    </row>
    <row r="1696" spans="1:14" ht="12.75" customHeight="1" x14ac:dyDescent="0.2">
      <c r="A1696" s="714"/>
      <c r="B1696" s="418"/>
      <c r="C1696" s="418"/>
      <c r="D1696" s="418"/>
      <c r="E1696" s="418"/>
      <c r="F1696" s="418"/>
      <c r="G1696" s="416"/>
      <c r="H1696" s="12" t="str">
        <f>IF(A1696="","",VLOOKUP(A1696,AA_Equipos,7,FALSE))</f>
        <v/>
      </c>
      <c r="I1696" s="712" t="str">
        <f>IF(A1696="","",VLOOKUP(A1696,AA_Equipos,8,FALSE))</f>
        <v/>
      </c>
      <c r="J1696" s="416"/>
      <c r="K1696" s="715"/>
      <c r="L1696" s="416"/>
      <c r="M1696" s="712" t="str">
        <f t="shared" si="221"/>
        <v/>
      </c>
      <c r="N1696" s="416"/>
    </row>
    <row r="1697" spans="1:14" ht="12.75" customHeight="1" x14ac:dyDescent="0.25">
      <c r="A1697" s="5"/>
      <c r="B1697" s="5"/>
      <c r="C1697" s="5"/>
      <c r="D1697" s="5"/>
      <c r="E1697" s="5"/>
      <c r="F1697" s="5"/>
      <c r="G1697" s="5"/>
      <c r="H1697" s="5"/>
      <c r="I1697" s="5"/>
      <c r="J1697" s="5"/>
      <c r="K1697" s="713" t="s">
        <v>261</v>
      </c>
      <c r="L1697" s="416"/>
      <c r="M1697" s="712">
        <f>SUM(M1692:N1696)</f>
        <v>523.94375118750008</v>
      </c>
      <c r="N1697" s="416"/>
    </row>
    <row r="1698" spans="1:14" ht="12.75" customHeight="1" x14ac:dyDescent="0.25">
      <c r="A1698" s="5"/>
      <c r="B1698" s="5"/>
      <c r="C1698" s="5"/>
      <c r="D1698" s="5"/>
      <c r="E1698" s="5"/>
      <c r="F1698" s="5"/>
      <c r="G1698" s="5"/>
      <c r="H1698" s="5"/>
      <c r="I1698" s="5"/>
      <c r="J1698" s="5"/>
      <c r="K1698" s="5"/>
      <c r="L1698" s="5"/>
      <c r="M1698" s="5"/>
      <c r="N1698" s="5"/>
    </row>
    <row r="1699" spans="1:14" ht="12.75" customHeight="1" x14ac:dyDescent="0.2">
      <c r="A1699" s="716" t="s">
        <v>413</v>
      </c>
      <c r="B1699" s="418"/>
      <c r="C1699" s="418"/>
      <c r="D1699" s="418"/>
      <c r="E1699" s="418"/>
      <c r="F1699" s="418"/>
      <c r="G1699" s="418"/>
      <c r="H1699" s="418"/>
      <c r="I1699" s="418"/>
      <c r="J1699" s="418"/>
      <c r="K1699" s="418"/>
      <c r="L1699" s="418"/>
      <c r="M1699" s="418"/>
      <c r="N1699" s="416"/>
    </row>
    <row r="1700" spans="1:14" ht="12.75" customHeight="1" x14ac:dyDescent="0.2">
      <c r="A1700" s="713" t="s">
        <v>39</v>
      </c>
      <c r="B1700" s="418"/>
      <c r="C1700" s="418"/>
      <c r="D1700" s="418"/>
      <c r="E1700" s="418"/>
      <c r="F1700" s="418"/>
      <c r="G1700" s="416"/>
      <c r="H1700" s="61" t="s">
        <v>40</v>
      </c>
      <c r="I1700" s="717" t="s">
        <v>404</v>
      </c>
      <c r="J1700" s="416"/>
      <c r="K1700" s="717" t="s">
        <v>184</v>
      </c>
      <c r="L1700" s="416"/>
      <c r="M1700" s="717" t="s">
        <v>405</v>
      </c>
      <c r="N1700" s="416"/>
    </row>
    <row r="1701" spans="1:14" ht="12.75" customHeight="1" x14ac:dyDescent="0.2">
      <c r="A1701" s="789" t="s">
        <v>414</v>
      </c>
      <c r="B1701" s="418"/>
      <c r="C1701" s="418"/>
      <c r="D1701" s="418"/>
      <c r="E1701" s="418"/>
      <c r="F1701" s="418"/>
      <c r="G1701" s="416"/>
      <c r="H1701" s="107" t="s">
        <v>13</v>
      </c>
      <c r="I1701" s="712">
        <f>+M1688+M1697</f>
        <v>66463.217084520831</v>
      </c>
      <c r="J1701" s="416"/>
      <c r="K1701" s="722">
        <v>0.05</v>
      </c>
      <c r="L1701" s="416"/>
      <c r="M1701" s="712">
        <f t="shared" ref="M1701:M1705" si="222">IF(A1701="","",I1701*K1701)</f>
        <v>3323.1608542260419</v>
      </c>
      <c r="N1701" s="416"/>
    </row>
    <row r="1702" spans="1:14" ht="12.75" customHeight="1" x14ac:dyDescent="0.2">
      <c r="A1702" s="719"/>
      <c r="B1702" s="418"/>
      <c r="C1702" s="418"/>
      <c r="D1702" s="418"/>
      <c r="E1702" s="418"/>
      <c r="F1702" s="418"/>
      <c r="G1702" s="416"/>
      <c r="H1702" s="12"/>
      <c r="I1702" s="712"/>
      <c r="J1702" s="416"/>
      <c r="K1702" s="722"/>
      <c r="L1702" s="416"/>
      <c r="M1702" s="712" t="str">
        <f t="shared" si="222"/>
        <v/>
      </c>
      <c r="N1702" s="416"/>
    </row>
    <row r="1703" spans="1:14" ht="12.75" customHeight="1" x14ac:dyDescent="0.2">
      <c r="A1703" s="714"/>
      <c r="B1703" s="418"/>
      <c r="C1703" s="418"/>
      <c r="D1703" s="418"/>
      <c r="E1703" s="418"/>
      <c r="F1703" s="418"/>
      <c r="G1703" s="416"/>
      <c r="H1703" s="12"/>
      <c r="I1703" s="712"/>
      <c r="J1703" s="416"/>
      <c r="K1703" s="715"/>
      <c r="L1703" s="416"/>
      <c r="M1703" s="712" t="str">
        <f t="shared" si="222"/>
        <v/>
      </c>
      <c r="N1703" s="416"/>
    </row>
    <row r="1704" spans="1:14" ht="12.75" customHeight="1" x14ac:dyDescent="0.2">
      <c r="A1704" s="714"/>
      <c r="B1704" s="418"/>
      <c r="C1704" s="418"/>
      <c r="D1704" s="418"/>
      <c r="E1704" s="418"/>
      <c r="F1704" s="418"/>
      <c r="G1704" s="416"/>
      <c r="H1704" s="12"/>
      <c r="I1704" s="712"/>
      <c r="J1704" s="416"/>
      <c r="K1704" s="715"/>
      <c r="L1704" s="416"/>
      <c r="M1704" s="712" t="str">
        <f t="shared" si="222"/>
        <v/>
      </c>
      <c r="N1704" s="416"/>
    </row>
    <row r="1705" spans="1:14" ht="12.75" customHeight="1" x14ac:dyDescent="0.2">
      <c r="A1705" s="714"/>
      <c r="B1705" s="418"/>
      <c r="C1705" s="418"/>
      <c r="D1705" s="418"/>
      <c r="E1705" s="418"/>
      <c r="F1705" s="418"/>
      <c r="G1705" s="416"/>
      <c r="H1705" s="12"/>
      <c r="I1705" s="712"/>
      <c r="J1705" s="416"/>
      <c r="K1705" s="715"/>
      <c r="L1705" s="416"/>
      <c r="M1705" s="712" t="str">
        <f t="shared" si="222"/>
        <v/>
      </c>
      <c r="N1705" s="416"/>
    </row>
    <row r="1706" spans="1:14" ht="12.75" customHeight="1" x14ac:dyDescent="0.25">
      <c r="A1706" s="5"/>
      <c r="B1706" s="5"/>
      <c r="C1706" s="5"/>
      <c r="D1706" s="5"/>
      <c r="E1706" s="5"/>
      <c r="F1706" s="5"/>
      <c r="G1706" s="5"/>
      <c r="H1706" s="5"/>
      <c r="I1706" s="5"/>
      <c r="J1706" s="5"/>
      <c r="K1706" s="713" t="s">
        <v>261</v>
      </c>
      <c r="L1706" s="416"/>
      <c r="M1706" s="712">
        <f>SUM(M1701:N1705)</f>
        <v>3323.1608542260419</v>
      </c>
      <c r="N1706" s="416"/>
    </row>
    <row r="1707" spans="1:14" ht="12.75" customHeight="1" x14ac:dyDescent="0.25">
      <c r="A1707" s="5"/>
      <c r="B1707" s="5"/>
      <c r="C1707" s="5"/>
      <c r="D1707" s="5"/>
      <c r="E1707" s="5"/>
      <c r="F1707" s="5"/>
      <c r="G1707" s="5"/>
      <c r="H1707" s="5"/>
      <c r="I1707" s="5"/>
      <c r="J1707" s="5"/>
      <c r="K1707" s="5"/>
      <c r="L1707" s="5"/>
      <c r="M1707" s="5"/>
      <c r="N1707" s="5"/>
    </row>
    <row r="1708" spans="1:14" ht="12.75" customHeight="1" x14ac:dyDescent="0.2">
      <c r="A1708" s="716" t="s">
        <v>415</v>
      </c>
      <c r="B1708" s="418"/>
      <c r="C1708" s="418"/>
      <c r="D1708" s="418"/>
      <c r="E1708" s="418"/>
      <c r="F1708" s="418"/>
      <c r="G1708" s="418"/>
      <c r="H1708" s="418"/>
      <c r="I1708" s="418"/>
      <c r="J1708" s="418"/>
      <c r="K1708" s="418"/>
      <c r="L1708" s="418"/>
      <c r="M1708" s="418"/>
      <c r="N1708" s="416"/>
    </row>
    <row r="1709" spans="1:14" ht="12.75" customHeight="1" x14ac:dyDescent="0.2">
      <c r="A1709" s="713" t="s">
        <v>39</v>
      </c>
      <c r="B1709" s="418"/>
      <c r="C1709" s="418"/>
      <c r="D1709" s="418"/>
      <c r="E1709" s="418"/>
      <c r="F1709" s="418"/>
      <c r="G1709" s="416"/>
      <c r="H1709" s="61" t="s">
        <v>40</v>
      </c>
      <c r="I1709" s="717" t="s">
        <v>404</v>
      </c>
      <c r="J1709" s="416"/>
      <c r="K1709" s="64" t="s">
        <v>253</v>
      </c>
      <c r="L1709" s="65" t="s">
        <v>416</v>
      </c>
      <c r="M1709" s="717" t="s">
        <v>405</v>
      </c>
      <c r="N1709" s="416"/>
    </row>
    <row r="1710" spans="1:14" ht="12.75" customHeight="1" x14ac:dyDescent="0.25">
      <c r="A1710" s="711" t="s">
        <v>479</v>
      </c>
      <c r="B1710" s="418"/>
      <c r="C1710" s="418"/>
      <c r="D1710" s="418"/>
      <c r="E1710" s="418"/>
      <c r="F1710" s="418"/>
      <c r="G1710" s="416"/>
      <c r="H1710" s="12" t="str">
        <f>IF(A1710="","",VLOOKUP(A1710,AA_Cuadrillas,4,FALSE))</f>
        <v>Cuadrilla</v>
      </c>
      <c r="I1710" s="712">
        <f>IF(A1710="","",VLOOKUP(A1710,AA_Cuadrillas,5,FALSE))</f>
        <v>221781</v>
      </c>
      <c r="J1710" s="416"/>
      <c r="K1710" s="3">
        <f>IF(A1710="","",'04'!$I$2)</f>
        <v>1.88995</v>
      </c>
      <c r="L1710" s="71">
        <v>2.5000000000000001E-2</v>
      </c>
      <c r="M1710" s="712">
        <f t="shared" ref="M1710:M1714" si="223">IF(A1710="","",I1710*K1710*L1710)</f>
        <v>10478.875023750001</v>
      </c>
      <c r="N1710" s="416"/>
    </row>
    <row r="1711" spans="1:14" ht="12.75" customHeight="1" x14ac:dyDescent="0.25">
      <c r="A1711" s="711"/>
      <c r="B1711" s="418"/>
      <c r="C1711" s="418"/>
      <c r="D1711" s="418"/>
      <c r="E1711" s="418"/>
      <c r="F1711" s="418"/>
      <c r="G1711" s="416"/>
      <c r="H1711" s="12" t="str">
        <f>IF(A1711="","",VLOOKUP(A1711,AA_Cuadrillas,4,FALSE))</f>
        <v/>
      </c>
      <c r="I1711" s="712" t="str">
        <f>IF(A1711="","",VLOOKUP(A1711,AA_Cuadrillas,5,FALSE))</f>
        <v/>
      </c>
      <c r="J1711" s="416"/>
      <c r="K1711" s="3" t="str">
        <f>IF(A1711="","",'04'!$I$2)</f>
        <v/>
      </c>
      <c r="L1711" s="3"/>
      <c r="M1711" s="712" t="str">
        <f t="shared" si="223"/>
        <v/>
      </c>
      <c r="N1711" s="416"/>
    </row>
    <row r="1712" spans="1:14" ht="12.75" customHeight="1" x14ac:dyDescent="0.25">
      <c r="A1712" s="711"/>
      <c r="B1712" s="418"/>
      <c r="C1712" s="418"/>
      <c r="D1712" s="418"/>
      <c r="E1712" s="418"/>
      <c r="F1712" s="418"/>
      <c r="G1712" s="416"/>
      <c r="H1712" s="12" t="str">
        <f>IF(A1712="","",VLOOKUP(A1712,AA_Cuadrillas,4,FALSE))</f>
        <v/>
      </c>
      <c r="I1712" s="712" t="str">
        <f>IF(A1712="","",VLOOKUP(A1712,AA_Cuadrillas,5,FALSE))</f>
        <v/>
      </c>
      <c r="J1712" s="416"/>
      <c r="K1712" s="3" t="str">
        <f>IF(A1712="","",'04'!$I$2)</f>
        <v/>
      </c>
      <c r="L1712" s="13"/>
      <c r="M1712" s="712" t="str">
        <f t="shared" si="223"/>
        <v/>
      </c>
      <c r="N1712" s="416"/>
    </row>
    <row r="1713" spans="1:16" ht="12.75" customHeight="1" x14ac:dyDescent="0.25">
      <c r="A1713" s="711"/>
      <c r="B1713" s="418"/>
      <c r="C1713" s="418"/>
      <c r="D1713" s="418"/>
      <c r="E1713" s="418"/>
      <c r="F1713" s="418"/>
      <c r="G1713" s="416"/>
      <c r="H1713" s="12" t="str">
        <f>IF(A1713="","",VLOOKUP(A1713,AA_Cuadrillas,4,FALSE))</f>
        <v/>
      </c>
      <c r="I1713" s="712" t="str">
        <f>IF(A1713="","",VLOOKUP(A1713,AA_Cuadrillas,5,FALSE))</f>
        <v/>
      </c>
      <c r="J1713" s="416"/>
      <c r="K1713" s="3" t="str">
        <f>IF(A1713="","",'04'!$I$2)</f>
        <v/>
      </c>
      <c r="L1713" s="13"/>
      <c r="M1713" s="712" t="str">
        <f t="shared" si="223"/>
        <v/>
      </c>
      <c r="N1713" s="416"/>
    </row>
    <row r="1714" spans="1:16" ht="12.75" customHeight="1" x14ac:dyDescent="0.25">
      <c r="A1714" s="711"/>
      <c r="B1714" s="418"/>
      <c r="C1714" s="418"/>
      <c r="D1714" s="418"/>
      <c r="E1714" s="418"/>
      <c r="F1714" s="418"/>
      <c r="G1714" s="416"/>
      <c r="H1714" s="12" t="str">
        <f>IF(A1714="","",VLOOKUP(A1714,AA_Cuadrillas,4,FALSE))</f>
        <v/>
      </c>
      <c r="I1714" s="712" t="str">
        <f>IF(A1714="","",VLOOKUP(A1714,AA_Cuadrillas,5,FALSE))</f>
        <v/>
      </c>
      <c r="J1714" s="416"/>
      <c r="K1714" s="3" t="str">
        <f>IF(A1714="","",'04'!$I$2)</f>
        <v/>
      </c>
      <c r="L1714" s="13"/>
      <c r="M1714" s="712" t="str">
        <f t="shared" si="223"/>
        <v/>
      </c>
      <c r="N1714" s="416"/>
    </row>
    <row r="1715" spans="1:16" ht="12.75" customHeight="1" x14ac:dyDescent="0.25">
      <c r="A1715" s="5"/>
      <c r="B1715" s="5"/>
      <c r="C1715" s="5"/>
      <c r="D1715" s="5"/>
      <c r="E1715" s="5"/>
      <c r="F1715" s="5"/>
      <c r="G1715" s="5"/>
      <c r="H1715" s="5"/>
      <c r="I1715" s="5"/>
      <c r="J1715" s="5"/>
      <c r="K1715" s="713" t="s">
        <v>261</v>
      </c>
      <c r="L1715" s="416"/>
      <c r="M1715" s="712">
        <f>SUM(M1710:N1714)</f>
        <v>10478.875023750001</v>
      </c>
      <c r="N1715" s="416"/>
    </row>
    <row r="1716" spans="1:16" ht="12.75" customHeight="1" x14ac:dyDescent="0.2"/>
    <row r="1717" spans="1:16" ht="12.75" x14ac:dyDescent="0.2">
      <c r="A1717" s="785" t="s">
        <v>155</v>
      </c>
      <c r="B1717" s="410"/>
      <c r="C1717" s="410"/>
      <c r="D1717" s="410"/>
      <c r="E1717" s="410"/>
      <c r="F1717" s="410"/>
      <c r="G1717" s="410"/>
      <c r="H1717" s="410"/>
      <c r="I1717" s="410"/>
      <c r="J1717" s="410"/>
      <c r="K1717" s="410"/>
      <c r="L1717" s="410"/>
      <c r="M1717" s="410"/>
      <c r="N1717" s="411"/>
      <c r="O1717" s="272"/>
      <c r="P1717" s="9"/>
    </row>
    <row r="1718" spans="1:16" ht="12.75" customHeight="1" x14ac:dyDescent="0.2">
      <c r="A1718" s="412"/>
      <c r="B1718" s="413"/>
      <c r="C1718" s="413"/>
      <c r="D1718" s="413"/>
      <c r="E1718" s="413"/>
      <c r="F1718" s="413"/>
      <c r="G1718" s="413"/>
      <c r="H1718" s="413"/>
      <c r="I1718" s="413"/>
      <c r="J1718" s="413"/>
      <c r="K1718" s="413"/>
      <c r="L1718" s="413"/>
      <c r="M1718" s="413"/>
      <c r="N1718" s="414"/>
      <c r="O1718" s="272"/>
      <c r="P1718" s="9"/>
    </row>
    <row r="1719" spans="1:16" ht="12.75" customHeight="1" x14ac:dyDescent="0.2">
      <c r="A1719" s="49"/>
      <c r="B1719" s="49"/>
      <c r="C1719" s="49"/>
      <c r="D1719" s="49"/>
      <c r="E1719" s="49"/>
      <c r="F1719" s="49"/>
      <c r="G1719" s="49"/>
      <c r="H1719" s="49"/>
      <c r="I1719" s="49"/>
      <c r="J1719" s="49"/>
      <c r="K1719" s="49"/>
      <c r="L1719" s="49"/>
      <c r="M1719" s="49"/>
      <c r="N1719" s="49"/>
    </row>
    <row r="1720" spans="1:16" ht="12.75" customHeight="1" thickBot="1" x14ac:dyDescent="0.35">
      <c r="A1720" s="51" t="str">
        <f>VLOOKUP(A1717,'10'!$B$9:$N$100,13,FALSE)</f>
        <v>G042</v>
      </c>
      <c r="B1720" s="52" t="str">
        <f>A1717</f>
        <v>CONSTRUCCIÓN DE POZO DE INSPECCIÓN DE ALCANTARILLADO CON ALTURA MAXIMA DE 2.00 MTS (INCLUYE REPLANTEO, EXCAVACIÓN, RECEBO, CONCRETO DE 4000 PSI, ACERO DE REFUERZO, TAPA DE SEGURIDAD, ESCALERA TIPO GATO, MATERIALES, HERRAMIENTA MENOR Y MANO DE OBRA)</v>
      </c>
      <c r="C1720" s="53" t="s">
        <v>400</v>
      </c>
      <c r="D1720" s="54" t="s">
        <v>475</v>
      </c>
      <c r="E1720" s="55" t="s">
        <v>177</v>
      </c>
      <c r="F1720" s="59">
        <f>H1720+J1720+L1720+N1720</f>
        <v>5224914.0681229439</v>
      </c>
      <c r="G1720" s="55" t="s">
        <v>349</v>
      </c>
      <c r="H1720" s="59">
        <f>M1745</f>
        <v>0</v>
      </c>
      <c r="I1720" s="55" t="s">
        <v>402</v>
      </c>
      <c r="J1720" s="72">
        <f>M1736</f>
        <v>4591769.4784229435</v>
      </c>
      <c r="K1720" s="55" t="s">
        <v>351</v>
      </c>
      <c r="L1720" s="59">
        <f>M1754</f>
        <v>0</v>
      </c>
      <c r="M1720" s="55" t="s">
        <v>352</v>
      </c>
      <c r="N1720" s="70">
        <f>M1763</f>
        <v>633144.58970000001</v>
      </c>
    </row>
    <row r="1721" spans="1:16" ht="12.75" customHeight="1" thickBot="1" x14ac:dyDescent="0.3">
      <c r="A1721" s="60"/>
      <c r="B1721" s="60"/>
      <c r="C1721" s="60"/>
      <c r="D1721" s="60"/>
      <c r="E1721" s="60"/>
      <c r="F1721" s="60"/>
      <c r="G1721" s="60"/>
      <c r="J1721" s="60"/>
      <c r="K1721" s="60"/>
      <c r="L1721" s="327" t="s">
        <v>1934</v>
      </c>
      <c r="M1721" s="328">
        <f>+F1720*'01'!$O$16</f>
        <v>6762559.1656554546</v>
      </c>
      <c r="N1721" s="60"/>
    </row>
    <row r="1722" spans="1:16" ht="12.75" customHeight="1" x14ac:dyDescent="0.2">
      <c r="A1722" s="716" t="s">
        <v>403</v>
      </c>
      <c r="B1722" s="418"/>
      <c r="C1722" s="418"/>
      <c r="D1722" s="418"/>
      <c r="E1722" s="418"/>
      <c r="F1722" s="418"/>
      <c r="G1722" s="418"/>
      <c r="H1722" s="418"/>
      <c r="I1722" s="418"/>
      <c r="J1722" s="418"/>
      <c r="K1722" s="418"/>
      <c r="L1722" s="418"/>
      <c r="M1722" s="418"/>
      <c r="N1722" s="416"/>
    </row>
    <row r="1723" spans="1:16" ht="12.75" customHeight="1" x14ac:dyDescent="0.2">
      <c r="A1723" s="713" t="s">
        <v>39</v>
      </c>
      <c r="B1723" s="418"/>
      <c r="C1723" s="418"/>
      <c r="D1723" s="418"/>
      <c r="E1723" s="418"/>
      <c r="F1723" s="418"/>
      <c r="G1723" s="416"/>
      <c r="H1723" s="61" t="s">
        <v>40</v>
      </c>
      <c r="I1723" s="717" t="s">
        <v>404</v>
      </c>
      <c r="J1723" s="416"/>
      <c r="K1723" s="717" t="s">
        <v>184</v>
      </c>
      <c r="L1723" s="416"/>
      <c r="M1723" s="717" t="s">
        <v>405</v>
      </c>
      <c r="N1723" s="416"/>
    </row>
    <row r="1724" spans="1:16" ht="12.75" customHeight="1" x14ac:dyDescent="0.2">
      <c r="A1724" s="719" t="s">
        <v>519</v>
      </c>
      <c r="B1724" s="418"/>
      <c r="C1724" s="418"/>
      <c r="D1724" s="418"/>
      <c r="E1724" s="418"/>
      <c r="F1724" s="418"/>
      <c r="G1724" s="416"/>
      <c r="H1724" s="12" t="str">
        <f t="shared" ref="H1724:H1735" si="224">IF(A1724="","",VLOOKUP(A1724,AA_Materiales,7,FALSE))</f>
        <v>m2</v>
      </c>
      <c r="I1724" s="712">
        <f t="shared" ref="I1724:I1735" si="225">IF(A1724="","",VLOOKUP(A1724,AA_Materiales,8,FALSE))</f>
        <v>5165.5045752643746</v>
      </c>
      <c r="J1724" s="416"/>
      <c r="K1724" s="715">
        <f>+'18'!$F$114</f>
        <v>2.0106240000000004</v>
      </c>
      <c r="L1724" s="416"/>
      <c r="M1724" s="712">
        <f t="shared" ref="M1724:M1735" si="226">IF(A1724="","",I1724*K1724)</f>
        <v>10385.887471136361</v>
      </c>
      <c r="N1724" s="416"/>
    </row>
    <row r="1725" spans="1:16" ht="12.75" customHeight="1" x14ac:dyDescent="0.2">
      <c r="A1725" s="719" t="s">
        <v>520</v>
      </c>
      <c r="B1725" s="418"/>
      <c r="C1725" s="418"/>
      <c r="D1725" s="418"/>
      <c r="E1725" s="418"/>
      <c r="F1725" s="418"/>
      <c r="G1725" s="416"/>
      <c r="H1725" s="12" t="str">
        <f t="shared" si="224"/>
        <v>m3</v>
      </c>
      <c r="I1725" s="712">
        <f t="shared" si="225"/>
        <v>69126.000000000015</v>
      </c>
      <c r="J1725" s="416"/>
      <c r="K1725" s="751">
        <v>5</v>
      </c>
      <c r="L1725" s="752"/>
      <c r="M1725" s="712">
        <f>IF(A1725="","",I1725*K1725)</f>
        <v>345630.00000000006</v>
      </c>
      <c r="N1725" s="416"/>
    </row>
    <row r="1726" spans="1:16" ht="27" customHeight="1" x14ac:dyDescent="0.2">
      <c r="A1726" s="719" t="s">
        <v>521</v>
      </c>
      <c r="B1726" s="418"/>
      <c r="C1726" s="418"/>
      <c r="D1726" s="418"/>
      <c r="E1726" s="418"/>
      <c r="F1726" s="418"/>
      <c r="G1726" s="416"/>
      <c r="H1726" s="12" t="str">
        <f t="shared" si="224"/>
        <v>m3</v>
      </c>
      <c r="I1726" s="712">
        <f t="shared" si="225"/>
        <v>139300.48782583541</v>
      </c>
      <c r="J1726" s="416"/>
      <c r="K1726" s="715">
        <f>+'18'!$F$136</f>
        <v>0.40212000000000003</v>
      </c>
      <c r="L1726" s="416"/>
      <c r="M1726" s="712">
        <f>IF(A1726="","",I1726*K1726)</f>
        <v>56015.512164524938</v>
      </c>
      <c r="N1726" s="416"/>
    </row>
    <row r="1727" spans="1:16" ht="12.75" customHeight="1" x14ac:dyDescent="0.2">
      <c r="A1727" s="719" t="s">
        <v>522</v>
      </c>
      <c r="B1727" s="418"/>
      <c r="C1727" s="418"/>
      <c r="D1727" s="418"/>
      <c r="E1727" s="418"/>
      <c r="F1727" s="418"/>
      <c r="G1727" s="416"/>
      <c r="H1727" s="12" t="str">
        <f t="shared" si="224"/>
        <v>m3</v>
      </c>
      <c r="I1727" s="712">
        <f t="shared" si="225"/>
        <v>568340.14513763634</v>
      </c>
      <c r="J1727" s="416"/>
      <c r="K1727" s="715">
        <f>+'18'!$F$147</f>
        <v>0.10053000000000001</v>
      </c>
      <c r="L1727" s="416"/>
      <c r="M1727" s="712">
        <f t="shared" si="226"/>
        <v>57135.234790686583</v>
      </c>
      <c r="N1727" s="416"/>
    </row>
    <row r="1728" spans="1:16" ht="12.75" customHeight="1" x14ac:dyDescent="0.2">
      <c r="A1728" s="719" t="s">
        <v>540</v>
      </c>
      <c r="B1728" s="418"/>
      <c r="C1728" s="418"/>
      <c r="D1728" s="418"/>
      <c r="E1728" s="418"/>
      <c r="F1728" s="418"/>
      <c r="G1728" s="416"/>
      <c r="H1728" s="12" t="str">
        <f t="shared" si="224"/>
        <v>m3</v>
      </c>
      <c r="I1728" s="712">
        <f t="shared" si="225"/>
        <v>779466.77586727508</v>
      </c>
      <c r="J1728" s="416"/>
      <c r="K1728" s="715">
        <v>0.32</v>
      </c>
      <c r="L1728" s="416"/>
      <c r="M1728" s="712">
        <f t="shared" si="226"/>
        <v>249429.36827752803</v>
      </c>
      <c r="N1728" s="416"/>
    </row>
    <row r="1729" spans="1:14" ht="12.75" customHeight="1" x14ac:dyDescent="0.2">
      <c r="A1729" s="719" t="s">
        <v>543</v>
      </c>
      <c r="B1729" s="418"/>
      <c r="C1729" s="418"/>
      <c r="D1729" s="418"/>
      <c r="E1729" s="418"/>
      <c r="F1729" s="418"/>
      <c r="G1729" s="416"/>
      <c r="H1729" s="12" t="str">
        <f t="shared" si="224"/>
        <v>m3</v>
      </c>
      <c r="I1729" s="712">
        <f t="shared" si="225"/>
        <v>1521992.9025899819</v>
      </c>
      <c r="J1729" s="416"/>
      <c r="K1729" s="715">
        <v>1.41</v>
      </c>
      <c r="L1729" s="416"/>
      <c r="M1729" s="712">
        <f t="shared" si="226"/>
        <v>2146009.9926518742</v>
      </c>
      <c r="N1729" s="416"/>
    </row>
    <row r="1730" spans="1:14" ht="12.75" customHeight="1" x14ac:dyDescent="0.2">
      <c r="A1730" s="719" t="s">
        <v>541</v>
      </c>
      <c r="B1730" s="418"/>
      <c r="C1730" s="418"/>
      <c r="D1730" s="418"/>
      <c r="E1730" s="418"/>
      <c r="F1730" s="418"/>
      <c r="G1730" s="416"/>
      <c r="H1730" s="12" t="str">
        <f t="shared" si="224"/>
        <v>m3</v>
      </c>
      <c r="I1730" s="712">
        <f t="shared" si="225"/>
        <v>1069692.5030110567</v>
      </c>
      <c r="J1730" s="416"/>
      <c r="K1730" s="715">
        <f>+'18'!$F$180</f>
        <v>0.35</v>
      </c>
      <c r="L1730" s="416"/>
      <c r="M1730" s="712">
        <f t="shared" si="226"/>
        <v>374392.37605386984</v>
      </c>
      <c r="N1730" s="416"/>
    </row>
    <row r="1731" spans="1:14" ht="27" customHeight="1" x14ac:dyDescent="0.2">
      <c r="A1731" s="719" t="s">
        <v>527</v>
      </c>
      <c r="B1731" s="418"/>
      <c r="C1731" s="418"/>
      <c r="D1731" s="418"/>
      <c r="E1731" s="418"/>
      <c r="F1731" s="418"/>
      <c r="G1731" s="416"/>
      <c r="H1731" s="12" t="str">
        <f t="shared" si="224"/>
        <v>m3</v>
      </c>
      <c r="I1731" s="712">
        <f t="shared" si="225"/>
        <v>25094.779677772727</v>
      </c>
      <c r="J1731" s="416"/>
      <c r="K1731" s="715">
        <f>+K1725-K1726-K1727-K1728-(2.0106*1.7)</f>
        <v>0.75932999999999939</v>
      </c>
      <c r="L1731" s="416"/>
      <c r="M1731" s="712">
        <f t="shared" si="226"/>
        <v>19055.219052723151</v>
      </c>
      <c r="N1731" s="416"/>
    </row>
    <row r="1732" spans="1:14" ht="27" customHeight="1" x14ac:dyDescent="0.2">
      <c r="A1732" s="719" t="s">
        <v>524</v>
      </c>
      <c r="B1732" s="418"/>
      <c r="C1732" s="418"/>
      <c r="D1732" s="418"/>
      <c r="E1732" s="418"/>
      <c r="F1732" s="418"/>
      <c r="G1732" s="416"/>
      <c r="H1732" s="12" t="str">
        <f t="shared" si="224"/>
        <v>Unidad</v>
      </c>
      <c r="I1732" s="712">
        <f t="shared" si="225"/>
        <v>115255.28385825001</v>
      </c>
      <c r="J1732" s="416"/>
      <c r="K1732" s="715">
        <f>+'18'!$F$191</f>
        <v>4</v>
      </c>
      <c r="L1732" s="416"/>
      <c r="M1732" s="712">
        <f t="shared" si="226"/>
        <v>461021.13543300005</v>
      </c>
      <c r="N1732" s="416"/>
    </row>
    <row r="1733" spans="1:14" ht="12.75" customHeight="1" x14ac:dyDescent="0.2">
      <c r="A1733" s="719" t="s">
        <v>538</v>
      </c>
      <c r="B1733" s="418"/>
      <c r="C1733" s="418"/>
      <c r="D1733" s="418"/>
      <c r="E1733" s="418"/>
      <c r="F1733" s="418"/>
      <c r="G1733" s="416"/>
      <c r="H1733" s="12" t="str">
        <f t="shared" si="224"/>
        <v>m3</v>
      </c>
      <c r="I1733" s="712">
        <f t="shared" si="225"/>
        <v>17142.28</v>
      </c>
      <c r="J1733" s="416"/>
      <c r="K1733" s="715">
        <f>+K1725-K1731</f>
        <v>4.2406700000000006</v>
      </c>
      <c r="L1733" s="416"/>
      <c r="M1733" s="712">
        <f t="shared" si="226"/>
        <v>72694.752527600009</v>
      </c>
      <c r="N1733" s="416"/>
    </row>
    <row r="1734" spans="1:14" ht="12.75" customHeight="1" x14ac:dyDescent="0.2">
      <c r="A1734" s="719" t="s">
        <v>525</v>
      </c>
      <c r="B1734" s="418"/>
      <c r="C1734" s="418"/>
      <c r="D1734" s="418"/>
      <c r="E1734" s="418"/>
      <c r="F1734" s="418"/>
      <c r="G1734" s="416"/>
      <c r="H1734" s="12" t="str">
        <f t="shared" si="224"/>
        <v>Unidad</v>
      </c>
      <c r="I1734" s="712">
        <v>800000</v>
      </c>
      <c r="J1734" s="416"/>
      <c r="K1734" s="715">
        <f>+'18'!$F$202</f>
        <v>1</v>
      </c>
      <c r="L1734" s="416"/>
      <c r="M1734" s="712">
        <f t="shared" si="226"/>
        <v>800000</v>
      </c>
      <c r="N1734" s="416"/>
    </row>
    <row r="1735" spans="1:14" ht="12.75" customHeight="1" x14ac:dyDescent="0.2">
      <c r="A1735" s="719"/>
      <c r="B1735" s="418"/>
      <c r="C1735" s="418"/>
      <c r="D1735" s="418"/>
      <c r="E1735" s="418"/>
      <c r="F1735" s="418"/>
      <c r="G1735" s="416"/>
      <c r="H1735" s="12" t="str">
        <f t="shared" si="224"/>
        <v/>
      </c>
      <c r="I1735" s="712" t="str">
        <f t="shared" si="225"/>
        <v/>
      </c>
      <c r="J1735" s="416"/>
      <c r="K1735" s="715"/>
      <c r="L1735" s="416"/>
      <c r="M1735" s="712" t="str">
        <f t="shared" si="226"/>
        <v/>
      </c>
      <c r="N1735" s="416"/>
    </row>
    <row r="1736" spans="1:14" ht="12.75" customHeight="1" x14ac:dyDescent="0.25">
      <c r="A1736" s="5"/>
      <c r="B1736" s="5"/>
      <c r="C1736" s="5"/>
      <c r="D1736" s="5"/>
      <c r="E1736" s="5"/>
      <c r="F1736" s="5"/>
      <c r="G1736" s="5"/>
      <c r="H1736" s="5"/>
      <c r="I1736" s="5"/>
      <c r="J1736" s="5"/>
      <c r="K1736" s="713" t="s">
        <v>261</v>
      </c>
      <c r="L1736" s="416"/>
      <c r="M1736" s="712">
        <f>SUM(M1724:N1735)</f>
        <v>4591769.4784229435</v>
      </c>
      <c r="N1736" s="416"/>
    </row>
    <row r="1737" spans="1:14" ht="12.75" customHeight="1" x14ac:dyDescent="0.25">
      <c r="A1737" s="5"/>
      <c r="B1737" s="5"/>
      <c r="C1737" s="5"/>
      <c r="D1737" s="5"/>
      <c r="E1737" s="5"/>
      <c r="F1737" s="5"/>
      <c r="G1737" s="5"/>
      <c r="H1737" s="5"/>
      <c r="I1737" s="5"/>
      <c r="J1737" s="5"/>
      <c r="K1737" s="5"/>
      <c r="L1737" s="5"/>
      <c r="M1737" s="5"/>
      <c r="N1737" s="5"/>
    </row>
    <row r="1738" spans="1:14" ht="12.75" customHeight="1" x14ac:dyDescent="0.2">
      <c r="A1738" s="716" t="s">
        <v>410</v>
      </c>
      <c r="B1738" s="418"/>
      <c r="C1738" s="418"/>
      <c r="D1738" s="418"/>
      <c r="E1738" s="418"/>
      <c r="F1738" s="418"/>
      <c r="G1738" s="418"/>
      <c r="H1738" s="418"/>
      <c r="I1738" s="418"/>
      <c r="J1738" s="418"/>
      <c r="K1738" s="418"/>
      <c r="L1738" s="418"/>
      <c r="M1738" s="418"/>
      <c r="N1738" s="416"/>
    </row>
    <row r="1739" spans="1:14" ht="12.75" customHeight="1" x14ac:dyDescent="0.2">
      <c r="A1739" s="713" t="s">
        <v>39</v>
      </c>
      <c r="B1739" s="418"/>
      <c r="C1739" s="418"/>
      <c r="D1739" s="418"/>
      <c r="E1739" s="418"/>
      <c r="F1739" s="418"/>
      <c r="G1739" s="416"/>
      <c r="H1739" s="61" t="s">
        <v>40</v>
      </c>
      <c r="I1739" s="717" t="s">
        <v>404</v>
      </c>
      <c r="J1739" s="416"/>
      <c r="K1739" s="717" t="s">
        <v>184</v>
      </c>
      <c r="L1739" s="416"/>
      <c r="M1739" s="717" t="s">
        <v>405</v>
      </c>
      <c r="N1739" s="416"/>
    </row>
    <row r="1740" spans="1:14" ht="12.75" customHeight="1" x14ac:dyDescent="0.2">
      <c r="A1740" s="714"/>
      <c r="B1740" s="418"/>
      <c r="C1740" s="418"/>
      <c r="D1740" s="418"/>
      <c r="E1740" s="418"/>
      <c r="F1740" s="418"/>
      <c r="G1740" s="416"/>
      <c r="H1740" s="12" t="str">
        <f>IF(A1740="","",VLOOKUP(A1740,AA_Equipos,7,FALSE))</f>
        <v/>
      </c>
      <c r="I1740" s="712"/>
      <c r="J1740" s="416"/>
      <c r="K1740" s="722"/>
      <c r="L1740" s="416"/>
      <c r="M1740" s="712" t="str">
        <f t="shared" ref="M1740:M1744" si="227">IF(A1740="","",I1740*K1740)</f>
        <v/>
      </c>
      <c r="N1740" s="416"/>
    </row>
    <row r="1741" spans="1:14" ht="12.75" customHeight="1" x14ac:dyDescent="0.2">
      <c r="A1741" s="719"/>
      <c r="B1741" s="418"/>
      <c r="C1741" s="418"/>
      <c r="D1741" s="418"/>
      <c r="E1741" s="418"/>
      <c r="F1741" s="418"/>
      <c r="G1741" s="416"/>
      <c r="H1741" s="12" t="str">
        <f>IF(A1741="","",VLOOKUP(A1741,AA_Equipos,7,FALSE))</f>
        <v/>
      </c>
      <c r="I1741" s="712" t="str">
        <f>IF(A1741="","",VLOOKUP(A1741,AA_Equipos,8,FALSE))</f>
        <v/>
      </c>
      <c r="J1741" s="416"/>
      <c r="K1741" s="723"/>
      <c r="L1741" s="416"/>
      <c r="M1741" s="712" t="str">
        <f t="shared" si="227"/>
        <v/>
      </c>
      <c r="N1741" s="416"/>
    </row>
    <row r="1742" spans="1:14" ht="12.75" customHeight="1" x14ac:dyDescent="0.2">
      <c r="A1742" s="714"/>
      <c r="B1742" s="418"/>
      <c r="C1742" s="418"/>
      <c r="D1742" s="418"/>
      <c r="E1742" s="418"/>
      <c r="F1742" s="418"/>
      <c r="G1742" s="416"/>
      <c r="H1742" s="12" t="str">
        <f>IF(A1742="","",VLOOKUP(A1742,AA_Equipos,7,FALSE))</f>
        <v/>
      </c>
      <c r="I1742" s="712" t="str">
        <f>IF(A1742="","",VLOOKUP(A1742,AA_Equipos,8,FALSE))</f>
        <v/>
      </c>
      <c r="J1742" s="416"/>
      <c r="K1742" s="786"/>
      <c r="L1742" s="416"/>
      <c r="M1742" s="712" t="str">
        <f t="shared" si="227"/>
        <v/>
      </c>
      <c r="N1742" s="416"/>
    </row>
    <row r="1743" spans="1:14" ht="12.75" customHeight="1" x14ac:dyDescent="0.2">
      <c r="A1743" s="714"/>
      <c r="B1743" s="418"/>
      <c r="C1743" s="418"/>
      <c r="D1743" s="418"/>
      <c r="E1743" s="418"/>
      <c r="F1743" s="418"/>
      <c r="G1743" s="416"/>
      <c r="H1743" s="12" t="str">
        <f>IF(A1743="","",VLOOKUP(A1743,AA_Equipos,7,FALSE))</f>
        <v/>
      </c>
      <c r="I1743" s="712" t="str">
        <f>IF(A1743="","",VLOOKUP(A1743,AA_Equipos,8,FALSE))</f>
        <v/>
      </c>
      <c r="J1743" s="416"/>
      <c r="K1743" s="715"/>
      <c r="L1743" s="416"/>
      <c r="M1743" s="712" t="str">
        <f t="shared" si="227"/>
        <v/>
      </c>
      <c r="N1743" s="416"/>
    </row>
    <row r="1744" spans="1:14" ht="12.75" customHeight="1" x14ac:dyDescent="0.2">
      <c r="A1744" s="714"/>
      <c r="B1744" s="418"/>
      <c r="C1744" s="418"/>
      <c r="D1744" s="418"/>
      <c r="E1744" s="418"/>
      <c r="F1744" s="418"/>
      <c r="G1744" s="416"/>
      <c r="H1744" s="12" t="str">
        <f>IF(A1744="","",VLOOKUP(A1744,AA_Equipos,7,FALSE))</f>
        <v/>
      </c>
      <c r="I1744" s="712" t="str">
        <f>IF(A1744="","",VLOOKUP(A1744,AA_Equipos,8,FALSE))</f>
        <v/>
      </c>
      <c r="J1744" s="416"/>
      <c r="K1744" s="715"/>
      <c r="L1744" s="416"/>
      <c r="M1744" s="712" t="str">
        <f t="shared" si="227"/>
        <v/>
      </c>
      <c r="N1744" s="416"/>
    </row>
    <row r="1745" spans="1:14" ht="12.75" customHeight="1" x14ac:dyDescent="0.25">
      <c r="A1745" s="5"/>
      <c r="B1745" s="5"/>
      <c r="C1745" s="5"/>
      <c r="D1745" s="5"/>
      <c r="E1745" s="5"/>
      <c r="F1745" s="5"/>
      <c r="G1745" s="5"/>
      <c r="H1745" s="5"/>
      <c r="I1745" s="5"/>
      <c r="J1745" s="5"/>
      <c r="K1745" s="713" t="s">
        <v>261</v>
      </c>
      <c r="L1745" s="416"/>
      <c r="M1745" s="712">
        <f>SUM(M1740:N1744)</f>
        <v>0</v>
      </c>
      <c r="N1745" s="416"/>
    </row>
    <row r="1746" spans="1:14" ht="12.75" customHeight="1" x14ac:dyDescent="0.25">
      <c r="A1746" s="5"/>
      <c r="B1746" s="5"/>
      <c r="C1746" s="5"/>
      <c r="D1746" s="5"/>
      <c r="E1746" s="5"/>
      <c r="F1746" s="5"/>
      <c r="G1746" s="5"/>
      <c r="H1746" s="5"/>
      <c r="I1746" s="5"/>
      <c r="J1746" s="5"/>
      <c r="K1746" s="5"/>
      <c r="L1746" s="5"/>
      <c r="M1746" s="5"/>
      <c r="N1746" s="5"/>
    </row>
    <row r="1747" spans="1:14" ht="12.75" customHeight="1" x14ac:dyDescent="0.2">
      <c r="A1747" s="716" t="s">
        <v>413</v>
      </c>
      <c r="B1747" s="418"/>
      <c r="C1747" s="418"/>
      <c r="D1747" s="418"/>
      <c r="E1747" s="418"/>
      <c r="F1747" s="418"/>
      <c r="G1747" s="418"/>
      <c r="H1747" s="418"/>
      <c r="I1747" s="418"/>
      <c r="J1747" s="418"/>
      <c r="K1747" s="418"/>
      <c r="L1747" s="418"/>
      <c r="M1747" s="418"/>
      <c r="N1747" s="416"/>
    </row>
    <row r="1748" spans="1:14" ht="12.75" customHeight="1" x14ac:dyDescent="0.2">
      <c r="A1748" s="713" t="s">
        <v>39</v>
      </c>
      <c r="B1748" s="418"/>
      <c r="C1748" s="418"/>
      <c r="D1748" s="418"/>
      <c r="E1748" s="418"/>
      <c r="F1748" s="418"/>
      <c r="G1748" s="416"/>
      <c r="H1748" s="61" t="s">
        <v>40</v>
      </c>
      <c r="I1748" s="717" t="s">
        <v>404</v>
      </c>
      <c r="J1748" s="416"/>
      <c r="K1748" s="717" t="s">
        <v>184</v>
      </c>
      <c r="L1748" s="416"/>
      <c r="M1748" s="717" t="s">
        <v>405</v>
      </c>
      <c r="N1748" s="416"/>
    </row>
    <row r="1749" spans="1:14" ht="12.75" customHeight="1" x14ac:dyDescent="0.2">
      <c r="A1749" s="714"/>
      <c r="B1749" s="418"/>
      <c r="C1749" s="418"/>
      <c r="D1749" s="418"/>
      <c r="E1749" s="418"/>
      <c r="F1749" s="418"/>
      <c r="G1749" s="416"/>
      <c r="H1749" s="12"/>
      <c r="I1749" s="712"/>
      <c r="J1749" s="416"/>
      <c r="K1749" s="722"/>
      <c r="L1749" s="416"/>
      <c r="M1749" s="712" t="str">
        <f t="shared" ref="M1749:M1753" si="228">IF(A1749="","",I1749*K1749)</f>
        <v/>
      </c>
      <c r="N1749" s="416"/>
    </row>
    <row r="1750" spans="1:14" ht="12.75" customHeight="1" x14ac:dyDescent="0.2">
      <c r="A1750" s="719"/>
      <c r="B1750" s="418"/>
      <c r="C1750" s="418"/>
      <c r="D1750" s="418"/>
      <c r="E1750" s="418"/>
      <c r="F1750" s="418"/>
      <c r="G1750" s="416"/>
      <c r="H1750" s="12"/>
      <c r="I1750" s="712"/>
      <c r="J1750" s="416"/>
      <c r="K1750" s="722"/>
      <c r="L1750" s="416"/>
      <c r="M1750" s="712" t="str">
        <f t="shared" si="228"/>
        <v/>
      </c>
      <c r="N1750" s="416"/>
    </row>
    <row r="1751" spans="1:14" ht="12.75" customHeight="1" x14ac:dyDescent="0.2">
      <c r="A1751" s="714"/>
      <c r="B1751" s="418"/>
      <c r="C1751" s="418"/>
      <c r="D1751" s="418"/>
      <c r="E1751" s="418"/>
      <c r="F1751" s="418"/>
      <c r="G1751" s="416"/>
      <c r="H1751" s="12"/>
      <c r="I1751" s="712"/>
      <c r="J1751" s="416"/>
      <c r="K1751" s="715"/>
      <c r="L1751" s="416"/>
      <c r="M1751" s="712" t="str">
        <f t="shared" si="228"/>
        <v/>
      </c>
      <c r="N1751" s="416"/>
    </row>
    <row r="1752" spans="1:14" ht="12.75" customHeight="1" x14ac:dyDescent="0.2">
      <c r="A1752" s="714"/>
      <c r="B1752" s="418"/>
      <c r="C1752" s="418"/>
      <c r="D1752" s="418"/>
      <c r="E1752" s="418"/>
      <c r="F1752" s="418"/>
      <c r="G1752" s="416"/>
      <c r="H1752" s="12"/>
      <c r="I1752" s="712"/>
      <c r="J1752" s="416"/>
      <c r="K1752" s="715"/>
      <c r="L1752" s="416"/>
      <c r="M1752" s="712" t="str">
        <f t="shared" si="228"/>
        <v/>
      </c>
      <c r="N1752" s="416"/>
    </row>
    <row r="1753" spans="1:14" ht="12.75" customHeight="1" x14ac:dyDescent="0.2">
      <c r="A1753" s="714"/>
      <c r="B1753" s="418"/>
      <c r="C1753" s="418"/>
      <c r="D1753" s="418"/>
      <c r="E1753" s="418"/>
      <c r="F1753" s="418"/>
      <c r="G1753" s="416"/>
      <c r="H1753" s="12"/>
      <c r="I1753" s="712"/>
      <c r="J1753" s="416"/>
      <c r="K1753" s="715"/>
      <c r="L1753" s="416"/>
      <c r="M1753" s="712" t="str">
        <f t="shared" si="228"/>
        <v/>
      </c>
      <c r="N1753" s="416"/>
    </row>
    <row r="1754" spans="1:14" ht="12.75" customHeight="1" x14ac:dyDescent="0.25">
      <c r="A1754" s="5"/>
      <c r="B1754" s="5"/>
      <c r="C1754" s="5"/>
      <c r="D1754" s="5"/>
      <c r="E1754" s="5"/>
      <c r="F1754" s="5"/>
      <c r="G1754" s="5"/>
      <c r="H1754" s="5"/>
      <c r="I1754" s="5"/>
      <c r="J1754" s="5"/>
      <c r="K1754" s="713" t="s">
        <v>261</v>
      </c>
      <c r="L1754" s="416"/>
      <c r="M1754" s="712">
        <f>SUM(M1749:N1753)</f>
        <v>0</v>
      </c>
      <c r="N1754" s="416"/>
    </row>
    <row r="1755" spans="1:14" ht="12.75" customHeight="1" x14ac:dyDescent="0.25">
      <c r="A1755" s="5"/>
      <c r="B1755" s="5"/>
      <c r="C1755" s="5"/>
      <c r="D1755" s="5"/>
      <c r="E1755" s="5"/>
      <c r="F1755" s="5"/>
      <c r="G1755" s="5"/>
      <c r="H1755" s="5"/>
      <c r="I1755" s="5"/>
      <c r="J1755" s="5"/>
      <c r="K1755" s="5"/>
      <c r="L1755" s="5"/>
      <c r="M1755" s="5"/>
      <c r="N1755" s="5"/>
    </row>
    <row r="1756" spans="1:14" ht="12.75" customHeight="1" x14ac:dyDescent="0.2">
      <c r="A1756" s="716" t="s">
        <v>415</v>
      </c>
      <c r="B1756" s="418"/>
      <c r="C1756" s="418"/>
      <c r="D1756" s="418"/>
      <c r="E1756" s="418"/>
      <c r="F1756" s="418"/>
      <c r="G1756" s="418"/>
      <c r="H1756" s="418"/>
      <c r="I1756" s="418"/>
      <c r="J1756" s="418"/>
      <c r="K1756" s="418"/>
      <c r="L1756" s="418"/>
      <c r="M1756" s="418"/>
      <c r="N1756" s="416"/>
    </row>
    <row r="1757" spans="1:14" ht="12.75" customHeight="1" x14ac:dyDescent="0.2">
      <c r="A1757" s="713" t="s">
        <v>39</v>
      </c>
      <c r="B1757" s="418"/>
      <c r="C1757" s="418"/>
      <c r="D1757" s="418"/>
      <c r="E1757" s="418"/>
      <c r="F1757" s="418"/>
      <c r="G1757" s="416"/>
      <c r="H1757" s="61" t="s">
        <v>40</v>
      </c>
      <c r="I1757" s="717" t="s">
        <v>404</v>
      </c>
      <c r="J1757" s="416"/>
      <c r="K1757" s="64" t="s">
        <v>253</v>
      </c>
      <c r="L1757" s="65" t="s">
        <v>416</v>
      </c>
      <c r="M1757" s="717" t="s">
        <v>405</v>
      </c>
      <c r="N1757" s="416"/>
    </row>
    <row r="1758" spans="1:14" ht="12.75" customHeight="1" x14ac:dyDescent="0.25">
      <c r="A1758" s="711" t="s">
        <v>449</v>
      </c>
      <c r="B1758" s="418"/>
      <c r="C1758" s="418"/>
      <c r="D1758" s="418"/>
      <c r="E1758" s="418"/>
      <c r="F1758" s="418"/>
      <c r="G1758" s="416"/>
      <c r="H1758" s="12" t="str">
        <f>IF(A1758="","",VLOOKUP(A1758,AA_Cuadrillas,4,FALSE))</f>
        <v>Cuadrilla</v>
      </c>
      <c r="I1758" s="712">
        <f>IF(A1758="","",VLOOKUP(A1758,AA_Cuadrillas,5,FALSE))</f>
        <v>239290</v>
      </c>
      <c r="J1758" s="416"/>
      <c r="K1758" s="3">
        <f>IF(A1758="","",'04'!$I$2)</f>
        <v>1.88995</v>
      </c>
      <c r="L1758" s="71">
        <v>1.4</v>
      </c>
      <c r="M1758" s="712">
        <f t="shared" ref="M1758:M1762" si="229">IF(A1758="","",I1758*K1758*L1758)</f>
        <v>633144.58970000001</v>
      </c>
      <c r="N1758" s="416"/>
    </row>
    <row r="1759" spans="1:14" ht="12.75" customHeight="1" x14ac:dyDescent="0.25">
      <c r="A1759" s="711"/>
      <c r="B1759" s="418"/>
      <c r="C1759" s="418"/>
      <c r="D1759" s="418"/>
      <c r="E1759" s="418"/>
      <c r="F1759" s="418"/>
      <c r="G1759" s="416"/>
      <c r="H1759" s="12" t="str">
        <f>IF(A1759="","",VLOOKUP(A1759,AA_Cuadrillas,4,FALSE))</f>
        <v/>
      </c>
      <c r="I1759" s="712" t="str">
        <f>IF(A1759="","",VLOOKUP(A1759,AA_Cuadrillas,5,FALSE))</f>
        <v/>
      </c>
      <c r="J1759" s="416"/>
      <c r="K1759" s="3" t="str">
        <f>IF(A1759="","",'04'!$I$2)</f>
        <v/>
      </c>
      <c r="L1759" s="3"/>
      <c r="M1759" s="712" t="str">
        <f t="shared" si="229"/>
        <v/>
      </c>
      <c r="N1759" s="416"/>
    </row>
    <row r="1760" spans="1:14" ht="12.75" customHeight="1" x14ac:dyDescent="0.25">
      <c r="A1760" s="711"/>
      <c r="B1760" s="418"/>
      <c r="C1760" s="418"/>
      <c r="D1760" s="418"/>
      <c r="E1760" s="418"/>
      <c r="F1760" s="418"/>
      <c r="G1760" s="416"/>
      <c r="H1760" s="12" t="str">
        <f>IF(A1760="","",VLOOKUP(A1760,AA_Cuadrillas,4,FALSE))</f>
        <v/>
      </c>
      <c r="I1760" s="712" t="str">
        <f>IF(A1760="","",VLOOKUP(A1760,AA_Cuadrillas,5,FALSE))</f>
        <v/>
      </c>
      <c r="J1760" s="416"/>
      <c r="K1760" s="3" t="str">
        <f>IF(A1760="","",'04'!$I$2)</f>
        <v/>
      </c>
      <c r="L1760" s="13"/>
      <c r="M1760" s="712" t="str">
        <f t="shared" si="229"/>
        <v/>
      </c>
      <c r="N1760" s="416"/>
    </row>
    <row r="1761" spans="1:16" ht="12.75" customHeight="1" x14ac:dyDescent="0.25">
      <c r="A1761" s="711"/>
      <c r="B1761" s="418"/>
      <c r="C1761" s="418"/>
      <c r="D1761" s="418"/>
      <c r="E1761" s="418"/>
      <c r="F1761" s="418"/>
      <c r="G1761" s="416"/>
      <c r="H1761" s="12" t="str">
        <f>IF(A1761="","",VLOOKUP(A1761,AA_Cuadrillas,4,FALSE))</f>
        <v/>
      </c>
      <c r="I1761" s="712" t="str">
        <f>IF(A1761="","",VLOOKUP(A1761,AA_Cuadrillas,5,FALSE))</f>
        <v/>
      </c>
      <c r="J1761" s="416"/>
      <c r="K1761" s="3" t="str">
        <f>IF(A1761="","",'04'!$I$2)</f>
        <v/>
      </c>
      <c r="L1761" s="13"/>
      <c r="M1761" s="712" t="str">
        <f t="shared" si="229"/>
        <v/>
      </c>
      <c r="N1761" s="416"/>
    </row>
    <row r="1762" spans="1:16" ht="12.75" customHeight="1" x14ac:dyDescent="0.25">
      <c r="A1762" s="711"/>
      <c r="B1762" s="418"/>
      <c r="C1762" s="418"/>
      <c r="D1762" s="418"/>
      <c r="E1762" s="418"/>
      <c r="F1762" s="418"/>
      <c r="G1762" s="416"/>
      <c r="H1762" s="12" t="str">
        <f>IF(A1762="","",VLOOKUP(A1762,AA_Cuadrillas,4,FALSE))</f>
        <v/>
      </c>
      <c r="I1762" s="712" t="str">
        <f>IF(A1762="","",VLOOKUP(A1762,AA_Cuadrillas,5,FALSE))</f>
        <v/>
      </c>
      <c r="J1762" s="416"/>
      <c r="K1762" s="3" t="str">
        <f>IF(A1762="","",'04'!$I$2)</f>
        <v/>
      </c>
      <c r="L1762" s="13"/>
      <c r="M1762" s="712" t="str">
        <f t="shared" si="229"/>
        <v/>
      </c>
      <c r="N1762" s="416"/>
    </row>
    <row r="1763" spans="1:16" ht="12.75" customHeight="1" x14ac:dyDescent="0.25">
      <c r="A1763" s="5"/>
      <c r="B1763" s="5"/>
      <c r="C1763" s="5"/>
      <c r="D1763" s="5"/>
      <c r="E1763" s="5"/>
      <c r="F1763" s="5"/>
      <c r="G1763" s="5"/>
      <c r="H1763" s="5"/>
      <c r="I1763" s="5"/>
      <c r="J1763" s="5"/>
      <c r="K1763" s="713" t="s">
        <v>261</v>
      </c>
      <c r="L1763" s="416"/>
      <c r="M1763" s="712">
        <f>SUM(M1758:N1762)</f>
        <v>633144.58970000001</v>
      </c>
      <c r="N1763" s="416"/>
    </row>
    <row r="1764" spans="1:16" ht="12.75" customHeight="1" x14ac:dyDescent="0.2"/>
    <row r="1765" spans="1:16" ht="12.75" customHeight="1" x14ac:dyDescent="0.2">
      <c r="A1765" s="787" t="s">
        <v>93</v>
      </c>
      <c r="B1765" s="410"/>
      <c r="C1765" s="410"/>
      <c r="D1765" s="410"/>
      <c r="E1765" s="410"/>
      <c r="F1765" s="410"/>
      <c r="G1765" s="410"/>
      <c r="H1765" s="410"/>
      <c r="I1765" s="410"/>
      <c r="J1765" s="410"/>
      <c r="K1765" s="410"/>
      <c r="L1765" s="410"/>
      <c r="M1765" s="410"/>
      <c r="N1765" s="411"/>
      <c r="O1765" s="272"/>
      <c r="P1765" s="9"/>
    </row>
    <row r="1766" spans="1:16" ht="12.75" customHeight="1" x14ac:dyDescent="0.2">
      <c r="A1766" s="412"/>
      <c r="B1766" s="413"/>
      <c r="C1766" s="413"/>
      <c r="D1766" s="413"/>
      <c r="E1766" s="413"/>
      <c r="F1766" s="413"/>
      <c r="G1766" s="413"/>
      <c r="H1766" s="413"/>
      <c r="I1766" s="413"/>
      <c r="J1766" s="413"/>
      <c r="K1766" s="413"/>
      <c r="L1766" s="413"/>
      <c r="M1766" s="413"/>
      <c r="N1766" s="414"/>
      <c r="O1766" s="272"/>
      <c r="P1766" s="9"/>
    </row>
    <row r="1767" spans="1:16" ht="12.75" customHeight="1" x14ac:dyDescent="0.2">
      <c r="A1767" s="49"/>
      <c r="B1767" s="49"/>
      <c r="C1767" s="49"/>
      <c r="D1767" s="49"/>
      <c r="E1767" s="49"/>
      <c r="F1767" s="49"/>
      <c r="G1767" s="49"/>
      <c r="H1767" s="49"/>
      <c r="I1767" s="49"/>
      <c r="J1767" s="49"/>
      <c r="K1767" s="49"/>
      <c r="L1767" s="49"/>
      <c r="M1767" s="49"/>
      <c r="N1767" s="49"/>
    </row>
    <row r="1768" spans="1:16" ht="12.75" customHeight="1" thickBot="1" x14ac:dyDescent="0.35">
      <c r="A1768" s="51" t="str">
        <f>VLOOKUP(A1765,'10'!$B$9:$N$100,13,FALSE)</f>
        <v>G011</v>
      </c>
      <c r="B1768" s="52" t="str">
        <f>A1765</f>
        <v>SUMINISTRO E INSTALACIÓN CODO 11,25° Ø6" EN HIERRO DUCTIL CON UNIÓN MECÁNICA (INCLUYE MATERIALES, HERRAMIENTAS Y MANO DE OBRA)</v>
      </c>
      <c r="C1768" s="53" t="s">
        <v>400</v>
      </c>
      <c r="D1768" s="54" t="s">
        <v>475</v>
      </c>
      <c r="E1768" s="55" t="s">
        <v>177</v>
      </c>
      <c r="F1768" s="59">
        <f>H1768+J1768+L1768+N1768</f>
        <v>574377.18254892493</v>
      </c>
      <c r="G1768" s="55" t="s">
        <v>349</v>
      </c>
      <c r="H1768" s="59">
        <f>M1789</f>
        <v>628.73250142500001</v>
      </c>
      <c r="I1768" s="55" t="s">
        <v>402</v>
      </c>
      <c r="J1768" s="72">
        <f>M1780</f>
        <v>536690</v>
      </c>
      <c r="K1768" s="55" t="s">
        <v>351</v>
      </c>
      <c r="L1768" s="59">
        <f>M1798</f>
        <v>16100.699999999999</v>
      </c>
      <c r="M1768" s="55" t="s">
        <v>352</v>
      </c>
      <c r="N1768" s="59">
        <f>M1807</f>
        <v>20957.750047500002</v>
      </c>
    </row>
    <row r="1769" spans="1:16" ht="12.75" customHeight="1" thickBot="1" x14ac:dyDescent="0.3">
      <c r="A1769" s="60"/>
      <c r="B1769" s="60"/>
      <c r="C1769" s="60"/>
      <c r="D1769" s="60"/>
      <c r="E1769" s="60"/>
      <c r="F1769" s="60"/>
      <c r="G1769" s="60"/>
      <c r="J1769" s="60"/>
      <c r="K1769" s="60"/>
      <c r="L1769" s="327" t="s">
        <v>1934</v>
      </c>
      <c r="M1769" s="328">
        <f>+F1768*'01'!$O$16</f>
        <v>743411.20825074415</v>
      </c>
      <c r="N1769" s="60"/>
    </row>
    <row r="1770" spans="1:16" ht="12.75" customHeight="1" x14ac:dyDescent="0.2">
      <c r="A1770" s="716" t="s">
        <v>403</v>
      </c>
      <c r="B1770" s="418"/>
      <c r="C1770" s="418"/>
      <c r="D1770" s="418"/>
      <c r="E1770" s="418"/>
      <c r="F1770" s="418"/>
      <c r="G1770" s="418"/>
      <c r="H1770" s="418"/>
      <c r="I1770" s="418"/>
      <c r="J1770" s="418"/>
      <c r="K1770" s="418"/>
      <c r="L1770" s="418"/>
      <c r="M1770" s="418"/>
      <c r="N1770" s="416"/>
    </row>
    <row r="1771" spans="1:16" ht="12.75" customHeight="1" x14ac:dyDescent="0.2">
      <c r="A1771" s="713" t="s">
        <v>39</v>
      </c>
      <c r="B1771" s="418"/>
      <c r="C1771" s="418"/>
      <c r="D1771" s="418"/>
      <c r="E1771" s="418"/>
      <c r="F1771" s="418"/>
      <c r="G1771" s="416"/>
      <c r="H1771" s="61" t="s">
        <v>40</v>
      </c>
      <c r="I1771" s="717" t="s">
        <v>404</v>
      </c>
      <c r="J1771" s="416"/>
      <c r="K1771" s="717" t="s">
        <v>184</v>
      </c>
      <c r="L1771" s="416"/>
      <c r="M1771" s="717" t="s">
        <v>405</v>
      </c>
      <c r="N1771" s="416"/>
    </row>
    <row r="1772" spans="1:16" ht="12.75" customHeight="1" x14ac:dyDescent="0.2">
      <c r="A1772" s="719" t="s">
        <v>544</v>
      </c>
      <c r="B1772" s="418"/>
      <c r="C1772" s="418"/>
      <c r="D1772" s="418"/>
      <c r="E1772" s="418"/>
      <c r="F1772" s="418"/>
      <c r="G1772" s="416"/>
      <c r="H1772" s="12" t="str">
        <f t="shared" ref="H1772:H1779" si="230">IF(A1772="","",VLOOKUP(A1772,AA_Materiales,7,FALSE))</f>
        <v>Unidad</v>
      </c>
      <c r="I1772" s="712">
        <f t="shared" ref="I1772:I1779" si="231">IF(A1772="","",VLOOKUP(A1772,AA_Materiales,8,FALSE))</f>
        <v>536690</v>
      </c>
      <c r="J1772" s="416"/>
      <c r="K1772" s="715">
        <v>1</v>
      </c>
      <c r="L1772" s="416"/>
      <c r="M1772" s="712">
        <f t="shared" ref="M1772:M1779" si="232">IF(A1772="","",I1772*K1772)</f>
        <v>536690</v>
      </c>
      <c r="N1772" s="416"/>
    </row>
    <row r="1773" spans="1:16" ht="12.75" customHeight="1" x14ac:dyDescent="0.2">
      <c r="A1773" s="719"/>
      <c r="B1773" s="418"/>
      <c r="C1773" s="418"/>
      <c r="D1773" s="418"/>
      <c r="E1773" s="418"/>
      <c r="F1773" s="418"/>
      <c r="G1773" s="416"/>
      <c r="H1773" s="12" t="str">
        <f t="shared" si="230"/>
        <v/>
      </c>
      <c r="I1773" s="712" t="str">
        <f t="shared" si="231"/>
        <v/>
      </c>
      <c r="J1773" s="416"/>
      <c r="K1773" s="715"/>
      <c r="L1773" s="416"/>
      <c r="M1773" s="712" t="str">
        <f t="shared" si="232"/>
        <v/>
      </c>
      <c r="N1773" s="416"/>
    </row>
    <row r="1774" spans="1:16" ht="12.75" customHeight="1" x14ac:dyDescent="0.2">
      <c r="A1774" s="719"/>
      <c r="B1774" s="418"/>
      <c r="C1774" s="418"/>
      <c r="D1774" s="418"/>
      <c r="E1774" s="418"/>
      <c r="F1774" s="418"/>
      <c r="G1774" s="416"/>
      <c r="H1774" s="12" t="str">
        <f t="shared" si="230"/>
        <v/>
      </c>
      <c r="I1774" s="712" t="str">
        <f t="shared" si="231"/>
        <v/>
      </c>
      <c r="J1774" s="416"/>
      <c r="K1774" s="715"/>
      <c r="L1774" s="416"/>
      <c r="M1774" s="712" t="str">
        <f t="shared" si="232"/>
        <v/>
      </c>
      <c r="N1774" s="416"/>
    </row>
    <row r="1775" spans="1:16" ht="12.75" customHeight="1" x14ac:dyDescent="0.2">
      <c r="A1775" s="719"/>
      <c r="B1775" s="418"/>
      <c r="C1775" s="418"/>
      <c r="D1775" s="418"/>
      <c r="E1775" s="418"/>
      <c r="F1775" s="418"/>
      <c r="G1775" s="416"/>
      <c r="H1775" s="12" t="str">
        <f t="shared" si="230"/>
        <v/>
      </c>
      <c r="I1775" s="712" t="str">
        <f t="shared" si="231"/>
        <v/>
      </c>
      <c r="J1775" s="416"/>
      <c r="K1775" s="715"/>
      <c r="L1775" s="416"/>
      <c r="M1775" s="712" t="str">
        <f t="shared" si="232"/>
        <v/>
      </c>
      <c r="N1775" s="416"/>
    </row>
    <row r="1776" spans="1:16" ht="12.75" customHeight="1" x14ac:dyDescent="0.2">
      <c r="A1776" s="719"/>
      <c r="B1776" s="418"/>
      <c r="C1776" s="418"/>
      <c r="D1776" s="418"/>
      <c r="E1776" s="418"/>
      <c r="F1776" s="418"/>
      <c r="G1776" s="416"/>
      <c r="H1776" s="12" t="str">
        <f t="shared" si="230"/>
        <v/>
      </c>
      <c r="I1776" s="712" t="str">
        <f t="shared" si="231"/>
        <v/>
      </c>
      <c r="J1776" s="416"/>
      <c r="K1776" s="715"/>
      <c r="L1776" s="416"/>
      <c r="M1776" s="712" t="str">
        <f t="shared" si="232"/>
        <v/>
      </c>
      <c r="N1776" s="416"/>
    </row>
    <row r="1777" spans="1:14" ht="12.75" customHeight="1" x14ac:dyDescent="0.2">
      <c r="A1777" s="719"/>
      <c r="B1777" s="418"/>
      <c r="C1777" s="418"/>
      <c r="D1777" s="418"/>
      <c r="E1777" s="418"/>
      <c r="F1777" s="418"/>
      <c r="G1777" s="416"/>
      <c r="H1777" s="12" t="str">
        <f t="shared" si="230"/>
        <v/>
      </c>
      <c r="I1777" s="712" t="str">
        <f t="shared" si="231"/>
        <v/>
      </c>
      <c r="J1777" s="416"/>
      <c r="K1777" s="715"/>
      <c r="L1777" s="416"/>
      <c r="M1777" s="712" t="str">
        <f t="shared" si="232"/>
        <v/>
      </c>
      <c r="N1777" s="416"/>
    </row>
    <row r="1778" spans="1:14" ht="12.75" customHeight="1" x14ac:dyDescent="0.2">
      <c r="A1778" s="719"/>
      <c r="B1778" s="418"/>
      <c r="C1778" s="418"/>
      <c r="D1778" s="418"/>
      <c r="E1778" s="418"/>
      <c r="F1778" s="418"/>
      <c r="G1778" s="416"/>
      <c r="H1778" s="12" t="str">
        <f t="shared" si="230"/>
        <v/>
      </c>
      <c r="I1778" s="712" t="str">
        <f t="shared" si="231"/>
        <v/>
      </c>
      <c r="J1778" s="416"/>
      <c r="K1778" s="715"/>
      <c r="L1778" s="416"/>
      <c r="M1778" s="712" t="str">
        <f t="shared" si="232"/>
        <v/>
      </c>
      <c r="N1778" s="416"/>
    </row>
    <row r="1779" spans="1:14" ht="12.75" customHeight="1" x14ac:dyDescent="0.2">
      <c r="A1779" s="719"/>
      <c r="B1779" s="418"/>
      <c r="C1779" s="418"/>
      <c r="D1779" s="418"/>
      <c r="E1779" s="418"/>
      <c r="F1779" s="418"/>
      <c r="G1779" s="416"/>
      <c r="H1779" s="12" t="str">
        <f t="shared" si="230"/>
        <v/>
      </c>
      <c r="I1779" s="712" t="str">
        <f t="shared" si="231"/>
        <v/>
      </c>
      <c r="J1779" s="416"/>
      <c r="K1779" s="715"/>
      <c r="L1779" s="416"/>
      <c r="M1779" s="712" t="str">
        <f t="shared" si="232"/>
        <v/>
      </c>
      <c r="N1779" s="416"/>
    </row>
    <row r="1780" spans="1:14" ht="12.75" customHeight="1" x14ac:dyDescent="0.25">
      <c r="A1780" s="5"/>
      <c r="B1780" s="5"/>
      <c r="C1780" s="5"/>
      <c r="D1780" s="5"/>
      <c r="E1780" s="5"/>
      <c r="F1780" s="5"/>
      <c r="G1780" s="5"/>
      <c r="H1780" s="5"/>
      <c r="I1780" s="5"/>
      <c r="J1780" s="5"/>
      <c r="K1780" s="713" t="s">
        <v>261</v>
      </c>
      <c r="L1780" s="416"/>
      <c r="M1780" s="712">
        <f>SUM(M1772:N1779)</f>
        <v>536690</v>
      </c>
      <c r="N1780" s="416"/>
    </row>
    <row r="1781" spans="1:14" ht="12.75" customHeight="1" x14ac:dyDescent="0.25">
      <c r="A1781" s="5"/>
      <c r="B1781" s="5"/>
      <c r="C1781" s="5"/>
      <c r="D1781" s="5"/>
      <c r="E1781" s="5"/>
      <c r="F1781" s="5"/>
      <c r="G1781" s="5"/>
      <c r="H1781" s="5"/>
      <c r="I1781" s="5"/>
      <c r="J1781" s="5"/>
      <c r="K1781" s="5"/>
      <c r="L1781" s="5"/>
      <c r="M1781" s="5"/>
      <c r="N1781" s="5"/>
    </row>
    <row r="1782" spans="1:14" ht="12.75" customHeight="1" x14ac:dyDescent="0.2">
      <c r="A1782" s="716" t="s">
        <v>410</v>
      </c>
      <c r="B1782" s="418"/>
      <c r="C1782" s="418"/>
      <c r="D1782" s="418"/>
      <c r="E1782" s="418"/>
      <c r="F1782" s="418"/>
      <c r="G1782" s="418"/>
      <c r="H1782" s="418"/>
      <c r="I1782" s="418"/>
      <c r="J1782" s="418"/>
      <c r="K1782" s="418"/>
      <c r="L1782" s="418"/>
      <c r="M1782" s="418"/>
      <c r="N1782" s="416"/>
    </row>
    <row r="1783" spans="1:14" ht="12.75" customHeight="1" x14ac:dyDescent="0.2">
      <c r="A1783" s="713" t="s">
        <v>39</v>
      </c>
      <c r="B1783" s="418"/>
      <c r="C1783" s="418"/>
      <c r="D1783" s="418"/>
      <c r="E1783" s="418"/>
      <c r="F1783" s="418"/>
      <c r="G1783" s="416"/>
      <c r="H1783" s="61" t="s">
        <v>40</v>
      </c>
      <c r="I1783" s="717" t="s">
        <v>404</v>
      </c>
      <c r="J1783" s="416"/>
      <c r="K1783" s="717" t="s">
        <v>184</v>
      </c>
      <c r="L1783" s="416"/>
      <c r="M1783" s="717" t="s">
        <v>405</v>
      </c>
      <c r="N1783" s="416"/>
    </row>
    <row r="1784" spans="1:14" ht="12.75" customHeight="1" x14ac:dyDescent="0.2">
      <c r="A1784" s="714" t="s">
        <v>411</v>
      </c>
      <c r="B1784" s="418"/>
      <c r="C1784" s="418"/>
      <c r="D1784" s="418"/>
      <c r="E1784" s="418"/>
      <c r="F1784" s="418"/>
      <c r="G1784" s="416"/>
      <c r="H1784" s="12" t="str">
        <f>IF(A1784="","",VLOOKUP(A1784,AA_Equipos,7,FALSE))</f>
        <v>% M.O.</v>
      </c>
      <c r="I1784" s="712">
        <f>+M1807</f>
        <v>20957.750047500002</v>
      </c>
      <c r="J1784" s="416"/>
      <c r="K1784" s="722">
        <v>0.03</v>
      </c>
      <c r="L1784" s="416"/>
      <c r="M1784" s="712">
        <f t="shared" ref="M1784:M1788" si="233">IF(A1784="","",I1784*K1784)</f>
        <v>628.73250142500001</v>
      </c>
      <c r="N1784" s="416"/>
    </row>
    <row r="1785" spans="1:14" ht="12.75" customHeight="1" x14ac:dyDescent="0.2">
      <c r="A1785" s="719"/>
      <c r="B1785" s="418"/>
      <c r="C1785" s="418"/>
      <c r="D1785" s="418"/>
      <c r="E1785" s="418"/>
      <c r="F1785" s="418"/>
      <c r="G1785" s="416"/>
      <c r="H1785" s="12" t="str">
        <f>IF(A1785="","",VLOOKUP(A1785,AA_Equipos,7,FALSE))</f>
        <v/>
      </c>
      <c r="I1785" s="712" t="str">
        <f>IF(A1785="","",VLOOKUP(A1785,AA_Equipos,8,FALSE))</f>
        <v/>
      </c>
      <c r="J1785" s="416"/>
      <c r="K1785" s="723"/>
      <c r="L1785" s="416"/>
      <c r="M1785" s="712" t="str">
        <f t="shared" si="233"/>
        <v/>
      </c>
      <c r="N1785" s="416"/>
    </row>
    <row r="1786" spans="1:14" ht="12.75" customHeight="1" x14ac:dyDescent="0.2">
      <c r="A1786" s="714"/>
      <c r="B1786" s="418"/>
      <c r="C1786" s="418"/>
      <c r="D1786" s="418"/>
      <c r="E1786" s="418"/>
      <c r="F1786" s="418"/>
      <c r="G1786" s="416"/>
      <c r="H1786" s="12" t="str">
        <f>IF(A1786="","",VLOOKUP(A1786,AA_Equipos,7,FALSE))</f>
        <v/>
      </c>
      <c r="I1786" s="712" t="str">
        <f>IF(A1786="","",VLOOKUP(A1786,AA_Equipos,8,FALSE))</f>
        <v/>
      </c>
      <c r="J1786" s="416"/>
      <c r="K1786" s="786"/>
      <c r="L1786" s="416"/>
      <c r="M1786" s="712" t="str">
        <f t="shared" si="233"/>
        <v/>
      </c>
      <c r="N1786" s="416"/>
    </row>
    <row r="1787" spans="1:14" ht="12.75" customHeight="1" x14ac:dyDescent="0.2">
      <c r="A1787" s="714"/>
      <c r="B1787" s="418"/>
      <c r="C1787" s="418"/>
      <c r="D1787" s="418"/>
      <c r="E1787" s="418"/>
      <c r="F1787" s="418"/>
      <c r="G1787" s="416"/>
      <c r="H1787" s="12" t="str">
        <f>IF(A1787="","",VLOOKUP(A1787,AA_Equipos,7,FALSE))</f>
        <v/>
      </c>
      <c r="I1787" s="712" t="str">
        <f>IF(A1787="","",VLOOKUP(A1787,AA_Equipos,8,FALSE))</f>
        <v/>
      </c>
      <c r="J1787" s="416"/>
      <c r="K1787" s="715"/>
      <c r="L1787" s="416"/>
      <c r="M1787" s="712" t="str">
        <f t="shared" si="233"/>
        <v/>
      </c>
      <c r="N1787" s="416"/>
    </row>
    <row r="1788" spans="1:14" ht="12.75" customHeight="1" x14ac:dyDescent="0.2">
      <c r="A1788" s="714"/>
      <c r="B1788" s="418"/>
      <c r="C1788" s="418"/>
      <c r="D1788" s="418"/>
      <c r="E1788" s="418"/>
      <c r="F1788" s="418"/>
      <c r="G1788" s="416"/>
      <c r="H1788" s="12" t="str">
        <f>IF(A1788="","",VLOOKUP(A1788,AA_Equipos,7,FALSE))</f>
        <v/>
      </c>
      <c r="I1788" s="712" t="str">
        <f>IF(A1788="","",VLOOKUP(A1788,AA_Equipos,8,FALSE))</f>
        <v/>
      </c>
      <c r="J1788" s="416"/>
      <c r="K1788" s="715"/>
      <c r="L1788" s="416"/>
      <c r="M1788" s="712" t="str">
        <f t="shared" si="233"/>
        <v/>
      </c>
      <c r="N1788" s="416"/>
    </row>
    <row r="1789" spans="1:14" ht="12.75" customHeight="1" x14ac:dyDescent="0.25">
      <c r="A1789" s="5"/>
      <c r="B1789" s="5"/>
      <c r="C1789" s="5"/>
      <c r="D1789" s="5"/>
      <c r="E1789" s="5"/>
      <c r="F1789" s="5"/>
      <c r="G1789" s="5"/>
      <c r="H1789" s="5"/>
      <c r="I1789" s="5"/>
      <c r="J1789" s="5"/>
      <c r="K1789" s="713" t="s">
        <v>261</v>
      </c>
      <c r="L1789" s="416"/>
      <c r="M1789" s="712">
        <f>SUM(M1784:N1788)</f>
        <v>628.73250142500001</v>
      </c>
      <c r="N1789" s="416"/>
    </row>
    <row r="1790" spans="1:14" ht="12.75" customHeight="1" x14ac:dyDescent="0.25">
      <c r="A1790" s="5"/>
      <c r="B1790" s="5"/>
      <c r="C1790" s="5"/>
      <c r="D1790" s="5"/>
      <c r="E1790" s="5"/>
      <c r="F1790" s="5"/>
      <c r="G1790" s="5"/>
      <c r="H1790" s="5"/>
      <c r="I1790" s="5"/>
      <c r="J1790" s="5"/>
      <c r="K1790" s="5"/>
      <c r="L1790" s="5"/>
      <c r="M1790" s="5"/>
      <c r="N1790" s="5"/>
    </row>
    <row r="1791" spans="1:14" ht="12.75" customHeight="1" x14ac:dyDescent="0.2">
      <c r="A1791" s="716" t="s">
        <v>413</v>
      </c>
      <c r="B1791" s="418"/>
      <c r="C1791" s="418"/>
      <c r="D1791" s="418"/>
      <c r="E1791" s="418"/>
      <c r="F1791" s="418"/>
      <c r="G1791" s="418"/>
      <c r="H1791" s="418"/>
      <c r="I1791" s="418"/>
      <c r="J1791" s="418"/>
      <c r="K1791" s="418"/>
      <c r="L1791" s="418"/>
      <c r="M1791" s="418"/>
      <c r="N1791" s="416"/>
    </row>
    <row r="1792" spans="1:14" ht="12.75" customHeight="1" x14ac:dyDescent="0.2">
      <c r="A1792" s="713" t="s">
        <v>39</v>
      </c>
      <c r="B1792" s="418"/>
      <c r="C1792" s="418"/>
      <c r="D1792" s="418"/>
      <c r="E1792" s="418"/>
      <c r="F1792" s="418"/>
      <c r="G1792" s="416"/>
      <c r="H1792" s="61" t="s">
        <v>40</v>
      </c>
      <c r="I1792" s="717" t="s">
        <v>404</v>
      </c>
      <c r="J1792" s="416"/>
      <c r="K1792" s="717" t="s">
        <v>184</v>
      </c>
      <c r="L1792" s="416"/>
      <c r="M1792" s="717" t="s">
        <v>405</v>
      </c>
      <c r="N1792" s="416"/>
    </row>
    <row r="1793" spans="1:14" ht="12.75" customHeight="1" x14ac:dyDescent="0.2">
      <c r="A1793" s="714" t="s">
        <v>438</v>
      </c>
      <c r="B1793" s="418"/>
      <c r="C1793" s="418"/>
      <c r="D1793" s="418"/>
      <c r="E1793" s="418"/>
      <c r="F1793" s="418"/>
      <c r="G1793" s="416"/>
      <c r="H1793" s="12" t="s">
        <v>426</v>
      </c>
      <c r="I1793" s="712">
        <f>+M1780</f>
        <v>536690</v>
      </c>
      <c r="J1793" s="416"/>
      <c r="K1793" s="722">
        <v>0.03</v>
      </c>
      <c r="L1793" s="416"/>
      <c r="M1793" s="712">
        <f t="shared" ref="M1793:M1797" si="234">IF(A1793="","",I1793*K1793)</f>
        <v>16100.699999999999</v>
      </c>
      <c r="N1793" s="416"/>
    </row>
    <row r="1794" spans="1:14" ht="12.75" customHeight="1" x14ac:dyDescent="0.2">
      <c r="A1794" s="719"/>
      <c r="B1794" s="418"/>
      <c r="C1794" s="418"/>
      <c r="D1794" s="418"/>
      <c r="E1794" s="418"/>
      <c r="F1794" s="418"/>
      <c r="G1794" s="416"/>
      <c r="H1794" s="12"/>
      <c r="I1794" s="712"/>
      <c r="J1794" s="416"/>
      <c r="K1794" s="722"/>
      <c r="L1794" s="416"/>
      <c r="M1794" s="712" t="str">
        <f t="shared" si="234"/>
        <v/>
      </c>
      <c r="N1794" s="416"/>
    </row>
    <row r="1795" spans="1:14" ht="12.75" customHeight="1" x14ac:dyDescent="0.2">
      <c r="A1795" s="714"/>
      <c r="B1795" s="418"/>
      <c r="C1795" s="418"/>
      <c r="D1795" s="418"/>
      <c r="E1795" s="418"/>
      <c r="F1795" s="418"/>
      <c r="G1795" s="416"/>
      <c r="H1795" s="12"/>
      <c r="I1795" s="712"/>
      <c r="J1795" s="416"/>
      <c r="K1795" s="715"/>
      <c r="L1795" s="416"/>
      <c r="M1795" s="712" t="str">
        <f t="shared" si="234"/>
        <v/>
      </c>
      <c r="N1795" s="416"/>
    </row>
    <row r="1796" spans="1:14" ht="12.75" customHeight="1" x14ac:dyDescent="0.2">
      <c r="A1796" s="714"/>
      <c r="B1796" s="418"/>
      <c r="C1796" s="418"/>
      <c r="D1796" s="418"/>
      <c r="E1796" s="418"/>
      <c r="F1796" s="418"/>
      <c r="G1796" s="416"/>
      <c r="H1796" s="12"/>
      <c r="I1796" s="712"/>
      <c r="J1796" s="416"/>
      <c r="K1796" s="715"/>
      <c r="L1796" s="416"/>
      <c r="M1796" s="712" t="str">
        <f t="shared" si="234"/>
        <v/>
      </c>
      <c r="N1796" s="416"/>
    </row>
    <row r="1797" spans="1:14" ht="12.75" customHeight="1" x14ac:dyDescent="0.2">
      <c r="A1797" s="714"/>
      <c r="B1797" s="418"/>
      <c r="C1797" s="418"/>
      <c r="D1797" s="418"/>
      <c r="E1797" s="418"/>
      <c r="F1797" s="418"/>
      <c r="G1797" s="416"/>
      <c r="H1797" s="12"/>
      <c r="I1797" s="712"/>
      <c r="J1797" s="416"/>
      <c r="K1797" s="715"/>
      <c r="L1797" s="416"/>
      <c r="M1797" s="712" t="str">
        <f t="shared" si="234"/>
        <v/>
      </c>
      <c r="N1797" s="416"/>
    </row>
    <row r="1798" spans="1:14" ht="12.75" customHeight="1" x14ac:dyDescent="0.25">
      <c r="A1798" s="5"/>
      <c r="B1798" s="5"/>
      <c r="C1798" s="5"/>
      <c r="D1798" s="5"/>
      <c r="E1798" s="5"/>
      <c r="F1798" s="5"/>
      <c r="G1798" s="5"/>
      <c r="H1798" s="5"/>
      <c r="I1798" s="5"/>
      <c r="J1798" s="5"/>
      <c r="K1798" s="713" t="s">
        <v>261</v>
      </c>
      <c r="L1798" s="416"/>
      <c r="M1798" s="712">
        <f>SUM(M1793:N1797)</f>
        <v>16100.699999999999</v>
      </c>
      <c r="N1798" s="416"/>
    </row>
    <row r="1799" spans="1:14" ht="12.75" customHeight="1" x14ac:dyDescent="0.25">
      <c r="A1799" s="5"/>
      <c r="B1799" s="5"/>
      <c r="C1799" s="5"/>
      <c r="D1799" s="5"/>
      <c r="E1799" s="5"/>
      <c r="F1799" s="5"/>
      <c r="G1799" s="5"/>
      <c r="H1799" s="5"/>
      <c r="I1799" s="5"/>
      <c r="J1799" s="5"/>
      <c r="K1799" s="5"/>
      <c r="L1799" s="5"/>
      <c r="M1799" s="5"/>
      <c r="N1799" s="5"/>
    </row>
    <row r="1800" spans="1:14" ht="12.75" customHeight="1" x14ac:dyDescent="0.2">
      <c r="A1800" s="716" t="s">
        <v>415</v>
      </c>
      <c r="B1800" s="418"/>
      <c r="C1800" s="418"/>
      <c r="D1800" s="418"/>
      <c r="E1800" s="418"/>
      <c r="F1800" s="418"/>
      <c r="G1800" s="418"/>
      <c r="H1800" s="418"/>
      <c r="I1800" s="418"/>
      <c r="J1800" s="418"/>
      <c r="K1800" s="418"/>
      <c r="L1800" s="418"/>
      <c r="M1800" s="418"/>
      <c r="N1800" s="416"/>
    </row>
    <row r="1801" spans="1:14" ht="12.75" customHeight="1" x14ac:dyDescent="0.2">
      <c r="A1801" s="713" t="s">
        <v>39</v>
      </c>
      <c r="B1801" s="418"/>
      <c r="C1801" s="418"/>
      <c r="D1801" s="418"/>
      <c r="E1801" s="418"/>
      <c r="F1801" s="418"/>
      <c r="G1801" s="416"/>
      <c r="H1801" s="61" t="s">
        <v>40</v>
      </c>
      <c r="I1801" s="717" t="s">
        <v>404</v>
      </c>
      <c r="J1801" s="416"/>
      <c r="K1801" s="64" t="s">
        <v>253</v>
      </c>
      <c r="L1801" s="65" t="s">
        <v>416</v>
      </c>
      <c r="M1801" s="717" t="s">
        <v>405</v>
      </c>
      <c r="N1801" s="416"/>
    </row>
    <row r="1802" spans="1:14" ht="12.75" customHeight="1" x14ac:dyDescent="0.25">
      <c r="A1802" s="711" t="s">
        <v>479</v>
      </c>
      <c r="B1802" s="418"/>
      <c r="C1802" s="418"/>
      <c r="D1802" s="418"/>
      <c r="E1802" s="418"/>
      <c r="F1802" s="418"/>
      <c r="G1802" s="416"/>
      <c r="H1802" s="12" t="str">
        <f>IF(A1802="","",VLOOKUP(A1802,AA_Cuadrillas,4,FALSE))</f>
        <v>Cuadrilla</v>
      </c>
      <c r="I1802" s="712">
        <f>IF(A1802="","",VLOOKUP(A1802,AA_Cuadrillas,5,FALSE))</f>
        <v>221781</v>
      </c>
      <c r="J1802" s="416"/>
      <c r="K1802" s="3">
        <f>IF(A1802="","",'04'!$I$2)</f>
        <v>1.88995</v>
      </c>
      <c r="L1802" s="71">
        <f>1/20</f>
        <v>0.05</v>
      </c>
      <c r="M1802" s="712">
        <f t="shared" ref="M1802:M1806" si="235">IF(A1802="","",I1802*K1802*L1802)</f>
        <v>20957.750047500002</v>
      </c>
      <c r="N1802" s="416"/>
    </row>
    <row r="1803" spans="1:14" ht="12.75" customHeight="1" x14ac:dyDescent="0.25">
      <c r="A1803" s="711"/>
      <c r="B1803" s="418"/>
      <c r="C1803" s="418"/>
      <c r="D1803" s="418"/>
      <c r="E1803" s="418"/>
      <c r="F1803" s="418"/>
      <c r="G1803" s="416"/>
      <c r="H1803" s="12" t="str">
        <f>IF(A1803="","",VLOOKUP(A1803,AA_Cuadrillas,4,FALSE))</f>
        <v/>
      </c>
      <c r="I1803" s="712" t="str">
        <f>IF(A1803="","",VLOOKUP(A1803,AA_Cuadrillas,5,FALSE))</f>
        <v/>
      </c>
      <c r="J1803" s="416"/>
      <c r="K1803" s="3" t="str">
        <f>IF(A1803="","",'04'!$I$2)</f>
        <v/>
      </c>
      <c r="L1803" s="3"/>
      <c r="M1803" s="712" t="str">
        <f t="shared" si="235"/>
        <v/>
      </c>
      <c r="N1803" s="416"/>
    </row>
    <row r="1804" spans="1:14" ht="12.75" customHeight="1" x14ac:dyDescent="0.25">
      <c r="A1804" s="711"/>
      <c r="B1804" s="418"/>
      <c r="C1804" s="418"/>
      <c r="D1804" s="418"/>
      <c r="E1804" s="418"/>
      <c r="F1804" s="418"/>
      <c r="G1804" s="416"/>
      <c r="H1804" s="12" t="str">
        <f>IF(A1804="","",VLOOKUP(A1804,AA_Cuadrillas,4,FALSE))</f>
        <v/>
      </c>
      <c r="I1804" s="712" t="str">
        <f>IF(A1804="","",VLOOKUP(A1804,AA_Cuadrillas,5,FALSE))</f>
        <v/>
      </c>
      <c r="J1804" s="416"/>
      <c r="K1804" s="3" t="str">
        <f>IF(A1804="","",'04'!$I$2)</f>
        <v/>
      </c>
      <c r="L1804" s="13"/>
      <c r="M1804" s="712" t="str">
        <f t="shared" si="235"/>
        <v/>
      </c>
      <c r="N1804" s="416"/>
    </row>
    <row r="1805" spans="1:14" ht="12.75" customHeight="1" x14ac:dyDescent="0.25">
      <c r="A1805" s="711"/>
      <c r="B1805" s="418"/>
      <c r="C1805" s="418"/>
      <c r="D1805" s="418"/>
      <c r="E1805" s="418"/>
      <c r="F1805" s="418"/>
      <c r="G1805" s="416"/>
      <c r="H1805" s="12" t="str">
        <f>IF(A1805="","",VLOOKUP(A1805,AA_Cuadrillas,4,FALSE))</f>
        <v/>
      </c>
      <c r="I1805" s="712" t="str">
        <f>IF(A1805="","",VLOOKUP(A1805,AA_Cuadrillas,5,FALSE))</f>
        <v/>
      </c>
      <c r="J1805" s="416"/>
      <c r="K1805" s="3" t="str">
        <f>IF(A1805="","",'04'!$I$2)</f>
        <v/>
      </c>
      <c r="L1805" s="13"/>
      <c r="M1805" s="712" t="str">
        <f t="shared" si="235"/>
        <v/>
      </c>
      <c r="N1805" s="416"/>
    </row>
    <row r="1806" spans="1:14" ht="12.75" customHeight="1" x14ac:dyDescent="0.25">
      <c r="A1806" s="711"/>
      <c r="B1806" s="418"/>
      <c r="C1806" s="418"/>
      <c r="D1806" s="418"/>
      <c r="E1806" s="418"/>
      <c r="F1806" s="418"/>
      <c r="G1806" s="416"/>
      <c r="H1806" s="12" t="str">
        <f>IF(A1806="","",VLOOKUP(A1806,AA_Cuadrillas,4,FALSE))</f>
        <v/>
      </c>
      <c r="I1806" s="712" t="str">
        <f>IF(A1806="","",VLOOKUP(A1806,AA_Cuadrillas,5,FALSE))</f>
        <v/>
      </c>
      <c r="J1806" s="416"/>
      <c r="K1806" s="3" t="str">
        <f>IF(A1806="","",'04'!$I$2)</f>
        <v/>
      </c>
      <c r="L1806" s="13"/>
      <c r="M1806" s="712" t="str">
        <f t="shared" si="235"/>
        <v/>
      </c>
      <c r="N1806" s="416"/>
    </row>
    <row r="1807" spans="1:14" ht="12.75" customHeight="1" x14ac:dyDescent="0.25">
      <c r="A1807" s="5"/>
      <c r="B1807" s="5"/>
      <c r="C1807" s="5"/>
      <c r="D1807" s="5"/>
      <c r="E1807" s="5"/>
      <c r="F1807" s="5"/>
      <c r="G1807" s="5"/>
      <c r="H1807" s="5"/>
      <c r="I1807" s="5"/>
      <c r="J1807" s="5"/>
      <c r="K1807" s="713" t="s">
        <v>261</v>
      </c>
      <c r="L1807" s="416"/>
      <c r="M1807" s="712">
        <f>SUM(M1802:N1806)</f>
        <v>20957.750047500002</v>
      </c>
      <c r="N1807" s="416"/>
    </row>
    <row r="1808" spans="1:14" ht="12.75" customHeight="1" x14ac:dyDescent="0.2"/>
    <row r="1809" spans="1:16" ht="12.75" customHeight="1" x14ac:dyDescent="0.2">
      <c r="A1809" s="787" t="s">
        <v>94</v>
      </c>
      <c r="B1809" s="410"/>
      <c r="C1809" s="410"/>
      <c r="D1809" s="410"/>
      <c r="E1809" s="410"/>
      <c r="F1809" s="410"/>
      <c r="G1809" s="410"/>
      <c r="H1809" s="410"/>
      <c r="I1809" s="410"/>
      <c r="J1809" s="410"/>
      <c r="K1809" s="410"/>
      <c r="L1809" s="410"/>
      <c r="M1809" s="410"/>
      <c r="N1809" s="411"/>
      <c r="O1809" s="272"/>
      <c r="P1809" s="9"/>
    </row>
    <row r="1810" spans="1:16" ht="12.75" customHeight="1" x14ac:dyDescent="0.2">
      <c r="A1810" s="412"/>
      <c r="B1810" s="413"/>
      <c r="C1810" s="413"/>
      <c r="D1810" s="413"/>
      <c r="E1810" s="413"/>
      <c r="F1810" s="413"/>
      <c r="G1810" s="413"/>
      <c r="H1810" s="413"/>
      <c r="I1810" s="413"/>
      <c r="J1810" s="413"/>
      <c r="K1810" s="413"/>
      <c r="L1810" s="413"/>
      <c r="M1810" s="413"/>
      <c r="N1810" s="414"/>
      <c r="O1810" s="272"/>
      <c r="P1810" s="9"/>
    </row>
    <row r="1811" spans="1:16" ht="12.75" customHeight="1" x14ac:dyDescent="0.2">
      <c r="A1811" s="49"/>
      <c r="B1811" s="49"/>
      <c r="C1811" s="49"/>
      <c r="D1811" s="49"/>
      <c r="E1811" s="49"/>
      <c r="F1811" s="49"/>
      <c r="G1811" s="49"/>
      <c r="H1811" s="49"/>
      <c r="I1811" s="49"/>
      <c r="J1811" s="49"/>
      <c r="K1811" s="49"/>
      <c r="L1811" s="49"/>
      <c r="M1811" s="49"/>
      <c r="N1811" s="49"/>
    </row>
    <row r="1812" spans="1:16" ht="12.75" customHeight="1" thickBot="1" x14ac:dyDescent="0.35">
      <c r="A1812" s="51" t="str">
        <f>VLOOKUP(A1809,'10'!$B$9:$N$100,13,FALSE)</f>
        <v>G012</v>
      </c>
      <c r="B1812" s="52" t="str">
        <f>A1809</f>
        <v>SUMINISTRO E INSTALACIÓN CODO 22,5° Ø6" EN HIERRO DUCTIL CON UNIÓN MECÁNICA (INCLUYE MATERIALES, HERRAMIENTAS Y MANO DE OBRA)</v>
      </c>
      <c r="C1812" s="53" t="s">
        <v>400</v>
      </c>
      <c r="D1812" s="54" t="s">
        <v>475</v>
      </c>
      <c r="E1812" s="55" t="s">
        <v>177</v>
      </c>
      <c r="F1812" s="59">
        <f>H1812+J1812+L1812+N1812</f>
        <v>586634.18254892493</v>
      </c>
      <c r="G1812" s="55" t="s">
        <v>349</v>
      </c>
      <c r="H1812" s="59">
        <f>M1833</f>
        <v>628.73250142500001</v>
      </c>
      <c r="I1812" s="55" t="s">
        <v>402</v>
      </c>
      <c r="J1812" s="72">
        <f>M1824</f>
        <v>548590</v>
      </c>
      <c r="K1812" s="55" t="s">
        <v>351</v>
      </c>
      <c r="L1812" s="59">
        <f>M1842</f>
        <v>16457.7</v>
      </c>
      <c r="M1812" s="55" t="s">
        <v>352</v>
      </c>
      <c r="N1812" s="59">
        <f>M1851</f>
        <v>20957.750047500002</v>
      </c>
    </row>
    <row r="1813" spans="1:16" ht="12.75" customHeight="1" thickBot="1" x14ac:dyDescent="0.3">
      <c r="A1813" s="60"/>
      <c r="B1813" s="60"/>
      <c r="C1813" s="60"/>
      <c r="D1813" s="60"/>
      <c r="E1813" s="60"/>
      <c r="F1813" s="60"/>
      <c r="G1813" s="60"/>
      <c r="J1813" s="60"/>
      <c r="K1813" s="60"/>
      <c r="L1813" s="327" t="s">
        <v>1934</v>
      </c>
      <c r="M1813" s="328">
        <f>+F1812*'01'!$O$16</f>
        <v>759275.33283015888</v>
      </c>
      <c r="N1813" s="60"/>
    </row>
    <row r="1814" spans="1:16" ht="12.75" customHeight="1" x14ac:dyDescent="0.2">
      <c r="A1814" s="716" t="s">
        <v>403</v>
      </c>
      <c r="B1814" s="418"/>
      <c r="C1814" s="418"/>
      <c r="D1814" s="418"/>
      <c r="E1814" s="418"/>
      <c r="F1814" s="418"/>
      <c r="G1814" s="418"/>
      <c r="H1814" s="418"/>
      <c r="I1814" s="418"/>
      <c r="J1814" s="418"/>
      <c r="K1814" s="418"/>
      <c r="L1814" s="418"/>
      <c r="M1814" s="418"/>
      <c r="N1814" s="416"/>
    </row>
    <row r="1815" spans="1:16" ht="12.75" customHeight="1" x14ac:dyDescent="0.2">
      <c r="A1815" s="713" t="s">
        <v>39</v>
      </c>
      <c r="B1815" s="418"/>
      <c r="C1815" s="418"/>
      <c r="D1815" s="418"/>
      <c r="E1815" s="418"/>
      <c r="F1815" s="418"/>
      <c r="G1815" s="416"/>
      <c r="H1815" s="61" t="s">
        <v>40</v>
      </c>
      <c r="I1815" s="717" t="s">
        <v>404</v>
      </c>
      <c r="J1815" s="416"/>
      <c r="K1815" s="717" t="s">
        <v>184</v>
      </c>
      <c r="L1815" s="416"/>
      <c r="M1815" s="717" t="s">
        <v>405</v>
      </c>
      <c r="N1815" s="416"/>
    </row>
    <row r="1816" spans="1:16" ht="12.75" customHeight="1" x14ac:dyDescent="0.2">
      <c r="A1816" s="719" t="s">
        <v>545</v>
      </c>
      <c r="B1816" s="418"/>
      <c r="C1816" s="418"/>
      <c r="D1816" s="418"/>
      <c r="E1816" s="418"/>
      <c r="F1816" s="418"/>
      <c r="G1816" s="416"/>
      <c r="H1816" s="12" t="str">
        <f t="shared" ref="H1816:H1823" si="236">IF(A1816="","",VLOOKUP(A1816,AA_Materiales,7,FALSE))</f>
        <v>Unidad</v>
      </c>
      <c r="I1816" s="712">
        <f t="shared" ref="I1816:I1823" si="237">IF(A1816="","",VLOOKUP(A1816,AA_Materiales,8,FALSE))</f>
        <v>548590</v>
      </c>
      <c r="J1816" s="416"/>
      <c r="K1816" s="715">
        <v>1</v>
      </c>
      <c r="L1816" s="416"/>
      <c r="M1816" s="712">
        <f t="shared" ref="M1816:M1823" si="238">IF(A1816="","",I1816*K1816)</f>
        <v>548590</v>
      </c>
      <c r="N1816" s="416"/>
    </row>
    <row r="1817" spans="1:16" ht="12.75" customHeight="1" x14ac:dyDescent="0.2">
      <c r="A1817" s="719"/>
      <c r="B1817" s="418"/>
      <c r="C1817" s="418"/>
      <c r="D1817" s="418"/>
      <c r="E1817" s="418"/>
      <c r="F1817" s="418"/>
      <c r="G1817" s="416"/>
      <c r="H1817" s="12" t="str">
        <f t="shared" si="236"/>
        <v/>
      </c>
      <c r="I1817" s="712" t="str">
        <f t="shared" si="237"/>
        <v/>
      </c>
      <c r="J1817" s="416"/>
      <c r="K1817" s="715"/>
      <c r="L1817" s="416"/>
      <c r="M1817" s="712" t="str">
        <f t="shared" si="238"/>
        <v/>
      </c>
      <c r="N1817" s="416"/>
    </row>
    <row r="1818" spans="1:16" ht="12.75" customHeight="1" x14ac:dyDescent="0.2">
      <c r="A1818" s="719"/>
      <c r="B1818" s="418"/>
      <c r="C1818" s="418"/>
      <c r="D1818" s="418"/>
      <c r="E1818" s="418"/>
      <c r="F1818" s="418"/>
      <c r="G1818" s="416"/>
      <c r="H1818" s="12" t="str">
        <f t="shared" si="236"/>
        <v/>
      </c>
      <c r="I1818" s="712" t="str">
        <f t="shared" si="237"/>
        <v/>
      </c>
      <c r="J1818" s="416"/>
      <c r="K1818" s="715"/>
      <c r="L1818" s="416"/>
      <c r="M1818" s="712" t="str">
        <f t="shared" si="238"/>
        <v/>
      </c>
      <c r="N1818" s="416"/>
    </row>
    <row r="1819" spans="1:16" ht="12.75" customHeight="1" x14ac:dyDescent="0.2">
      <c r="A1819" s="719"/>
      <c r="B1819" s="418"/>
      <c r="C1819" s="418"/>
      <c r="D1819" s="418"/>
      <c r="E1819" s="418"/>
      <c r="F1819" s="418"/>
      <c r="G1819" s="416"/>
      <c r="H1819" s="12" t="str">
        <f t="shared" si="236"/>
        <v/>
      </c>
      <c r="I1819" s="712" t="str">
        <f t="shared" si="237"/>
        <v/>
      </c>
      <c r="J1819" s="416"/>
      <c r="K1819" s="715"/>
      <c r="L1819" s="416"/>
      <c r="M1819" s="712" t="str">
        <f t="shared" si="238"/>
        <v/>
      </c>
      <c r="N1819" s="416"/>
    </row>
    <row r="1820" spans="1:16" ht="12.75" customHeight="1" x14ac:dyDescent="0.2">
      <c r="A1820" s="719"/>
      <c r="B1820" s="418"/>
      <c r="C1820" s="418"/>
      <c r="D1820" s="418"/>
      <c r="E1820" s="418"/>
      <c r="F1820" s="418"/>
      <c r="G1820" s="416"/>
      <c r="H1820" s="12" t="str">
        <f t="shared" si="236"/>
        <v/>
      </c>
      <c r="I1820" s="712" t="str">
        <f t="shared" si="237"/>
        <v/>
      </c>
      <c r="J1820" s="416"/>
      <c r="K1820" s="715"/>
      <c r="L1820" s="416"/>
      <c r="M1820" s="712" t="str">
        <f t="shared" si="238"/>
        <v/>
      </c>
      <c r="N1820" s="416"/>
    </row>
    <row r="1821" spans="1:16" ht="12.75" customHeight="1" x14ac:dyDescent="0.2">
      <c r="A1821" s="719"/>
      <c r="B1821" s="418"/>
      <c r="C1821" s="418"/>
      <c r="D1821" s="418"/>
      <c r="E1821" s="418"/>
      <c r="F1821" s="418"/>
      <c r="G1821" s="416"/>
      <c r="H1821" s="12" t="str">
        <f t="shared" si="236"/>
        <v/>
      </c>
      <c r="I1821" s="712" t="str">
        <f t="shared" si="237"/>
        <v/>
      </c>
      <c r="J1821" s="416"/>
      <c r="K1821" s="715"/>
      <c r="L1821" s="416"/>
      <c r="M1821" s="712" t="str">
        <f t="shared" si="238"/>
        <v/>
      </c>
      <c r="N1821" s="416"/>
    </row>
    <row r="1822" spans="1:16" ht="12.75" customHeight="1" x14ac:dyDescent="0.2">
      <c r="A1822" s="719"/>
      <c r="B1822" s="418"/>
      <c r="C1822" s="418"/>
      <c r="D1822" s="418"/>
      <c r="E1822" s="418"/>
      <c r="F1822" s="418"/>
      <c r="G1822" s="416"/>
      <c r="H1822" s="12" t="str">
        <f t="shared" si="236"/>
        <v/>
      </c>
      <c r="I1822" s="712" t="str">
        <f t="shared" si="237"/>
        <v/>
      </c>
      <c r="J1822" s="416"/>
      <c r="K1822" s="715"/>
      <c r="L1822" s="416"/>
      <c r="M1822" s="712" t="str">
        <f t="shared" si="238"/>
        <v/>
      </c>
      <c r="N1822" s="416"/>
    </row>
    <row r="1823" spans="1:16" ht="12.75" customHeight="1" x14ac:dyDescent="0.2">
      <c r="A1823" s="719"/>
      <c r="B1823" s="418"/>
      <c r="C1823" s="418"/>
      <c r="D1823" s="418"/>
      <c r="E1823" s="418"/>
      <c r="F1823" s="418"/>
      <c r="G1823" s="416"/>
      <c r="H1823" s="12" t="str">
        <f t="shared" si="236"/>
        <v/>
      </c>
      <c r="I1823" s="712" t="str">
        <f t="shared" si="237"/>
        <v/>
      </c>
      <c r="J1823" s="416"/>
      <c r="K1823" s="715"/>
      <c r="L1823" s="416"/>
      <c r="M1823" s="712" t="str">
        <f t="shared" si="238"/>
        <v/>
      </c>
      <c r="N1823" s="416"/>
    </row>
    <row r="1824" spans="1:16" ht="12.75" customHeight="1" x14ac:dyDescent="0.25">
      <c r="A1824" s="5"/>
      <c r="B1824" s="5"/>
      <c r="C1824" s="5"/>
      <c r="D1824" s="5"/>
      <c r="E1824" s="5"/>
      <c r="F1824" s="5"/>
      <c r="G1824" s="5"/>
      <c r="H1824" s="5"/>
      <c r="I1824" s="5"/>
      <c r="J1824" s="5"/>
      <c r="K1824" s="713" t="s">
        <v>261</v>
      </c>
      <c r="L1824" s="416"/>
      <c r="M1824" s="712">
        <f>SUM(M1816:N1823)</f>
        <v>548590</v>
      </c>
      <c r="N1824" s="416"/>
    </row>
    <row r="1825" spans="1:14" ht="12.75" customHeight="1" x14ac:dyDescent="0.25">
      <c r="A1825" s="5"/>
      <c r="B1825" s="5"/>
      <c r="C1825" s="5"/>
      <c r="D1825" s="5"/>
      <c r="E1825" s="5"/>
      <c r="F1825" s="5"/>
      <c r="G1825" s="5"/>
      <c r="H1825" s="5"/>
      <c r="I1825" s="5"/>
      <c r="J1825" s="5"/>
      <c r="K1825" s="5"/>
      <c r="L1825" s="5"/>
      <c r="M1825" s="5"/>
      <c r="N1825" s="5"/>
    </row>
    <row r="1826" spans="1:14" ht="12.75" customHeight="1" x14ac:dyDescent="0.2">
      <c r="A1826" s="716" t="s">
        <v>410</v>
      </c>
      <c r="B1826" s="418"/>
      <c r="C1826" s="418"/>
      <c r="D1826" s="418"/>
      <c r="E1826" s="418"/>
      <c r="F1826" s="418"/>
      <c r="G1826" s="418"/>
      <c r="H1826" s="418"/>
      <c r="I1826" s="418"/>
      <c r="J1826" s="418"/>
      <c r="K1826" s="418"/>
      <c r="L1826" s="418"/>
      <c r="M1826" s="418"/>
      <c r="N1826" s="416"/>
    </row>
    <row r="1827" spans="1:14" ht="12.75" customHeight="1" x14ac:dyDescent="0.2">
      <c r="A1827" s="713" t="s">
        <v>39</v>
      </c>
      <c r="B1827" s="418"/>
      <c r="C1827" s="418"/>
      <c r="D1827" s="418"/>
      <c r="E1827" s="418"/>
      <c r="F1827" s="418"/>
      <c r="G1827" s="416"/>
      <c r="H1827" s="61" t="s">
        <v>40</v>
      </c>
      <c r="I1827" s="717" t="s">
        <v>404</v>
      </c>
      <c r="J1827" s="416"/>
      <c r="K1827" s="717" t="s">
        <v>184</v>
      </c>
      <c r="L1827" s="416"/>
      <c r="M1827" s="717" t="s">
        <v>405</v>
      </c>
      <c r="N1827" s="416"/>
    </row>
    <row r="1828" spans="1:14" ht="12.75" customHeight="1" x14ac:dyDescent="0.2">
      <c r="A1828" s="714" t="s">
        <v>411</v>
      </c>
      <c r="B1828" s="418"/>
      <c r="C1828" s="418"/>
      <c r="D1828" s="418"/>
      <c r="E1828" s="418"/>
      <c r="F1828" s="418"/>
      <c r="G1828" s="416"/>
      <c r="H1828" s="12" t="str">
        <f>IF(A1828="","",VLOOKUP(A1828,AA_Equipos,7,FALSE))</f>
        <v>% M.O.</v>
      </c>
      <c r="I1828" s="712">
        <f>+M1851</f>
        <v>20957.750047500002</v>
      </c>
      <c r="J1828" s="416"/>
      <c r="K1828" s="722">
        <v>0.03</v>
      </c>
      <c r="L1828" s="416"/>
      <c r="M1828" s="712">
        <f t="shared" ref="M1828:M1832" si="239">IF(A1828="","",I1828*K1828)</f>
        <v>628.73250142500001</v>
      </c>
      <c r="N1828" s="416"/>
    </row>
    <row r="1829" spans="1:14" ht="12.75" customHeight="1" x14ac:dyDescent="0.2">
      <c r="A1829" s="719"/>
      <c r="B1829" s="418"/>
      <c r="C1829" s="418"/>
      <c r="D1829" s="418"/>
      <c r="E1829" s="418"/>
      <c r="F1829" s="418"/>
      <c r="G1829" s="416"/>
      <c r="H1829" s="12" t="str">
        <f>IF(A1829="","",VLOOKUP(A1829,AA_Equipos,7,FALSE))</f>
        <v/>
      </c>
      <c r="I1829" s="712" t="str">
        <f>IF(A1829="","",VLOOKUP(A1829,AA_Equipos,8,FALSE))</f>
        <v/>
      </c>
      <c r="J1829" s="416"/>
      <c r="K1829" s="723"/>
      <c r="L1829" s="416"/>
      <c r="M1829" s="712" t="str">
        <f t="shared" si="239"/>
        <v/>
      </c>
      <c r="N1829" s="416"/>
    </row>
    <row r="1830" spans="1:14" ht="12.75" customHeight="1" x14ac:dyDescent="0.2">
      <c r="A1830" s="714"/>
      <c r="B1830" s="418"/>
      <c r="C1830" s="418"/>
      <c r="D1830" s="418"/>
      <c r="E1830" s="418"/>
      <c r="F1830" s="418"/>
      <c r="G1830" s="416"/>
      <c r="H1830" s="12" t="str">
        <f>IF(A1830="","",VLOOKUP(A1830,AA_Equipos,7,FALSE))</f>
        <v/>
      </c>
      <c r="I1830" s="712" t="str">
        <f>IF(A1830="","",VLOOKUP(A1830,AA_Equipos,8,FALSE))</f>
        <v/>
      </c>
      <c r="J1830" s="416"/>
      <c r="K1830" s="786"/>
      <c r="L1830" s="416"/>
      <c r="M1830" s="712" t="str">
        <f t="shared" si="239"/>
        <v/>
      </c>
      <c r="N1830" s="416"/>
    </row>
    <row r="1831" spans="1:14" ht="12.75" customHeight="1" x14ac:dyDescent="0.2">
      <c r="A1831" s="714"/>
      <c r="B1831" s="418"/>
      <c r="C1831" s="418"/>
      <c r="D1831" s="418"/>
      <c r="E1831" s="418"/>
      <c r="F1831" s="418"/>
      <c r="G1831" s="416"/>
      <c r="H1831" s="12" t="str">
        <f>IF(A1831="","",VLOOKUP(A1831,AA_Equipos,7,FALSE))</f>
        <v/>
      </c>
      <c r="I1831" s="712" t="str">
        <f>IF(A1831="","",VLOOKUP(A1831,AA_Equipos,8,FALSE))</f>
        <v/>
      </c>
      <c r="J1831" s="416"/>
      <c r="K1831" s="715"/>
      <c r="L1831" s="416"/>
      <c r="M1831" s="712" t="str">
        <f t="shared" si="239"/>
        <v/>
      </c>
      <c r="N1831" s="416"/>
    </row>
    <row r="1832" spans="1:14" ht="12.75" customHeight="1" x14ac:dyDescent="0.2">
      <c r="A1832" s="714"/>
      <c r="B1832" s="418"/>
      <c r="C1832" s="418"/>
      <c r="D1832" s="418"/>
      <c r="E1832" s="418"/>
      <c r="F1832" s="418"/>
      <c r="G1832" s="416"/>
      <c r="H1832" s="12" t="str">
        <f>IF(A1832="","",VLOOKUP(A1832,AA_Equipos,7,FALSE))</f>
        <v/>
      </c>
      <c r="I1832" s="712" t="str">
        <f>IF(A1832="","",VLOOKUP(A1832,AA_Equipos,8,FALSE))</f>
        <v/>
      </c>
      <c r="J1832" s="416"/>
      <c r="K1832" s="715"/>
      <c r="L1832" s="416"/>
      <c r="M1832" s="712" t="str">
        <f t="shared" si="239"/>
        <v/>
      </c>
      <c r="N1832" s="416"/>
    </row>
    <row r="1833" spans="1:14" ht="12.75" customHeight="1" x14ac:dyDescent="0.25">
      <c r="A1833" s="5"/>
      <c r="B1833" s="5"/>
      <c r="C1833" s="5"/>
      <c r="D1833" s="5"/>
      <c r="E1833" s="5"/>
      <c r="F1833" s="5"/>
      <c r="G1833" s="5"/>
      <c r="H1833" s="5"/>
      <c r="I1833" s="5"/>
      <c r="J1833" s="5"/>
      <c r="K1833" s="713" t="s">
        <v>261</v>
      </c>
      <c r="L1833" s="416"/>
      <c r="M1833" s="712">
        <f>SUM(M1828:N1832)</f>
        <v>628.73250142500001</v>
      </c>
      <c r="N1833" s="416"/>
    </row>
    <row r="1834" spans="1:14" ht="12.75" customHeight="1" x14ac:dyDescent="0.25">
      <c r="A1834" s="5"/>
      <c r="B1834" s="5"/>
      <c r="C1834" s="5"/>
      <c r="D1834" s="5"/>
      <c r="E1834" s="5"/>
      <c r="F1834" s="5"/>
      <c r="G1834" s="5"/>
      <c r="H1834" s="5"/>
      <c r="I1834" s="5"/>
      <c r="J1834" s="5"/>
      <c r="K1834" s="5"/>
      <c r="L1834" s="5"/>
      <c r="M1834" s="5"/>
      <c r="N1834" s="5"/>
    </row>
    <row r="1835" spans="1:14" ht="12.75" customHeight="1" x14ac:dyDescent="0.2">
      <c r="A1835" s="716" t="s">
        <v>413</v>
      </c>
      <c r="B1835" s="418"/>
      <c r="C1835" s="418"/>
      <c r="D1835" s="418"/>
      <c r="E1835" s="418"/>
      <c r="F1835" s="418"/>
      <c r="G1835" s="418"/>
      <c r="H1835" s="418"/>
      <c r="I1835" s="418"/>
      <c r="J1835" s="418"/>
      <c r="K1835" s="418"/>
      <c r="L1835" s="418"/>
      <c r="M1835" s="418"/>
      <c r="N1835" s="416"/>
    </row>
    <row r="1836" spans="1:14" ht="12.75" customHeight="1" x14ac:dyDescent="0.2">
      <c r="A1836" s="713" t="s">
        <v>39</v>
      </c>
      <c r="B1836" s="418"/>
      <c r="C1836" s="418"/>
      <c r="D1836" s="418"/>
      <c r="E1836" s="418"/>
      <c r="F1836" s="418"/>
      <c r="G1836" s="416"/>
      <c r="H1836" s="61" t="s">
        <v>40</v>
      </c>
      <c r="I1836" s="717" t="s">
        <v>404</v>
      </c>
      <c r="J1836" s="416"/>
      <c r="K1836" s="717" t="s">
        <v>184</v>
      </c>
      <c r="L1836" s="416"/>
      <c r="M1836" s="717" t="s">
        <v>405</v>
      </c>
      <c r="N1836" s="416"/>
    </row>
    <row r="1837" spans="1:14" ht="12.75" customHeight="1" x14ac:dyDescent="0.2">
      <c r="A1837" s="714" t="s">
        <v>438</v>
      </c>
      <c r="B1837" s="418"/>
      <c r="C1837" s="418"/>
      <c r="D1837" s="418"/>
      <c r="E1837" s="418"/>
      <c r="F1837" s="418"/>
      <c r="G1837" s="416"/>
      <c r="H1837" s="12" t="s">
        <v>426</v>
      </c>
      <c r="I1837" s="712">
        <f>+M1824</f>
        <v>548590</v>
      </c>
      <c r="J1837" s="416"/>
      <c r="K1837" s="722">
        <v>0.03</v>
      </c>
      <c r="L1837" s="416"/>
      <c r="M1837" s="712">
        <f t="shared" ref="M1837:M1841" si="240">IF(A1837="","",I1837*K1837)</f>
        <v>16457.7</v>
      </c>
      <c r="N1837" s="416"/>
    </row>
    <row r="1838" spans="1:14" ht="12.75" customHeight="1" x14ac:dyDescent="0.2">
      <c r="A1838" s="719"/>
      <c r="B1838" s="418"/>
      <c r="C1838" s="418"/>
      <c r="D1838" s="418"/>
      <c r="E1838" s="418"/>
      <c r="F1838" s="418"/>
      <c r="G1838" s="416"/>
      <c r="H1838" s="12"/>
      <c r="I1838" s="712"/>
      <c r="J1838" s="416"/>
      <c r="K1838" s="722"/>
      <c r="L1838" s="416"/>
      <c r="M1838" s="712" t="str">
        <f t="shared" si="240"/>
        <v/>
      </c>
      <c r="N1838" s="416"/>
    </row>
    <row r="1839" spans="1:14" ht="12.75" customHeight="1" x14ac:dyDescent="0.2">
      <c r="A1839" s="714"/>
      <c r="B1839" s="418"/>
      <c r="C1839" s="418"/>
      <c r="D1839" s="418"/>
      <c r="E1839" s="418"/>
      <c r="F1839" s="418"/>
      <c r="G1839" s="416"/>
      <c r="H1839" s="12"/>
      <c r="I1839" s="712"/>
      <c r="J1839" s="416"/>
      <c r="K1839" s="715"/>
      <c r="L1839" s="416"/>
      <c r="M1839" s="712" t="str">
        <f t="shared" si="240"/>
        <v/>
      </c>
      <c r="N1839" s="416"/>
    </row>
    <row r="1840" spans="1:14" ht="12.75" customHeight="1" x14ac:dyDescent="0.2">
      <c r="A1840" s="714"/>
      <c r="B1840" s="418"/>
      <c r="C1840" s="418"/>
      <c r="D1840" s="418"/>
      <c r="E1840" s="418"/>
      <c r="F1840" s="418"/>
      <c r="G1840" s="416"/>
      <c r="H1840" s="12"/>
      <c r="I1840" s="712"/>
      <c r="J1840" s="416"/>
      <c r="K1840" s="715"/>
      <c r="L1840" s="416"/>
      <c r="M1840" s="712" t="str">
        <f t="shared" si="240"/>
        <v/>
      </c>
      <c r="N1840" s="416"/>
    </row>
    <row r="1841" spans="1:16" ht="12.75" customHeight="1" x14ac:dyDescent="0.2">
      <c r="A1841" s="714"/>
      <c r="B1841" s="418"/>
      <c r="C1841" s="418"/>
      <c r="D1841" s="418"/>
      <c r="E1841" s="418"/>
      <c r="F1841" s="418"/>
      <c r="G1841" s="416"/>
      <c r="H1841" s="12"/>
      <c r="I1841" s="712"/>
      <c r="J1841" s="416"/>
      <c r="K1841" s="715"/>
      <c r="L1841" s="416"/>
      <c r="M1841" s="712" t="str">
        <f t="shared" si="240"/>
        <v/>
      </c>
      <c r="N1841" s="416"/>
    </row>
    <row r="1842" spans="1:16" ht="12.75" customHeight="1" x14ac:dyDescent="0.25">
      <c r="A1842" s="5"/>
      <c r="B1842" s="5"/>
      <c r="C1842" s="5"/>
      <c r="D1842" s="5"/>
      <c r="E1842" s="5"/>
      <c r="F1842" s="5"/>
      <c r="G1842" s="5"/>
      <c r="H1842" s="5"/>
      <c r="I1842" s="5"/>
      <c r="J1842" s="5"/>
      <c r="K1842" s="713" t="s">
        <v>261</v>
      </c>
      <c r="L1842" s="416"/>
      <c r="M1842" s="712">
        <f>SUM(M1837:N1841)</f>
        <v>16457.7</v>
      </c>
      <c r="N1842" s="416"/>
    </row>
    <row r="1843" spans="1:16" ht="12.75" customHeight="1" x14ac:dyDescent="0.25">
      <c r="A1843" s="5"/>
      <c r="B1843" s="5"/>
      <c r="C1843" s="5"/>
      <c r="D1843" s="5"/>
      <c r="E1843" s="5"/>
      <c r="F1843" s="5"/>
      <c r="G1843" s="5"/>
      <c r="H1843" s="5"/>
      <c r="I1843" s="5"/>
      <c r="J1843" s="5"/>
      <c r="K1843" s="5"/>
      <c r="L1843" s="5"/>
      <c r="M1843" s="5"/>
      <c r="N1843" s="5"/>
    </row>
    <row r="1844" spans="1:16" ht="12.75" customHeight="1" x14ac:dyDescent="0.2">
      <c r="A1844" s="716" t="s">
        <v>415</v>
      </c>
      <c r="B1844" s="418"/>
      <c r="C1844" s="418"/>
      <c r="D1844" s="418"/>
      <c r="E1844" s="418"/>
      <c r="F1844" s="418"/>
      <c r="G1844" s="418"/>
      <c r="H1844" s="418"/>
      <c r="I1844" s="418"/>
      <c r="J1844" s="418"/>
      <c r="K1844" s="418"/>
      <c r="L1844" s="418"/>
      <c r="M1844" s="418"/>
      <c r="N1844" s="416"/>
    </row>
    <row r="1845" spans="1:16" ht="12.75" customHeight="1" x14ac:dyDescent="0.2">
      <c r="A1845" s="713" t="s">
        <v>39</v>
      </c>
      <c r="B1845" s="418"/>
      <c r="C1845" s="418"/>
      <c r="D1845" s="418"/>
      <c r="E1845" s="418"/>
      <c r="F1845" s="418"/>
      <c r="G1845" s="416"/>
      <c r="H1845" s="61" t="s">
        <v>40</v>
      </c>
      <c r="I1845" s="717" t="s">
        <v>404</v>
      </c>
      <c r="J1845" s="416"/>
      <c r="K1845" s="64" t="s">
        <v>253</v>
      </c>
      <c r="L1845" s="65" t="s">
        <v>416</v>
      </c>
      <c r="M1845" s="717" t="s">
        <v>405</v>
      </c>
      <c r="N1845" s="416"/>
    </row>
    <row r="1846" spans="1:16" ht="12.75" customHeight="1" x14ac:dyDescent="0.25">
      <c r="A1846" s="711" t="s">
        <v>479</v>
      </c>
      <c r="B1846" s="418"/>
      <c r="C1846" s="418"/>
      <c r="D1846" s="418"/>
      <c r="E1846" s="418"/>
      <c r="F1846" s="418"/>
      <c r="G1846" s="416"/>
      <c r="H1846" s="12" t="str">
        <f>IF(A1846="","",VLOOKUP(A1846,AA_Cuadrillas,4,FALSE))</f>
        <v>Cuadrilla</v>
      </c>
      <c r="I1846" s="712">
        <f>IF(A1846="","",VLOOKUP(A1846,AA_Cuadrillas,5,FALSE))</f>
        <v>221781</v>
      </c>
      <c r="J1846" s="416"/>
      <c r="K1846" s="3">
        <f>IF(A1846="","",'04'!$I$2)</f>
        <v>1.88995</v>
      </c>
      <c r="L1846" s="71">
        <f>1/20</f>
        <v>0.05</v>
      </c>
      <c r="M1846" s="712">
        <f t="shared" ref="M1846:M1850" si="241">IF(A1846="","",I1846*K1846*L1846)</f>
        <v>20957.750047500002</v>
      </c>
      <c r="N1846" s="416"/>
    </row>
    <row r="1847" spans="1:16" ht="12.75" customHeight="1" x14ac:dyDescent="0.25">
      <c r="A1847" s="711"/>
      <c r="B1847" s="418"/>
      <c r="C1847" s="418"/>
      <c r="D1847" s="418"/>
      <c r="E1847" s="418"/>
      <c r="F1847" s="418"/>
      <c r="G1847" s="416"/>
      <c r="H1847" s="12" t="str">
        <f>IF(A1847="","",VLOOKUP(A1847,AA_Cuadrillas,4,FALSE))</f>
        <v/>
      </c>
      <c r="I1847" s="712" t="str">
        <f>IF(A1847="","",VLOOKUP(A1847,AA_Cuadrillas,5,FALSE))</f>
        <v/>
      </c>
      <c r="J1847" s="416"/>
      <c r="K1847" s="3" t="str">
        <f>IF(A1847="","",'04'!$I$2)</f>
        <v/>
      </c>
      <c r="L1847" s="3"/>
      <c r="M1847" s="712" t="str">
        <f t="shared" si="241"/>
        <v/>
      </c>
      <c r="N1847" s="416"/>
    </row>
    <row r="1848" spans="1:16" ht="12.75" customHeight="1" x14ac:dyDescent="0.25">
      <c r="A1848" s="711"/>
      <c r="B1848" s="418"/>
      <c r="C1848" s="418"/>
      <c r="D1848" s="418"/>
      <c r="E1848" s="418"/>
      <c r="F1848" s="418"/>
      <c r="G1848" s="416"/>
      <c r="H1848" s="12" t="str">
        <f>IF(A1848="","",VLOOKUP(A1848,AA_Cuadrillas,4,FALSE))</f>
        <v/>
      </c>
      <c r="I1848" s="712" t="str">
        <f>IF(A1848="","",VLOOKUP(A1848,AA_Cuadrillas,5,FALSE))</f>
        <v/>
      </c>
      <c r="J1848" s="416"/>
      <c r="K1848" s="3" t="str">
        <f>IF(A1848="","",'04'!$I$2)</f>
        <v/>
      </c>
      <c r="L1848" s="13"/>
      <c r="M1848" s="712" t="str">
        <f t="shared" si="241"/>
        <v/>
      </c>
      <c r="N1848" s="416"/>
    </row>
    <row r="1849" spans="1:16" ht="12.75" customHeight="1" x14ac:dyDescent="0.25">
      <c r="A1849" s="711"/>
      <c r="B1849" s="418"/>
      <c r="C1849" s="418"/>
      <c r="D1849" s="418"/>
      <c r="E1849" s="418"/>
      <c r="F1849" s="418"/>
      <c r="G1849" s="416"/>
      <c r="H1849" s="12" t="str">
        <f>IF(A1849="","",VLOOKUP(A1849,AA_Cuadrillas,4,FALSE))</f>
        <v/>
      </c>
      <c r="I1849" s="712" t="str">
        <f>IF(A1849="","",VLOOKUP(A1849,AA_Cuadrillas,5,FALSE))</f>
        <v/>
      </c>
      <c r="J1849" s="416"/>
      <c r="K1849" s="3" t="str">
        <f>IF(A1849="","",'04'!$I$2)</f>
        <v/>
      </c>
      <c r="L1849" s="13"/>
      <c r="M1849" s="712" t="str">
        <f t="shared" si="241"/>
        <v/>
      </c>
      <c r="N1849" s="416"/>
    </row>
    <row r="1850" spans="1:16" ht="12.75" customHeight="1" x14ac:dyDescent="0.25">
      <c r="A1850" s="711"/>
      <c r="B1850" s="418"/>
      <c r="C1850" s="418"/>
      <c r="D1850" s="418"/>
      <c r="E1850" s="418"/>
      <c r="F1850" s="418"/>
      <c r="G1850" s="416"/>
      <c r="H1850" s="12" t="str">
        <f>IF(A1850="","",VLOOKUP(A1850,AA_Cuadrillas,4,FALSE))</f>
        <v/>
      </c>
      <c r="I1850" s="712" t="str">
        <f>IF(A1850="","",VLOOKUP(A1850,AA_Cuadrillas,5,FALSE))</f>
        <v/>
      </c>
      <c r="J1850" s="416"/>
      <c r="K1850" s="3" t="str">
        <f>IF(A1850="","",'04'!$I$2)</f>
        <v/>
      </c>
      <c r="L1850" s="13"/>
      <c r="M1850" s="712" t="str">
        <f t="shared" si="241"/>
        <v/>
      </c>
      <c r="N1850" s="416"/>
    </row>
    <row r="1851" spans="1:16" ht="12.75" customHeight="1" x14ac:dyDescent="0.25">
      <c r="A1851" s="5"/>
      <c r="B1851" s="5"/>
      <c r="C1851" s="5"/>
      <c r="D1851" s="5"/>
      <c r="E1851" s="5"/>
      <c r="F1851" s="5"/>
      <c r="G1851" s="5"/>
      <c r="H1851" s="5"/>
      <c r="I1851" s="5"/>
      <c r="J1851" s="5"/>
      <c r="K1851" s="713" t="s">
        <v>261</v>
      </c>
      <c r="L1851" s="416"/>
      <c r="M1851" s="712">
        <f>SUM(M1846:N1850)</f>
        <v>20957.750047500002</v>
      </c>
      <c r="N1851" s="416"/>
    </row>
    <row r="1852" spans="1:16" ht="12.75" customHeight="1" x14ac:dyDescent="0.2"/>
    <row r="1853" spans="1:16" ht="12.75" customHeight="1" x14ac:dyDescent="0.2">
      <c r="A1853" s="787" t="s">
        <v>85</v>
      </c>
      <c r="B1853" s="410"/>
      <c r="C1853" s="410"/>
      <c r="D1853" s="410"/>
      <c r="E1853" s="410"/>
      <c r="F1853" s="410"/>
      <c r="G1853" s="410"/>
      <c r="H1853" s="410"/>
      <c r="I1853" s="410"/>
      <c r="J1853" s="410"/>
      <c r="K1853" s="410"/>
      <c r="L1853" s="410"/>
      <c r="M1853" s="410"/>
      <c r="N1853" s="411"/>
      <c r="O1853" s="272"/>
      <c r="P1853" s="9"/>
    </row>
    <row r="1854" spans="1:16" ht="12.75" customHeight="1" x14ac:dyDescent="0.2">
      <c r="A1854" s="412"/>
      <c r="B1854" s="413"/>
      <c r="C1854" s="413"/>
      <c r="D1854" s="413"/>
      <c r="E1854" s="413"/>
      <c r="F1854" s="413"/>
      <c r="G1854" s="413"/>
      <c r="H1854" s="413"/>
      <c r="I1854" s="413"/>
      <c r="J1854" s="413"/>
      <c r="K1854" s="413"/>
      <c r="L1854" s="413"/>
      <c r="M1854" s="413"/>
      <c r="N1854" s="414"/>
      <c r="O1854" s="272"/>
      <c r="P1854" s="9"/>
    </row>
    <row r="1855" spans="1:16" ht="12.75" customHeight="1" x14ac:dyDescent="0.2">
      <c r="A1855" s="49"/>
      <c r="B1855" s="49"/>
      <c r="C1855" s="49"/>
      <c r="D1855" s="49"/>
      <c r="E1855" s="49"/>
      <c r="F1855" s="49"/>
      <c r="G1855" s="49"/>
      <c r="H1855" s="49"/>
      <c r="I1855" s="49"/>
      <c r="J1855" s="49"/>
      <c r="K1855" s="49"/>
      <c r="L1855" s="49"/>
      <c r="M1855" s="49"/>
      <c r="N1855" s="49"/>
    </row>
    <row r="1856" spans="1:16" ht="12.75" customHeight="1" thickBot="1" x14ac:dyDescent="0.35">
      <c r="A1856" s="51" t="str">
        <f>VLOOKUP(A1853,'10'!$B$9:$N$100,13,FALSE)</f>
        <v>G013</v>
      </c>
      <c r="B1856" s="52" t="str">
        <f>A1853</f>
        <v>SUMINISTRO E INSTALACIÓN CODO 45° Ø6" EN HIERRO DUCTIL CON UNIÓN MECÁNICA (INCLUYE MATERIALES, HERRAMIENTAS Y MANO DE OBRA)</v>
      </c>
      <c r="C1856" s="53" t="s">
        <v>400</v>
      </c>
      <c r="D1856" s="54" t="s">
        <v>475</v>
      </c>
      <c r="E1856" s="55" t="s">
        <v>177</v>
      </c>
      <c r="F1856" s="59">
        <f>H1856+J1856+L1856+N1856</f>
        <v>639339.28254892502</v>
      </c>
      <c r="G1856" s="55" t="s">
        <v>349</v>
      </c>
      <c r="H1856" s="59">
        <f>M1877</f>
        <v>628.73250142500001</v>
      </c>
      <c r="I1856" s="55" t="s">
        <v>402</v>
      </c>
      <c r="J1856" s="70">
        <f>M1868</f>
        <v>599760</v>
      </c>
      <c r="K1856" s="55" t="s">
        <v>351</v>
      </c>
      <c r="L1856" s="59">
        <f>M1886</f>
        <v>17992.8</v>
      </c>
      <c r="M1856" s="55" t="s">
        <v>352</v>
      </c>
      <c r="N1856" s="59">
        <f>M1895</f>
        <v>20957.750047500002</v>
      </c>
    </row>
    <row r="1857" spans="1:14" ht="12.75" customHeight="1" thickBot="1" x14ac:dyDescent="0.3">
      <c r="A1857" s="60"/>
      <c r="B1857" s="60"/>
      <c r="C1857" s="60"/>
      <c r="D1857" s="60"/>
      <c r="E1857" s="60"/>
      <c r="F1857" s="60"/>
      <c r="G1857" s="60"/>
      <c r="J1857" s="60"/>
      <c r="K1857" s="60"/>
      <c r="L1857" s="327" t="s">
        <v>1934</v>
      </c>
      <c r="M1857" s="328">
        <f>+F1856*'01'!$O$16</f>
        <v>827491.06852164224</v>
      </c>
      <c r="N1857" s="60"/>
    </row>
    <row r="1858" spans="1:14" ht="12.75" customHeight="1" x14ac:dyDescent="0.2">
      <c r="A1858" s="716" t="s">
        <v>403</v>
      </c>
      <c r="B1858" s="418"/>
      <c r="C1858" s="418"/>
      <c r="D1858" s="418"/>
      <c r="E1858" s="418"/>
      <c r="F1858" s="418"/>
      <c r="G1858" s="418"/>
      <c r="H1858" s="418"/>
      <c r="I1858" s="418"/>
      <c r="J1858" s="418"/>
      <c r="K1858" s="418"/>
      <c r="L1858" s="418"/>
      <c r="M1858" s="418"/>
      <c r="N1858" s="416"/>
    </row>
    <row r="1859" spans="1:14" ht="12.75" customHeight="1" x14ac:dyDescent="0.2">
      <c r="A1859" s="713" t="s">
        <v>39</v>
      </c>
      <c r="B1859" s="418"/>
      <c r="C1859" s="418"/>
      <c r="D1859" s="418"/>
      <c r="E1859" s="418"/>
      <c r="F1859" s="418"/>
      <c r="G1859" s="416"/>
      <c r="H1859" s="61" t="s">
        <v>40</v>
      </c>
      <c r="I1859" s="717" t="s">
        <v>404</v>
      </c>
      <c r="J1859" s="416"/>
      <c r="K1859" s="717" t="s">
        <v>184</v>
      </c>
      <c r="L1859" s="416"/>
      <c r="M1859" s="717" t="s">
        <v>405</v>
      </c>
      <c r="N1859" s="416"/>
    </row>
    <row r="1860" spans="1:14" ht="12.75" customHeight="1" x14ac:dyDescent="0.2">
      <c r="A1860" s="719" t="s">
        <v>546</v>
      </c>
      <c r="B1860" s="418"/>
      <c r="C1860" s="418"/>
      <c r="D1860" s="418"/>
      <c r="E1860" s="418"/>
      <c r="F1860" s="418"/>
      <c r="G1860" s="416"/>
      <c r="H1860" s="12" t="str">
        <f t="shared" ref="H1860:H1867" si="242">IF(A1860="","",VLOOKUP(A1860,AA_Materiales,7,FALSE))</f>
        <v>Unidad</v>
      </c>
      <c r="I1860" s="712">
        <f t="shared" ref="I1860:I1867" si="243">IF(A1860="","",VLOOKUP(A1860,AA_Materiales,8,FALSE))</f>
        <v>599760</v>
      </c>
      <c r="J1860" s="416"/>
      <c r="K1860" s="715">
        <v>1</v>
      </c>
      <c r="L1860" s="416"/>
      <c r="M1860" s="712">
        <f t="shared" ref="M1860:M1867" si="244">IF(A1860="","",I1860*K1860)</f>
        <v>599760</v>
      </c>
      <c r="N1860" s="416"/>
    </row>
    <row r="1861" spans="1:14" ht="12.75" customHeight="1" x14ac:dyDescent="0.2">
      <c r="A1861" s="719"/>
      <c r="B1861" s="418"/>
      <c r="C1861" s="418"/>
      <c r="D1861" s="418"/>
      <c r="E1861" s="418"/>
      <c r="F1861" s="418"/>
      <c r="G1861" s="416"/>
      <c r="H1861" s="12" t="str">
        <f t="shared" si="242"/>
        <v/>
      </c>
      <c r="I1861" s="712" t="str">
        <f t="shared" si="243"/>
        <v/>
      </c>
      <c r="J1861" s="416"/>
      <c r="K1861" s="715"/>
      <c r="L1861" s="416"/>
      <c r="M1861" s="712" t="str">
        <f t="shared" si="244"/>
        <v/>
      </c>
      <c r="N1861" s="416"/>
    </row>
    <row r="1862" spans="1:14" ht="12.75" customHeight="1" x14ac:dyDescent="0.2">
      <c r="A1862" s="719"/>
      <c r="B1862" s="418"/>
      <c r="C1862" s="418"/>
      <c r="D1862" s="418"/>
      <c r="E1862" s="418"/>
      <c r="F1862" s="418"/>
      <c r="G1862" s="416"/>
      <c r="H1862" s="12" t="str">
        <f t="shared" si="242"/>
        <v/>
      </c>
      <c r="I1862" s="712" t="str">
        <f t="shared" si="243"/>
        <v/>
      </c>
      <c r="J1862" s="416"/>
      <c r="K1862" s="715"/>
      <c r="L1862" s="416"/>
      <c r="M1862" s="712" t="str">
        <f t="shared" si="244"/>
        <v/>
      </c>
      <c r="N1862" s="416"/>
    </row>
    <row r="1863" spans="1:14" ht="12.75" customHeight="1" x14ac:dyDescent="0.2">
      <c r="A1863" s="719"/>
      <c r="B1863" s="418"/>
      <c r="C1863" s="418"/>
      <c r="D1863" s="418"/>
      <c r="E1863" s="418"/>
      <c r="F1863" s="418"/>
      <c r="G1863" s="416"/>
      <c r="H1863" s="12" t="str">
        <f t="shared" si="242"/>
        <v/>
      </c>
      <c r="I1863" s="712" t="str">
        <f t="shared" si="243"/>
        <v/>
      </c>
      <c r="J1863" s="416"/>
      <c r="K1863" s="715"/>
      <c r="L1863" s="416"/>
      <c r="M1863" s="712" t="str">
        <f t="shared" si="244"/>
        <v/>
      </c>
      <c r="N1863" s="416"/>
    </row>
    <row r="1864" spans="1:14" ht="12.75" customHeight="1" x14ac:dyDescent="0.2">
      <c r="A1864" s="719"/>
      <c r="B1864" s="418"/>
      <c r="C1864" s="418"/>
      <c r="D1864" s="418"/>
      <c r="E1864" s="418"/>
      <c r="F1864" s="418"/>
      <c r="G1864" s="416"/>
      <c r="H1864" s="12" t="str">
        <f t="shared" si="242"/>
        <v/>
      </c>
      <c r="I1864" s="712" t="str">
        <f t="shared" si="243"/>
        <v/>
      </c>
      <c r="J1864" s="416"/>
      <c r="K1864" s="715"/>
      <c r="L1864" s="416"/>
      <c r="M1864" s="712" t="str">
        <f t="shared" si="244"/>
        <v/>
      </c>
      <c r="N1864" s="416"/>
    </row>
    <row r="1865" spans="1:14" ht="12.75" customHeight="1" x14ac:dyDescent="0.2">
      <c r="A1865" s="719"/>
      <c r="B1865" s="418"/>
      <c r="C1865" s="418"/>
      <c r="D1865" s="418"/>
      <c r="E1865" s="418"/>
      <c r="F1865" s="418"/>
      <c r="G1865" s="416"/>
      <c r="H1865" s="12" t="str">
        <f t="shared" si="242"/>
        <v/>
      </c>
      <c r="I1865" s="712" t="str">
        <f t="shared" si="243"/>
        <v/>
      </c>
      <c r="J1865" s="416"/>
      <c r="K1865" s="715"/>
      <c r="L1865" s="416"/>
      <c r="M1865" s="712" t="str">
        <f t="shared" si="244"/>
        <v/>
      </c>
      <c r="N1865" s="416"/>
    </row>
    <row r="1866" spans="1:14" ht="12.75" customHeight="1" x14ac:dyDescent="0.2">
      <c r="A1866" s="719"/>
      <c r="B1866" s="418"/>
      <c r="C1866" s="418"/>
      <c r="D1866" s="418"/>
      <c r="E1866" s="418"/>
      <c r="F1866" s="418"/>
      <c r="G1866" s="416"/>
      <c r="H1866" s="12" t="str">
        <f t="shared" si="242"/>
        <v/>
      </c>
      <c r="I1866" s="712" t="str">
        <f t="shared" si="243"/>
        <v/>
      </c>
      <c r="J1866" s="416"/>
      <c r="K1866" s="715"/>
      <c r="L1866" s="416"/>
      <c r="M1866" s="712" t="str">
        <f t="shared" si="244"/>
        <v/>
      </c>
      <c r="N1866" s="416"/>
    </row>
    <row r="1867" spans="1:14" ht="12.75" customHeight="1" x14ac:dyDescent="0.2">
      <c r="A1867" s="719"/>
      <c r="B1867" s="418"/>
      <c r="C1867" s="418"/>
      <c r="D1867" s="418"/>
      <c r="E1867" s="418"/>
      <c r="F1867" s="418"/>
      <c r="G1867" s="416"/>
      <c r="H1867" s="12" t="str">
        <f t="shared" si="242"/>
        <v/>
      </c>
      <c r="I1867" s="712" t="str">
        <f t="shared" si="243"/>
        <v/>
      </c>
      <c r="J1867" s="416"/>
      <c r="K1867" s="715"/>
      <c r="L1867" s="416"/>
      <c r="M1867" s="712" t="str">
        <f t="shared" si="244"/>
        <v/>
      </c>
      <c r="N1867" s="416"/>
    </row>
    <row r="1868" spans="1:14" ht="12.75" customHeight="1" x14ac:dyDescent="0.25">
      <c r="A1868" s="5"/>
      <c r="B1868" s="5"/>
      <c r="C1868" s="5"/>
      <c r="D1868" s="5"/>
      <c r="E1868" s="5"/>
      <c r="F1868" s="5"/>
      <c r="G1868" s="5"/>
      <c r="H1868" s="5"/>
      <c r="I1868" s="5"/>
      <c r="J1868" s="5"/>
      <c r="K1868" s="713" t="s">
        <v>261</v>
      </c>
      <c r="L1868" s="416"/>
      <c r="M1868" s="712">
        <f>SUM(M1860:N1867)</f>
        <v>599760</v>
      </c>
      <c r="N1868" s="416"/>
    </row>
    <row r="1869" spans="1:14" ht="12.75" customHeight="1" x14ac:dyDescent="0.25">
      <c r="A1869" s="5"/>
      <c r="B1869" s="5"/>
      <c r="C1869" s="5"/>
      <c r="D1869" s="5"/>
      <c r="E1869" s="5"/>
      <c r="F1869" s="5"/>
      <c r="G1869" s="5"/>
      <c r="H1869" s="5"/>
      <c r="I1869" s="5"/>
      <c r="J1869" s="5"/>
      <c r="K1869" s="5"/>
      <c r="L1869" s="5"/>
      <c r="M1869" s="5"/>
      <c r="N1869" s="5"/>
    </row>
    <row r="1870" spans="1:14" ht="12.75" customHeight="1" x14ac:dyDescent="0.2">
      <c r="A1870" s="716" t="s">
        <v>410</v>
      </c>
      <c r="B1870" s="418"/>
      <c r="C1870" s="418"/>
      <c r="D1870" s="418"/>
      <c r="E1870" s="418"/>
      <c r="F1870" s="418"/>
      <c r="G1870" s="418"/>
      <c r="H1870" s="418"/>
      <c r="I1870" s="418"/>
      <c r="J1870" s="418"/>
      <c r="K1870" s="418"/>
      <c r="L1870" s="418"/>
      <c r="M1870" s="418"/>
      <c r="N1870" s="416"/>
    </row>
    <row r="1871" spans="1:14" ht="12.75" customHeight="1" x14ac:dyDescent="0.2">
      <c r="A1871" s="713" t="s">
        <v>39</v>
      </c>
      <c r="B1871" s="418"/>
      <c r="C1871" s="418"/>
      <c r="D1871" s="418"/>
      <c r="E1871" s="418"/>
      <c r="F1871" s="418"/>
      <c r="G1871" s="416"/>
      <c r="H1871" s="61" t="s">
        <v>40</v>
      </c>
      <c r="I1871" s="717" t="s">
        <v>404</v>
      </c>
      <c r="J1871" s="416"/>
      <c r="K1871" s="717" t="s">
        <v>184</v>
      </c>
      <c r="L1871" s="416"/>
      <c r="M1871" s="717" t="s">
        <v>405</v>
      </c>
      <c r="N1871" s="416"/>
    </row>
    <row r="1872" spans="1:14" ht="12.75" customHeight="1" x14ac:dyDescent="0.2">
      <c r="A1872" s="714" t="s">
        <v>411</v>
      </c>
      <c r="B1872" s="418"/>
      <c r="C1872" s="418"/>
      <c r="D1872" s="418"/>
      <c r="E1872" s="418"/>
      <c r="F1872" s="418"/>
      <c r="G1872" s="416"/>
      <c r="H1872" s="12" t="str">
        <f>IF(A1872="","",VLOOKUP(A1872,AA_Equipos,7,FALSE))</f>
        <v>% M.O.</v>
      </c>
      <c r="I1872" s="712">
        <f>+M1895</f>
        <v>20957.750047500002</v>
      </c>
      <c r="J1872" s="416"/>
      <c r="K1872" s="722">
        <v>0.03</v>
      </c>
      <c r="L1872" s="416"/>
      <c r="M1872" s="712">
        <f t="shared" ref="M1872:M1876" si="245">IF(A1872="","",I1872*K1872)</f>
        <v>628.73250142500001</v>
      </c>
      <c r="N1872" s="416"/>
    </row>
    <row r="1873" spans="1:14" ht="12.75" customHeight="1" x14ac:dyDescent="0.2">
      <c r="A1873" s="719"/>
      <c r="B1873" s="418"/>
      <c r="C1873" s="418"/>
      <c r="D1873" s="418"/>
      <c r="E1873" s="418"/>
      <c r="F1873" s="418"/>
      <c r="G1873" s="416"/>
      <c r="H1873" s="12" t="str">
        <f>IF(A1873="","",VLOOKUP(A1873,AA_Equipos,7,FALSE))</f>
        <v/>
      </c>
      <c r="I1873" s="712" t="str">
        <f>IF(A1873="","",VLOOKUP(A1873,AA_Equipos,8,FALSE))</f>
        <v/>
      </c>
      <c r="J1873" s="416"/>
      <c r="K1873" s="723"/>
      <c r="L1873" s="416"/>
      <c r="M1873" s="712" t="str">
        <f t="shared" si="245"/>
        <v/>
      </c>
      <c r="N1873" s="416"/>
    </row>
    <row r="1874" spans="1:14" ht="12.75" customHeight="1" x14ac:dyDescent="0.2">
      <c r="A1874" s="714"/>
      <c r="B1874" s="418"/>
      <c r="C1874" s="418"/>
      <c r="D1874" s="418"/>
      <c r="E1874" s="418"/>
      <c r="F1874" s="418"/>
      <c r="G1874" s="416"/>
      <c r="H1874" s="12" t="str">
        <f>IF(A1874="","",VLOOKUP(A1874,AA_Equipos,7,FALSE))</f>
        <v/>
      </c>
      <c r="I1874" s="712" t="str">
        <f>IF(A1874="","",VLOOKUP(A1874,AA_Equipos,8,FALSE))</f>
        <v/>
      </c>
      <c r="J1874" s="416"/>
      <c r="K1874" s="786"/>
      <c r="L1874" s="416"/>
      <c r="M1874" s="712" t="str">
        <f t="shared" si="245"/>
        <v/>
      </c>
      <c r="N1874" s="416"/>
    </row>
    <row r="1875" spans="1:14" ht="12.75" customHeight="1" x14ac:dyDescent="0.2">
      <c r="A1875" s="714"/>
      <c r="B1875" s="418"/>
      <c r="C1875" s="418"/>
      <c r="D1875" s="418"/>
      <c r="E1875" s="418"/>
      <c r="F1875" s="418"/>
      <c r="G1875" s="416"/>
      <c r="H1875" s="12" t="str">
        <f>IF(A1875="","",VLOOKUP(A1875,AA_Equipos,7,FALSE))</f>
        <v/>
      </c>
      <c r="I1875" s="712" t="str">
        <f>IF(A1875="","",VLOOKUP(A1875,AA_Equipos,8,FALSE))</f>
        <v/>
      </c>
      <c r="J1875" s="416"/>
      <c r="K1875" s="715"/>
      <c r="L1875" s="416"/>
      <c r="M1875" s="712" t="str">
        <f t="shared" si="245"/>
        <v/>
      </c>
      <c r="N1875" s="416"/>
    </row>
    <row r="1876" spans="1:14" ht="12.75" customHeight="1" x14ac:dyDescent="0.2">
      <c r="A1876" s="714"/>
      <c r="B1876" s="418"/>
      <c r="C1876" s="418"/>
      <c r="D1876" s="418"/>
      <c r="E1876" s="418"/>
      <c r="F1876" s="418"/>
      <c r="G1876" s="416"/>
      <c r="H1876" s="12" t="str">
        <f>IF(A1876="","",VLOOKUP(A1876,AA_Equipos,7,FALSE))</f>
        <v/>
      </c>
      <c r="I1876" s="712" t="str">
        <f>IF(A1876="","",VLOOKUP(A1876,AA_Equipos,8,FALSE))</f>
        <v/>
      </c>
      <c r="J1876" s="416"/>
      <c r="K1876" s="715"/>
      <c r="L1876" s="416"/>
      <c r="M1876" s="712" t="str">
        <f t="shared" si="245"/>
        <v/>
      </c>
      <c r="N1876" s="416"/>
    </row>
    <row r="1877" spans="1:14" ht="12.75" customHeight="1" x14ac:dyDescent="0.25">
      <c r="A1877" s="5"/>
      <c r="B1877" s="5"/>
      <c r="C1877" s="5"/>
      <c r="D1877" s="5"/>
      <c r="E1877" s="5"/>
      <c r="F1877" s="5"/>
      <c r="G1877" s="5"/>
      <c r="H1877" s="5"/>
      <c r="I1877" s="5"/>
      <c r="J1877" s="5"/>
      <c r="K1877" s="713" t="s">
        <v>261</v>
      </c>
      <c r="L1877" s="416"/>
      <c r="M1877" s="712">
        <f>SUM(M1872:N1876)</f>
        <v>628.73250142500001</v>
      </c>
      <c r="N1877" s="416"/>
    </row>
    <row r="1878" spans="1:14" ht="12.75" customHeight="1" x14ac:dyDescent="0.25">
      <c r="A1878" s="5"/>
      <c r="B1878" s="5"/>
      <c r="C1878" s="5"/>
      <c r="D1878" s="5"/>
      <c r="E1878" s="5"/>
      <c r="F1878" s="5"/>
      <c r="G1878" s="5"/>
      <c r="H1878" s="5"/>
      <c r="I1878" s="5"/>
      <c r="J1878" s="5"/>
      <c r="K1878" s="5"/>
      <c r="L1878" s="5"/>
      <c r="M1878" s="5"/>
      <c r="N1878" s="5"/>
    </row>
    <row r="1879" spans="1:14" ht="12.75" customHeight="1" x14ac:dyDescent="0.2">
      <c r="A1879" s="716" t="s">
        <v>413</v>
      </c>
      <c r="B1879" s="418"/>
      <c r="C1879" s="418"/>
      <c r="D1879" s="418"/>
      <c r="E1879" s="418"/>
      <c r="F1879" s="418"/>
      <c r="G1879" s="418"/>
      <c r="H1879" s="418"/>
      <c r="I1879" s="418"/>
      <c r="J1879" s="418"/>
      <c r="K1879" s="418"/>
      <c r="L1879" s="418"/>
      <c r="M1879" s="418"/>
      <c r="N1879" s="416"/>
    </row>
    <row r="1880" spans="1:14" ht="12.75" customHeight="1" x14ac:dyDescent="0.2">
      <c r="A1880" s="713" t="s">
        <v>39</v>
      </c>
      <c r="B1880" s="418"/>
      <c r="C1880" s="418"/>
      <c r="D1880" s="418"/>
      <c r="E1880" s="418"/>
      <c r="F1880" s="418"/>
      <c r="G1880" s="416"/>
      <c r="H1880" s="61" t="s">
        <v>40</v>
      </c>
      <c r="I1880" s="717" t="s">
        <v>404</v>
      </c>
      <c r="J1880" s="416"/>
      <c r="K1880" s="717" t="s">
        <v>184</v>
      </c>
      <c r="L1880" s="416"/>
      <c r="M1880" s="717" t="s">
        <v>405</v>
      </c>
      <c r="N1880" s="416"/>
    </row>
    <row r="1881" spans="1:14" ht="12.75" customHeight="1" x14ac:dyDescent="0.2">
      <c r="A1881" s="714" t="s">
        <v>438</v>
      </c>
      <c r="B1881" s="418"/>
      <c r="C1881" s="418"/>
      <c r="D1881" s="418"/>
      <c r="E1881" s="418"/>
      <c r="F1881" s="418"/>
      <c r="G1881" s="416"/>
      <c r="H1881" s="12" t="s">
        <v>426</v>
      </c>
      <c r="I1881" s="712">
        <f>+M1868</f>
        <v>599760</v>
      </c>
      <c r="J1881" s="416"/>
      <c r="K1881" s="722">
        <v>0.03</v>
      </c>
      <c r="L1881" s="416"/>
      <c r="M1881" s="712">
        <f t="shared" ref="M1881:M1885" si="246">IF(A1881="","",I1881*K1881)</f>
        <v>17992.8</v>
      </c>
      <c r="N1881" s="416"/>
    </row>
    <row r="1882" spans="1:14" ht="12.75" customHeight="1" x14ac:dyDescent="0.2">
      <c r="A1882" s="719"/>
      <c r="B1882" s="418"/>
      <c r="C1882" s="418"/>
      <c r="D1882" s="418"/>
      <c r="E1882" s="418"/>
      <c r="F1882" s="418"/>
      <c r="G1882" s="416"/>
      <c r="H1882" s="12"/>
      <c r="I1882" s="712"/>
      <c r="J1882" s="416"/>
      <c r="K1882" s="722"/>
      <c r="L1882" s="416"/>
      <c r="M1882" s="712" t="str">
        <f t="shared" si="246"/>
        <v/>
      </c>
      <c r="N1882" s="416"/>
    </row>
    <row r="1883" spans="1:14" ht="12.75" customHeight="1" x14ac:dyDescent="0.2">
      <c r="A1883" s="714"/>
      <c r="B1883" s="418"/>
      <c r="C1883" s="418"/>
      <c r="D1883" s="418"/>
      <c r="E1883" s="418"/>
      <c r="F1883" s="418"/>
      <c r="G1883" s="416"/>
      <c r="H1883" s="12"/>
      <c r="I1883" s="712"/>
      <c r="J1883" s="416"/>
      <c r="K1883" s="715"/>
      <c r="L1883" s="416"/>
      <c r="M1883" s="712" t="str">
        <f t="shared" si="246"/>
        <v/>
      </c>
      <c r="N1883" s="416"/>
    </row>
    <row r="1884" spans="1:14" ht="12.75" customHeight="1" x14ac:dyDescent="0.2">
      <c r="A1884" s="714"/>
      <c r="B1884" s="418"/>
      <c r="C1884" s="418"/>
      <c r="D1884" s="418"/>
      <c r="E1884" s="418"/>
      <c r="F1884" s="418"/>
      <c r="G1884" s="416"/>
      <c r="H1884" s="12"/>
      <c r="I1884" s="712"/>
      <c r="J1884" s="416"/>
      <c r="K1884" s="715"/>
      <c r="L1884" s="416"/>
      <c r="M1884" s="712" t="str">
        <f t="shared" si="246"/>
        <v/>
      </c>
      <c r="N1884" s="416"/>
    </row>
    <row r="1885" spans="1:14" ht="12.75" customHeight="1" x14ac:dyDescent="0.2">
      <c r="A1885" s="714"/>
      <c r="B1885" s="418"/>
      <c r="C1885" s="418"/>
      <c r="D1885" s="418"/>
      <c r="E1885" s="418"/>
      <c r="F1885" s="418"/>
      <c r="G1885" s="416"/>
      <c r="H1885" s="12"/>
      <c r="I1885" s="712"/>
      <c r="J1885" s="416"/>
      <c r="K1885" s="715"/>
      <c r="L1885" s="416"/>
      <c r="M1885" s="712" t="str">
        <f t="shared" si="246"/>
        <v/>
      </c>
      <c r="N1885" s="416"/>
    </row>
    <row r="1886" spans="1:14" ht="12.75" customHeight="1" x14ac:dyDescent="0.25">
      <c r="A1886" s="5"/>
      <c r="B1886" s="5"/>
      <c r="C1886" s="5"/>
      <c r="D1886" s="5"/>
      <c r="E1886" s="5"/>
      <c r="F1886" s="5"/>
      <c r="G1886" s="5"/>
      <c r="H1886" s="5"/>
      <c r="I1886" s="5"/>
      <c r="J1886" s="5"/>
      <c r="K1886" s="713" t="s">
        <v>261</v>
      </c>
      <c r="L1886" s="416"/>
      <c r="M1886" s="712">
        <f>SUM(M1881:N1885)</f>
        <v>17992.8</v>
      </c>
      <c r="N1886" s="416"/>
    </row>
    <row r="1887" spans="1:14" ht="12.75" customHeight="1" x14ac:dyDescent="0.25">
      <c r="A1887" s="5"/>
      <c r="B1887" s="5"/>
      <c r="C1887" s="5"/>
      <c r="D1887" s="5"/>
      <c r="E1887" s="5"/>
      <c r="F1887" s="5"/>
      <c r="G1887" s="5"/>
      <c r="H1887" s="5"/>
      <c r="I1887" s="5"/>
      <c r="J1887" s="5"/>
      <c r="K1887" s="5"/>
      <c r="L1887" s="5"/>
      <c r="M1887" s="5"/>
      <c r="N1887" s="5"/>
    </row>
    <row r="1888" spans="1:14" ht="12.75" customHeight="1" x14ac:dyDescent="0.2">
      <c r="A1888" s="716" t="s">
        <v>415</v>
      </c>
      <c r="B1888" s="418"/>
      <c r="C1888" s="418"/>
      <c r="D1888" s="418"/>
      <c r="E1888" s="418"/>
      <c r="F1888" s="418"/>
      <c r="G1888" s="418"/>
      <c r="H1888" s="418"/>
      <c r="I1888" s="418"/>
      <c r="J1888" s="418"/>
      <c r="K1888" s="418"/>
      <c r="L1888" s="418"/>
      <c r="M1888" s="418"/>
      <c r="N1888" s="416"/>
    </row>
    <row r="1889" spans="1:16" ht="12.75" customHeight="1" x14ac:dyDescent="0.2">
      <c r="A1889" s="713" t="s">
        <v>39</v>
      </c>
      <c r="B1889" s="418"/>
      <c r="C1889" s="418"/>
      <c r="D1889" s="418"/>
      <c r="E1889" s="418"/>
      <c r="F1889" s="418"/>
      <c r="G1889" s="416"/>
      <c r="H1889" s="61" t="s">
        <v>40</v>
      </c>
      <c r="I1889" s="717" t="s">
        <v>404</v>
      </c>
      <c r="J1889" s="416"/>
      <c r="K1889" s="64" t="s">
        <v>253</v>
      </c>
      <c r="L1889" s="65" t="s">
        <v>416</v>
      </c>
      <c r="M1889" s="717" t="s">
        <v>405</v>
      </c>
      <c r="N1889" s="416"/>
    </row>
    <row r="1890" spans="1:16" ht="12.75" customHeight="1" x14ac:dyDescent="0.25">
      <c r="A1890" s="711" t="s">
        <v>479</v>
      </c>
      <c r="B1890" s="418"/>
      <c r="C1890" s="418"/>
      <c r="D1890" s="418"/>
      <c r="E1890" s="418"/>
      <c r="F1890" s="418"/>
      <c r="G1890" s="416"/>
      <c r="H1890" s="12" t="str">
        <f>IF(A1890="","",VLOOKUP(A1890,AA_Cuadrillas,4,FALSE))</f>
        <v>Cuadrilla</v>
      </c>
      <c r="I1890" s="712">
        <f>IF(A1890="","",VLOOKUP(A1890,AA_Cuadrillas,5,FALSE))</f>
        <v>221781</v>
      </c>
      <c r="J1890" s="416"/>
      <c r="K1890" s="3">
        <f>IF(A1890="","",'04'!$I$2)</f>
        <v>1.88995</v>
      </c>
      <c r="L1890" s="71">
        <f>1/20</f>
        <v>0.05</v>
      </c>
      <c r="M1890" s="712">
        <f t="shared" ref="M1890:M1894" si="247">IF(A1890="","",I1890*K1890*L1890)</f>
        <v>20957.750047500002</v>
      </c>
      <c r="N1890" s="416"/>
    </row>
    <row r="1891" spans="1:16" ht="12.75" customHeight="1" x14ac:dyDescent="0.25">
      <c r="A1891" s="711"/>
      <c r="B1891" s="418"/>
      <c r="C1891" s="418"/>
      <c r="D1891" s="418"/>
      <c r="E1891" s="418"/>
      <c r="F1891" s="418"/>
      <c r="G1891" s="416"/>
      <c r="H1891" s="12" t="str">
        <f>IF(A1891="","",VLOOKUP(A1891,AA_Cuadrillas,4,FALSE))</f>
        <v/>
      </c>
      <c r="I1891" s="712" t="str">
        <f>IF(A1891="","",VLOOKUP(A1891,AA_Cuadrillas,5,FALSE))</f>
        <v/>
      </c>
      <c r="J1891" s="416"/>
      <c r="K1891" s="3" t="str">
        <f>IF(A1891="","",'04'!$I$2)</f>
        <v/>
      </c>
      <c r="L1891" s="3"/>
      <c r="M1891" s="712" t="str">
        <f t="shared" si="247"/>
        <v/>
      </c>
      <c r="N1891" s="416"/>
    </row>
    <row r="1892" spans="1:16" ht="12.75" customHeight="1" x14ac:dyDescent="0.25">
      <c r="A1892" s="711"/>
      <c r="B1892" s="418"/>
      <c r="C1892" s="418"/>
      <c r="D1892" s="418"/>
      <c r="E1892" s="418"/>
      <c r="F1892" s="418"/>
      <c r="G1892" s="416"/>
      <c r="H1892" s="12" t="str">
        <f>IF(A1892="","",VLOOKUP(A1892,AA_Cuadrillas,4,FALSE))</f>
        <v/>
      </c>
      <c r="I1892" s="712" t="str">
        <f>IF(A1892="","",VLOOKUP(A1892,AA_Cuadrillas,5,FALSE))</f>
        <v/>
      </c>
      <c r="J1892" s="416"/>
      <c r="K1892" s="3" t="str">
        <f>IF(A1892="","",'04'!$I$2)</f>
        <v/>
      </c>
      <c r="L1892" s="13"/>
      <c r="M1892" s="712" t="str">
        <f t="shared" si="247"/>
        <v/>
      </c>
      <c r="N1892" s="416"/>
    </row>
    <row r="1893" spans="1:16" ht="12.75" customHeight="1" x14ac:dyDescent="0.25">
      <c r="A1893" s="711"/>
      <c r="B1893" s="418"/>
      <c r="C1893" s="418"/>
      <c r="D1893" s="418"/>
      <c r="E1893" s="418"/>
      <c r="F1893" s="418"/>
      <c r="G1893" s="416"/>
      <c r="H1893" s="12" t="str">
        <f>IF(A1893="","",VLOOKUP(A1893,AA_Cuadrillas,4,FALSE))</f>
        <v/>
      </c>
      <c r="I1893" s="712" t="str">
        <f>IF(A1893="","",VLOOKUP(A1893,AA_Cuadrillas,5,FALSE))</f>
        <v/>
      </c>
      <c r="J1893" s="416"/>
      <c r="K1893" s="3" t="str">
        <f>IF(A1893="","",'04'!$I$2)</f>
        <v/>
      </c>
      <c r="L1893" s="13"/>
      <c r="M1893" s="712" t="str">
        <f t="shared" si="247"/>
        <v/>
      </c>
      <c r="N1893" s="416"/>
    </row>
    <row r="1894" spans="1:16" ht="12.75" customHeight="1" x14ac:dyDescent="0.25">
      <c r="A1894" s="711"/>
      <c r="B1894" s="418"/>
      <c r="C1894" s="418"/>
      <c r="D1894" s="418"/>
      <c r="E1894" s="418"/>
      <c r="F1894" s="418"/>
      <c r="G1894" s="416"/>
      <c r="H1894" s="12" t="str">
        <f>IF(A1894="","",VLOOKUP(A1894,AA_Cuadrillas,4,FALSE))</f>
        <v/>
      </c>
      <c r="I1894" s="712" t="str">
        <f>IF(A1894="","",VLOOKUP(A1894,AA_Cuadrillas,5,FALSE))</f>
        <v/>
      </c>
      <c r="J1894" s="416"/>
      <c r="K1894" s="3" t="str">
        <f>IF(A1894="","",'04'!$I$2)</f>
        <v/>
      </c>
      <c r="L1894" s="13"/>
      <c r="M1894" s="712" t="str">
        <f t="shared" si="247"/>
        <v/>
      </c>
      <c r="N1894" s="416"/>
    </row>
    <row r="1895" spans="1:16" ht="12.75" customHeight="1" x14ac:dyDescent="0.25">
      <c r="A1895" s="5"/>
      <c r="B1895" s="5"/>
      <c r="C1895" s="5"/>
      <c r="D1895" s="5"/>
      <c r="E1895" s="5"/>
      <c r="F1895" s="5"/>
      <c r="G1895" s="5"/>
      <c r="H1895" s="5"/>
      <c r="I1895" s="5"/>
      <c r="J1895" s="5"/>
      <c r="K1895" s="713" t="s">
        <v>261</v>
      </c>
      <c r="L1895" s="416"/>
      <c r="M1895" s="712">
        <f>SUM(M1890:N1894)</f>
        <v>20957.750047500002</v>
      </c>
      <c r="N1895" s="416"/>
    </row>
    <row r="1896" spans="1:16" ht="12.75" customHeight="1" x14ac:dyDescent="0.2"/>
    <row r="1897" spans="1:16" ht="12.75" customHeight="1" x14ac:dyDescent="0.2">
      <c r="A1897" s="787" t="s">
        <v>95</v>
      </c>
      <c r="B1897" s="410"/>
      <c r="C1897" s="410"/>
      <c r="D1897" s="410"/>
      <c r="E1897" s="410"/>
      <c r="F1897" s="410"/>
      <c r="G1897" s="410"/>
      <c r="H1897" s="410"/>
      <c r="I1897" s="410"/>
      <c r="J1897" s="410"/>
      <c r="K1897" s="410"/>
      <c r="L1897" s="410"/>
      <c r="M1897" s="410"/>
      <c r="N1897" s="411"/>
      <c r="O1897" s="272"/>
      <c r="P1897" s="9"/>
    </row>
    <row r="1898" spans="1:16" ht="12.75" customHeight="1" x14ac:dyDescent="0.2">
      <c r="A1898" s="412"/>
      <c r="B1898" s="413"/>
      <c r="C1898" s="413"/>
      <c r="D1898" s="413"/>
      <c r="E1898" s="413"/>
      <c r="F1898" s="413"/>
      <c r="G1898" s="413"/>
      <c r="H1898" s="413"/>
      <c r="I1898" s="413"/>
      <c r="J1898" s="413"/>
      <c r="K1898" s="413"/>
      <c r="L1898" s="413"/>
      <c r="M1898" s="413"/>
      <c r="N1898" s="414"/>
      <c r="O1898" s="272"/>
      <c r="P1898" s="9"/>
    </row>
    <row r="1899" spans="1:16" ht="12.75" customHeight="1" x14ac:dyDescent="0.2">
      <c r="A1899" s="49"/>
      <c r="B1899" s="49"/>
      <c r="C1899" s="49"/>
      <c r="D1899" s="49"/>
      <c r="E1899" s="49"/>
      <c r="F1899" s="49"/>
      <c r="G1899" s="49"/>
      <c r="H1899" s="49"/>
      <c r="I1899" s="49"/>
      <c r="J1899" s="49"/>
      <c r="K1899" s="49"/>
      <c r="L1899" s="49"/>
      <c r="M1899" s="49"/>
      <c r="N1899" s="49"/>
    </row>
    <row r="1900" spans="1:16" ht="12.75" customHeight="1" thickBot="1" x14ac:dyDescent="0.35">
      <c r="A1900" s="51" t="str">
        <f>VLOOKUP(A1897,'10'!$B$9:$N$100,13,FALSE)</f>
        <v>G014</v>
      </c>
      <c r="B1900" s="52" t="str">
        <f>A1897</f>
        <v>SUMINISTRO E INSTALACIÓN CODO 90° Ø6" EN HIERRO DUCTIL CON UNIÓN MECÁNICA (INCLUYE MATERIALES, HERRAMIENTAS Y MANO DE OBRA)</v>
      </c>
      <c r="C1900" s="53" t="s">
        <v>400</v>
      </c>
      <c r="D1900" s="54" t="s">
        <v>475</v>
      </c>
      <c r="E1900" s="55" t="s">
        <v>177</v>
      </c>
      <c r="F1900" s="59">
        <f>H1900+J1900+L1900+N1900</f>
        <v>736169.58254892495</v>
      </c>
      <c r="G1900" s="55" t="s">
        <v>349</v>
      </c>
      <c r="H1900" s="59">
        <f>M1921</f>
        <v>628.73250142500001</v>
      </c>
      <c r="I1900" s="55" t="s">
        <v>402</v>
      </c>
      <c r="J1900" s="72">
        <f>M1912</f>
        <v>693770</v>
      </c>
      <c r="K1900" s="55" t="s">
        <v>351</v>
      </c>
      <c r="L1900" s="59">
        <f>M1930</f>
        <v>20813.099999999999</v>
      </c>
      <c r="M1900" s="55" t="s">
        <v>352</v>
      </c>
      <c r="N1900" s="59">
        <f>M1939</f>
        <v>20957.750047500002</v>
      </c>
    </row>
    <row r="1901" spans="1:16" ht="12.75" customHeight="1" thickBot="1" x14ac:dyDescent="0.3">
      <c r="A1901" s="60"/>
      <c r="B1901" s="60"/>
      <c r="C1901" s="60"/>
      <c r="D1901" s="60"/>
      <c r="E1901" s="60"/>
      <c r="F1901" s="60"/>
      <c r="G1901" s="60"/>
      <c r="J1901" s="60"/>
      <c r="K1901" s="60"/>
      <c r="L1901" s="327" t="s">
        <v>1934</v>
      </c>
      <c r="M1901" s="328">
        <f>+F1900*'01'!$O$16</f>
        <v>952817.65269901836</v>
      </c>
      <c r="N1901" s="60"/>
    </row>
    <row r="1902" spans="1:16" ht="12.75" customHeight="1" x14ac:dyDescent="0.2">
      <c r="A1902" s="716" t="s">
        <v>403</v>
      </c>
      <c r="B1902" s="418"/>
      <c r="C1902" s="418"/>
      <c r="D1902" s="418"/>
      <c r="E1902" s="418"/>
      <c r="F1902" s="418"/>
      <c r="G1902" s="418"/>
      <c r="H1902" s="418"/>
      <c r="I1902" s="418"/>
      <c r="J1902" s="418"/>
      <c r="K1902" s="418"/>
      <c r="L1902" s="418"/>
      <c r="M1902" s="418"/>
      <c r="N1902" s="416"/>
    </row>
    <row r="1903" spans="1:16" ht="12.75" customHeight="1" x14ac:dyDescent="0.2">
      <c r="A1903" s="713" t="s">
        <v>39</v>
      </c>
      <c r="B1903" s="418"/>
      <c r="C1903" s="418"/>
      <c r="D1903" s="418"/>
      <c r="E1903" s="418"/>
      <c r="F1903" s="418"/>
      <c r="G1903" s="416"/>
      <c r="H1903" s="61" t="s">
        <v>40</v>
      </c>
      <c r="I1903" s="717" t="s">
        <v>404</v>
      </c>
      <c r="J1903" s="416"/>
      <c r="K1903" s="717" t="s">
        <v>184</v>
      </c>
      <c r="L1903" s="416"/>
      <c r="M1903" s="717" t="s">
        <v>405</v>
      </c>
      <c r="N1903" s="416"/>
    </row>
    <row r="1904" spans="1:16" ht="12.75" customHeight="1" x14ac:dyDescent="0.2">
      <c r="A1904" s="719" t="s">
        <v>547</v>
      </c>
      <c r="B1904" s="418"/>
      <c r="C1904" s="418"/>
      <c r="D1904" s="418"/>
      <c r="E1904" s="418"/>
      <c r="F1904" s="418"/>
      <c r="G1904" s="416"/>
      <c r="H1904" s="12" t="str">
        <f t="shared" ref="H1904:H1911" si="248">IF(A1904="","",VLOOKUP(A1904,AA_Materiales,7,FALSE))</f>
        <v>Unidad</v>
      </c>
      <c r="I1904" s="712">
        <f t="shared" ref="I1904:I1911" si="249">IF(A1904="","",VLOOKUP(A1904,AA_Materiales,8,FALSE))</f>
        <v>693770</v>
      </c>
      <c r="J1904" s="416"/>
      <c r="K1904" s="715">
        <v>1</v>
      </c>
      <c r="L1904" s="416"/>
      <c r="M1904" s="712">
        <f t="shared" ref="M1904:M1911" si="250">IF(A1904="","",I1904*K1904)</f>
        <v>693770</v>
      </c>
      <c r="N1904" s="416"/>
    </row>
    <row r="1905" spans="1:14" ht="12.75" customHeight="1" x14ac:dyDescent="0.2">
      <c r="A1905" s="719"/>
      <c r="B1905" s="418"/>
      <c r="C1905" s="418"/>
      <c r="D1905" s="418"/>
      <c r="E1905" s="418"/>
      <c r="F1905" s="418"/>
      <c r="G1905" s="416"/>
      <c r="H1905" s="12" t="str">
        <f t="shared" si="248"/>
        <v/>
      </c>
      <c r="I1905" s="712" t="str">
        <f t="shared" si="249"/>
        <v/>
      </c>
      <c r="J1905" s="416"/>
      <c r="K1905" s="715"/>
      <c r="L1905" s="416"/>
      <c r="M1905" s="712" t="str">
        <f t="shared" si="250"/>
        <v/>
      </c>
      <c r="N1905" s="416"/>
    </row>
    <row r="1906" spans="1:14" ht="12.75" customHeight="1" x14ac:dyDescent="0.2">
      <c r="A1906" s="719"/>
      <c r="B1906" s="418"/>
      <c r="C1906" s="418"/>
      <c r="D1906" s="418"/>
      <c r="E1906" s="418"/>
      <c r="F1906" s="418"/>
      <c r="G1906" s="416"/>
      <c r="H1906" s="12" t="str">
        <f t="shared" si="248"/>
        <v/>
      </c>
      <c r="I1906" s="712" t="str">
        <f t="shared" si="249"/>
        <v/>
      </c>
      <c r="J1906" s="416"/>
      <c r="K1906" s="715"/>
      <c r="L1906" s="416"/>
      <c r="M1906" s="712" t="str">
        <f t="shared" si="250"/>
        <v/>
      </c>
      <c r="N1906" s="416"/>
    </row>
    <row r="1907" spans="1:14" ht="12.75" customHeight="1" x14ac:dyDescent="0.2">
      <c r="A1907" s="719"/>
      <c r="B1907" s="418"/>
      <c r="C1907" s="418"/>
      <c r="D1907" s="418"/>
      <c r="E1907" s="418"/>
      <c r="F1907" s="418"/>
      <c r="G1907" s="416"/>
      <c r="H1907" s="12" t="str">
        <f t="shared" si="248"/>
        <v/>
      </c>
      <c r="I1907" s="712" t="str">
        <f t="shared" si="249"/>
        <v/>
      </c>
      <c r="J1907" s="416"/>
      <c r="K1907" s="715"/>
      <c r="L1907" s="416"/>
      <c r="M1907" s="712" t="str">
        <f t="shared" si="250"/>
        <v/>
      </c>
      <c r="N1907" s="416"/>
    </row>
    <row r="1908" spans="1:14" ht="12.75" customHeight="1" x14ac:dyDescent="0.2">
      <c r="A1908" s="719"/>
      <c r="B1908" s="418"/>
      <c r="C1908" s="418"/>
      <c r="D1908" s="418"/>
      <c r="E1908" s="418"/>
      <c r="F1908" s="418"/>
      <c r="G1908" s="416"/>
      <c r="H1908" s="12" t="str">
        <f t="shared" si="248"/>
        <v/>
      </c>
      <c r="I1908" s="712" t="str">
        <f t="shared" si="249"/>
        <v/>
      </c>
      <c r="J1908" s="416"/>
      <c r="K1908" s="715"/>
      <c r="L1908" s="416"/>
      <c r="M1908" s="712" t="str">
        <f t="shared" si="250"/>
        <v/>
      </c>
      <c r="N1908" s="416"/>
    </row>
    <row r="1909" spans="1:14" ht="12.75" customHeight="1" x14ac:dyDescent="0.2">
      <c r="A1909" s="719"/>
      <c r="B1909" s="418"/>
      <c r="C1909" s="418"/>
      <c r="D1909" s="418"/>
      <c r="E1909" s="418"/>
      <c r="F1909" s="418"/>
      <c r="G1909" s="416"/>
      <c r="H1909" s="12" t="str">
        <f t="shared" si="248"/>
        <v/>
      </c>
      <c r="I1909" s="712" t="str">
        <f t="shared" si="249"/>
        <v/>
      </c>
      <c r="J1909" s="416"/>
      <c r="K1909" s="715"/>
      <c r="L1909" s="416"/>
      <c r="M1909" s="712" t="str">
        <f t="shared" si="250"/>
        <v/>
      </c>
      <c r="N1909" s="416"/>
    </row>
    <row r="1910" spans="1:14" ht="12.75" customHeight="1" x14ac:dyDescent="0.2">
      <c r="A1910" s="719"/>
      <c r="B1910" s="418"/>
      <c r="C1910" s="418"/>
      <c r="D1910" s="418"/>
      <c r="E1910" s="418"/>
      <c r="F1910" s="418"/>
      <c r="G1910" s="416"/>
      <c r="H1910" s="12" t="str">
        <f t="shared" si="248"/>
        <v/>
      </c>
      <c r="I1910" s="712" t="str">
        <f t="shared" si="249"/>
        <v/>
      </c>
      <c r="J1910" s="416"/>
      <c r="K1910" s="715"/>
      <c r="L1910" s="416"/>
      <c r="M1910" s="712" t="str">
        <f t="shared" si="250"/>
        <v/>
      </c>
      <c r="N1910" s="416"/>
    </row>
    <row r="1911" spans="1:14" ht="12.75" customHeight="1" x14ac:dyDescent="0.2">
      <c r="A1911" s="719"/>
      <c r="B1911" s="418"/>
      <c r="C1911" s="418"/>
      <c r="D1911" s="418"/>
      <c r="E1911" s="418"/>
      <c r="F1911" s="418"/>
      <c r="G1911" s="416"/>
      <c r="H1911" s="12" t="str">
        <f t="shared" si="248"/>
        <v/>
      </c>
      <c r="I1911" s="712" t="str">
        <f t="shared" si="249"/>
        <v/>
      </c>
      <c r="J1911" s="416"/>
      <c r="K1911" s="715"/>
      <c r="L1911" s="416"/>
      <c r="M1911" s="712" t="str">
        <f t="shared" si="250"/>
        <v/>
      </c>
      <c r="N1911" s="416"/>
    </row>
    <row r="1912" spans="1:14" ht="12.75" customHeight="1" x14ac:dyDescent="0.25">
      <c r="A1912" s="5"/>
      <c r="B1912" s="5"/>
      <c r="C1912" s="5"/>
      <c r="D1912" s="5"/>
      <c r="E1912" s="5"/>
      <c r="F1912" s="5"/>
      <c r="G1912" s="5"/>
      <c r="H1912" s="5"/>
      <c r="I1912" s="5"/>
      <c r="J1912" s="5"/>
      <c r="K1912" s="713" t="s">
        <v>261</v>
      </c>
      <c r="L1912" s="416"/>
      <c r="M1912" s="712">
        <f>SUM(M1904:N1911)</f>
        <v>693770</v>
      </c>
      <c r="N1912" s="416"/>
    </row>
    <row r="1913" spans="1:14" ht="12.75" customHeight="1" x14ac:dyDescent="0.25">
      <c r="A1913" s="5"/>
      <c r="B1913" s="5"/>
      <c r="C1913" s="5"/>
      <c r="D1913" s="5"/>
      <c r="E1913" s="5"/>
      <c r="F1913" s="5"/>
      <c r="G1913" s="5"/>
      <c r="H1913" s="5"/>
      <c r="I1913" s="5"/>
      <c r="J1913" s="5"/>
      <c r="K1913" s="5"/>
      <c r="L1913" s="5"/>
      <c r="M1913" s="5"/>
      <c r="N1913" s="5"/>
    </row>
    <row r="1914" spans="1:14" ht="12.75" customHeight="1" x14ac:dyDescent="0.2">
      <c r="A1914" s="716" t="s">
        <v>410</v>
      </c>
      <c r="B1914" s="418"/>
      <c r="C1914" s="418"/>
      <c r="D1914" s="418"/>
      <c r="E1914" s="418"/>
      <c r="F1914" s="418"/>
      <c r="G1914" s="418"/>
      <c r="H1914" s="418"/>
      <c r="I1914" s="418"/>
      <c r="J1914" s="418"/>
      <c r="K1914" s="418"/>
      <c r="L1914" s="418"/>
      <c r="M1914" s="418"/>
      <c r="N1914" s="416"/>
    </row>
    <row r="1915" spans="1:14" ht="12.75" customHeight="1" x14ac:dyDescent="0.2">
      <c r="A1915" s="713" t="s">
        <v>39</v>
      </c>
      <c r="B1915" s="418"/>
      <c r="C1915" s="418"/>
      <c r="D1915" s="418"/>
      <c r="E1915" s="418"/>
      <c r="F1915" s="418"/>
      <c r="G1915" s="416"/>
      <c r="H1915" s="61" t="s">
        <v>40</v>
      </c>
      <c r="I1915" s="717" t="s">
        <v>404</v>
      </c>
      <c r="J1915" s="416"/>
      <c r="K1915" s="717" t="s">
        <v>184</v>
      </c>
      <c r="L1915" s="416"/>
      <c r="M1915" s="717" t="s">
        <v>405</v>
      </c>
      <c r="N1915" s="416"/>
    </row>
    <row r="1916" spans="1:14" ht="12.75" customHeight="1" x14ac:dyDescent="0.2">
      <c r="A1916" s="714" t="s">
        <v>411</v>
      </c>
      <c r="B1916" s="418"/>
      <c r="C1916" s="418"/>
      <c r="D1916" s="418"/>
      <c r="E1916" s="418"/>
      <c r="F1916" s="418"/>
      <c r="G1916" s="416"/>
      <c r="H1916" s="12" t="str">
        <f>IF(A1916="","",VLOOKUP(A1916,AA_Equipos,7,FALSE))</f>
        <v>% M.O.</v>
      </c>
      <c r="I1916" s="712">
        <f>+M1939</f>
        <v>20957.750047500002</v>
      </c>
      <c r="J1916" s="416"/>
      <c r="K1916" s="722">
        <v>0.03</v>
      </c>
      <c r="L1916" s="416"/>
      <c r="M1916" s="712">
        <f t="shared" ref="M1916:M1920" si="251">IF(A1916="","",I1916*K1916)</f>
        <v>628.73250142500001</v>
      </c>
      <c r="N1916" s="416"/>
    </row>
    <row r="1917" spans="1:14" ht="12.75" customHeight="1" x14ac:dyDescent="0.2">
      <c r="A1917" s="719"/>
      <c r="B1917" s="418"/>
      <c r="C1917" s="418"/>
      <c r="D1917" s="418"/>
      <c r="E1917" s="418"/>
      <c r="F1917" s="418"/>
      <c r="G1917" s="416"/>
      <c r="H1917" s="12" t="str">
        <f>IF(A1917="","",VLOOKUP(A1917,AA_Equipos,7,FALSE))</f>
        <v/>
      </c>
      <c r="I1917" s="712" t="str">
        <f>IF(A1917="","",VLOOKUP(A1917,AA_Equipos,8,FALSE))</f>
        <v/>
      </c>
      <c r="J1917" s="416"/>
      <c r="K1917" s="723"/>
      <c r="L1917" s="416"/>
      <c r="M1917" s="712" t="str">
        <f t="shared" si="251"/>
        <v/>
      </c>
      <c r="N1917" s="416"/>
    </row>
    <row r="1918" spans="1:14" ht="12.75" customHeight="1" x14ac:dyDescent="0.2">
      <c r="A1918" s="714"/>
      <c r="B1918" s="418"/>
      <c r="C1918" s="418"/>
      <c r="D1918" s="418"/>
      <c r="E1918" s="418"/>
      <c r="F1918" s="418"/>
      <c r="G1918" s="416"/>
      <c r="H1918" s="12" t="str">
        <f>IF(A1918="","",VLOOKUP(A1918,AA_Equipos,7,FALSE))</f>
        <v/>
      </c>
      <c r="I1918" s="712" t="str">
        <f>IF(A1918="","",VLOOKUP(A1918,AA_Equipos,8,FALSE))</f>
        <v/>
      </c>
      <c r="J1918" s="416"/>
      <c r="K1918" s="786"/>
      <c r="L1918" s="416"/>
      <c r="M1918" s="712" t="str">
        <f t="shared" si="251"/>
        <v/>
      </c>
      <c r="N1918" s="416"/>
    </row>
    <row r="1919" spans="1:14" ht="12.75" customHeight="1" x14ac:dyDescent="0.2">
      <c r="A1919" s="714"/>
      <c r="B1919" s="418"/>
      <c r="C1919" s="418"/>
      <c r="D1919" s="418"/>
      <c r="E1919" s="418"/>
      <c r="F1919" s="418"/>
      <c r="G1919" s="416"/>
      <c r="H1919" s="12" t="str">
        <f>IF(A1919="","",VLOOKUP(A1919,AA_Equipos,7,FALSE))</f>
        <v/>
      </c>
      <c r="I1919" s="712" t="str">
        <f>IF(A1919="","",VLOOKUP(A1919,AA_Equipos,8,FALSE))</f>
        <v/>
      </c>
      <c r="J1919" s="416"/>
      <c r="K1919" s="715"/>
      <c r="L1919" s="416"/>
      <c r="M1919" s="712" t="str">
        <f t="shared" si="251"/>
        <v/>
      </c>
      <c r="N1919" s="416"/>
    </row>
    <row r="1920" spans="1:14" ht="12.75" customHeight="1" x14ac:dyDescent="0.2">
      <c r="A1920" s="714"/>
      <c r="B1920" s="418"/>
      <c r="C1920" s="418"/>
      <c r="D1920" s="418"/>
      <c r="E1920" s="418"/>
      <c r="F1920" s="418"/>
      <c r="G1920" s="416"/>
      <c r="H1920" s="12" t="str">
        <f>IF(A1920="","",VLOOKUP(A1920,AA_Equipos,7,FALSE))</f>
        <v/>
      </c>
      <c r="I1920" s="712" t="str">
        <f>IF(A1920="","",VLOOKUP(A1920,AA_Equipos,8,FALSE))</f>
        <v/>
      </c>
      <c r="J1920" s="416"/>
      <c r="K1920" s="715"/>
      <c r="L1920" s="416"/>
      <c r="M1920" s="712" t="str">
        <f t="shared" si="251"/>
        <v/>
      </c>
      <c r="N1920" s="416"/>
    </row>
    <row r="1921" spans="1:14" ht="12.75" customHeight="1" x14ac:dyDescent="0.25">
      <c r="A1921" s="5"/>
      <c r="B1921" s="5"/>
      <c r="C1921" s="5"/>
      <c r="D1921" s="5"/>
      <c r="E1921" s="5"/>
      <c r="F1921" s="5"/>
      <c r="G1921" s="5"/>
      <c r="H1921" s="5"/>
      <c r="I1921" s="5"/>
      <c r="J1921" s="5"/>
      <c r="K1921" s="713" t="s">
        <v>261</v>
      </c>
      <c r="L1921" s="416"/>
      <c r="M1921" s="712">
        <f>SUM(M1916:N1920)</f>
        <v>628.73250142500001</v>
      </c>
      <c r="N1921" s="416"/>
    </row>
    <row r="1922" spans="1:14" ht="12.75" customHeight="1" x14ac:dyDescent="0.25">
      <c r="A1922" s="5"/>
      <c r="B1922" s="5"/>
      <c r="C1922" s="5"/>
      <c r="D1922" s="5"/>
      <c r="E1922" s="5"/>
      <c r="F1922" s="5"/>
      <c r="G1922" s="5"/>
      <c r="H1922" s="5"/>
      <c r="I1922" s="5"/>
      <c r="J1922" s="5"/>
      <c r="K1922" s="5"/>
      <c r="L1922" s="5"/>
      <c r="M1922" s="5"/>
      <c r="N1922" s="5"/>
    </row>
    <row r="1923" spans="1:14" ht="12.75" customHeight="1" x14ac:dyDescent="0.2">
      <c r="A1923" s="716" t="s">
        <v>413</v>
      </c>
      <c r="B1923" s="418"/>
      <c r="C1923" s="418"/>
      <c r="D1923" s="418"/>
      <c r="E1923" s="418"/>
      <c r="F1923" s="418"/>
      <c r="G1923" s="418"/>
      <c r="H1923" s="418"/>
      <c r="I1923" s="418"/>
      <c r="J1923" s="418"/>
      <c r="K1923" s="418"/>
      <c r="L1923" s="418"/>
      <c r="M1923" s="418"/>
      <c r="N1923" s="416"/>
    </row>
    <row r="1924" spans="1:14" ht="12.75" customHeight="1" x14ac:dyDescent="0.2">
      <c r="A1924" s="713" t="s">
        <v>39</v>
      </c>
      <c r="B1924" s="418"/>
      <c r="C1924" s="418"/>
      <c r="D1924" s="418"/>
      <c r="E1924" s="418"/>
      <c r="F1924" s="418"/>
      <c r="G1924" s="416"/>
      <c r="H1924" s="61" t="s">
        <v>40</v>
      </c>
      <c r="I1924" s="717" t="s">
        <v>404</v>
      </c>
      <c r="J1924" s="416"/>
      <c r="K1924" s="717" t="s">
        <v>184</v>
      </c>
      <c r="L1924" s="416"/>
      <c r="M1924" s="717" t="s">
        <v>405</v>
      </c>
      <c r="N1924" s="416"/>
    </row>
    <row r="1925" spans="1:14" ht="12.75" customHeight="1" x14ac:dyDescent="0.2">
      <c r="A1925" s="714" t="s">
        <v>438</v>
      </c>
      <c r="B1925" s="418"/>
      <c r="C1925" s="418"/>
      <c r="D1925" s="418"/>
      <c r="E1925" s="418"/>
      <c r="F1925" s="418"/>
      <c r="G1925" s="416"/>
      <c r="H1925" s="12" t="s">
        <v>426</v>
      </c>
      <c r="I1925" s="712">
        <f>+M1912</f>
        <v>693770</v>
      </c>
      <c r="J1925" s="416"/>
      <c r="K1925" s="722">
        <v>0.03</v>
      </c>
      <c r="L1925" s="416"/>
      <c r="M1925" s="712">
        <f t="shared" ref="M1925:M1929" si="252">IF(A1925="","",I1925*K1925)</f>
        <v>20813.099999999999</v>
      </c>
      <c r="N1925" s="416"/>
    </row>
    <row r="1926" spans="1:14" ht="12.75" customHeight="1" x14ac:dyDescent="0.2">
      <c r="A1926" s="719"/>
      <c r="B1926" s="418"/>
      <c r="C1926" s="418"/>
      <c r="D1926" s="418"/>
      <c r="E1926" s="418"/>
      <c r="F1926" s="418"/>
      <c r="G1926" s="416"/>
      <c r="H1926" s="12"/>
      <c r="I1926" s="712"/>
      <c r="J1926" s="416"/>
      <c r="K1926" s="722"/>
      <c r="L1926" s="416"/>
      <c r="M1926" s="712" t="str">
        <f t="shared" si="252"/>
        <v/>
      </c>
      <c r="N1926" s="416"/>
    </row>
    <row r="1927" spans="1:14" ht="12.75" customHeight="1" x14ac:dyDescent="0.2">
      <c r="A1927" s="714"/>
      <c r="B1927" s="418"/>
      <c r="C1927" s="418"/>
      <c r="D1927" s="418"/>
      <c r="E1927" s="418"/>
      <c r="F1927" s="418"/>
      <c r="G1927" s="416"/>
      <c r="H1927" s="12"/>
      <c r="I1927" s="712"/>
      <c r="J1927" s="416"/>
      <c r="K1927" s="715"/>
      <c r="L1927" s="416"/>
      <c r="M1927" s="712" t="str">
        <f t="shared" si="252"/>
        <v/>
      </c>
      <c r="N1927" s="416"/>
    </row>
    <row r="1928" spans="1:14" ht="12.75" customHeight="1" x14ac:dyDescent="0.2">
      <c r="A1928" s="714"/>
      <c r="B1928" s="418"/>
      <c r="C1928" s="418"/>
      <c r="D1928" s="418"/>
      <c r="E1928" s="418"/>
      <c r="F1928" s="418"/>
      <c r="G1928" s="416"/>
      <c r="H1928" s="12"/>
      <c r="I1928" s="712"/>
      <c r="J1928" s="416"/>
      <c r="K1928" s="715"/>
      <c r="L1928" s="416"/>
      <c r="M1928" s="712" t="str">
        <f t="shared" si="252"/>
        <v/>
      </c>
      <c r="N1928" s="416"/>
    </row>
    <row r="1929" spans="1:14" ht="12.75" customHeight="1" x14ac:dyDescent="0.2">
      <c r="A1929" s="714"/>
      <c r="B1929" s="418"/>
      <c r="C1929" s="418"/>
      <c r="D1929" s="418"/>
      <c r="E1929" s="418"/>
      <c r="F1929" s="418"/>
      <c r="G1929" s="416"/>
      <c r="H1929" s="12"/>
      <c r="I1929" s="712"/>
      <c r="J1929" s="416"/>
      <c r="K1929" s="715"/>
      <c r="L1929" s="416"/>
      <c r="M1929" s="712" t="str">
        <f t="shared" si="252"/>
        <v/>
      </c>
      <c r="N1929" s="416"/>
    </row>
    <row r="1930" spans="1:14" ht="12.75" customHeight="1" x14ac:dyDescent="0.25">
      <c r="A1930" s="5"/>
      <c r="B1930" s="5"/>
      <c r="C1930" s="5"/>
      <c r="D1930" s="5"/>
      <c r="E1930" s="5"/>
      <c r="F1930" s="5"/>
      <c r="G1930" s="5"/>
      <c r="H1930" s="5"/>
      <c r="I1930" s="5"/>
      <c r="J1930" s="5"/>
      <c r="K1930" s="713" t="s">
        <v>261</v>
      </c>
      <c r="L1930" s="416"/>
      <c r="M1930" s="712">
        <f>SUM(M1925:N1929)</f>
        <v>20813.099999999999</v>
      </c>
      <c r="N1930" s="416"/>
    </row>
    <row r="1931" spans="1:14" ht="12.75" customHeight="1" x14ac:dyDescent="0.25">
      <c r="A1931" s="5"/>
      <c r="B1931" s="5"/>
      <c r="C1931" s="5"/>
      <c r="D1931" s="5"/>
      <c r="E1931" s="5"/>
      <c r="F1931" s="5"/>
      <c r="G1931" s="5"/>
      <c r="H1931" s="5"/>
      <c r="I1931" s="5"/>
      <c r="J1931" s="5"/>
      <c r="K1931" s="5"/>
      <c r="L1931" s="5"/>
      <c r="M1931" s="5"/>
      <c r="N1931" s="5"/>
    </row>
    <row r="1932" spans="1:14" ht="12.75" customHeight="1" x14ac:dyDescent="0.2">
      <c r="A1932" s="716" t="s">
        <v>415</v>
      </c>
      <c r="B1932" s="418"/>
      <c r="C1932" s="418"/>
      <c r="D1932" s="418"/>
      <c r="E1932" s="418"/>
      <c r="F1932" s="418"/>
      <c r="G1932" s="418"/>
      <c r="H1932" s="418"/>
      <c r="I1932" s="418"/>
      <c r="J1932" s="418"/>
      <c r="K1932" s="418"/>
      <c r="L1932" s="418"/>
      <c r="M1932" s="418"/>
      <c r="N1932" s="416"/>
    </row>
    <row r="1933" spans="1:14" ht="12.75" customHeight="1" x14ac:dyDescent="0.2">
      <c r="A1933" s="713" t="s">
        <v>39</v>
      </c>
      <c r="B1933" s="418"/>
      <c r="C1933" s="418"/>
      <c r="D1933" s="418"/>
      <c r="E1933" s="418"/>
      <c r="F1933" s="418"/>
      <c r="G1933" s="416"/>
      <c r="H1933" s="61" t="s">
        <v>40</v>
      </c>
      <c r="I1933" s="717" t="s">
        <v>404</v>
      </c>
      <c r="J1933" s="416"/>
      <c r="K1933" s="64" t="s">
        <v>253</v>
      </c>
      <c r="L1933" s="65" t="s">
        <v>416</v>
      </c>
      <c r="M1933" s="717" t="s">
        <v>405</v>
      </c>
      <c r="N1933" s="416"/>
    </row>
    <row r="1934" spans="1:14" ht="12.75" customHeight="1" x14ac:dyDescent="0.25">
      <c r="A1934" s="711" t="s">
        <v>479</v>
      </c>
      <c r="B1934" s="418"/>
      <c r="C1934" s="418"/>
      <c r="D1934" s="418"/>
      <c r="E1934" s="418"/>
      <c r="F1934" s="418"/>
      <c r="G1934" s="416"/>
      <c r="H1934" s="12" t="str">
        <f>IF(A1934="","",VLOOKUP(A1934,AA_Cuadrillas,4,FALSE))</f>
        <v>Cuadrilla</v>
      </c>
      <c r="I1934" s="712">
        <f>IF(A1934="","",VLOOKUP(A1934,AA_Cuadrillas,5,FALSE))</f>
        <v>221781</v>
      </c>
      <c r="J1934" s="416"/>
      <c r="K1934" s="3">
        <f>IF(A1934="","",'04'!$I$2)</f>
        <v>1.88995</v>
      </c>
      <c r="L1934" s="71">
        <f>1/20</f>
        <v>0.05</v>
      </c>
      <c r="M1934" s="712">
        <f t="shared" ref="M1934:M1938" si="253">IF(A1934="","",I1934*K1934*L1934)</f>
        <v>20957.750047500002</v>
      </c>
      <c r="N1934" s="416"/>
    </row>
    <row r="1935" spans="1:14" ht="12.75" customHeight="1" x14ac:dyDescent="0.25">
      <c r="A1935" s="711"/>
      <c r="B1935" s="418"/>
      <c r="C1935" s="418"/>
      <c r="D1935" s="418"/>
      <c r="E1935" s="418"/>
      <c r="F1935" s="418"/>
      <c r="G1935" s="416"/>
      <c r="H1935" s="12" t="str">
        <f>IF(A1935="","",VLOOKUP(A1935,AA_Cuadrillas,4,FALSE))</f>
        <v/>
      </c>
      <c r="I1935" s="712" t="str">
        <f>IF(A1935="","",VLOOKUP(A1935,AA_Cuadrillas,5,FALSE))</f>
        <v/>
      </c>
      <c r="J1935" s="416"/>
      <c r="K1935" s="3" t="str">
        <f>IF(A1935="","",'04'!$I$2)</f>
        <v/>
      </c>
      <c r="L1935" s="3"/>
      <c r="M1935" s="712" t="str">
        <f t="shared" si="253"/>
        <v/>
      </c>
      <c r="N1935" s="416"/>
    </row>
    <row r="1936" spans="1:14" ht="12.75" customHeight="1" x14ac:dyDescent="0.25">
      <c r="A1936" s="711"/>
      <c r="B1936" s="418"/>
      <c r="C1936" s="418"/>
      <c r="D1936" s="418"/>
      <c r="E1936" s="418"/>
      <c r="F1936" s="418"/>
      <c r="G1936" s="416"/>
      <c r="H1936" s="12" t="str">
        <f>IF(A1936="","",VLOOKUP(A1936,AA_Cuadrillas,4,FALSE))</f>
        <v/>
      </c>
      <c r="I1936" s="712" t="str">
        <f>IF(A1936="","",VLOOKUP(A1936,AA_Cuadrillas,5,FALSE))</f>
        <v/>
      </c>
      <c r="J1936" s="416"/>
      <c r="K1936" s="3" t="str">
        <f>IF(A1936="","",'04'!$I$2)</f>
        <v/>
      </c>
      <c r="L1936" s="13"/>
      <c r="M1936" s="712" t="str">
        <f t="shared" si="253"/>
        <v/>
      </c>
      <c r="N1936" s="416"/>
    </row>
    <row r="1937" spans="1:16" ht="12.75" customHeight="1" x14ac:dyDescent="0.25">
      <c r="A1937" s="711"/>
      <c r="B1937" s="418"/>
      <c r="C1937" s="418"/>
      <c r="D1937" s="418"/>
      <c r="E1937" s="418"/>
      <c r="F1937" s="418"/>
      <c r="G1937" s="416"/>
      <c r="H1937" s="12" t="str">
        <f>IF(A1937="","",VLOOKUP(A1937,AA_Cuadrillas,4,FALSE))</f>
        <v/>
      </c>
      <c r="I1937" s="712" t="str">
        <f>IF(A1937="","",VLOOKUP(A1937,AA_Cuadrillas,5,FALSE))</f>
        <v/>
      </c>
      <c r="J1937" s="416"/>
      <c r="K1937" s="3" t="str">
        <f>IF(A1937="","",'04'!$I$2)</f>
        <v/>
      </c>
      <c r="L1937" s="13"/>
      <c r="M1937" s="712" t="str">
        <f t="shared" si="253"/>
        <v/>
      </c>
      <c r="N1937" s="416"/>
    </row>
    <row r="1938" spans="1:16" ht="12.75" customHeight="1" x14ac:dyDescent="0.25">
      <c r="A1938" s="711"/>
      <c r="B1938" s="418"/>
      <c r="C1938" s="418"/>
      <c r="D1938" s="418"/>
      <c r="E1938" s="418"/>
      <c r="F1938" s="418"/>
      <c r="G1938" s="416"/>
      <c r="H1938" s="12" t="str">
        <f>IF(A1938="","",VLOOKUP(A1938,AA_Cuadrillas,4,FALSE))</f>
        <v/>
      </c>
      <c r="I1938" s="712" t="str">
        <f>IF(A1938="","",VLOOKUP(A1938,AA_Cuadrillas,5,FALSE))</f>
        <v/>
      </c>
      <c r="J1938" s="416"/>
      <c r="K1938" s="3" t="str">
        <f>IF(A1938="","",'04'!$I$2)</f>
        <v/>
      </c>
      <c r="L1938" s="13"/>
      <c r="M1938" s="712" t="str">
        <f t="shared" si="253"/>
        <v/>
      </c>
      <c r="N1938" s="416"/>
    </row>
    <row r="1939" spans="1:16" ht="12.75" customHeight="1" x14ac:dyDescent="0.25">
      <c r="A1939" s="5"/>
      <c r="B1939" s="5"/>
      <c r="C1939" s="5"/>
      <c r="D1939" s="5"/>
      <c r="E1939" s="5"/>
      <c r="F1939" s="5"/>
      <c r="G1939" s="5"/>
      <c r="H1939" s="5"/>
      <c r="I1939" s="5"/>
      <c r="J1939" s="5"/>
      <c r="K1939" s="713" t="s">
        <v>261</v>
      </c>
      <c r="L1939" s="416"/>
      <c r="M1939" s="712">
        <f>SUM(M1934:N1938)</f>
        <v>20957.750047500002</v>
      </c>
      <c r="N1939" s="416"/>
    </row>
    <row r="1940" spans="1:16" ht="12.75" customHeight="1" x14ac:dyDescent="0.2"/>
    <row r="1941" spans="1:16" ht="12.75" customHeight="1" x14ac:dyDescent="0.2">
      <c r="A1941" s="784" t="s">
        <v>1582</v>
      </c>
      <c r="B1941" s="410"/>
      <c r="C1941" s="410"/>
      <c r="D1941" s="410"/>
      <c r="E1941" s="410"/>
      <c r="F1941" s="410"/>
      <c r="G1941" s="410"/>
      <c r="H1941" s="410"/>
      <c r="I1941" s="410"/>
      <c r="J1941" s="410"/>
      <c r="K1941" s="410"/>
      <c r="L1941" s="410"/>
      <c r="M1941" s="410"/>
      <c r="N1941" s="411"/>
      <c r="O1941" s="272"/>
      <c r="P1941" s="9"/>
    </row>
    <row r="1942" spans="1:16" ht="12.75" customHeight="1" x14ac:dyDescent="0.2">
      <c r="A1942" s="412"/>
      <c r="B1942" s="413"/>
      <c r="C1942" s="413"/>
      <c r="D1942" s="413"/>
      <c r="E1942" s="413"/>
      <c r="F1942" s="413"/>
      <c r="G1942" s="413"/>
      <c r="H1942" s="413"/>
      <c r="I1942" s="413"/>
      <c r="J1942" s="413"/>
      <c r="K1942" s="413"/>
      <c r="L1942" s="413"/>
      <c r="M1942" s="413"/>
      <c r="N1942" s="414"/>
      <c r="O1942" s="272"/>
      <c r="P1942" s="9"/>
    </row>
    <row r="1943" spans="1:16" ht="12.75" customHeight="1" x14ac:dyDescent="0.2">
      <c r="A1943" s="49"/>
      <c r="B1943" s="49"/>
      <c r="C1943" s="49"/>
      <c r="D1943" s="49"/>
      <c r="E1943" s="49"/>
      <c r="F1943" s="49"/>
      <c r="G1943" s="49"/>
      <c r="H1943" s="49"/>
      <c r="I1943" s="49"/>
      <c r="J1943" s="49"/>
      <c r="K1943" s="49"/>
      <c r="L1943" s="49"/>
      <c r="M1943" s="49"/>
      <c r="N1943" s="49"/>
    </row>
    <row r="1944" spans="1:16" ht="12.75" customHeight="1" thickBot="1" x14ac:dyDescent="0.35">
      <c r="A1944" s="51" t="str">
        <f>VLOOKUP(A1941,'10'!$B$9:$N$100,13,FALSE)</f>
        <v>G015</v>
      </c>
      <c r="B1944" s="52" t="str">
        <f>A1941</f>
        <v>SUMINISTRO E INSTALACIÓN DE TUBERÍA PVC UM Ø6" RDE 21 (INCLUYE PEGAMENTO, LIMPIADOR, HERRAMIENTA MENOR Y MANO DE OBRA)</v>
      </c>
      <c r="C1944" s="53" t="s">
        <v>400</v>
      </c>
      <c r="D1944" s="54" t="s">
        <v>450</v>
      </c>
      <c r="E1944" s="55" t="s">
        <v>177</v>
      </c>
      <c r="F1944" s="59">
        <f>H1944+J1944+L1944+N1944</f>
        <v>149898.98012173746</v>
      </c>
      <c r="G1944" s="55" t="s">
        <v>349</v>
      </c>
      <c r="H1944" s="59">
        <f>M1961</f>
        <v>249.50764589399998</v>
      </c>
      <c r="I1944" s="55" t="s">
        <v>402</v>
      </c>
      <c r="J1944" s="59">
        <f>M1952</f>
        <v>137208.80166666667</v>
      </c>
      <c r="K1944" s="55" t="s">
        <v>351</v>
      </c>
      <c r="L1944" s="59">
        <f>M1970</f>
        <v>4123.7492793768197</v>
      </c>
      <c r="M1944" s="55" t="s">
        <v>352</v>
      </c>
      <c r="N1944" s="59">
        <f>M1979</f>
        <v>8316.9215297999999</v>
      </c>
    </row>
    <row r="1945" spans="1:16" ht="12.75" customHeight="1" thickBot="1" x14ac:dyDescent="0.3">
      <c r="A1945" s="60"/>
      <c r="B1945" s="60"/>
      <c r="C1945" s="60"/>
      <c r="D1945" s="60"/>
      <c r="E1945" s="60"/>
      <c r="F1945" s="60"/>
      <c r="G1945" s="60"/>
      <c r="J1945" s="60"/>
      <c r="K1945" s="60"/>
      <c r="L1945" s="327" t="s">
        <v>1934</v>
      </c>
      <c r="M1945" s="328">
        <f>+F1944*'01'!$O$16</f>
        <v>194012.89834204558</v>
      </c>
      <c r="N1945" s="60"/>
    </row>
    <row r="1946" spans="1:16" ht="12.75" customHeight="1" x14ac:dyDescent="0.2">
      <c r="A1946" s="716" t="s">
        <v>403</v>
      </c>
      <c r="B1946" s="418"/>
      <c r="C1946" s="418"/>
      <c r="D1946" s="418"/>
      <c r="E1946" s="418"/>
      <c r="F1946" s="418"/>
      <c r="G1946" s="418"/>
      <c r="H1946" s="418"/>
      <c r="I1946" s="418"/>
      <c r="J1946" s="418"/>
      <c r="K1946" s="418"/>
      <c r="L1946" s="418"/>
      <c r="M1946" s="418"/>
      <c r="N1946" s="416"/>
    </row>
    <row r="1947" spans="1:16" ht="12.75" customHeight="1" x14ac:dyDescent="0.2">
      <c r="A1947" s="713" t="s">
        <v>39</v>
      </c>
      <c r="B1947" s="418"/>
      <c r="C1947" s="418"/>
      <c r="D1947" s="418"/>
      <c r="E1947" s="418"/>
      <c r="F1947" s="418"/>
      <c r="G1947" s="416"/>
      <c r="H1947" s="61" t="s">
        <v>40</v>
      </c>
      <c r="I1947" s="717" t="s">
        <v>404</v>
      </c>
      <c r="J1947" s="416"/>
      <c r="K1947" s="717" t="s">
        <v>184</v>
      </c>
      <c r="L1947" s="416"/>
      <c r="M1947" s="717" t="s">
        <v>405</v>
      </c>
      <c r="N1947" s="416"/>
    </row>
    <row r="1948" spans="1:16" ht="12.75" customHeight="1" x14ac:dyDescent="0.2">
      <c r="A1948" s="714" t="s">
        <v>536</v>
      </c>
      <c r="B1948" s="418"/>
      <c r="C1948" s="418"/>
      <c r="D1948" s="418"/>
      <c r="E1948" s="418"/>
      <c r="F1948" s="418"/>
      <c r="G1948" s="416"/>
      <c r="H1948" s="12" t="str">
        <f>IF(A1948="","",VLOOKUP(A1948,AA_Materiales,7,FALSE))</f>
        <v>Galón</v>
      </c>
      <c r="I1948" s="712">
        <f>IF(A1948="","",VLOOKUP(A1948,AA_Materiales,8,FALSE))</f>
        <v>150369</v>
      </c>
      <c r="J1948" s="416"/>
      <c r="K1948" s="715">
        <v>1.4999999999999999E-2</v>
      </c>
      <c r="L1948" s="416"/>
      <c r="M1948" s="712">
        <f t="shared" ref="M1948:M1949" si="254">IF(A1948="","",I1948*K1948)</f>
        <v>2255.5349999999999</v>
      </c>
      <c r="N1948" s="416"/>
    </row>
    <row r="1949" spans="1:16" ht="12.75" customHeight="1" x14ac:dyDescent="0.2">
      <c r="A1949" s="714" t="s">
        <v>537</v>
      </c>
      <c r="B1949" s="418"/>
      <c r="C1949" s="418"/>
      <c r="D1949" s="418"/>
      <c r="E1949" s="418"/>
      <c r="F1949" s="418"/>
      <c r="G1949" s="416"/>
      <c r="H1949" s="12" t="str">
        <f>IF(A1949="","",VLOOKUP(A1949,AA_Materiales,7,FALSE))</f>
        <v>Galón</v>
      </c>
      <c r="I1949" s="712">
        <f>IF(A1949="","",VLOOKUP(A1949,AA_Materiales,8,FALSE))</f>
        <v>72505</v>
      </c>
      <c r="J1949" s="416"/>
      <c r="K1949" s="715">
        <v>0.02</v>
      </c>
      <c r="L1949" s="416"/>
      <c r="M1949" s="712">
        <f t="shared" si="254"/>
        <v>1450.1000000000001</v>
      </c>
      <c r="N1949" s="416"/>
    </row>
    <row r="1950" spans="1:16" ht="12.75" customHeight="1" x14ac:dyDescent="0.2">
      <c r="A1950" s="714" t="s">
        <v>548</v>
      </c>
      <c r="B1950" s="418"/>
      <c r="C1950" s="418"/>
      <c r="D1950" s="418"/>
      <c r="E1950" s="418"/>
      <c r="F1950" s="418"/>
      <c r="G1950" s="416"/>
      <c r="H1950" s="12" t="str">
        <f>IF(A1950="","",VLOOKUP(A1950,AA_Materiales,7,FALSE))</f>
        <v>ml</v>
      </c>
      <c r="I1950" s="712">
        <f>IF(A1950="","",VLOOKUP(A1950,AA_Materiales,8,FALSE))</f>
        <v>133503.16666666666</v>
      </c>
      <c r="J1950" s="416"/>
      <c r="K1950" s="715">
        <v>1</v>
      </c>
      <c r="L1950" s="416"/>
      <c r="M1950" s="712">
        <f t="shared" ref="M1950" si="255">IF(A1950="","",I1950*K1950)</f>
        <v>133503.16666666666</v>
      </c>
      <c r="N1950" s="416"/>
      <c r="O1950" s="9"/>
      <c r="P1950" s="9"/>
    </row>
    <row r="1951" spans="1:16" ht="12.75" customHeight="1" x14ac:dyDescent="0.2">
      <c r="A1951" s="714"/>
      <c r="B1951" s="418"/>
      <c r="C1951" s="418"/>
      <c r="D1951" s="418"/>
      <c r="E1951" s="418"/>
      <c r="F1951" s="418"/>
      <c r="G1951" s="416"/>
      <c r="H1951" s="12" t="str">
        <f>IF(A1951="","",VLOOKUP(A1951,AA_Materiales,7,FALSE))</f>
        <v/>
      </c>
      <c r="I1951" s="712" t="str">
        <f>IF(A1951="","",VLOOKUP(A1951,AA_Materiales,8,FALSE))</f>
        <v/>
      </c>
      <c r="J1951" s="416"/>
      <c r="K1951" s="715"/>
      <c r="L1951" s="416"/>
      <c r="M1951" s="712" t="str">
        <f>IF(A1951="","",I1951*K1951)</f>
        <v/>
      </c>
      <c r="N1951" s="416"/>
    </row>
    <row r="1952" spans="1:16" ht="12.75" customHeight="1" x14ac:dyDescent="0.25">
      <c r="A1952" s="5"/>
      <c r="B1952" s="5"/>
      <c r="C1952" s="5"/>
      <c r="D1952" s="5"/>
      <c r="E1952" s="5"/>
      <c r="F1952" s="5"/>
      <c r="G1952" s="5"/>
      <c r="H1952" s="5"/>
      <c r="I1952" s="5"/>
      <c r="J1952" s="5"/>
      <c r="K1952" s="713" t="s">
        <v>261</v>
      </c>
      <c r="L1952" s="416"/>
      <c r="M1952" s="712">
        <f>SUM(M1948:N1951)</f>
        <v>137208.80166666667</v>
      </c>
      <c r="N1952" s="416"/>
    </row>
    <row r="1953" spans="1:14" ht="12.75" customHeight="1" x14ac:dyDescent="0.25">
      <c r="A1953" s="5"/>
      <c r="B1953" s="5"/>
      <c r="C1953" s="5"/>
      <c r="D1953" s="5"/>
      <c r="E1953" s="5"/>
      <c r="F1953" s="5"/>
      <c r="G1953" s="5"/>
      <c r="H1953" s="5"/>
      <c r="I1953" s="5"/>
      <c r="J1953" s="5"/>
      <c r="K1953" s="5"/>
      <c r="L1953" s="5"/>
      <c r="M1953" s="5"/>
      <c r="N1953" s="5"/>
    </row>
    <row r="1954" spans="1:14" ht="12.75" customHeight="1" x14ac:dyDescent="0.2">
      <c r="A1954" s="716" t="s">
        <v>410</v>
      </c>
      <c r="B1954" s="418"/>
      <c r="C1954" s="418"/>
      <c r="D1954" s="418"/>
      <c r="E1954" s="418"/>
      <c r="F1954" s="418"/>
      <c r="G1954" s="418"/>
      <c r="H1954" s="418"/>
      <c r="I1954" s="418"/>
      <c r="J1954" s="418"/>
      <c r="K1954" s="418"/>
      <c r="L1954" s="418"/>
      <c r="M1954" s="418"/>
      <c r="N1954" s="416"/>
    </row>
    <row r="1955" spans="1:14" ht="12.75" customHeight="1" x14ac:dyDescent="0.2">
      <c r="A1955" s="713" t="s">
        <v>39</v>
      </c>
      <c r="B1955" s="418"/>
      <c r="C1955" s="418"/>
      <c r="D1955" s="418"/>
      <c r="E1955" s="418"/>
      <c r="F1955" s="418"/>
      <c r="G1955" s="416"/>
      <c r="H1955" s="61" t="s">
        <v>40</v>
      </c>
      <c r="I1955" s="717" t="s">
        <v>404</v>
      </c>
      <c r="J1955" s="416"/>
      <c r="K1955" s="717" t="s">
        <v>184</v>
      </c>
      <c r="L1955" s="416"/>
      <c r="M1955" s="717" t="s">
        <v>405</v>
      </c>
      <c r="N1955" s="416"/>
    </row>
    <row r="1956" spans="1:14" ht="12.75" customHeight="1" x14ac:dyDescent="0.2">
      <c r="A1956" s="714" t="s">
        <v>411</v>
      </c>
      <c r="B1956" s="418"/>
      <c r="C1956" s="418"/>
      <c r="D1956" s="418"/>
      <c r="E1956" s="418"/>
      <c r="F1956" s="418"/>
      <c r="G1956" s="416"/>
      <c r="H1956" s="12" t="str">
        <f>IF(A1956="","",VLOOKUP(A1956,AA_Equipos,7,FALSE))</f>
        <v>% M.O.</v>
      </c>
      <c r="I1956" s="712">
        <f>M1979</f>
        <v>8316.9215297999999</v>
      </c>
      <c r="J1956" s="416"/>
      <c r="K1956" s="722">
        <v>0.03</v>
      </c>
      <c r="L1956" s="416"/>
      <c r="M1956" s="712">
        <f t="shared" ref="M1956:M1960" si="256">IF(A1956="","",I1956*K1956)</f>
        <v>249.50764589399998</v>
      </c>
      <c r="N1956" s="416"/>
    </row>
    <row r="1957" spans="1:14" ht="12.75" customHeight="1" x14ac:dyDescent="0.2">
      <c r="A1957" s="719"/>
      <c r="B1957" s="418"/>
      <c r="C1957" s="418"/>
      <c r="D1957" s="418"/>
      <c r="E1957" s="418"/>
      <c r="F1957" s="418"/>
      <c r="G1957" s="416"/>
      <c r="H1957" s="12" t="str">
        <f>IF(A1957="","",VLOOKUP(A1957,AA_Equipos,7,FALSE))</f>
        <v/>
      </c>
      <c r="I1957" s="712" t="str">
        <f>IF(A1957="","",VLOOKUP(A1957,AA_Equipos,8,FALSE))</f>
        <v/>
      </c>
      <c r="J1957" s="416"/>
      <c r="K1957" s="723"/>
      <c r="L1957" s="416"/>
      <c r="M1957" s="712" t="str">
        <f t="shared" si="256"/>
        <v/>
      </c>
      <c r="N1957" s="416"/>
    </row>
    <row r="1958" spans="1:14" ht="12.75" customHeight="1" x14ac:dyDescent="0.2">
      <c r="A1958" s="714"/>
      <c r="B1958" s="418"/>
      <c r="C1958" s="418"/>
      <c r="D1958" s="418"/>
      <c r="E1958" s="418"/>
      <c r="F1958" s="418"/>
      <c r="G1958" s="416"/>
      <c r="H1958" s="12" t="str">
        <f>IF(A1958="","",VLOOKUP(A1958,AA_Equipos,7,FALSE))</f>
        <v/>
      </c>
      <c r="I1958" s="712" t="str">
        <f>IF(A1958="","",VLOOKUP(A1958,AA_Equipos,8,FALSE))</f>
        <v/>
      </c>
      <c r="J1958" s="416"/>
      <c r="K1958" s="715"/>
      <c r="L1958" s="416"/>
      <c r="M1958" s="712" t="str">
        <f t="shared" si="256"/>
        <v/>
      </c>
      <c r="N1958" s="416"/>
    </row>
    <row r="1959" spans="1:14" ht="12.75" customHeight="1" x14ac:dyDescent="0.2">
      <c r="A1959" s="714"/>
      <c r="B1959" s="418"/>
      <c r="C1959" s="418"/>
      <c r="D1959" s="418"/>
      <c r="E1959" s="418"/>
      <c r="F1959" s="418"/>
      <c r="G1959" s="416"/>
      <c r="H1959" s="12" t="str">
        <f>IF(A1959="","",VLOOKUP(A1959,AA_Equipos,7,FALSE))</f>
        <v/>
      </c>
      <c r="I1959" s="712" t="str">
        <f>IF(A1959="","",VLOOKUP(A1959,AA_Equipos,8,FALSE))</f>
        <v/>
      </c>
      <c r="J1959" s="416"/>
      <c r="K1959" s="715"/>
      <c r="L1959" s="416"/>
      <c r="M1959" s="712" t="str">
        <f t="shared" si="256"/>
        <v/>
      </c>
      <c r="N1959" s="416"/>
    </row>
    <row r="1960" spans="1:14" ht="12.75" customHeight="1" x14ac:dyDescent="0.2">
      <c r="A1960" s="714"/>
      <c r="B1960" s="418"/>
      <c r="C1960" s="418"/>
      <c r="D1960" s="418"/>
      <c r="E1960" s="418"/>
      <c r="F1960" s="418"/>
      <c r="G1960" s="416"/>
      <c r="H1960" s="12" t="str">
        <f>IF(A1960="","",VLOOKUP(A1960,AA_Equipos,7,FALSE))</f>
        <v/>
      </c>
      <c r="I1960" s="712" t="str">
        <f>IF(A1960="","",VLOOKUP(A1960,AA_Equipos,8,FALSE))</f>
        <v/>
      </c>
      <c r="J1960" s="416"/>
      <c r="K1960" s="715"/>
      <c r="L1960" s="416"/>
      <c r="M1960" s="712" t="str">
        <f t="shared" si="256"/>
        <v/>
      </c>
      <c r="N1960" s="416"/>
    </row>
    <row r="1961" spans="1:14" ht="12.75" customHeight="1" x14ac:dyDescent="0.25">
      <c r="A1961" s="5"/>
      <c r="B1961" s="5"/>
      <c r="C1961" s="5"/>
      <c r="D1961" s="5"/>
      <c r="E1961" s="5"/>
      <c r="F1961" s="5"/>
      <c r="G1961" s="5"/>
      <c r="H1961" s="5"/>
      <c r="I1961" s="5"/>
      <c r="J1961" s="5"/>
      <c r="K1961" s="713" t="s">
        <v>261</v>
      </c>
      <c r="L1961" s="416"/>
      <c r="M1961" s="712">
        <f>SUM(M1956:N1960)</f>
        <v>249.50764589399998</v>
      </c>
      <c r="N1961" s="416"/>
    </row>
    <row r="1962" spans="1:14" ht="12.75" customHeight="1" x14ac:dyDescent="0.25">
      <c r="A1962" s="5"/>
      <c r="B1962" s="5"/>
      <c r="C1962" s="5"/>
      <c r="D1962" s="5"/>
      <c r="E1962" s="5"/>
      <c r="F1962" s="5"/>
      <c r="G1962" s="5"/>
      <c r="H1962" s="5"/>
      <c r="I1962" s="5"/>
      <c r="J1962" s="5"/>
      <c r="K1962" s="5"/>
      <c r="L1962" s="5"/>
      <c r="M1962" s="5"/>
      <c r="N1962" s="5"/>
    </row>
    <row r="1963" spans="1:14" ht="12.75" customHeight="1" x14ac:dyDescent="0.2">
      <c r="A1963" s="716" t="s">
        <v>413</v>
      </c>
      <c r="B1963" s="418"/>
      <c r="C1963" s="418"/>
      <c r="D1963" s="418"/>
      <c r="E1963" s="418"/>
      <c r="F1963" s="418"/>
      <c r="G1963" s="418"/>
      <c r="H1963" s="418"/>
      <c r="I1963" s="418"/>
      <c r="J1963" s="418"/>
      <c r="K1963" s="418"/>
      <c r="L1963" s="418"/>
      <c r="M1963" s="418"/>
      <c r="N1963" s="416"/>
    </row>
    <row r="1964" spans="1:14" ht="12.75" customHeight="1" x14ac:dyDescent="0.2">
      <c r="A1964" s="713" t="s">
        <v>39</v>
      </c>
      <c r="B1964" s="418"/>
      <c r="C1964" s="418"/>
      <c r="D1964" s="418"/>
      <c r="E1964" s="418"/>
      <c r="F1964" s="418"/>
      <c r="G1964" s="416"/>
      <c r="H1964" s="61" t="s">
        <v>40</v>
      </c>
      <c r="I1964" s="717" t="s">
        <v>404</v>
      </c>
      <c r="J1964" s="416"/>
      <c r="K1964" s="717" t="s">
        <v>184</v>
      </c>
      <c r="L1964" s="416"/>
      <c r="M1964" s="717" t="s">
        <v>405</v>
      </c>
      <c r="N1964" s="416"/>
    </row>
    <row r="1965" spans="1:14" ht="12.75" customHeight="1" x14ac:dyDescent="0.2">
      <c r="A1965" s="788" t="s">
        <v>414</v>
      </c>
      <c r="B1965" s="418"/>
      <c r="C1965" s="418"/>
      <c r="D1965" s="418"/>
      <c r="E1965" s="418"/>
      <c r="F1965" s="418"/>
      <c r="G1965" s="416"/>
      <c r="H1965" s="107" t="s">
        <v>13</v>
      </c>
      <c r="I1965" s="712">
        <f>+M1952+M1961</f>
        <v>137458.30931256065</v>
      </c>
      <c r="J1965" s="416"/>
      <c r="K1965" s="722">
        <v>0.03</v>
      </c>
      <c r="L1965" s="416"/>
      <c r="M1965" s="712">
        <f t="shared" ref="M1965:M1969" si="257">IF(A1965="","",I1965*K1965)</f>
        <v>4123.7492793768197</v>
      </c>
      <c r="N1965" s="416"/>
    </row>
    <row r="1966" spans="1:14" ht="12.75" customHeight="1" x14ac:dyDescent="0.2">
      <c r="A1966" s="719"/>
      <c r="B1966" s="418"/>
      <c r="C1966" s="418"/>
      <c r="D1966" s="418"/>
      <c r="E1966" s="418"/>
      <c r="F1966" s="418"/>
      <c r="G1966" s="416"/>
      <c r="H1966" s="12"/>
      <c r="I1966" s="712"/>
      <c r="J1966" s="416"/>
      <c r="K1966" s="722"/>
      <c r="L1966" s="416"/>
      <c r="M1966" s="712" t="str">
        <f t="shared" si="257"/>
        <v/>
      </c>
      <c r="N1966" s="416"/>
    </row>
    <row r="1967" spans="1:14" ht="12.75" customHeight="1" x14ac:dyDescent="0.2">
      <c r="A1967" s="714"/>
      <c r="B1967" s="418"/>
      <c r="C1967" s="418"/>
      <c r="D1967" s="418"/>
      <c r="E1967" s="418"/>
      <c r="F1967" s="418"/>
      <c r="G1967" s="416"/>
      <c r="H1967" s="12"/>
      <c r="I1967" s="712"/>
      <c r="J1967" s="416"/>
      <c r="K1967" s="715"/>
      <c r="L1967" s="416"/>
      <c r="M1967" s="712" t="str">
        <f t="shared" si="257"/>
        <v/>
      </c>
      <c r="N1967" s="416"/>
    </row>
    <row r="1968" spans="1:14" ht="12.75" customHeight="1" x14ac:dyDescent="0.2">
      <c r="A1968" s="714"/>
      <c r="B1968" s="418"/>
      <c r="C1968" s="418"/>
      <c r="D1968" s="418"/>
      <c r="E1968" s="418"/>
      <c r="F1968" s="418"/>
      <c r="G1968" s="416"/>
      <c r="H1968" s="12"/>
      <c r="I1968" s="712"/>
      <c r="J1968" s="416"/>
      <c r="K1968" s="715"/>
      <c r="L1968" s="416"/>
      <c r="M1968" s="712" t="str">
        <f t="shared" si="257"/>
        <v/>
      </c>
      <c r="N1968" s="416"/>
    </row>
    <row r="1969" spans="1:16" ht="12.75" customHeight="1" x14ac:dyDescent="0.2">
      <c r="A1969" s="714"/>
      <c r="B1969" s="418"/>
      <c r="C1969" s="418"/>
      <c r="D1969" s="418"/>
      <c r="E1969" s="418"/>
      <c r="F1969" s="418"/>
      <c r="G1969" s="416"/>
      <c r="H1969" s="12"/>
      <c r="I1969" s="712"/>
      <c r="J1969" s="416"/>
      <c r="K1969" s="715"/>
      <c r="L1969" s="416"/>
      <c r="M1969" s="712" t="str">
        <f t="shared" si="257"/>
        <v/>
      </c>
      <c r="N1969" s="416"/>
    </row>
    <row r="1970" spans="1:16" ht="12.75" customHeight="1" x14ac:dyDescent="0.25">
      <c r="A1970" s="5"/>
      <c r="B1970" s="5"/>
      <c r="C1970" s="5"/>
      <c r="D1970" s="5"/>
      <c r="E1970" s="5"/>
      <c r="F1970" s="5"/>
      <c r="G1970" s="5"/>
      <c r="H1970" s="5"/>
      <c r="I1970" s="5"/>
      <c r="J1970" s="5"/>
      <c r="K1970" s="713" t="s">
        <v>261</v>
      </c>
      <c r="L1970" s="416"/>
      <c r="M1970" s="712">
        <f>SUM(M1965:N1969)</f>
        <v>4123.7492793768197</v>
      </c>
      <c r="N1970" s="416"/>
    </row>
    <row r="1971" spans="1:16" ht="12.75" customHeight="1" x14ac:dyDescent="0.25">
      <c r="A1971" s="5"/>
      <c r="B1971" s="5"/>
      <c r="C1971" s="5"/>
      <c r="D1971" s="5"/>
      <c r="E1971" s="5"/>
      <c r="F1971" s="5"/>
      <c r="G1971" s="5"/>
      <c r="H1971" s="5"/>
      <c r="I1971" s="5"/>
      <c r="J1971" s="5"/>
      <c r="K1971" s="5"/>
      <c r="L1971" s="5"/>
      <c r="M1971" s="5"/>
      <c r="N1971" s="5"/>
    </row>
    <row r="1972" spans="1:16" ht="12.75" customHeight="1" x14ac:dyDescent="0.2">
      <c r="A1972" s="716" t="s">
        <v>415</v>
      </c>
      <c r="B1972" s="418"/>
      <c r="C1972" s="418"/>
      <c r="D1972" s="418"/>
      <c r="E1972" s="418"/>
      <c r="F1972" s="418"/>
      <c r="G1972" s="418"/>
      <c r="H1972" s="418"/>
      <c r="I1972" s="418"/>
      <c r="J1972" s="418"/>
      <c r="K1972" s="418"/>
      <c r="L1972" s="418"/>
      <c r="M1972" s="418"/>
      <c r="N1972" s="416"/>
    </row>
    <row r="1973" spans="1:16" ht="12.75" customHeight="1" x14ac:dyDescent="0.2">
      <c r="A1973" s="713" t="s">
        <v>39</v>
      </c>
      <c r="B1973" s="418"/>
      <c r="C1973" s="418"/>
      <c r="D1973" s="418"/>
      <c r="E1973" s="418"/>
      <c r="F1973" s="418"/>
      <c r="G1973" s="416"/>
      <c r="H1973" s="61" t="s">
        <v>40</v>
      </c>
      <c r="I1973" s="717" t="s">
        <v>404</v>
      </c>
      <c r="J1973" s="416"/>
      <c r="K1973" s="64" t="s">
        <v>253</v>
      </c>
      <c r="L1973" s="65" t="s">
        <v>416</v>
      </c>
      <c r="M1973" s="717" t="s">
        <v>405</v>
      </c>
      <c r="N1973" s="416"/>
    </row>
    <row r="1974" spans="1:16" ht="12.75" customHeight="1" x14ac:dyDescent="0.25">
      <c r="A1974" s="711" t="s">
        <v>427</v>
      </c>
      <c r="B1974" s="418"/>
      <c r="C1974" s="418"/>
      <c r="D1974" s="418"/>
      <c r="E1974" s="418"/>
      <c r="F1974" s="418"/>
      <c r="G1974" s="416"/>
      <c r="H1974" s="12" t="str">
        <f>IF(A1974="","",VLOOKUP(A1974,AA_Cuadrillas,4,FALSE))</f>
        <v>Cuadrilla</v>
      </c>
      <c r="I1974" s="712">
        <f>IF(A1974="","",VLOOKUP(A1974,AA_Cuadrillas,5,FALSE))</f>
        <v>169254</v>
      </c>
      <c r="J1974" s="416"/>
      <c r="K1974" s="3">
        <f>IF(A1974="","",'04'!$I$2)</f>
        <v>1.88995</v>
      </c>
      <c r="L1974" s="66">
        <v>2.5999999999999999E-2</v>
      </c>
      <c r="M1974" s="712">
        <f t="shared" ref="M1974:M1978" si="258">IF(A1974="","",I1974*K1974*L1974)</f>
        <v>8316.9215297999999</v>
      </c>
      <c r="N1974" s="416"/>
    </row>
    <row r="1975" spans="1:16" ht="12.75" customHeight="1" x14ac:dyDescent="0.25">
      <c r="A1975" s="711"/>
      <c r="B1975" s="418"/>
      <c r="C1975" s="418"/>
      <c r="D1975" s="418"/>
      <c r="E1975" s="418"/>
      <c r="F1975" s="418"/>
      <c r="G1975" s="416"/>
      <c r="H1975" s="12" t="str">
        <f>IF(A1975="","",VLOOKUP(A1975,AA_Cuadrillas,4,FALSE))</f>
        <v/>
      </c>
      <c r="I1975" s="712" t="str">
        <f>IF(A1975="","",VLOOKUP(A1975,AA_Cuadrillas,5,FALSE))</f>
        <v/>
      </c>
      <c r="J1975" s="416"/>
      <c r="K1975" s="3" t="str">
        <f>IF(A1975="","",'04'!$I$2)</f>
        <v/>
      </c>
      <c r="L1975" s="3"/>
      <c r="M1975" s="712" t="str">
        <f t="shared" si="258"/>
        <v/>
      </c>
      <c r="N1975" s="416"/>
    </row>
    <row r="1976" spans="1:16" ht="12.75" customHeight="1" x14ac:dyDescent="0.25">
      <c r="A1976" s="711"/>
      <c r="B1976" s="418"/>
      <c r="C1976" s="418"/>
      <c r="D1976" s="418"/>
      <c r="E1976" s="418"/>
      <c r="F1976" s="418"/>
      <c r="G1976" s="416"/>
      <c r="H1976" s="12" t="str">
        <f>IF(A1976="","",VLOOKUP(A1976,AA_Cuadrillas,4,FALSE))</f>
        <v/>
      </c>
      <c r="I1976" s="712" t="str">
        <f>IF(A1976="","",VLOOKUP(A1976,AA_Cuadrillas,5,FALSE))</f>
        <v/>
      </c>
      <c r="J1976" s="416"/>
      <c r="K1976" s="3" t="str">
        <f>IF(A1976="","",'04'!$I$2)</f>
        <v/>
      </c>
      <c r="L1976" s="13"/>
      <c r="M1976" s="712" t="str">
        <f t="shared" si="258"/>
        <v/>
      </c>
      <c r="N1976" s="416"/>
    </row>
    <row r="1977" spans="1:16" ht="12.75" customHeight="1" x14ac:dyDescent="0.25">
      <c r="A1977" s="711"/>
      <c r="B1977" s="418"/>
      <c r="C1977" s="418"/>
      <c r="D1977" s="418"/>
      <c r="E1977" s="418"/>
      <c r="F1977" s="418"/>
      <c r="G1977" s="416"/>
      <c r="H1977" s="12" t="str">
        <f>IF(A1977="","",VLOOKUP(A1977,AA_Cuadrillas,4,FALSE))</f>
        <v/>
      </c>
      <c r="I1977" s="712" t="str">
        <f>IF(A1977="","",VLOOKUP(A1977,AA_Cuadrillas,5,FALSE))</f>
        <v/>
      </c>
      <c r="J1977" s="416"/>
      <c r="K1977" s="3" t="str">
        <f>IF(A1977="","",'04'!$I$2)</f>
        <v/>
      </c>
      <c r="L1977" s="13"/>
      <c r="M1977" s="712" t="str">
        <f t="shared" si="258"/>
        <v/>
      </c>
      <c r="N1977" s="416"/>
    </row>
    <row r="1978" spans="1:16" ht="12.75" customHeight="1" x14ac:dyDescent="0.25">
      <c r="A1978" s="711"/>
      <c r="B1978" s="418"/>
      <c r="C1978" s="418"/>
      <c r="D1978" s="418"/>
      <c r="E1978" s="418"/>
      <c r="F1978" s="418"/>
      <c r="G1978" s="416"/>
      <c r="H1978" s="12" t="str">
        <f>IF(A1978="","",VLOOKUP(A1978,AA_Cuadrillas,4,FALSE))</f>
        <v/>
      </c>
      <c r="I1978" s="712" t="str">
        <f>IF(A1978="","",VLOOKUP(A1978,AA_Cuadrillas,5,FALSE))</f>
        <v/>
      </c>
      <c r="J1978" s="416"/>
      <c r="K1978" s="3" t="str">
        <f>IF(A1978="","",'04'!$I$2)</f>
        <v/>
      </c>
      <c r="L1978" s="13"/>
      <c r="M1978" s="712" t="str">
        <f t="shared" si="258"/>
        <v/>
      </c>
      <c r="N1978" s="416"/>
    </row>
    <row r="1979" spans="1:16" ht="12.75" customHeight="1" x14ac:dyDescent="0.25">
      <c r="A1979" s="5"/>
      <c r="B1979" s="5"/>
      <c r="C1979" s="5"/>
      <c r="D1979" s="5"/>
      <c r="E1979" s="5"/>
      <c r="F1979" s="5"/>
      <c r="G1979" s="5"/>
      <c r="H1979" s="5"/>
      <c r="I1979" s="5"/>
      <c r="J1979" s="5"/>
      <c r="K1979" s="713" t="s">
        <v>261</v>
      </c>
      <c r="L1979" s="416"/>
      <c r="M1979" s="712">
        <f>SUM(M1974:N1978)</f>
        <v>8316.9215297999999</v>
      </c>
      <c r="N1979" s="416"/>
    </row>
    <row r="1980" spans="1:16" ht="12.75" customHeight="1" x14ac:dyDescent="0.2"/>
    <row r="1981" spans="1:16" ht="12.75" customHeight="1" x14ac:dyDescent="0.2">
      <c r="A1981" s="787" t="s">
        <v>141</v>
      </c>
      <c r="B1981" s="410"/>
      <c r="C1981" s="410"/>
      <c r="D1981" s="410"/>
      <c r="E1981" s="410"/>
      <c r="F1981" s="410"/>
      <c r="G1981" s="410"/>
      <c r="H1981" s="410"/>
      <c r="I1981" s="410"/>
      <c r="J1981" s="410"/>
      <c r="K1981" s="410"/>
      <c r="L1981" s="410"/>
      <c r="M1981" s="410"/>
      <c r="N1981" s="411"/>
      <c r="O1981" s="272"/>
      <c r="P1981" s="9"/>
    </row>
    <row r="1982" spans="1:16" ht="12.75" customHeight="1" x14ac:dyDescent="0.2">
      <c r="A1982" s="412"/>
      <c r="B1982" s="413"/>
      <c r="C1982" s="413"/>
      <c r="D1982" s="413"/>
      <c r="E1982" s="413"/>
      <c r="F1982" s="413"/>
      <c r="G1982" s="413"/>
      <c r="H1982" s="413"/>
      <c r="I1982" s="413"/>
      <c r="J1982" s="413"/>
      <c r="K1982" s="413"/>
      <c r="L1982" s="413"/>
      <c r="M1982" s="413"/>
      <c r="N1982" s="414"/>
      <c r="O1982" s="272"/>
      <c r="P1982" s="9"/>
    </row>
    <row r="1983" spans="1:16" ht="12.75" customHeight="1" x14ac:dyDescent="0.2">
      <c r="A1983" s="49"/>
      <c r="B1983" s="49"/>
      <c r="C1983" s="49"/>
      <c r="D1983" s="49"/>
      <c r="E1983" s="49"/>
      <c r="F1983" s="49"/>
      <c r="G1983" s="49"/>
      <c r="H1983" s="49"/>
      <c r="I1983" s="49"/>
      <c r="J1983" s="49"/>
      <c r="K1983" s="49"/>
      <c r="L1983" s="49"/>
      <c r="M1983" s="49"/>
      <c r="N1983" s="49"/>
    </row>
    <row r="1984" spans="1:16" ht="12.75" customHeight="1" thickBot="1" x14ac:dyDescent="0.35">
      <c r="A1984" s="51" t="str">
        <f>VLOOKUP(A1981,'10'!$B$9:$N$100,13,FALSE)</f>
        <v>G036</v>
      </c>
      <c r="B1984" s="52" t="str">
        <f>A1981</f>
        <v>SUMINISTRO E INSTALACIÓN DE MACROMEDIDOR TIPO WOLTMAN Ø6" (INCLUYE HERRAMIENTA MENOR Y MANO DE OBRA)</v>
      </c>
      <c r="C1984" s="53" t="s">
        <v>400</v>
      </c>
      <c r="D1984" s="54" t="s">
        <v>475</v>
      </c>
      <c r="E1984" s="55" t="s">
        <v>177</v>
      </c>
      <c r="F1984" s="59">
        <f>H1984+J1984+L1984+N1984</f>
        <v>5178644.6981733004</v>
      </c>
      <c r="G1984" s="55" t="s">
        <v>349</v>
      </c>
      <c r="H1984" s="59">
        <f>M2005</f>
        <v>5261.4960633000001</v>
      </c>
      <c r="I1984" s="55" t="s">
        <v>402</v>
      </c>
      <c r="J1984" s="72">
        <f>M1996</f>
        <v>4998000</v>
      </c>
      <c r="K1984" s="55" t="s">
        <v>351</v>
      </c>
      <c r="L1984" s="59">
        <f>M2014</f>
        <v>0</v>
      </c>
      <c r="M1984" s="55" t="s">
        <v>352</v>
      </c>
      <c r="N1984" s="59">
        <f>M2023</f>
        <v>175383.20211000001</v>
      </c>
    </row>
    <row r="1985" spans="1:14" ht="12.75" customHeight="1" thickBot="1" x14ac:dyDescent="0.3">
      <c r="A1985" s="60"/>
      <c r="B1985" s="60"/>
      <c r="C1985" s="60"/>
      <c r="D1985" s="60"/>
      <c r="E1985" s="60"/>
      <c r="F1985" s="60"/>
      <c r="G1985" s="60"/>
      <c r="J1985" s="60"/>
      <c r="K1985" s="60"/>
      <c r="L1985" s="327" t="s">
        <v>1934</v>
      </c>
      <c r="M1985" s="328">
        <f>+F1984*'01'!$O$16</f>
        <v>6702673.1373375813</v>
      </c>
      <c r="N1985" s="60"/>
    </row>
    <row r="1986" spans="1:14" ht="12.75" customHeight="1" x14ac:dyDescent="0.2">
      <c r="A1986" s="716" t="s">
        <v>403</v>
      </c>
      <c r="B1986" s="418"/>
      <c r="C1986" s="418"/>
      <c r="D1986" s="418"/>
      <c r="E1986" s="418"/>
      <c r="F1986" s="418"/>
      <c r="G1986" s="418"/>
      <c r="H1986" s="418"/>
      <c r="I1986" s="418"/>
      <c r="J1986" s="418"/>
      <c r="K1986" s="418"/>
      <c r="L1986" s="418"/>
      <c r="M1986" s="418"/>
      <c r="N1986" s="416"/>
    </row>
    <row r="1987" spans="1:14" ht="12.75" customHeight="1" x14ac:dyDescent="0.2">
      <c r="A1987" s="713" t="s">
        <v>39</v>
      </c>
      <c r="B1987" s="418"/>
      <c r="C1987" s="418"/>
      <c r="D1987" s="418"/>
      <c r="E1987" s="418"/>
      <c r="F1987" s="418"/>
      <c r="G1987" s="416"/>
      <c r="H1987" s="61" t="s">
        <v>40</v>
      </c>
      <c r="I1987" s="717" t="s">
        <v>404</v>
      </c>
      <c r="J1987" s="416"/>
      <c r="K1987" s="717" t="s">
        <v>184</v>
      </c>
      <c r="L1987" s="416"/>
      <c r="M1987" s="717" t="s">
        <v>405</v>
      </c>
      <c r="N1987" s="416"/>
    </row>
    <row r="1988" spans="1:14" ht="12.75" customHeight="1" x14ac:dyDescent="0.2">
      <c r="A1988" s="714" t="s">
        <v>550</v>
      </c>
      <c r="B1988" s="418"/>
      <c r="C1988" s="418"/>
      <c r="D1988" s="418"/>
      <c r="E1988" s="418"/>
      <c r="F1988" s="418"/>
      <c r="G1988" s="416"/>
      <c r="H1988" s="12" t="str">
        <f t="shared" ref="H1988:H1995" si="259">IF(A1988="","",VLOOKUP(A1988,AA_Materiales,7,FALSE))</f>
        <v>Unidad</v>
      </c>
      <c r="I1988" s="712">
        <f t="shared" ref="I1988:I1995" si="260">IF(A1988="","",VLOOKUP(A1988,AA_Materiales,8,FALSE))</f>
        <v>4998000</v>
      </c>
      <c r="J1988" s="416"/>
      <c r="K1988" s="715">
        <v>1</v>
      </c>
      <c r="L1988" s="416"/>
      <c r="M1988" s="712">
        <f t="shared" ref="M1988:M1995" si="261">IF(A1988="","",I1988*K1988)</f>
        <v>4998000</v>
      </c>
      <c r="N1988" s="416"/>
    </row>
    <row r="1989" spans="1:14" ht="12.75" customHeight="1" x14ac:dyDescent="0.2">
      <c r="A1989" s="714"/>
      <c r="B1989" s="418"/>
      <c r="C1989" s="418"/>
      <c r="D1989" s="418"/>
      <c r="E1989" s="418"/>
      <c r="F1989" s="418"/>
      <c r="G1989" s="416"/>
      <c r="H1989" s="12" t="str">
        <f t="shared" si="259"/>
        <v/>
      </c>
      <c r="I1989" s="712" t="str">
        <f t="shared" si="260"/>
        <v/>
      </c>
      <c r="J1989" s="416"/>
      <c r="K1989" s="715"/>
      <c r="L1989" s="416"/>
      <c r="M1989" s="712" t="str">
        <f t="shared" si="261"/>
        <v/>
      </c>
      <c r="N1989" s="416"/>
    </row>
    <row r="1990" spans="1:14" ht="12.75" customHeight="1" x14ac:dyDescent="0.2">
      <c r="A1990" s="714"/>
      <c r="B1990" s="418"/>
      <c r="C1990" s="418"/>
      <c r="D1990" s="418"/>
      <c r="E1990" s="418"/>
      <c r="F1990" s="418"/>
      <c r="G1990" s="416"/>
      <c r="H1990" s="12" t="str">
        <f t="shared" si="259"/>
        <v/>
      </c>
      <c r="I1990" s="712" t="str">
        <f t="shared" si="260"/>
        <v/>
      </c>
      <c r="J1990" s="416"/>
      <c r="K1990" s="715"/>
      <c r="L1990" s="416"/>
      <c r="M1990" s="712" t="str">
        <f t="shared" si="261"/>
        <v/>
      </c>
      <c r="N1990" s="416"/>
    </row>
    <row r="1991" spans="1:14" ht="12.75" customHeight="1" x14ac:dyDescent="0.2">
      <c r="A1991" s="714"/>
      <c r="B1991" s="418"/>
      <c r="C1991" s="418"/>
      <c r="D1991" s="418"/>
      <c r="E1991" s="418"/>
      <c r="F1991" s="418"/>
      <c r="G1991" s="416"/>
      <c r="H1991" s="12" t="str">
        <f t="shared" si="259"/>
        <v/>
      </c>
      <c r="I1991" s="712" t="str">
        <f t="shared" si="260"/>
        <v/>
      </c>
      <c r="J1991" s="416"/>
      <c r="K1991" s="715"/>
      <c r="L1991" s="416"/>
      <c r="M1991" s="712" t="str">
        <f t="shared" si="261"/>
        <v/>
      </c>
      <c r="N1991" s="416"/>
    </row>
    <row r="1992" spans="1:14" ht="12.75" customHeight="1" x14ac:dyDescent="0.2">
      <c r="A1992" s="714"/>
      <c r="B1992" s="418"/>
      <c r="C1992" s="418"/>
      <c r="D1992" s="418"/>
      <c r="E1992" s="418"/>
      <c r="F1992" s="418"/>
      <c r="G1992" s="416"/>
      <c r="H1992" s="12" t="str">
        <f t="shared" si="259"/>
        <v/>
      </c>
      <c r="I1992" s="712" t="str">
        <f t="shared" si="260"/>
        <v/>
      </c>
      <c r="J1992" s="416"/>
      <c r="K1992" s="715"/>
      <c r="L1992" s="416"/>
      <c r="M1992" s="712" t="str">
        <f t="shared" si="261"/>
        <v/>
      </c>
      <c r="N1992" s="416"/>
    </row>
    <row r="1993" spans="1:14" ht="12.75" customHeight="1" x14ac:dyDescent="0.2">
      <c r="A1993" s="714"/>
      <c r="B1993" s="418"/>
      <c r="C1993" s="418"/>
      <c r="D1993" s="418"/>
      <c r="E1993" s="418"/>
      <c r="F1993" s="418"/>
      <c r="G1993" s="416"/>
      <c r="H1993" s="12" t="str">
        <f t="shared" si="259"/>
        <v/>
      </c>
      <c r="I1993" s="712" t="str">
        <f t="shared" si="260"/>
        <v/>
      </c>
      <c r="J1993" s="416"/>
      <c r="K1993" s="715"/>
      <c r="L1993" s="416"/>
      <c r="M1993" s="712" t="str">
        <f t="shared" si="261"/>
        <v/>
      </c>
      <c r="N1993" s="416"/>
    </row>
    <row r="1994" spans="1:14" ht="12.75" customHeight="1" x14ac:dyDescent="0.2">
      <c r="A1994" s="714"/>
      <c r="B1994" s="418"/>
      <c r="C1994" s="418"/>
      <c r="D1994" s="418"/>
      <c r="E1994" s="418"/>
      <c r="F1994" s="418"/>
      <c r="G1994" s="416"/>
      <c r="H1994" s="12" t="str">
        <f t="shared" si="259"/>
        <v/>
      </c>
      <c r="I1994" s="712" t="str">
        <f t="shared" si="260"/>
        <v/>
      </c>
      <c r="J1994" s="416"/>
      <c r="K1994" s="715"/>
      <c r="L1994" s="416"/>
      <c r="M1994" s="712" t="str">
        <f t="shared" si="261"/>
        <v/>
      </c>
      <c r="N1994" s="416"/>
    </row>
    <row r="1995" spans="1:14" ht="12.75" customHeight="1" x14ac:dyDescent="0.2">
      <c r="A1995" s="714"/>
      <c r="B1995" s="418"/>
      <c r="C1995" s="418"/>
      <c r="D1995" s="418"/>
      <c r="E1995" s="418"/>
      <c r="F1995" s="418"/>
      <c r="G1995" s="416"/>
      <c r="H1995" s="12" t="str">
        <f t="shared" si="259"/>
        <v/>
      </c>
      <c r="I1995" s="712" t="str">
        <f t="shared" si="260"/>
        <v/>
      </c>
      <c r="J1995" s="416"/>
      <c r="K1995" s="715"/>
      <c r="L1995" s="416"/>
      <c r="M1995" s="712" t="str">
        <f t="shared" si="261"/>
        <v/>
      </c>
      <c r="N1995" s="416"/>
    </row>
    <row r="1996" spans="1:14" ht="12.75" customHeight="1" x14ac:dyDescent="0.25">
      <c r="A1996" s="5"/>
      <c r="B1996" s="5"/>
      <c r="C1996" s="5"/>
      <c r="D1996" s="5"/>
      <c r="E1996" s="5"/>
      <c r="F1996" s="5"/>
      <c r="G1996" s="5"/>
      <c r="H1996" s="5"/>
      <c r="I1996" s="5"/>
      <c r="J1996" s="5"/>
      <c r="K1996" s="713" t="s">
        <v>261</v>
      </c>
      <c r="L1996" s="416"/>
      <c r="M1996" s="712">
        <f>SUM(M1988:N1995)</f>
        <v>4998000</v>
      </c>
      <c r="N1996" s="416"/>
    </row>
    <row r="1997" spans="1:14" ht="12.75" customHeight="1" x14ac:dyDescent="0.25">
      <c r="A1997" s="5"/>
      <c r="B1997" s="5"/>
      <c r="C1997" s="5"/>
      <c r="D1997" s="5"/>
      <c r="E1997" s="5"/>
      <c r="F1997" s="5"/>
      <c r="G1997" s="5"/>
      <c r="H1997" s="5"/>
      <c r="I1997" s="5"/>
      <c r="J1997" s="5"/>
      <c r="K1997" s="5"/>
      <c r="L1997" s="5"/>
      <c r="M1997" s="5"/>
      <c r="N1997" s="5"/>
    </row>
    <row r="1998" spans="1:14" ht="12.75" customHeight="1" x14ac:dyDescent="0.2">
      <c r="A1998" s="716" t="s">
        <v>410</v>
      </c>
      <c r="B1998" s="418"/>
      <c r="C1998" s="418"/>
      <c r="D1998" s="418"/>
      <c r="E1998" s="418"/>
      <c r="F1998" s="418"/>
      <c r="G1998" s="418"/>
      <c r="H1998" s="418"/>
      <c r="I1998" s="418"/>
      <c r="J1998" s="418"/>
      <c r="K1998" s="418"/>
      <c r="L1998" s="418"/>
      <c r="M1998" s="418"/>
      <c r="N1998" s="416"/>
    </row>
    <row r="1999" spans="1:14" ht="12.75" customHeight="1" x14ac:dyDescent="0.2">
      <c r="A1999" s="713" t="s">
        <v>39</v>
      </c>
      <c r="B1999" s="418"/>
      <c r="C1999" s="418"/>
      <c r="D1999" s="418"/>
      <c r="E1999" s="418"/>
      <c r="F1999" s="418"/>
      <c r="G1999" s="416"/>
      <c r="H1999" s="61" t="s">
        <v>40</v>
      </c>
      <c r="I1999" s="717" t="s">
        <v>404</v>
      </c>
      <c r="J1999" s="416"/>
      <c r="K1999" s="717" t="s">
        <v>184</v>
      </c>
      <c r="L1999" s="416"/>
      <c r="M1999" s="717" t="s">
        <v>405</v>
      </c>
      <c r="N1999" s="416"/>
    </row>
    <row r="2000" spans="1:14" ht="12.75" customHeight="1" x14ac:dyDescent="0.2">
      <c r="A2000" s="714" t="s">
        <v>411</v>
      </c>
      <c r="B2000" s="418"/>
      <c r="C2000" s="418"/>
      <c r="D2000" s="418"/>
      <c r="E2000" s="418"/>
      <c r="F2000" s="418"/>
      <c r="G2000" s="416"/>
      <c r="H2000" s="12" t="str">
        <f>IF(A2000="","",VLOOKUP(A2000,AA_Equipos,7,FALSE))</f>
        <v>% M.O.</v>
      </c>
      <c r="I2000" s="712">
        <f>+M2023</f>
        <v>175383.20211000001</v>
      </c>
      <c r="J2000" s="416"/>
      <c r="K2000" s="722">
        <v>0.03</v>
      </c>
      <c r="L2000" s="416"/>
      <c r="M2000" s="712">
        <f t="shared" ref="M2000:M2004" si="262">IF(A2000="","",I2000*K2000)</f>
        <v>5261.4960633000001</v>
      </c>
      <c r="N2000" s="416"/>
    </row>
    <row r="2001" spans="1:14" ht="12.75" customHeight="1" x14ac:dyDescent="0.2">
      <c r="A2001" s="719"/>
      <c r="B2001" s="418"/>
      <c r="C2001" s="418"/>
      <c r="D2001" s="418"/>
      <c r="E2001" s="418"/>
      <c r="F2001" s="418"/>
      <c r="G2001" s="416"/>
      <c r="H2001" s="12" t="str">
        <f>IF(A2001="","",VLOOKUP(A2001,AA_Equipos,7,FALSE))</f>
        <v/>
      </c>
      <c r="I2001" s="712" t="str">
        <f>IF(A2001="","",VLOOKUP(A2001,AA_Equipos,8,FALSE))</f>
        <v/>
      </c>
      <c r="J2001" s="416"/>
      <c r="K2001" s="723"/>
      <c r="L2001" s="416"/>
      <c r="M2001" s="712" t="str">
        <f t="shared" si="262"/>
        <v/>
      </c>
      <c r="N2001" s="416"/>
    </row>
    <row r="2002" spans="1:14" ht="12.75" customHeight="1" x14ac:dyDescent="0.2">
      <c r="A2002" s="714"/>
      <c r="B2002" s="418"/>
      <c r="C2002" s="418"/>
      <c r="D2002" s="418"/>
      <c r="E2002" s="418"/>
      <c r="F2002" s="418"/>
      <c r="G2002" s="416"/>
      <c r="H2002" s="12" t="str">
        <f>IF(A2002="","",VLOOKUP(A2002,AA_Equipos,7,FALSE))</f>
        <v/>
      </c>
      <c r="I2002" s="712"/>
      <c r="J2002" s="416"/>
      <c r="K2002" s="722"/>
      <c r="L2002" s="416"/>
      <c r="M2002" s="712" t="str">
        <f t="shared" si="262"/>
        <v/>
      </c>
      <c r="N2002" s="416"/>
    </row>
    <row r="2003" spans="1:14" ht="12.75" customHeight="1" x14ac:dyDescent="0.2">
      <c r="A2003" s="714"/>
      <c r="B2003" s="418"/>
      <c r="C2003" s="418"/>
      <c r="D2003" s="418"/>
      <c r="E2003" s="418"/>
      <c r="F2003" s="418"/>
      <c r="G2003" s="416"/>
      <c r="H2003" s="12" t="str">
        <f>IF(A2003="","",VLOOKUP(A2003,AA_Equipos,7,FALSE))</f>
        <v/>
      </c>
      <c r="I2003" s="712" t="str">
        <f>IF(A2003="","",VLOOKUP(A2003,AA_Equipos,8,FALSE))</f>
        <v/>
      </c>
      <c r="J2003" s="416"/>
      <c r="K2003" s="715"/>
      <c r="L2003" s="416"/>
      <c r="M2003" s="712" t="str">
        <f t="shared" si="262"/>
        <v/>
      </c>
      <c r="N2003" s="416"/>
    </row>
    <row r="2004" spans="1:14" ht="12.75" customHeight="1" x14ac:dyDescent="0.2">
      <c r="A2004" s="714"/>
      <c r="B2004" s="418"/>
      <c r="C2004" s="418"/>
      <c r="D2004" s="418"/>
      <c r="E2004" s="418"/>
      <c r="F2004" s="418"/>
      <c r="G2004" s="416"/>
      <c r="H2004" s="12" t="str">
        <f>IF(A2004="","",VLOOKUP(A2004,AA_Equipos,7,FALSE))</f>
        <v/>
      </c>
      <c r="I2004" s="712" t="str">
        <f>IF(A2004="","",VLOOKUP(A2004,AA_Equipos,8,FALSE))</f>
        <v/>
      </c>
      <c r="J2004" s="416"/>
      <c r="K2004" s="715"/>
      <c r="L2004" s="416"/>
      <c r="M2004" s="712" t="str">
        <f t="shared" si="262"/>
        <v/>
      </c>
      <c r="N2004" s="416"/>
    </row>
    <row r="2005" spans="1:14" ht="12.75" customHeight="1" x14ac:dyDescent="0.25">
      <c r="A2005" s="5"/>
      <c r="B2005" s="5"/>
      <c r="C2005" s="5"/>
      <c r="D2005" s="5"/>
      <c r="E2005" s="5"/>
      <c r="F2005" s="5"/>
      <c r="G2005" s="5"/>
      <c r="H2005" s="5"/>
      <c r="I2005" s="5"/>
      <c r="J2005" s="5"/>
      <c r="K2005" s="713" t="s">
        <v>261</v>
      </c>
      <c r="L2005" s="416"/>
      <c r="M2005" s="712">
        <f>SUM(M2000:N2004)</f>
        <v>5261.4960633000001</v>
      </c>
      <c r="N2005" s="416"/>
    </row>
    <row r="2006" spans="1:14" ht="12.75" customHeight="1" x14ac:dyDescent="0.25">
      <c r="A2006" s="5"/>
      <c r="B2006" s="5"/>
      <c r="C2006" s="5"/>
      <c r="D2006" s="5"/>
      <c r="E2006" s="5"/>
      <c r="F2006" s="5"/>
      <c r="G2006" s="5"/>
      <c r="H2006" s="5"/>
      <c r="I2006" s="5"/>
      <c r="J2006" s="5"/>
      <c r="K2006" s="5"/>
      <c r="L2006" s="5"/>
      <c r="M2006" s="5"/>
      <c r="N2006" s="5"/>
    </row>
    <row r="2007" spans="1:14" ht="12.75" customHeight="1" x14ac:dyDescent="0.2">
      <c r="A2007" s="716" t="s">
        <v>413</v>
      </c>
      <c r="B2007" s="418"/>
      <c r="C2007" s="418"/>
      <c r="D2007" s="418"/>
      <c r="E2007" s="418"/>
      <c r="F2007" s="418"/>
      <c r="G2007" s="418"/>
      <c r="H2007" s="418"/>
      <c r="I2007" s="418"/>
      <c r="J2007" s="418"/>
      <c r="K2007" s="418"/>
      <c r="L2007" s="418"/>
      <c r="M2007" s="418"/>
      <c r="N2007" s="416"/>
    </row>
    <row r="2008" spans="1:14" ht="12.75" customHeight="1" x14ac:dyDescent="0.2">
      <c r="A2008" s="713" t="s">
        <v>39</v>
      </c>
      <c r="B2008" s="418"/>
      <c r="C2008" s="418"/>
      <c r="D2008" s="418"/>
      <c r="E2008" s="418"/>
      <c r="F2008" s="418"/>
      <c r="G2008" s="416"/>
      <c r="H2008" s="61" t="s">
        <v>40</v>
      </c>
      <c r="I2008" s="717" t="s">
        <v>404</v>
      </c>
      <c r="J2008" s="416"/>
      <c r="K2008" s="717" t="s">
        <v>184</v>
      </c>
      <c r="L2008" s="416"/>
      <c r="M2008" s="717" t="s">
        <v>405</v>
      </c>
      <c r="N2008" s="416"/>
    </row>
    <row r="2009" spans="1:14" ht="12.75" customHeight="1" x14ac:dyDescent="0.2">
      <c r="A2009" s="714"/>
      <c r="B2009" s="418"/>
      <c r="C2009" s="418"/>
      <c r="D2009" s="418"/>
      <c r="E2009" s="418"/>
      <c r="F2009" s="418"/>
      <c r="G2009" s="416"/>
      <c r="H2009" s="12"/>
      <c r="I2009" s="712"/>
      <c r="J2009" s="416"/>
      <c r="K2009" s="722"/>
      <c r="L2009" s="416"/>
      <c r="M2009" s="712" t="str">
        <f t="shared" ref="M2009:M2013" si="263">IF(A2009="","",I2009*K2009)</f>
        <v/>
      </c>
      <c r="N2009" s="416"/>
    </row>
    <row r="2010" spans="1:14" ht="12.75" customHeight="1" x14ac:dyDescent="0.2">
      <c r="A2010" s="719"/>
      <c r="B2010" s="418"/>
      <c r="C2010" s="418"/>
      <c r="D2010" s="418"/>
      <c r="E2010" s="418"/>
      <c r="F2010" s="418"/>
      <c r="G2010" s="416"/>
      <c r="H2010" s="12"/>
      <c r="I2010" s="712"/>
      <c r="J2010" s="416"/>
      <c r="K2010" s="722"/>
      <c r="L2010" s="416"/>
      <c r="M2010" s="712" t="str">
        <f t="shared" si="263"/>
        <v/>
      </c>
      <c r="N2010" s="416"/>
    </row>
    <row r="2011" spans="1:14" ht="12.75" customHeight="1" x14ac:dyDescent="0.2">
      <c r="A2011" s="714"/>
      <c r="B2011" s="418"/>
      <c r="C2011" s="418"/>
      <c r="D2011" s="418"/>
      <c r="E2011" s="418"/>
      <c r="F2011" s="418"/>
      <c r="G2011" s="416"/>
      <c r="H2011" s="12"/>
      <c r="I2011" s="712"/>
      <c r="J2011" s="416"/>
      <c r="K2011" s="715"/>
      <c r="L2011" s="416"/>
      <c r="M2011" s="712" t="str">
        <f t="shared" si="263"/>
        <v/>
      </c>
      <c r="N2011" s="416"/>
    </row>
    <row r="2012" spans="1:14" ht="12.75" customHeight="1" x14ac:dyDescent="0.2">
      <c r="A2012" s="714"/>
      <c r="B2012" s="418"/>
      <c r="C2012" s="418"/>
      <c r="D2012" s="418"/>
      <c r="E2012" s="418"/>
      <c r="F2012" s="418"/>
      <c r="G2012" s="416"/>
      <c r="H2012" s="12"/>
      <c r="I2012" s="712"/>
      <c r="J2012" s="416"/>
      <c r="K2012" s="715"/>
      <c r="L2012" s="416"/>
      <c r="M2012" s="712" t="str">
        <f t="shared" si="263"/>
        <v/>
      </c>
      <c r="N2012" s="416"/>
    </row>
    <row r="2013" spans="1:14" ht="12.75" customHeight="1" x14ac:dyDescent="0.2">
      <c r="A2013" s="714"/>
      <c r="B2013" s="418"/>
      <c r="C2013" s="418"/>
      <c r="D2013" s="418"/>
      <c r="E2013" s="418"/>
      <c r="F2013" s="418"/>
      <c r="G2013" s="416"/>
      <c r="H2013" s="12"/>
      <c r="I2013" s="712"/>
      <c r="J2013" s="416"/>
      <c r="K2013" s="715"/>
      <c r="L2013" s="416"/>
      <c r="M2013" s="712" t="str">
        <f t="shared" si="263"/>
        <v/>
      </c>
      <c r="N2013" s="416"/>
    </row>
    <row r="2014" spans="1:14" ht="12.75" customHeight="1" x14ac:dyDescent="0.25">
      <c r="A2014" s="5"/>
      <c r="B2014" s="5"/>
      <c r="C2014" s="5"/>
      <c r="D2014" s="5"/>
      <c r="E2014" s="5"/>
      <c r="F2014" s="5"/>
      <c r="G2014" s="5"/>
      <c r="H2014" s="5"/>
      <c r="I2014" s="5"/>
      <c r="J2014" s="5"/>
      <c r="K2014" s="713" t="s">
        <v>261</v>
      </c>
      <c r="L2014" s="416"/>
      <c r="M2014" s="712">
        <f>SUM(M2009:N2013)</f>
        <v>0</v>
      </c>
      <c r="N2014" s="416"/>
    </row>
    <row r="2015" spans="1:14" ht="12.75" customHeight="1" x14ac:dyDescent="0.25">
      <c r="A2015" s="5"/>
      <c r="B2015" s="5"/>
      <c r="C2015" s="5"/>
      <c r="D2015" s="5"/>
      <c r="E2015" s="5"/>
      <c r="F2015" s="5"/>
      <c r="G2015" s="5"/>
      <c r="H2015" s="5"/>
      <c r="I2015" s="5"/>
      <c r="J2015" s="5"/>
      <c r="K2015" s="5"/>
      <c r="L2015" s="5"/>
      <c r="M2015" s="5"/>
      <c r="N2015" s="5"/>
    </row>
    <row r="2016" spans="1:14" ht="12.75" customHeight="1" x14ac:dyDescent="0.2">
      <c r="A2016" s="716" t="s">
        <v>415</v>
      </c>
      <c r="B2016" s="418"/>
      <c r="C2016" s="418"/>
      <c r="D2016" s="418"/>
      <c r="E2016" s="418"/>
      <c r="F2016" s="418"/>
      <c r="G2016" s="418"/>
      <c r="H2016" s="418"/>
      <c r="I2016" s="418"/>
      <c r="J2016" s="418"/>
      <c r="K2016" s="418"/>
      <c r="L2016" s="418"/>
      <c r="M2016" s="418"/>
      <c r="N2016" s="416"/>
    </row>
    <row r="2017" spans="1:16" ht="12.75" customHeight="1" x14ac:dyDescent="0.2">
      <c r="A2017" s="713" t="s">
        <v>39</v>
      </c>
      <c r="B2017" s="418"/>
      <c r="C2017" s="418"/>
      <c r="D2017" s="418"/>
      <c r="E2017" s="418"/>
      <c r="F2017" s="418"/>
      <c r="G2017" s="416"/>
      <c r="H2017" s="61" t="s">
        <v>40</v>
      </c>
      <c r="I2017" s="717" t="s">
        <v>404</v>
      </c>
      <c r="J2017" s="416"/>
      <c r="K2017" s="64" t="s">
        <v>253</v>
      </c>
      <c r="L2017" s="65" t="s">
        <v>416</v>
      </c>
      <c r="M2017" s="717" t="s">
        <v>405</v>
      </c>
      <c r="N2017" s="416"/>
    </row>
    <row r="2018" spans="1:16" ht="12.75" customHeight="1" x14ac:dyDescent="0.25">
      <c r="A2018" s="711" t="s">
        <v>539</v>
      </c>
      <c r="B2018" s="418"/>
      <c r="C2018" s="418"/>
      <c r="D2018" s="418"/>
      <c r="E2018" s="418"/>
      <c r="F2018" s="418"/>
      <c r="G2018" s="416"/>
      <c r="H2018" s="12" t="str">
        <f>IF(A2018="","",VLOOKUP(A2018,AA_Cuadrillas,4,FALSE))</f>
        <v>Cuadrilla</v>
      </c>
      <c r="I2018" s="712">
        <f>IF(A2018="","",VLOOKUP(A2018,AA_Cuadrillas,5,FALSE))</f>
        <v>309326</v>
      </c>
      <c r="J2018" s="416"/>
      <c r="K2018" s="3">
        <f>IF(A2018="","",'04'!$I$2)</f>
        <v>1.88995</v>
      </c>
      <c r="L2018" s="66">
        <v>0.3</v>
      </c>
      <c r="M2018" s="712">
        <f t="shared" ref="M2018:M2022" si="264">IF(A2018="","",I2018*K2018*L2018)</f>
        <v>175383.20211000001</v>
      </c>
      <c r="N2018" s="416"/>
    </row>
    <row r="2019" spans="1:16" ht="12.75" customHeight="1" x14ac:dyDescent="0.25">
      <c r="A2019" s="711"/>
      <c r="B2019" s="418"/>
      <c r="C2019" s="418"/>
      <c r="D2019" s="418"/>
      <c r="E2019" s="418"/>
      <c r="F2019" s="418"/>
      <c r="G2019" s="416"/>
      <c r="H2019" s="12" t="str">
        <f>IF(A2019="","",VLOOKUP(A2019,AA_Cuadrillas,4,FALSE))</f>
        <v/>
      </c>
      <c r="I2019" s="712" t="str">
        <f>IF(A2019="","",VLOOKUP(A2019,AA_Cuadrillas,5,FALSE))</f>
        <v/>
      </c>
      <c r="J2019" s="416"/>
      <c r="K2019" s="3" t="str">
        <f>IF(A2019="","",'04'!$I$2)</f>
        <v/>
      </c>
      <c r="L2019" s="3"/>
      <c r="M2019" s="712" t="str">
        <f t="shared" si="264"/>
        <v/>
      </c>
      <c r="N2019" s="416"/>
    </row>
    <row r="2020" spans="1:16" ht="12.75" customHeight="1" x14ac:dyDescent="0.25">
      <c r="A2020" s="711"/>
      <c r="B2020" s="418"/>
      <c r="C2020" s="418"/>
      <c r="D2020" s="418"/>
      <c r="E2020" s="418"/>
      <c r="F2020" s="418"/>
      <c r="G2020" s="416"/>
      <c r="H2020" s="12" t="str">
        <f>IF(A2020="","",VLOOKUP(A2020,AA_Cuadrillas,4,FALSE))</f>
        <v/>
      </c>
      <c r="I2020" s="712" t="str">
        <f>IF(A2020="","",VLOOKUP(A2020,AA_Cuadrillas,5,FALSE))</f>
        <v/>
      </c>
      <c r="J2020" s="416"/>
      <c r="K2020" s="3" t="str">
        <f>IF(A2020="","",'04'!$I$2)</f>
        <v/>
      </c>
      <c r="L2020" s="13"/>
      <c r="M2020" s="712" t="str">
        <f t="shared" si="264"/>
        <v/>
      </c>
      <c r="N2020" s="416"/>
    </row>
    <row r="2021" spans="1:16" ht="12.75" customHeight="1" x14ac:dyDescent="0.25">
      <c r="A2021" s="711"/>
      <c r="B2021" s="418"/>
      <c r="C2021" s="418"/>
      <c r="D2021" s="418"/>
      <c r="E2021" s="418"/>
      <c r="F2021" s="418"/>
      <c r="G2021" s="416"/>
      <c r="H2021" s="12" t="str">
        <f>IF(A2021="","",VLOOKUP(A2021,AA_Cuadrillas,4,FALSE))</f>
        <v/>
      </c>
      <c r="I2021" s="712" t="str">
        <f>IF(A2021="","",VLOOKUP(A2021,AA_Cuadrillas,5,FALSE))</f>
        <v/>
      </c>
      <c r="J2021" s="416"/>
      <c r="K2021" s="3" t="str">
        <f>IF(A2021="","",'04'!$I$2)</f>
        <v/>
      </c>
      <c r="L2021" s="13"/>
      <c r="M2021" s="712" t="str">
        <f t="shared" si="264"/>
        <v/>
      </c>
      <c r="N2021" s="416"/>
    </row>
    <row r="2022" spans="1:16" ht="12.75" customHeight="1" x14ac:dyDescent="0.25">
      <c r="A2022" s="711"/>
      <c r="B2022" s="418"/>
      <c r="C2022" s="418"/>
      <c r="D2022" s="418"/>
      <c r="E2022" s="418"/>
      <c r="F2022" s="418"/>
      <c r="G2022" s="416"/>
      <c r="H2022" s="12" t="str">
        <f>IF(A2022="","",VLOOKUP(A2022,AA_Cuadrillas,4,FALSE))</f>
        <v/>
      </c>
      <c r="I2022" s="712" t="str">
        <f>IF(A2022="","",VLOOKUP(A2022,AA_Cuadrillas,5,FALSE))</f>
        <v/>
      </c>
      <c r="J2022" s="416"/>
      <c r="K2022" s="3" t="str">
        <f>IF(A2022="","",'04'!$I$2)</f>
        <v/>
      </c>
      <c r="L2022" s="13"/>
      <c r="M2022" s="712" t="str">
        <f t="shared" si="264"/>
        <v/>
      </c>
      <c r="N2022" s="416"/>
    </row>
    <row r="2023" spans="1:16" ht="12.75" customHeight="1" x14ac:dyDescent="0.25">
      <c r="A2023" s="5"/>
      <c r="B2023" s="5"/>
      <c r="C2023" s="5"/>
      <c r="D2023" s="5"/>
      <c r="E2023" s="5"/>
      <c r="F2023" s="5"/>
      <c r="G2023" s="5"/>
      <c r="H2023" s="5"/>
      <c r="I2023" s="5"/>
      <c r="J2023" s="5"/>
      <c r="K2023" s="713" t="s">
        <v>261</v>
      </c>
      <c r="L2023" s="416"/>
      <c r="M2023" s="712">
        <f>SUM(M2018:N2022)</f>
        <v>175383.20211000001</v>
      </c>
      <c r="N2023" s="416"/>
    </row>
    <row r="2024" spans="1:16" ht="12.75" customHeight="1" x14ac:dyDescent="0.2"/>
    <row r="2025" spans="1:16" ht="12.75" customHeight="1" x14ac:dyDescent="0.2">
      <c r="A2025" s="785" t="s">
        <v>96</v>
      </c>
      <c r="B2025" s="410"/>
      <c r="C2025" s="410"/>
      <c r="D2025" s="410"/>
      <c r="E2025" s="410"/>
      <c r="F2025" s="410"/>
      <c r="G2025" s="410"/>
      <c r="H2025" s="410"/>
      <c r="I2025" s="410"/>
      <c r="J2025" s="410"/>
      <c r="K2025" s="410"/>
      <c r="L2025" s="410"/>
      <c r="M2025" s="410"/>
      <c r="N2025" s="411"/>
      <c r="O2025" s="272"/>
      <c r="P2025" s="9"/>
    </row>
    <row r="2026" spans="1:16" ht="12.75" customHeight="1" x14ac:dyDescent="0.2">
      <c r="A2026" s="412"/>
      <c r="B2026" s="413"/>
      <c r="C2026" s="413"/>
      <c r="D2026" s="413"/>
      <c r="E2026" s="413"/>
      <c r="F2026" s="413"/>
      <c r="G2026" s="413"/>
      <c r="H2026" s="413"/>
      <c r="I2026" s="413"/>
      <c r="J2026" s="413"/>
      <c r="K2026" s="413"/>
      <c r="L2026" s="413"/>
      <c r="M2026" s="413"/>
      <c r="N2026" s="414"/>
      <c r="O2026" s="272"/>
      <c r="P2026" s="9"/>
    </row>
    <row r="2027" spans="1:16" ht="12.75" customHeight="1" x14ac:dyDescent="0.2">
      <c r="A2027" s="49"/>
      <c r="B2027" s="49"/>
      <c r="C2027" s="49"/>
      <c r="D2027" s="49"/>
      <c r="E2027" s="49"/>
      <c r="F2027" s="49"/>
      <c r="G2027" s="49"/>
      <c r="H2027" s="49"/>
      <c r="I2027" s="49"/>
      <c r="J2027" s="49"/>
      <c r="K2027" s="49"/>
      <c r="L2027" s="49"/>
      <c r="M2027" s="49"/>
      <c r="N2027" s="49"/>
    </row>
    <row r="2028" spans="1:16" ht="12.75" customHeight="1" thickBot="1" x14ac:dyDescent="0.35">
      <c r="A2028" s="51" t="str">
        <f>VLOOKUP(A2025,'10'!$B$9:$N$100,13,FALSE)</f>
        <v>G050</v>
      </c>
      <c r="B2028" s="52" t="str">
        <f>A2025</f>
        <v>CÁMARA DE QUIEBRE DE PRESIÓN 6" A TODO COSTO (INCLUYE REPLANTEO, EXCAVACIÓN, RECEBO, EXTENDIDO, CONCRETO DE 4000 PSI, ACERO DE REFUERZO, TUBERÍA DE LAVADO DE 6", VÁLVULA FLOTADORA, PASAMURO, MATERIALES, HERRRAMIENTA MENOR Y MANO DE OBRA)</v>
      </c>
      <c r="C2028" s="53" t="s">
        <v>400</v>
      </c>
      <c r="D2028" s="54" t="s">
        <v>475</v>
      </c>
      <c r="E2028" s="55" t="s">
        <v>177</v>
      </c>
      <c r="F2028" s="59">
        <f>H2028+J2028+L2028+N2028</f>
        <v>14508252.527351342</v>
      </c>
      <c r="G2028" s="55" t="s">
        <v>349</v>
      </c>
      <c r="H2028" s="59">
        <f>M2066</f>
        <v>8769.160105500001</v>
      </c>
      <c r="I2028" s="55" t="s">
        <v>402</v>
      </c>
      <c r="J2028" s="72">
        <f>M2057</f>
        <v>13530645.743234135</v>
      </c>
      <c r="K2028" s="55" t="s">
        <v>351</v>
      </c>
      <c r="L2028" s="70">
        <f>M2075</f>
        <v>676532.28716170683</v>
      </c>
      <c r="M2028" s="55" t="s">
        <v>352</v>
      </c>
      <c r="N2028" s="70">
        <f>M2084</f>
        <v>292305.33685000002</v>
      </c>
    </row>
    <row r="2029" spans="1:16" ht="12.75" customHeight="1" thickBot="1" x14ac:dyDescent="0.3">
      <c r="A2029" s="60"/>
      <c r="B2029" s="60"/>
      <c r="C2029" s="60"/>
      <c r="D2029" s="60"/>
      <c r="E2029" s="60"/>
      <c r="F2029" s="60"/>
      <c r="G2029" s="60"/>
      <c r="J2029" s="60"/>
      <c r="K2029" s="60"/>
      <c r="L2029" s="327" t="s">
        <v>1934</v>
      </c>
      <c r="M2029" s="328">
        <f>+F2028*'01'!$O$16</f>
        <v>18777900.426165462</v>
      </c>
      <c r="N2029" s="60"/>
    </row>
    <row r="2030" spans="1:16" ht="12.75" customHeight="1" x14ac:dyDescent="0.2">
      <c r="A2030" s="716" t="s">
        <v>403</v>
      </c>
      <c r="B2030" s="418"/>
      <c r="C2030" s="418"/>
      <c r="D2030" s="418"/>
      <c r="E2030" s="418"/>
      <c r="F2030" s="418"/>
      <c r="G2030" s="418"/>
      <c r="H2030" s="418"/>
      <c r="I2030" s="418"/>
      <c r="J2030" s="418"/>
      <c r="K2030" s="418"/>
      <c r="L2030" s="418"/>
      <c r="M2030" s="418"/>
      <c r="N2030" s="416"/>
    </row>
    <row r="2031" spans="1:16" ht="12.75" customHeight="1" x14ac:dyDescent="0.2">
      <c r="A2031" s="713" t="s">
        <v>39</v>
      </c>
      <c r="B2031" s="418"/>
      <c r="C2031" s="418"/>
      <c r="D2031" s="418"/>
      <c r="E2031" s="418"/>
      <c r="F2031" s="418"/>
      <c r="G2031" s="416"/>
      <c r="H2031" s="61" t="s">
        <v>40</v>
      </c>
      <c r="I2031" s="717" t="s">
        <v>404</v>
      </c>
      <c r="J2031" s="416"/>
      <c r="K2031" s="717" t="s">
        <v>184</v>
      </c>
      <c r="L2031" s="416"/>
      <c r="M2031" s="717" t="s">
        <v>405</v>
      </c>
      <c r="N2031" s="416"/>
    </row>
    <row r="2032" spans="1:16" ht="12.75" customHeight="1" x14ac:dyDescent="0.2">
      <c r="A2032" s="714" t="s">
        <v>519</v>
      </c>
      <c r="B2032" s="418"/>
      <c r="C2032" s="418"/>
      <c r="D2032" s="418"/>
      <c r="E2032" s="418"/>
      <c r="F2032" s="418"/>
      <c r="G2032" s="416"/>
      <c r="H2032" s="12" t="str">
        <f t="shared" ref="H2032:H2056" si="265">IF(A2032="","",VLOOKUP(A2032,AA_Materiales,7,FALSE))</f>
        <v>m2</v>
      </c>
      <c r="I2032" s="712">
        <f t="shared" ref="I2032:I2056" si="266">IF(A2032="","",VLOOKUP(A2032,AA_Materiales,8,FALSE))</f>
        <v>5165.5045752643746</v>
      </c>
      <c r="J2032" s="416"/>
      <c r="K2032" s="715">
        <f>+'18'!$F$216</f>
        <v>3.9600000000000004</v>
      </c>
      <c r="L2032" s="416"/>
      <c r="M2032" s="712">
        <f t="shared" ref="M2032:M2047" si="267">IF(A2032="","",I2032*K2032)</f>
        <v>20455.398118046927</v>
      </c>
      <c r="N2032" s="416"/>
    </row>
    <row r="2033" spans="1:14" ht="12.75" customHeight="1" x14ac:dyDescent="0.2">
      <c r="A2033" s="714" t="s">
        <v>520</v>
      </c>
      <c r="B2033" s="418"/>
      <c r="C2033" s="418"/>
      <c r="D2033" s="418"/>
      <c r="E2033" s="418"/>
      <c r="F2033" s="418"/>
      <c r="G2033" s="416"/>
      <c r="H2033" s="12" t="str">
        <f t="shared" si="265"/>
        <v>m3</v>
      </c>
      <c r="I2033" s="712">
        <f t="shared" si="266"/>
        <v>69126.000000000015</v>
      </c>
      <c r="J2033" s="416"/>
      <c r="K2033" s="715">
        <f>+'18'!$F$227</f>
        <v>7.7220000000000004</v>
      </c>
      <c r="L2033" s="416"/>
      <c r="M2033" s="712">
        <f t="shared" si="267"/>
        <v>533790.97200000018</v>
      </c>
      <c r="N2033" s="416"/>
    </row>
    <row r="2034" spans="1:14" ht="12.75" customHeight="1" x14ac:dyDescent="0.2">
      <c r="A2034" s="719" t="s">
        <v>521</v>
      </c>
      <c r="B2034" s="418"/>
      <c r="C2034" s="418"/>
      <c r="D2034" s="418"/>
      <c r="E2034" s="418"/>
      <c r="F2034" s="418"/>
      <c r="G2034" s="416"/>
      <c r="H2034" s="12" t="str">
        <f t="shared" si="265"/>
        <v>m3</v>
      </c>
      <c r="I2034" s="712">
        <f t="shared" si="266"/>
        <v>139300.48782583541</v>
      </c>
      <c r="J2034" s="416"/>
      <c r="K2034" s="715">
        <f>+'18'!$F$238</f>
        <v>0.79200000000000015</v>
      </c>
      <c r="L2034" s="416"/>
      <c r="M2034" s="712">
        <f t="shared" si="267"/>
        <v>110325.98635806167</v>
      </c>
      <c r="N2034" s="416"/>
    </row>
    <row r="2035" spans="1:14" ht="12.75" customHeight="1" x14ac:dyDescent="0.2">
      <c r="A2035" s="719" t="s">
        <v>527</v>
      </c>
      <c r="B2035" s="418"/>
      <c r="C2035" s="418"/>
      <c r="D2035" s="418"/>
      <c r="E2035" s="418"/>
      <c r="F2035" s="418"/>
      <c r="G2035" s="416"/>
      <c r="H2035" s="12" t="str">
        <f t="shared" si="265"/>
        <v>m3</v>
      </c>
      <c r="I2035" s="712">
        <f t="shared" si="266"/>
        <v>25094.779677772727</v>
      </c>
      <c r="J2035" s="416"/>
      <c r="K2035" s="715">
        <f>+'18'!$F$249</f>
        <v>4.5175000000000001</v>
      </c>
      <c r="L2035" s="416"/>
      <c r="M2035" s="712">
        <f t="shared" si="267"/>
        <v>113365.6671943383</v>
      </c>
      <c r="N2035" s="416"/>
    </row>
    <row r="2036" spans="1:14" ht="12.75" customHeight="1" x14ac:dyDescent="0.2">
      <c r="A2036" s="714" t="s">
        <v>538</v>
      </c>
      <c r="B2036" s="418"/>
      <c r="C2036" s="418"/>
      <c r="D2036" s="418"/>
      <c r="E2036" s="418"/>
      <c r="F2036" s="418"/>
      <c r="G2036" s="416"/>
      <c r="H2036" s="12" t="str">
        <f t="shared" si="265"/>
        <v>m3</v>
      </c>
      <c r="I2036" s="712">
        <f t="shared" si="266"/>
        <v>17142.28</v>
      </c>
      <c r="J2036" s="416"/>
      <c r="K2036" s="715">
        <f>+'18'!$F$260</f>
        <v>3.2045000000000003</v>
      </c>
      <c r="L2036" s="416"/>
      <c r="M2036" s="712">
        <f t="shared" si="267"/>
        <v>54932.436260000002</v>
      </c>
      <c r="N2036" s="416"/>
    </row>
    <row r="2037" spans="1:14" ht="12.75" customHeight="1" x14ac:dyDescent="0.2">
      <c r="A2037" s="714" t="s">
        <v>522</v>
      </c>
      <c r="B2037" s="418"/>
      <c r="C2037" s="418"/>
      <c r="D2037" s="418"/>
      <c r="E2037" s="418"/>
      <c r="F2037" s="418"/>
      <c r="G2037" s="416"/>
      <c r="H2037" s="12" t="str">
        <f t="shared" si="265"/>
        <v>m3</v>
      </c>
      <c r="I2037" s="712">
        <f t="shared" si="266"/>
        <v>568340.14513763634</v>
      </c>
      <c r="J2037" s="416"/>
      <c r="K2037" s="715">
        <f>+'18'!$F$271</f>
        <v>0.19800000000000004</v>
      </c>
      <c r="L2037" s="416"/>
      <c r="M2037" s="712">
        <f t="shared" si="267"/>
        <v>112531.34873725202</v>
      </c>
      <c r="N2037" s="416"/>
    </row>
    <row r="2038" spans="1:14" ht="12.75" customHeight="1" x14ac:dyDescent="0.2">
      <c r="A2038" s="714" t="s">
        <v>540</v>
      </c>
      <c r="B2038" s="418"/>
      <c r="C2038" s="418"/>
      <c r="D2038" s="418"/>
      <c r="E2038" s="418"/>
      <c r="F2038" s="418"/>
      <c r="G2038" s="416"/>
      <c r="H2038" s="12" t="str">
        <f t="shared" si="265"/>
        <v>m3</v>
      </c>
      <c r="I2038" s="712">
        <f t="shared" si="266"/>
        <v>779466.77586727508</v>
      </c>
      <c r="J2038" s="416"/>
      <c r="K2038" s="715">
        <f>+'18'!$F$282</f>
        <v>0.9900000000000001</v>
      </c>
      <c r="L2038" s="416"/>
      <c r="M2038" s="712">
        <f t="shared" si="267"/>
        <v>771672.10810860246</v>
      </c>
      <c r="N2038" s="416"/>
    </row>
    <row r="2039" spans="1:14" ht="12.75" customHeight="1" x14ac:dyDescent="0.2">
      <c r="A2039" s="714" t="s">
        <v>543</v>
      </c>
      <c r="B2039" s="418"/>
      <c r="C2039" s="418"/>
      <c r="D2039" s="418"/>
      <c r="E2039" s="418"/>
      <c r="F2039" s="418"/>
      <c r="G2039" s="416"/>
      <c r="H2039" s="12" t="str">
        <f t="shared" si="265"/>
        <v>m3</v>
      </c>
      <c r="I2039" s="712">
        <f t="shared" si="266"/>
        <v>1521992.9025899819</v>
      </c>
      <c r="J2039" s="416"/>
      <c r="K2039" s="715">
        <f>+'18'!$F$293</f>
        <v>1.3</v>
      </c>
      <c r="L2039" s="416"/>
      <c r="M2039" s="712">
        <f t="shared" si="267"/>
        <v>1978590.7733669765</v>
      </c>
      <c r="N2039" s="416"/>
    </row>
    <row r="2040" spans="1:14" ht="12.75" customHeight="1" x14ac:dyDescent="0.2">
      <c r="A2040" s="714" t="s">
        <v>541</v>
      </c>
      <c r="B2040" s="418"/>
      <c r="C2040" s="418"/>
      <c r="D2040" s="418"/>
      <c r="E2040" s="418"/>
      <c r="F2040" s="418"/>
      <c r="G2040" s="416"/>
      <c r="H2040" s="12" t="str">
        <f t="shared" si="265"/>
        <v>m3</v>
      </c>
      <c r="I2040" s="712">
        <f t="shared" si="266"/>
        <v>1069692.5030110567</v>
      </c>
      <c r="J2040" s="416"/>
      <c r="K2040" s="715">
        <f>+'18'!$F$304</f>
        <v>0.33150000000000002</v>
      </c>
      <c r="L2040" s="416"/>
      <c r="M2040" s="712">
        <f t="shared" si="267"/>
        <v>354603.06474816531</v>
      </c>
      <c r="N2040" s="416"/>
    </row>
    <row r="2041" spans="1:14" ht="12.75" customHeight="1" x14ac:dyDescent="0.2">
      <c r="A2041" s="714" t="s">
        <v>523</v>
      </c>
      <c r="B2041" s="418"/>
      <c r="C2041" s="418"/>
      <c r="D2041" s="418"/>
      <c r="E2041" s="418"/>
      <c r="F2041" s="418"/>
      <c r="G2041" s="416"/>
      <c r="H2041" s="12" t="str">
        <f t="shared" si="265"/>
        <v>Kg</v>
      </c>
      <c r="I2041" s="712">
        <f t="shared" si="266"/>
        <v>7128.02232826</v>
      </c>
      <c r="J2041" s="416"/>
      <c r="K2041" s="715">
        <f>+'18'!$F$315</f>
        <v>259</v>
      </c>
      <c r="L2041" s="416"/>
      <c r="M2041" s="712">
        <f t="shared" si="267"/>
        <v>1846157.7830193399</v>
      </c>
      <c r="N2041" s="416"/>
    </row>
    <row r="2042" spans="1:14" ht="12.75" customHeight="1" x14ac:dyDescent="0.2">
      <c r="A2042" s="714" t="s">
        <v>528</v>
      </c>
      <c r="B2042" s="418"/>
      <c r="C2042" s="418"/>
      <c r="D2042" s="418"/>
      <c r="E2042" s="418"/>
      <c r="F2042" s="418"/>
      <c r="G2042" s="416"/>
      <c r="H2042" s="12" t="str">
        <f t="shared" si="265"/>
        <v>ml</v>
      </c>
      <c r="I2042" s="712">
        <f t="shared" si="266"/>
        <v>80265.252962496874</v>
      </c>
      <c r="J2042" s="416"/>
      <c r="K2042" s="715">
        <f>+'18'!$F$396</f>
        <v>5</v>
      </c>
      <c r="L2042" s="416"/>
      <c r="M2042" s="712">
        <f t="shared" si="267"/>
        <v>401326.26481248438</v>
      </c>
      <c r="N2042" s="416"/>
    </row>
    <row r="2043" spans="1:14" ht="12.75" customHeight="1" x14ac:dyDescent="0.2">
      <c r="A2043" s="714" t="s">
        <v>529</v>
      </c>
      <c r="B2043" s="418"/>
      <c r="C2043" s="418"/>
      <c r="D2043" s="418"/>
      <c r="E2043" s="418"/>
      <c r="F2043" s="418"/>
      <c r="G2043" s="416"/>
      <c r="H2043" s="12" t="str">
        <f t="shared" si="265"/>
        <v>Unidad</v>
      </c>
      <c r="I2043" s="712">
        <f t="shared" si="266"/>
        <v>941877.22051086789</v>
      </c>
      <c r="J2043" s="416"/>
      <c r="K2043" s="715">
        <f>+'18'!$F$352</f>
        <v>1</v>
      </c>
      <c r="L2043" s="416"/>
      <c r="M2043" s="712">
        <f t="shared" si="267"/>
        <v>941877.22051086789</v>
      </c>
      <c r="N2043" s="416"/>
    </row>
    <row r="2044" spans="1:14" ht="12.75" customHeight="1" x14ac:dyDescent="0.2">
      <c r="A2044" s="714" t="s">
        <v>552</v>
      </c>
      <c r="B2044" s="418"/>
      <c r="C2044" s="418"/>
      <c r="D2044" s="418"/>
      <c r="E2044" s="418"/>
      <c r="F2044" s="418"/>
      <c r="G2044" s="416"/>
      <c r="H2044" s="12" t="str">
        <f t="shared" si="265"/>
        <v>Unidad</v>
      </c>
      <c r="I2044" s="712">
        <f t="shared" si="266"/>
        <v>4300000</v>
      </c>
      <c r="J2044" s="416"/>
      <c r="K2044" s="715">
        <f>+'18'!$F$363</f>
        <v>1</v>
      </c>
      <c r="L2044" s="416"/>
      <c r="M2044" s="795">
        <f t="shared" si="267"/>
        <v>4300000</v>
      </c>
      <c r="N2044" s="416"/>
    </row>
    <row r="2045" spans="1:14" ht="12.75" customHeight="1" x14ac:dyDescent="0.2">
      <c r="A2045" s="714" t="s">
        <v>504</v>
      </c>
      <c r="B2045" s="418"/>
      <c r="C2045" s="418"/>
      <c r="D2045" s="418"/>
      <c r="E2045" s="418"/>
      <c r="F2045" s="418"/>
      <c r="G2045" s="416"/>
      <c r="H2045" s="12" t="str">
        <f t="shared" si="265"/>
        <v>Unidad</v>
      </c>
      <c r="I2045" s="712">
        <f t="shared" si="266"/>
        <v>261800</v>
      </c>
      <c r="J2045" s="416"/>
      <c r="K2045" s="715">
        <f>+'18'!$F$374+'18'!$F$385</f>
        <v>2</v>
      </c>
      <c r="L2045" s="416"/>
      <c r="M2045" s="795">
        <f t="shared" si="267"/>
        <v>523600</v>
      </c>
      <c r="N2045" s="416"/>
    </row>
    <row r="2046" spans="1:14" ht="12.75" customHeight="1" x14ac:dyDescent="0.2">
      <c r="A2046" s="714" t="s">
        <v>549</v>
      </c>
      <c r="B2046" s="418"/>
      <c r="C2046" s="418"/>
      <c r="D2046" s="418"/>
      <c r="E2046" s="418"/>
      <c r="F2046" s="418"/>
      <c r="G2046" s="416"/>
      <c r="H2046" s="12" t="str">
        <f t="shared" si="265"/>
        <v>m2</v>
      </c>
      <c r="I2046" s="712">
        <f t="shared" si="266"/>
        <v>238217</v>
      </c>
      <c r="J2046" s="416"/>
      <c r="K2046" s="715">
        <f>+'18'!$F$326</f>
        <v>6.16</v>
      </c>
      <c r="L2046" s="416"/>
      <c r="M2046" s="795">
        <f t="shared" si="267"/>
        <v>1467416.72</v>
      </c>
      <c r="N2046" s="416"/>
    </row>
    <row r="2047" spans="1:14" ht="12.75" customHeight="1" x14ac:dyDescent="0.2">
      <c r="A2047" s="714"/>
      <c r="B2047" s="418"/>
      <c r="C2047" s="418"/>
      <c r="D2047" s="418"/>
      <c r="E2047" s="418"/>
      <c r="F2047" s="418"/>
      <c r="G2047" s="416"/>
      <c r="H2047" s="12" t="str">
        <f t="shared" si="265"/>
        <v/>
      </c>
      <c r="I2047" s="712" t="str">
        <f t="shared" si="266"/>
        <v/>
      </c>
      <c r="J2047" s="416"/>
      <c r="K2047" s="715"/>
      <c r="L2047" s="416"/>
      <c r="M2047" s="795" t="str">
        <f t="shared" si="267"/>
        <v/>
      </c>
      <c r="N2047" s="416"/>
    </row>
    <row r="2048" spans="1:14" ht="12.75" customHeight="1" x14ac:dyDescent="0.2">
      <c r="A2048" s="714"/>
      <c r="B2048" s="418"/>
      <c r="C2048" s="418"/>
      <c r="D2048" s="418"/>
      <c r="E2048" s="418"/>
      <c r="F2048" s="418"/>
      <c r="G2048" s="416"/>
      <c r="H2048" s="12" t="str">
        <f t="shared" si="265"/>
        <v/>
      </c>
      <c r="I2048" s="712" t="str">
        <f t="shared" si="266"/>
        <v/>
      </c>
      <c r="J2048" s="416"/>
      <c r="K2048" s="715"/>
      <c r="L2048" s="416"/>
      <c r="M2048" s="712"/>
      <c r="N2048" s="416"/>
    </row>
    <row r="2049" spans="1:14" ht="12.75" customHeight="1" x14ac:dyDescent="0.2">
      <c r="A2049" s="714"/>
      <c r="B2049" s="418"/>
      <c r="C2049" s="418"/>
      <c r="D2049" s="418"/>
      <c r="E2049" s="418"/>
      <c r="F2049" s="418"/>
      <c r="G2049" s="416"/>
      <c r="H2049" s="12" t="str">
        <f t="shared" si="265"/>
        <v/>
      </c>
      <c r="I2049" s="712" t="str">
        <f t="shared" si="266"/>
        <v/>
      </c>
      <c r="J2049" s="416"/>
      <c r="K2049" s="715"/>
      <c r="L2049" s="416"/>
      <c r="M2049" s="712"/>
      <c r="N2049" s="416"/>
    </row>
    <row r="2050" spans="1:14" ht="12.75" customHeight="1" x14ac:dyDescent="0.2">
      <c r="A2050" s="714"/>
      <c r="B2050" s="418"/>
      <c r="C2050" s="418"/>
      <c r="D2050" s="418"/>
      <c r="E2050" s="418"/>
      <c r="F2050" s="418"/>
      <c r="G2050" s="416"/>
      <c r="H2050" s="12" t="str">
        <f t="shared" si="265"/>
        <v/>
      </c>
      <c r="I2050" s="712" t="str">
        <f t="shared" si="266"/>
        <v/>
      </c>
      <c r="J2050" s="416"/>
      <c r="K2050" s="715"/>
      <c r="L2050" s="416"/>
      <c r="M2050" s="712"/>
      <c r="N2050" s="416"/>
    </row>
    <row r="2051" spans="1:14" ht="12.75" customHeight="1" x14ac:dyDescent="0.2">
      <c r="A2051" s="714"/>
      <c r="B2051" s="418"/>
      <c r="C2051" s="418"/>
      <c r="D2051" s="418"/>
      <c r="E2051" s="418"/>
      <c r="F2051" s="418"/>
      <c r="G2051" s="416"/>
      <c r="H2051" s="12" t="str">
        <f t="shared" si="265"/>
        <v/>
      </c>
      <c r="I2051" s="712" t="str">
        <f t="shared" si="266"/>
        <v/>
      </c>
      <c r="J2051" s="416"/>
      <c r="K2051" s="715"/>
      <c r="L2051" s="416"/>
      <c r="M2051" s="712"/>
      <c r="N2051" s="416"/>
    </row>
    <row r="2052" spans="1:14" ht="12.75" customHeight="1" x14ac:dyDescent="0.2">
      <c r="A2052" s="714"/>
      <c r="B2052" s="418"/>
      <c r="C2052" s="418"/>
      <c r="D2052" s="418"/>
      <c r="E2052" s="418"/>
      <c r="F2052" s="418"/>
      <c r="G2052" s="416"/>
      <c r="H2052" s="12" t="str">
        <f t="shared" si="265"/>
        <v/>
      </c>
      <c r="I2052" s="712" t="str">
        <f t="shared" si="266"/>
        <v/>
      </c>
      <c r="J2052" s="416"/>
      <c r="K2052" s="715"/>
      <c r="L2052" s="416"/>
      <c r="M2052" s="712"/>
      <c r="N2052" s="416"/>
    </row>
    <row r="2053" spans="1:14" ht="12.75" customHeight="1" x14ac:dyDescent="0.2">
      <c r="A2053" s="714"/>
      <c r="B2053" s="418"/>
      <c r="C2053" s="418"/>
      <c r="D2053" s="418"/>
      <c r="E2053" s="418"/>
      <c r="F2053" s="418"/>
      <c r="G2053" s="416"/>
      <c r="H2053" s="12" t="str">
        <f t="shared" si="265"/>
        <v/>
      </c>
      <c r="I2053" s="712" t="str">
        <f t="shared" si="266"/>
        <v/>
      </c>
      <c r="J2053" s="416"/>
      <c r="K2053" s="715"/>
      <c r="L2053" s="416"/>
      <c r="M2053" s="712"/>
      <c r="N2053" s="416"/>
    </row>
    <row r="2054" spans="1:14" ht="12.75" customHeight="1" x14ac:dyDescent="0.2">
      <c r="A2054" s="714"/>
      <c r="B2054" s="418"/>
      <c r="C2054" s="418"/>
      <c r="D2054" s="418"/>
      <c r="E2054" s="418"/>
      <c r="F2054" s="418"/>
      <c r="G2054" s="416"/>
      <c r="H2054" s="12" t="str">
        <f t="shared" si="265"/>
        <v/>
      </c>
      <c r="I2054" s="712" t="str">
        <f t="shared" si="266"/>
        <v/>
      </c>
      <c r="J2054" s="416"/>
      <c r="K2054" s="715"/>
      <c r="L2054" s="416"/>
      <c r="M2054" s="712" t="str">
        <f>IF(A2054="","",I2054*K2054)</f>
        <v/>
      </c>
      <c r="N2054" s="416"/>
    </row>
    <row r="2055" spans="1:14" ht="12.75" customHeight="1" x14ac:dyDescent="0.2">
      <c r="A2055" s="714"/>
      <c r="B2055" s="418"/>
      <c r="C2055" s="418"/>
      <c r="D2055" s="418"/>
      <c r="E2055" s="418"/>
      <c r="F2055" s="418"/>
      <c r="G2055" s="416"/>
      <c r="H2055" s="12" t="str">
        <f t="shared" si="265"/>
        <v/>
      </c>
      <c r="I2055" s="712" t="str">
        <f t="shared" si="266"/>
        <v/>
      </c>
      <c r="J2055" s="416"/>
      <c r="K2055" s="715"/>
      <c r="L2055" s="416"/>
      <c r="M2055" s="712"/>
      <c r="N2055" s="416"/>
    </row>
    <row r="2056" spans="1:14" ht="12.75" customHeight="1" x14ac:dyDescent="0.2">
      <c r="A2056" s="714"/>
      <c r="B2056" s="418"/>
      <c r="C2056" s="418"/>
      <c r="D2056" s="418"/>
      <c r="E2056" s="418"/>
      <c r="F2056" s="418"/>
      <c r="G2056" s="416"/>
      <c r="H2056" s="12" t="str">
        <f t="shared" si="265"/>
        <v/>
      </c>
      <c r="I2056" s="712" t="str">
        <f t="shared" si="266"/>
        <v/>
      </c>
      <c r="J2056" s="416"/>
      <c r="K2056" s="715"/>
      <c r="L2056" s="416"/>
      <c r="M2056" s="712" t="str">
        <f>IF(A2056="","",I2056*K2056)</f>
        <v/>
      </c>
      <c r="N2056" s="416"/>
    </row>
    <row r="2057" spans="1:14" ht="12.75" customHeight="1" x14ac:dyDescent="0.25">
      <c r="A2057" s="5"/>
      <c r="B2057" s="5"/>
      <c r="C2057" s="5"/>
      <c r="D2057" s="5"/>
      <c r="E2057" s="5"/>
      <c r="F2057" s="5"/>
      <c r="G2057" s="5"/>
      <c r="H2057" s="5"/>
      <c r="I2057" s="5"/>
      <c r="J2057" s="5"/>
      <c r="K2057" s="713" t="s">
        <v>261</v>
      </c>
      <c r="L2057" s="416"/>
      <c r="M2057" s="712">
        <f>SUM(M2032:N2056)</f>
        <v>13530645.743234135</v>
      </c>
      <c r="N2057" s="416"/>
    </row>
    <row r="2058" spans="1:14" ht="12.75" customHeight="1" x14ac:dyDescent="0.25">
      <c r="A2058" s="5"/>
      <c r="B2058" s="5"/>
      <c r="C2058" s="5"/>
      <c r="D2058" s="5"/>
      <c r="E2058" s="5"/>
      <c r="F2058" s="5"/>
      <c r="G2058" s="5"/>
      <c r="H2058" s="5"/>
      <c r="I2058" s="5"/>
      <c r="J2058" s="5"/>
      <c r="K2058" s="5"/>
      <c r="L2058" s="5"/>
      <c r="M2058" s="5"/>
      <c r="N2058" s="5"/>
    </row>
    <row r="2059" spans="1:14" ht="12.75" customHeight="1" x14ac:dyDescent="0.2">
      <c r="A2059" s="716" t="s">
        <v>410</v>
      </c>
      <c r="B2059" s="418"/>
      <c r="C2059" s="418"/>
      <c r="D2059" s="418"/>
      <c r="E2059" s="418"/>
      <c r="F2059" s="418"/>
      <c r="G2059" s="418"/>
      <c r="H2059" s="418"/>
      <c r="I2059" s="418"/>
      <c r="J2059" s="418"/>
      <c r="K2059" s="418"/>
      <c r="L2059" s="418"/>
      <c r="M2059" s="418"/>
      <c r="N2059" s="416"/>
    </row>
    <row r="2060" spans="1:14" ht="12.75" customHeight="1" x14ac:dyDescent="0.2">
      <c r="A2060" s="713" t="s">
        <v>39</v>
      </c>
      <c r="B2060" s="418"/>
      <c r="C2060" s="418"/>
      <c r="D2060" s="418"/>
      <c r="E2060" s="418"/>
      <c r="F2060" s="418"/>
      <c r="G2060" s="416"/>
      <c r="H2060" s="61" t="s">
        <v>40</v>
      </c>
      <c r="I2060" s="717" t="s">
        <v>404</v>
      </c>
      <c r="J2060" s="416"/>
      <c r="K2060" s="717" t="s">
        <v>184</v>
      </c>
      <c r="L2060" s="416"/>
      <c r="M2060" s="717" t="s">
        <v>405</v>
      </c>
      <c r="N2060" s="416"/>
    </row>
    <row r="2061" spans="1:14" ht="12.75" customHeight="1" x14ac:dyDescent="0.2">
      <c r="A2061" s="714" t="s">
        <v>411</v>
      </c>
      <c r="B2061" s="418"/>
      <c r="C2061" s="418"/>
      <c r="D2061" s="418"/>
      <c r="E2061" s="418"/>
      <c r="F2061" s="418"/>
      <c r="G2061" s="416"/>
      <c r="H2061" s="12" t="str">
        <f>IF(A2061="","",VLOOKUP(A2061,AA_Equipos,7,FALSE))</f>
        <v>% M.O.</v>
      </c>
      <c r="I2061" s="712">
        <f>M2084</f>
        <v>292305.33685000002</v>
      </c>
      <c r="J2061" s="416"/>
      <c r="K2061" s="722">
        <v>0.03</v>
      </c>
      <c r="L2061" s="416"/>
      <c r="M2061" s="712">
        <f t="shared" ref="M2061:M2065" si="268">IF(A2061="","",I2061*K2061)</f>
        <v>8769.160105500001</v>
      </c>
      <c r="N2061" s="416"/>
    </row>
    <row r="2062" spans="1:14" ht="12.75" customHeight="1" x14ac:dyDescent="0.2">
      <c r="A2062" s="719"/>
      <c r="B2062" s="418"/>
      <c r="C2062" s="418"/>
      <c r="D2062" s="418"/>
      <c r="E2062" s="418"/>
      <c r="F2062" s="418"/>
      <c r="G2062" s="416"/>
      <c r="H2062" s="12" t="str">
        <f>IF(A2062="","",VLOOKUP(A2062,AA_Equipos,7,FALSE))</f>
        <v/>
      </c>
      <c r="I2062" s="712" t="str">
        <f>IF(A2062="","",VLOOKUP(A2062,AA_Equipos,8,FALSE))</f>
        <v/>
      </c>
      <c r="J2062" s="416"/>
      <c r="K2062" s="723"/>
      <c r="L2062" s="416"/>
      <c r="M2062" s="712" t="str">
        <f t="shared" si="268"/>
        <v/>
      </c>
      <c r="N2062" s="416"/>
    </row>
    <row r="2063" spans="1:14" ht="12.75" customHeight="1" x14ac:dyDescent="0.2">
      <c r="A2063" s="714"/>
      <c r="B2063" s="418"/>
      <c r="C2063" s="418"/>
      <c r="D2063" s="418"/>
      <c r="E2063" s="418"/>
      <c r="F2063" s="418"/>
      <c r="G2063" s="416"/>
      <c r="H2063" s="12" t="str">
        <f>IF(A2063="","",VLOOKUP(A2063,AA_Equipos,7,FALSE))</f>
        <v/>
      </c>
      <c r="I2063" s="712" t="str">
        <f>IF(A2063="","",VLOOKUP(A2063,AA_Equipos,8,FALSE))</f>
        <v/>
      </c>
      <c r="J2063" s="416"/>
      <c r="K2063" s="715"/>
      <c r="L2063" s="416"/>
      <c r="M2063" s="712" t="str">
        <f t="shared" si="268"/>
        <v/>
      </c>
      <c r="N2063" s="416"/>
    </row>
    <row r="2064" spans="1:14" ht="12.75" customHeight="1" x14ac:dyDescent="0.2">
      <c r="A2064" s="714"/>
      <c r="B2064" s="418"/>
      <c r="C2064" s="418"/>
      <c r="D2064" s="418"/>
      <c r="E2064" s="418"/>
      <c r="F2064" s="418"/>
      <c r="G2064" s="416"/>
      <c r="H2064" s="12" t="str">
        <f>IF(A2064="","",VLOOKUP(A2064,AA_Equipos,7,FALSE))</f>
        <v/>
      </c>
      <c r="I2064" s="712" t="str">
        <f>IF(A2064="","",VLOOKUP(A2064,AA_Equipos,8,FALSE))</f>
        <v/>
      </c>
      <c r="J2064" s="416"/>
      <c r="K2064" s="715"/>
      <c r="L2064" s="416"/>
      <c r="M2064" s="712" t="str">
        <f t="shared" si="268"/>
        <v/>
      </c>
      <c r="N2064" s="416"/>
    </row>
    <row r="2065" spans="1:14" ht="12.75" customHeight="1" x14ac:dyDescent="0.2">
      <c r="A2065" s="714"/>
      <c r="B2065" s="418"/>
      <c r="C2065" s="418"/>
      <c r="D2065" s="418"/>
      <c r="E2065" s="418"/>
      <c r="F2065" s="418"/>
      <c r="G2065" s="416"/>
      <c r="H2065" s="12" t="str">
        <f>IF(A2065="","",VLOOKUP(A2065,AA_Equipos,7,FALSE))</f>
        <v/>
      </c>
      <c r="I2065" s="712" t="str">
        <f>IF(A2065="","",VLOOKUP(A2065,AA_Equipos,8,FALSE))</f>
        <v/>
      </c>
      <c r="J2065" s="416"/>
      <c r="K2065" s="715"/>
      <c r="L2065" s="416"/>
      <c r="M2065" s="712" t="str">
        <f t="shared" si="268"/>
        <v/>
      </c>
      <c r="N2065" s="416"/>
    </row>
    <row r="2066" spans="1:14" ht="12.75" customHeight="1" x14ac:dyDescent="0.25">
      <c r="A2066" s="5"/>
      <c r="B2066" s="5"/>
      <c r="C2066" s="5"/>
      <c r="D2066" s="5"/>
      <c r="E2066" s="5"/>
      <c r="F2066" s="5"/>
      <c r="G2066" s="5"/>
      <c r="H2066" s="5"/>
      <c r="I2066" s="5"/>
      <c r="J2066" s="5"/>
      <c r="K2066" s="713" t="s">
        <v>261</v>
      </c>
      <c r="L2066" s="416"/>
      <c r="M2066" s="712">
        <f>SUM(M2061:N2065)</f>
        <v>8769.160105500001</v>
      </c>
      <c r="N2066" s="416"/>
    </row>
    <row r="2067" spans="1:14" ht="12.75" customHeight="1" x14ac:dyDescent="0.25">
      <c r="A2067" s="5"/>
      <c r="B2067" s="5"/>
      <c r="C2067" s="5"/>
      <c r="D2067" s="5"/>
      <c r="E2067" s="5"/>
      <c r="F2067" s="5"/>
      <c r="G2067" s="5"/>
      <c r="H2067" s="5"/>
      <c r="I2067" s="5"/>
      <c r="J2067" s="5"/>
      <c r="K2067" s="5"/>
      <c r="L2067" s="5"/>
      <c r="M2067" s="5"/>
      <c r="N2067" s="5"/>
    </row>
    <row r="2068" spans="1:14" ht="12.75" customHeight="1" x14ac:dyDescent="0.2">
      <c r="A2068" s="716" t="s">
        <v>413</v>
      </c>
      <c r="B2068" s="418"/>
      <c r="C2068" s="418"/>
      <c r="D2068" s="418"/>
      <c r="E2068" s="418"/>
      <c r="F2068" s="418"/>
      <c r="G2068" s="418"/>
      <c r="H2068" s="418"/>
      <c r="I2068" s="418"/>
      <c r="J2068" s="418"/>
      <c r="K2068" s="418"/>
      <c r="L2068" s="418"/>
      <c r="M2068" s="418"/>
      <c r="N2068" s="416"/>
    </row>
    <row r="2069" spans="1:14" ht="12.75" customHeight="1" x14ac:dyDescent="0.2">
      <c r="A2069" s="713" t="s">
        <v>39</v>
      </c>
      <c r="B2069" s="418"/>
      <c r="C2069" s="418"/>
      <c r="D2069" s="418"/>
      <c r="E2069" s="418"/>
      <c r="F2069" s="418"/>
      <c r="G2069" s="416"/>
      <c r="H2069" s="61" t="s">
        <v>40</v>
      </c>
      <c r="I2069" s="717" t="s">
        <v>404</v>
      </c>
      <c r="J2069" s="416"/>
      <c r="K2069" s="717" t="s">
        <v>184</v>
      </c>
      <c r="L2069" s="416"/>
      <c r="M2069" s="717" t="s">
        <v>405</v>
      </c>
      <c r="N2069" s="416"/>
    </row>
    <row r="2070" spans="1:14" ht="12.75" customHeight="1" x14ac:dyDescent="0.2">
      <c r="A2070" s="719" t="s">
        <v>443</v>
      </c>
      <c r="B2070" s="418"/>
      <c r="C2070" s="418"/>
      <c r="D2070" s="418"/>
      <c r="E2070" s="418"/>
      <c r="F2070" s="418"/>
      <c r="G2070" s="416"/>
      <c r="H2070" s="12" t="s">
        <v>444</v>
      </c>
      <c r="I2070" s="795">
        <f>+M2057</f>
        <v>13530645.743234135</v>
      </c>
      <c r="J2070" s="416"/>
      <c r="K2070" s="722">
        <v>0.05</v>
      </c>
      <c r="L2070" s="416"/>
      <c r="M2070" s="712">
        <f t="shared" ref="M2070:M2074" si="269">IF(A2070="","",I2070*K2070)</f>
        <v>676532.28716170683</v>
      </c>
      <c r="N2070" s="416"/>
    </row>
    <row r="2071" spans="1:14" ht="12.75" customHeight="1" x14ac:dyDescent="0.2">
      <c r="A2071" s="719"/>
      <c r="B2071" s="418"/>
      <c r="C2071" s="418"/>
      <c r="D2071" s="418"/>
      <c r="E2071" s="418"/>
      <c r="F2071" s="418"/>
      <c r="G2071" s="416"/>
      <c r="H2071" s="12"/>
      <c r="I2071" s="712"/>
      <c r="J2071" s="416"/>
      <c r="K2071" s="722"/>
      <c r="L2071" s="416"/>
      <c r="M2071" s="712" t="str">
        <f t="shared" si="269"/>
        <v/>
      </c>
      <c r="N2071" s="416"/>
    </row>
    <row r="2072" spans="1:14" ht="12.75" customHeight="1" x14ac:dyDescent="0.2">
      <c r="A2072" s="714"/>
      <c r="B2072" s="418"/>
      <c r="C2072" s="418"/>
      <c r="D2072" s="418"/>
      <c r="E2072" s="418"/>
      <c r="F2072" s="418"/>
      <c r="G2072" s="416"/>
      <c r="H2072" s="12"/>
      <c r="I2072" s="712"/>
      <c r="J2072" s="416"/>
      <c r="K2072" s="715"/>
      <c r="L2072" s="416"/>
      <c r="M2072" s="712" t="str">
        <f t="shared" si="269"/>
        <v/>
      </c>
      <c r="N2072" s="416"/>
    </row>
    <row r="2073" spans="1:14" ht="12.75" customHeight="1" x14ac:dyDescent="0.2">
      <c r="A2073" s="714"/>
      <c r="B2073" s="418"/>
      <c r="C2073" s="418"/>
      <c r="D2073" s="418"/>
      <c r="E2073" s="418"/>
      <c r="F2073" s="418"/>
      <c r="G2073" s="416"/>
      <c r="H2073" s="12"/>
      <c r="I2073" s="712"/>
      <c r="J2073" s="416"/>
      <c r="K2073" s="715"/>
      <c r="L2073" s="416"/>
      <c r="M2073" s="712" t="str">
        <f t="shared" si="269"/>
        <v/>
      </c>
      <c r="N2073" s="416"/>
    </row>
    <row r="2074" spans="1:14" ht="12.75" customHeight="1" x14ac:dyDescent="0.2">
      <c r="A2074" s="714"/>
      <c r="B2074" s="418"/>
      <c r="C2074" s="418"/>
      <c r="D2074" s="418"/>
      <c r="E2074" s="418"/>
      <c r="F2074" s="418"/>
      <c r="G2074" s="416"/>
      <c r="H2074" s="12"/>
      <c r="I2074" s="712"/>
      <c r="J2074" s="416"/>
      <c r="K2074" s="715"/>
      <c r="L2074" s="416"/>
      <c r="M2074" s="712" t="str">
        <f t="shared" si="269"/>
        <v/>
      </c>
      <c r="N2074" s="416"/>
    </row>
    <row r="2075" spans="1:14" ht="12.75" customHeight="1" x14ac:dyDescent="0.25">
      <c r="A2075" s="5"/>
      <c r="B2075" s="5"/>
      <c r="C2075" s="5"/>
      <c r="D2075" s="5"/>
      <c r="E2075" s="5"/>
      <c r="F2075" s="5"/>
      <c r="G2075" s="5"/>
      <c r="H2075" s="5"/>
      <c r="I2075" s="5"/>
      <c r="J2075" s="5"/>
      <c r="K2075" s="713" t="s">
        <v>261</v>
      </c>
      <c r="L2075" s="416"/>
      <c r="M2075" s="712">
        <f>SUM(M2070:N2074)</f>
        <v>676532.28716170683</v>
      </c>
      <c r="N2075" s="416"/>
    </row>
    <row r="2076" spans="1:14" ht="12.75" customHeight="1" x14ac:dyDescent="0.25">
      <c r="A2076" s="5"/>
      <c r="B2076" s="5"/>
      <c r="C2076" s="5"/>
      <c r="D2076" s="5"/>
      <c r="E2076" s="5"/>
      <c r="F2076" s="5"/>
      <c r="G2076" s="5"/>
      <c r="H2076" s="5"/>
      <c r="I2076" s="5"/>
      <c r="J2076" s="5"/>
      <c r="K2076" s="5"/>
      <c r="L2076" s="5"/>
      <c r="M2076" s="5"/>
      <c r="N2076" s="5"/>
    </row>
    <row r="2077" spans="1:14" ht="12.75" customHeight="1" x14ac:dyDescent="0.2">
      <c r="A2077" s="716" t="s">
        <v>415</v>
      </c>
      <c r="B2077" s="418"/>
      <c r="C2077" s="418"/>
      <c r="D2077" s="418"/>
      <c r="E2077" s="418"/>
      <c r="F2077" s="418"/>
      <c r="G2077" s="418"/>
      <c r="H2077" s="418"/>
      <c r="I2077" s="418"/>
      <c r="J2077" s="418"/>
      <c r="K2077" s="418"/>
      <c r="L2077" s="418"/>
      <c r="M2077" s="418"/>
      <c r="N2077" s="416"/>
    </row>
    <row r="2078" spans="1:14" ht="12.75" customHeight="1" x14ac:dyDescent="0.2">
      <c r="A2078" s="713" t="s">
        <v>39</v>
      </c>
      <c r="B2078" s="418"/>
      <c r="C2078" s="418"/>
      <c r="D2078" s="418"/>
      <c r="E2078" s="418"/>
      <c r="F2078" s="418"/>
      <c r="G2078" s="416"/>
      <c r="H2078" s="61" t="s">
        <v>40</v>
      </c>
      <c r="I2078" s="717" t="s">
        <v>404</v>
      </c>
      <c r="J2078" s="416"/>
      <c r="K2078" s="64" t="s">
        <v>253</v>
      </c>
      <c r="L2078" s="65" t="s">
        <v>416</v>
      </c>
      <c r="M2078" s="717" t="s">
        <v>405</v>
      </c>
      <c r="N2078" s="416"/>
    </row>
    <row r="2079" spans="1:14" ht="12.75" customHeight="1" x14ac:dyDescent="0.25">
      <c r="A2079" s="711" t="s">
        <v>539</v>
      </c>
      <c r="B2079" s="418"/>
      <c r="C2079" s="418"/>
      <c r="D2079" s="418"/>
      <c r="E2079" s="418"/>
      <c r="F2079" s="418"/>
      <c r="G2079" s="416"/>
      <c r="H2079" s="12" t="str">
        <f>IF(A2079="","",VLOOKUP(A2079,AA_Cuadrillas,4,FALSE))</f>
        <v>Cuadrilla</v>
      </c>
      <c r="I2079" s="712">
        <f>IF(A2079="","",VLOOKUP(A2079,AA_Cuadrillas,5,FALSE))</f>
        <v>309326</v>
      </c>
      <c r="J2079" s="416"/>
      <c r="K2079" s="3">
        <f>IF(A2079="","",'04'!$I$2)</f>
        <v>1.88995</v>
      </c>
      <c r="L2079" s="66">
        <v>0.5</v>
      </c>
      <c r="M2079" s="712">
        <f t="shared" ref="M2079:M2083" si="270">IF(A2079="","",I2079*K2079*L2079)</f>
        <v>292305.33685000002</v>
      </c>
      <c r="N2079" s="416"/>
    </row>
    <row r="2080" spans="1:14" ht="12.75" customHeight="1" x14ac:dyDescent="0.25">
      <c r="A2080" s="711"/>
      <c r="B2080" s="418"/>
      <c r="C2080" s="418"/>
      <c r="D2080" s="418"/>
      <c r="E2080" s="418"/>
      <c r="F2080" s="418"/>
      <c r="G2080" s="416"/>
      <c r="H2080" s="12" t="str">
        <f>IF(A2080="","",VLOOKUP(A2080,AA_Cuadrillas,4,FALSE))</f>
        <v/>
      </c>
      <c r="I2080" s="712" t="str">
        <f>IF(A2080="","",VLOOKUP(A2080,AA_Cuadrillas,5,FALSE))</f>
        <v/>
      </c>
      <c r="J2080" s="416"/>
      <c r="K2080" s="3" t="str">
        <f>IF(A2080="","",'04'!$I$2)</f>
        <v/>
      </c>
      <c r="L2080" s="3"/>
      <c r="M2080" s="712" t="str">
        <f t="shared" si="270"/>
        <v/>
      </c>
      <c r="N2080" s="416"/>
    </row>
    <row r="2081" spans="1:16" ht="12.75" customHeight="1" x14ac:dyDescent="0.25">
      <c r="A2081" s="711"/>
      <c r="B2081" s="418"/>
      <c r="C2081" s="418"/>
      <c r="D2081" s="418"/>
      <c r="E2081" s="418"/>
      <c r="F2081" s="418"/>
      <c r="G2081" s="416"/>
      <c r="H2081" s="12" t="str">
        <f>IF(A2081="","",VLOOKUP(A2081,AA_Cuadrillas,4,FALSE))</f>
        <v/>
      </c>
      <c r="I2081" s="712" t="str">
        <f>IF(A2081="","",VLOOKUP(A2081,AA_Cuadrillas,5,FALSE))</f>
        <v/>
      </c>
      <c r="J2081" s="416"/>
      <c r="K2081" s="3" t="str">
        <f>IF(A2081="","",'04'!$I$2)</f>
        <v/>
      </c>
      <c r="L2081" s="13"/>
      <c r="M2081" s="712" t="str">
        <f t="shared" si="270"/>
        <v/>
      </c>
      <c r="N2081" s="416"/>
    </row>
    <row r="2082" spans="1:16" ht="12.75" customHeight="1" x14ac:dyDescent="0.25">
      <c r="A2082" s="711"/>
      <c r="B2082" s="418"/>
      <c r="C2082" s="418"/>
      <c r="D2082" s="418"/>
      <c r="E2082" s="418"/>
      <c r="F2082" s="418"/>
      <c r="G2082" s="416"/>
      <c r="H2082" s="12" t="str">
        <f>IF(A2082="","",VLOOKUP(A2082,AA_Cuadrillas,4,FALSE))</f>
        <v/>
      </c>
      <c r="I2082" s="712" t="str">
        <f>IF(A2082="","",VLOOKUP(A2082,AA_Cuadrillas,5,FALSE))</f>
        <v/>
      </c>
      <c r="J2082" s="416"/>
      <c r="K2082" s="3" t="str">
        <f>IF(A2082="","",'04'!$I$2)</f>
        <v/>
      </c>
      <c r="L2082" s="13"/>
      <c r="M2082" s="712" t="str">
        <f t="shared" si="270"/>
        <v/>
      </c>
      <c r="N2082" s="416"/>
    </row>
    <row r="2083" spans="1:16" ht="12.75" customHeight="1" x14ac:dyDescent="0.25">
      <c r="A2083" s="711"/>
      <c r="B2083" s="418"/>
      <c r="C2083" s="418"/>
      <c r="D2083" s="418"/>
      <c r="E2083" s="418"/>
      <c r="F2083" s="418"/>
      <c r="G2083" s="416"/>
      <c r="H2083" s="12" t="str">
        <f>IF(A2083="","",VLOOKUP(A2083,AA_Cuadrillas,4,FALSE))</f>
        <v/>
      </c>
      <c r="I2083" s="712" t="str">
        <f>IF(A2083="","",VLOOKUP(A2083,AA_Cuadrillas,5,FALSE))</f>
        <v/>
      </c>
      <c r="J2083" s="416"/>
      <c r="K2083" s="3" t="str">
        <f>IF(A2083="","",'04'!$I$2)</f>
        <v/>
      </c>
      <c r="L2083" s="13"/>
      <c r="M2083" s="712" t="str">
        <f t="shared" si="270"/>
        <v/>
      </c>
      <c r="N2083" s="416"/>
    </row>
    <row r="2084" spans="1:16" ht="12.75" customHeight="1" x14ac:dyDescent="0.25">
      <c r="A2084" s="5"/>
      <c r="B2084" s="5"/>
      <c r="C2084" s="5"/>
      <c r="D2084" s="5"/>
      <c r="E2084" s="5"/>
      <c r="F2084" s="5"/>
      <c r="G2084" s="5"/>
      <c r="H2084" s="5"/>
      <c r="I2084" s="5"/>
      <c r="J2084" s="5"/>
      <c r="K2084" s="713" t="s">
        <v>261</v>
      </c>
      <c r="L2084" s="416"/>
      <c r="M2084" s="712">
        <f>SUM(M2079:N2083)</f>
        <v>292305.33685000002</v>
      </c>
      <c r="N2084" s="416"/>
    </row>
    <row r="2085" spans="1:16" ht="12.75" customHeight="1" x14ac:dyDescent="0.2"/>
    <row r="2086" spans="1:16" ht="12.75" customHeight="1" x14ac:dyDescent="0.2">
      <c r="A2086" s="718" t="s">
        <v>1431</v>
      </c>
      <c r="B2086" s="410"/>
      <c r="C2086" s="410"/>
      <c r="D2086" s="410"/>
      <c r="E2086" s="410"/>
      <c r="F2086" s="410"/>
      <c r="G2086" s="410"/>
      <c r="H2086" s="410"/>
      <c r="I2086" s="410"/>
      <c r="J2086" s="410"/>
      <c r="K2086" s="410"/>
      <c r="L2086" s="410"/>
      <c r="M2086" s="410"/>
      <c r="N2086" s="411"/>
      <c r="O2086" s="272"/>
      <c r="P2086" s="9"/>
    </row>
    <row r="2087" spans="1:16" ht="12.75" customHeight="1" x14ac:dyDescent="0.2">
      <c r="A2087" s="412"/>
      <c r="B2087" s="413"/>
      <c r="C2087" s="413"/>
      <c r="D2087" s="413"/>
      <c r="E2087" s="413"/>
      <c r="F2087" s="413"/>
      <c r="G2087" s="413"/>
      <c r="H2087" s="413"/>
      <c r="I2087" s="413"/>
      <c r="J2087" s="413"/>
      <c r="K2087" s="413"/>
      <c r="L2087" s="413"/>
      <c r="M2087" s="413"/>
      <c r="N2087" s="414"/>
      <c r="O2087" s="272"/>
      <c r="P2087" s="9"/>
    </row>
    <row r="2088" spans="1:16" ht="12.75" customHeight="1" x14ac:dyDescent="0.2">
      <c r="A2088" s="49"/>
      <c r="B2088" s="49"/>
      <c r="C2088" s="49"/>
      <c r="D2088" s="49"/>
      <c r="E2088" s="49"/>
      <c r="F2088" s="49"/>
      <c r="G2088" s="49"/>
      <c r="H2088" s="49"/>
      <c r="I2088" s="49"/>
      <c r="J2088" s="49"/>
      <c r="K2088" s="49"/>
      <c r="L2088" s="49"/>
      <c r="M2088" s="49"/>
      <c r="N2088" s="49"/>
    </row>
    <row r="2089" spans="1:16" ht="12.75" customHeight="1" thickBot="1" x14ac:dyDescent="0.35">
      <c r="A2089" s="51" t="str">
        <f>VLOOKUP(A2086,'10'!$B$9:$N$100,13,FALSE)</f>
        <v>G020</v>
      </c>
      <c r="B2089" s="52" t="str">
        <f>A2086</f>
        <v>SUMINISTRO DE PTAP COMPACTA EN PRFV DE CICLO COMPLETO PARA CAUDAL DE 6 LPS (INCLUYE BANDEJAS DE AIREACIÓN, UNIDAD DE MEZCLA RÁPIDA, FLOCULADOR, SEDIMENTADOR, TANQUE DE CONTACTO CLORO, FILTRACIÓN, DISEÑO, CONSTRUCCIÓN Y PUESTA EN MARCHA)</v>
      </c>
      <c r="C2089" s="53" t="s">
        <v>400</v>
      </c>
      <c r="D2089" s="54" t="s">
        <v>475</v>
      </c>
      <c r="E2089" s="55" t="s">
        <v>177</v>
      </c>
      <c r="F2089" s="59">
        <f>H2089+J2089+L2089+N2089</f>
        <v>200309600</v>
      </c>
      <c r="G2089" s="55" t="s">
        <v>349</v>
      </c>
      <c r="H2089" s="59">
        <f>M2108</f>
        <v>0</v>
      </c>
      <c r="I2089" s="55" t="s">
        <v>402</v>
      </c>
      <c r="J2089" s="72">
        <f>M2099</f>
        <v>200309600</v>
      </c>
      <c r="K2089" s="55" t="s">
        <v>351</v>
      </c>
      <c r="L2089" s="59">
        <f>M2117</f>
        <v>0</v>
      </c>
      <c r="M2089" s="55" t="s">
        <v>352</v>
      </c>
      <c r="N2089" s="59">
        <f>M2126</f>
        <v>0</v>
      </c>
    </row>
    <row r="2090" spans="1:16" ht="12.75" customHeight="1" thickBot="1" x14ac:dyDescent="0.3">
      <c r="A2090" s="60"/>
      <c r="B2090" s="60"/>
      <c r="C2090" s="60"/>
      <c r="D2090" s="60"/>
      <c r="E2090" s="60"/>
      <c r="F2090" s="60"/>
      <c r="G2090" s="60"/>
      <c r="J2090" s="60"/>
      <c r="K2090" s="60"/>
      <c r="L2090" s="327" t="s">
        <v>1934</v>
      </c>
      <c r="M2090" s="328">
        <f>+F2089*'01'!$O$16</f>
        <v>259258909.10114458</v>
      </c>
      <c r="N2090" s="60"/>
    </row>
    <row r="2091" spans="1:16" ht="12.75" customHeight="1" x14ac:dyDescent="0.2">
      <c r="A2091" s="716" t="s">
        <v>403</v>
      </c>
      <c r="B2091" s="418"/>
      <c r="C2091" s="418"/>
      <c r="D2091" s="418"/>
      <c r="E2091" s="418"/>
      <c r="F2091" s="418"/>
      <c r="G2091" s="418"/>
      <c r="H2091" s="418"/>
      <c r="I2091" s="418"/>
      <c r="J2091" s="418"/>
      <c r="K2091" s="418"/>
      <c r="L2091" s="418"/>
      <c r="M2091" s="418"/>
      <c r="N2091" s="416"/>
    </row>
    <row r="2092" spans="1:16" ht="12.75" customHeight="1" x14ac:dyDescent="0.2">
      <c r="A2092" s="713" t="s">
        <v>39</v>
      </c>
      <c r="B2092" s="418"/>
      <c r="C2092" s="418"/>
      <c r="D2092" s="418"/>
      <c r="E2092" s="418"/>
      <c r="F2092" s="418"/>
      <c r="G2092" s="416"/>
      <c r="H2092" s="61" t="s">
        <v>40</v>
      </c>
      <c r="I2092" s="717" t="s">
        <v>404</v>
      </c>
      <c r="J2092" s="416"/>
      <c r="K2092" s="717" t="s">
        <v>184</v>
      </c>
      <c r="L2092" s="416"/>
      <c r="M2092" s="717" t="s">
        <v>405</v>
      </c>
      <c r="N2092" s="416"/>
    </row>
    <row r="2093" spans="1:16" ht="12.75" customHeight="1" x14ac:dyDescent="0.2">
      <c r="A2093" s="788" t="s">
        <v>1432</v>
      </c>
      <c r="B2093" s="418"/>
      <c r="C2093" s="418"/>
      <c r="D2093" s="418"/>
      <c r="E2093" s="418"/>
      <c r="F2093" s="418"/>
      <c r="G2093" s="416"/>
      <c r="H2093" s="12" t="str">
        <f t="shared" ref="H2093:H2098" si="271">IF(A2093="","",VLOOKUP(A2093,AA_Materiales,7,FALSE))</f>
        <v>Unidad</v>
      </c>
      <c r="I2093" s="712">
        <f t="shared" ref="I2093:I2098" si="272">IF(A2093="","",VLOOKUP(A2093,AA_Materiales,8,FALSE))</f>
        <v>200309600</v>
      </c>
      <c r="J2093" s="416"/>
      <c r="K2093" s="715">
        <v>1</v>
      </c>
      <c r="L2093" s="416"/>
      <c r="M2093" s="712">
        <f t="shared" ref="M2093:M2098" si="273">IF(A2093="","",I2093*K2093)</f>
        <v>200309600</v>
      </c>
      <c r="N2093" s="416"/>
    </row>
    <row r="2094" spans="1:16" ht="12.75" customHeight="1" x14ac:dyDescent="0.2">
      <c r="A2094" s="719"/>
      <c r="B2094" s="418"/>
      <c r="C2094" s="418"/>
      <c r="D2094" s="418"/>
      <c r="E2094" s="418"/>
      <c r="F2094" s="418"/>
      <c r="G2094" s="416"/>
      <c r="H2094" s="12" t="str">
        <f t="shared" si="271"/>
        <v/>
      </c>
      <c r="I2094" s="712" t="str">
        <f t="shared" si="272"/>
        <v/>
      </c>
      <c r="J2094" s="416"/>
      <c r="K2094" s="715"/>
      <c r="L2094" s="416"/>
      <c r="M2094" s="712" t="str">
        <f t="shared" si="273"/>
        <v/>
      </c>
      <c r="N2094" s="416"/>
    </row>
    <row r="2095" spans="1:16" ht="12.75" customHeight="1" x14ac:dyDescent="0.2">
      <c r="A2095" s="719"/>
      <c r="B2095" s="418"/>
      <c r="C2095" s="418"/>
      <c r="D2095" s="418"/>
      <c r="E2095" s="418"/>
      <c r="F2095" s="418"/>
      <c r="G2095" s="416"/>
      <c r="H2095" s="12" t="str">
        <f t="shared" si="271"/>
        <v/>
      </c>
      <c r="I2095" s="712" t="str">
        <f t="shared" si="272"/>
        <v/>
      </c>
      <c r="J2095" s="416"/>
      <c r="K2095" s="715"/>
      <c r="L2095" s="416"/>
      <c r="M2095" s="712" t="str">
        <f t="shared" si="273"/>
        <v/>
      </c>
      <c r="N2095" s="416"/>
    </row>
    <row r="2096" spans="1:16" ht="12.75" customHeight="1" x14ac:dyDescent="0.2">
      <c r="A2096" s="719"/>
      <c r="B2096" s="418"/>
      <c r="C2096" s="418"/>
      <c r="D2096" s="418"/>
      <c r="E2096" s="418"/>
      <c r="F2096" s="418"/>
      <c r="G2096" s="416"/>
      <c r="H2096" s="12" t="str">
        <f t="shared" si="271"/>
        <v/>
      </c>
      <c r="I2096" s="712" t="str">
        <f t="shared" si="272"/>
        <v/>
      </c>
      <c r="J2096" s="416"/>
      <c r="K2096" s="715"/>
      <c r="L2096" s="416"/>
      <c r="M2096" s="712" t="str">
        <f t="shared" si="273"/>
        <v/>
      </c>
      <c r="N2096" s="416"/>
    </row>
    <row r="2097" spans="1:14" ht="12.75" customHeight="1" x14ac:dyDescent="0.2">
      <c r="A2097" s="719"/>
      <c r="B2097" s="418"/>
      <c r="C2097" s="418"/>
      <c r="D2097" s="418"/>
      <c r="E2097" s="418"/>
      <c r="F2097" s="418"/>
      <c r="G2097" s="416"/>
      <c r="H2097" s="12" t="str">
        <f t="shared" si="271"/>
        <v/>
      </c>
      <c r="I2097" s="712" t="str">
        <f t="shared" si="272"/>
        <v/>
      </c>
      <c r="J2097" s="416"/>
      <c r="K2097" s="715"/>
      <c r="L2097" s="416"/>
      <c r="M2097" s="712" t="str">
        <f t="shared" si="273"/>
        <v/>
      </c>
      <c r="N2097" s="416"/>
    </row>
    <row r="2098" spans="1:14" ht="12.75" customHeight="1" x14ac:dyDescent="0.2">
      <c r="A2098" s="719"/>
      <c r="B2098" s="418"/>
      <c r="C2098" s="418"/>
      <c r="D2098" s="418"/>
      <c r="E2098" s="418"/>
      <c r="F2098" s="418"/>
      <c r="G2098" s="416"/>
      <c r="H2098" s="12" t="str">
        <f t="shared" si="271"/>
        <v/>
      </c>
      <c r="I2098" s="712" t="str">
        <f t="shared" si="272"/>
        <v/>
      </c>
      <c r="J2098" s="416"/>
      <c r="K2098" s="715"/>
      <c r="L2098" s="416"/>
      <c r="M2098" s="712" t="str">
        <f t="shared" si="273"/>
        <v/>
      </c>
      <c r="N2098" s="416"/>
    </row>
    <row r="2099" spans="1:14" ht="12.75" customHeight="1" x14ac:dyDescent="0.25">
      <c r="A2099" s="5"/>
      <c r="B2099" s="5"/>
      <c r="C2099" s="5"/>
      <c r="D2099" s="5"/>
      <c r="E2099" s="5"/>
      <c r="F2099" s="5"/>
      <c r="G2099" s="5"/>
      <c r="H2099" s="5"/>
      <c r="I2099" s="5"/>
      <c r="J2099" s="5"/>
      <c r="K2099" s="713" t="s">
        <v>261</v>
      </c>
      <c r="L2099" s="416"/>
      <c r="M2099" s="712">
        <f>SUM(M2093:N2098)</f>
        <v>200309600</v>
      </c>
      <c r="N2099" s="416"/>
    </row>
    <row r="2100" spans="1:14" ht="12.75" customHeight="1" x14ac:dyDescent="0.25">
      <c r="A2100" s="5"/>
      <c r="B2100" s="5"/>
      <c r="C2100" s="5"/>
      <c r="D2100" s="5"/>
      <c r="E2100" s="5"/>
      <c r="F2100" s="5"/>
      <c r="G2100" s="5"/>
      <c r="H2100" s="5"/>
      <c r="I2100" s="5"/>
      <c r="J2100" s="5"/>
      <c r="K2100" s="5"/>
      <c r="L2100" s="5"/>
      <c r="M2100" s="5"/>
      <c r="N2100" s="5"/>
    </row>
    <row r="2101" spans="1:14" ht="12.75" customHeight="1" x14ac:dyDescent="0.2">
      <c r="A2101" s="716" t="s">
        <v>410</v>
      </c>
      <c r="B2101" s="418"/>
      <c r="C2101" s="418"/>
      <c r="D2101" s="418"/>
      <c r="E2101" s="418"/>
      <c r="F2101" s="418"/>
      <c r="G2101" s="418"/>
      <c r="H2101" s="418"/>
      <c r="I2101" s="418"/>
      <c r="J2101" s="418"/>
      <c r="K2101" s="418"/>
      <c r="L2101" s="418"/>
      <c r="M2101" s="418"/>
      <c r="N2101" s="416"/>
    </row>
    <row r="2102" spans="1:14" ht="12.75" customHeight="1" x14ac:dyDescent="0.2">
      <c r="A2102" s="713" t="s">
        <v>39</v>
      </c>
      <c r="B2102" s="418"/>
      <c r="C2102" s="418"/>
      <c r="D2102" s="418"/>
      <c r="E2102" s="418"/>
      <c r="F2102" s="418"/>
      <c r="G2102" s="416"/>
      <c r="H2102" s="61" t="s">
        <v>40</v>
      </c>
      <c r="I2102" s="717" t="s">
        <v>404</v>
      </c>
      <c r="J2102" s="416"/>
      <c r="K2102" s="717" t="s">
        <v>184</v>
      </c>
      <c r="L2102" s="416"/>
      <c r="M2102" s="717" t="s">
        <v>405</v>
      </c>
      <c r="N2102" s="416"/>
    </row>
    <row r="2103" spans="1:14" ht="12.75" customHeight="1" x14ac:dyDescent="0.2">
      <c r="A2103" s="714"/>
      <c r="B2103" s="418"/>
      <c r="C2103" s="418"/>
      <c r="D2103" s="418"/>
      <c r="E2103" s="418"/>
      <c r="F2103" s="418"/>
      <c r="G2103" s="416"/>
      <c r="H2103" s="12" t="str">
        <f>IF(A2103="","",VLOOKUP(A2103,AA_Equipos,7,FALSE))</f>
        <v/>
      </c>
      <c r="I2103" s="712">
        <f>+M2126</f>
        <v>0</v>
      </c>
      <c r="J2103" s="416"/>
      <c r="K2103" s="722"/>
      <c r="L2103" s="416"/>
      <c r="M2103" s="712" t="str">
        <f t="shared" ref="M2103:M2107" si="274">IF(A2103="","",I2103*K2103)</f>
        <v/>
      </c>
      <c r="N2103" s="416"/>
    </row>
    <row r="2104" spans="1:14" ht="12.75" customHeight="1" x14ac:dyDescent="0.2">
      <c r="A2104" s="719"/>
      <c r="B2104" s="418"/>
      <c r="C2104" s="418"/>
      <c r="D2104" s="418"/>
      <c r="E2104" s="418"/>
      <c r="F2104" s="418"/>
      <c r="G2104" s="416"/>
      <c r="H2104" s="12" t="str">
        <f>IF(A2104="","",VLOOKUP(A2104,AA_Equipos,7,FALSE))</f>
        <v/>
      </c>
      <c r="I2104" s="712" t="str">
        <f>IF(A2104="","",VLOOKUP(A2104,AA_Equipos,8,FALSE))</f>
        <v/>
      </c>
      <c r="J2104" s="416"/>
      <c r="K2104" s="723"/>
      <c r="L2104" s="416"/>
      <c r="M2104" s="712" t="str">
        <f t="shared" si="274"/>
        <v/>
      </c>
      <c r="N2104" s="416"/>
    </row>
    <row r="2105" spans="1:14" ht="12.75" customHeight="1" x14ac:dyDescent="0.2">
      <c r="A2105" s="714"/>
      <c r="B2105" s="418"/>
      <c r="C2105" s="418"/>
      <c r="D2105" s="418"/>
      <c r="E2105" s="418"/>
      <c r="F2105" s="418"/>
      <c r="G2105" s="416"/>
      <c r="H2105" s="12" t="str">
        <f>IF(A2105="","",VLOOKUP(A2105,AA_Equipos,7,FALSE))</f>
        <v/>
      </c>
      <c r="I2105" s="712" t="str">
        <f>IF(A2105="","",VLOOKUP(A2105,AA_Equipos,8,FALSE))</f>
        <v/>
      </c>
      <c r="J2105" s="416"/>
      <c r="K2105" s="786"/>
      <c r="L2105" s="416"/>
      <c r="M2105" s="712" t="str">
        <f t="shared" si="274"/>
        <v/>
      </c>
      <c r="N2105" s="416"/>
    </row>
    <row r="2106" spans="1:14" ht="12.75" customHeight="1" x14ac:dyDescent="0.2">
      <c r="A2106" s="714"/>
      <c r="B2106" s="418"/>
      <c r="C2106" s="418"/>
      <c r="D2106" s="418"/>
      <c r="E2106" s="418"/>
      <c r="F2106" s="418"/>
      <c r="G2106" s="416"/>
      <c r="H2106" s="12" t="str">
        <f>IF(A2106="","",VLOOKUP(A2106,AA_Equipos,7,FALSE))</f>
        <v/>
      </c>
      <c r="I2106" s="712" t="str">
        <f>IF(A2106="","",VLOOKUP(A2106,AA_Equipos,8,FALSE))</f>
        <v/>
      </c>
      <c r="J2106" s="416"/>
      <c r="K2106" s="715"/>
      <c r="L2106" s="416"/>
      <c r="M2106" s="712" t="str">
        <f t="shared" si="274"/>
        <v/>
      </c>
      <c r="N2106" s="416"/>
    </row>
    <row r="2107" spans="1:14" ht="12.75" customHeight="1" x14ac:dyDescent="0.2">
      <c r="A2107" s="714"/>
      <c r="B2107" s="418"/>
      <c r="C2107" s="418"/>
      <c r="D2107" s="418"/>
      <c r="E2107" s="418"/>
      <c r="F2107" s="418"/>
      <c r="G2107" s="416"/>
      <c r="H2107" s="12" t="str">
        <f>IF(A2107="","",VLOOKUP(A2107,AA_Equipos,7,FALSE))</f>
        <v/>
      </c>
      <c r="I2107" s="712" t="str">
        <f>IF(A2107="","",VLOOKUP(A2107,AA_Equipos,8,FALSE))</f>
        <v/>
      </c>
      <c r="J2107" s="416"/>
      <c r="K2107" s="715"/>
      <c r="L2107" s="416"/>
      <c r="M2107" s="712" t="str">
        <f t="shared" si="274"/>
        <v/>
      </c>
      <c r="N2107" s="416"/>
    </row>
    <row r="2108" spans="1:14" ht="12.75" customHeight="1" x14ac:dyDescent="0.25">
      <c r="A2108" s="5"/>
      <c r="B2108" s="5"/>
      <c r="C2108" s="5"/>
      <c r="D2108" s="5"/>
      <c r="E2108" s="5"/>
      <c r="F2108" s="5"/>
      <c r="G2108" s="5"/>
      <c r="H2108" s="5"/>
      <c r="I2108" s="5"/>
      <c r="J2108" s="5"/>
      <c r="K2108" s="713" t="s">
        <v>261</v>
      </c>
      <c r="L2108" s="416"/>
      <c r="M2108" s="712">
        <f>SUM(M2103:N2107)</f>
        <v>0</v>
      </c>
      <c r="N2108" s="416"/>
    </row>
    <row r="2109" spans="1:14" ht="12.75" customHeight="1" x14ac:dyDescent="0.25">
      <c r="A2109" s="5"/>
      <c r="B2109" s="5"/>
      <c r="C2109" s="5"/>
      <c r="D2109" s="5"/>
      <c r="E2109" s="5"/>
      <c r="F2109" s="5"/>
      <c r="G2109" s="5"/>
      <c r="H2109" s="5"/>
      <c r="I2109" s="5"/>
      <c r="J2109" s="5"/>
      <c r="K2109" s="5"/>
      <c r="L2109" s="5"/>
      <c r="M2109" s="5"/>
      <c r="N2109" s="5"/>
    </row>
    <row r="2110" spans="1:14" ht="12.75" customHeight="1" x14ac:dyDescent="0.2">
      <c r="A2110" s="716" t="s">
        <v>413</v>
      </c>
      <c r="B2110" s="418"/>
      <c r="C2110" s="418"/>
      <c r="D2110" s="418"/>
      <c r="E2110" s="418"/>
      <c r="F2110" s="418"/>
      <c r="G2110" s="418"/>
      <c r="H2110" s="418"/>
      <c r="I2110" s="418"/>
      <c r="J2110" s="418"/>
      <c r="K2110" s="418"/>
      <c r="L2110" s="418"/>
      <c r="M2110" s="418"/>
      <c r="N2110" s="416"/>
    </row>
    <row r="2111" spans="1:14" ht="12.75" customHeight="1" x14ac:dyDescent="0.2">
      <c r="A2111" s="713" t="s">
        <v>39</v>
      </c>
      <c r="B2111" s="418"/>
      <c r="C2111" s="418"/>
      <c r="D2111" s="418"/>
      <c r="E2111" s="418"/>
      <c r="F2111" s="418"/>
      <c r="G2111" s="416"/>
      <c r="H2111" s="61" t="s">
        <v>40</v>
      </c>
      <c r="I2111" s="717" t="s">
        <v>404</v>
      </c>
      <c r="J2111" s="416"/>
      <c r="K2111" s="717" t="s">
        <v>184</v>
      </c>
      <c r="L2111" s="416"/>
      <c r="M2111" s="717" t="s">
        <v>405</v>
      </c>
      <c r="N2111" s="416"/>
    </row>
    <row r="2112" spans="1:14" ht="12.75" customHeight="1" x14ac:dyDescent="0.2">
      <c r="A2112" s="714"/>
      <c r="B2112" s="418"/>
      <c r="C2112" s="418"/>
      <c r="D2112" s="418"/>
      <c r="E2112" s="418"/>
      <c r="F2112" s="418"/>
      <c r="G2112" s="416"/>
      <c r="H2112" s="329" t="s">
        <v>426</v>
      </c>
      <c r="I2112" s="796"/>
      <c r="J2112" s="797"/>
      <c r="K2112" s="722"/>
      <c r="L2112" s="416"/>
      <c r="M2112" s="712" t="str">
        <f t="shared" ref="M2112:M2116" si="275">IF(A2112="","",I2112*K2112)</f>
        <v/>
      </c>
      <c r="N2112" s="416"/>
    </row>
    <row r="2113" spans="1:15" ht="12.75" customHeight="1" x14ac:dyDescent="0.2">
      <c r="A2113" s="719"/>
      <c r="B2113" s="418"/>
      <c r="C2113" s="418"/>
      <c r="D2113" s="418"/>
      <c r="E2113" s="418"/>
      <c r="F2113" s="418"/>
      <c r="G2113" s="416"/>
      <c r="H2113" s="12"/>
      <c r="I2113" s="712"/>
      <c r="J2113" s="416"/>
      <c r="K2113" s="722"/>
      <c r="L2113" s="416"/>
      <c r="M2113" s="712" t="str">
        <f t="shared" si="275"/>
        <v/>
      </c>
      <c r="N2113" s="416"/>
    </row>
    <row r="2114" spans="1:15" ht="12.75" customHeight="1" x14ac:dyDescent="0.2">
      <c r="A2114" s="714"/>
      <c r="B2114" s="418"/>
      <c r="C2114" s="418"/>
      <c r="D2114" s="418"/>
      <c r="E2114" s="418"/>
      <c r="F2114" s="418"/>
      <c r="G2114" s="416"/>
      <c r="H2114" s="12"/>
      <c r="I2114" s="712"/>
      <c r="J2114" s="416"/>
      <c r="K2114" s="715"/>
      <c r="L2114" s="416"/>
      <c r="M2114" s="712" t="str">
        <f t="shared" si="275"/>
        <v/>
      </c>
      <c r="N2114" s="416"/>
    </row>
    <row r="2115" spans="1:15" ht="12.75" customHeight="1" x14ac:dyDescent="0.2">
      <c r="A2115" s="714"/>
      <c r="B2115" s="418"/>
      <c r="C2115" s="418"/>
      <c r="D2115" s="418"/>
      <c r="E2115" s="418"/>
      <c r="F2115" s="418"/>
      <c r="G2115" s="416"/>
      <c r="H2115" s="12"/>
      <c r="I2115" s="712"/>
      <c r="J2115" s="416"/>
      <c r="K2115" s="715"/>
      <c r="L2115" s="416"/>
      <c r="M2115" s="712" t="str">
        <f t="shared" si="275"/>
        <v/>
      </c>
      <c r="N2115" s="416"/>
    </row>
    <row r="2116" spans="1:15" ht="12.75" customHeight="1" x14ac:dyDescent="0.2">
      <c r="A2116" s="714"/>
      <c r="B2116" s="418"/>
      <c r="C2116" s="418"/>
      <c r="D2116" s="418"/>
      <c r="E2116" s="418"/>
      <c r="F2116" s="418"/>
      <c r="G2116" s="416"/>
      <c r="H2116" s="12"/>
      <c r="I2116" s="712"/>
      <c r="J2116" s="416"/>
      <c r="K2116" s="715"/>
      <c r="L2116" s="416"/>
      <c r="M2116" s="712" t="str">
        <f t="shared" si="275"/>
        <v/>
      </c>
      <c r="N2116" s="416"/>
    </row>
    <row r="2117" spans="1:15" ht="12.75" customHeight="1" x14ac:dyDescent="0.25">
      <c r="A2117" s="5"/>
      <c r="B2117" s="5"/>
      <c r="C2117" s="5"/>
      <c r="D2117" s="5"/>
      <c r="E2117" s="5"/>
      <c r="F2117" s="5"/>
      <c r="G2117" s="5"/>
      <c r="H2117" s="5"/>
      <c r="I2117" s="5"/>
      <c r="J2117" s="5"/>
      <c r="K2117" s="713" t="s">
        <v>261</v>
      </c>
      <c r="L2117" s="416"/>
      <c r="M2117" s="712">
        <f>SUM(M2112:N2116)</f>
        <v>0</v>
      </c>
      <c r="N2117" s="416"/>
    </row>
    <row r="2118" spans="1:15" ht="12.75" customHeight="1" x14ac:dyDescent="0.25">
      <c r="A2118" s="5"/>
      <c r="B2118" s="5"/>
      <c r="C2118" s="5"/>
      <c r="D2118" s="5"/>
      <c r="E2118" s="5"/>
      <c r="F2118" s="5"/>
      <c r="G2118" s="5"/>
      <c r="H2118" s="5"/>
      <c r="I2118" s="5"/>
      <c r="J2118" s="5"/>
      <c r="K2118" s="5"/>
      <c r="L2118" s="5"/>
      <c r="M2118" s="5"/>
      <c r="N2118" s="5"/>
    </row>
    <row r="2119" spans="1:15" ht="12.75" customHeight="1" x14ac:dyDescent="0.2">
      <c r="A2119" s="716" t="s">
        <v>415</v>
      </c>
      <c r="B2119" s="418"/>
      <c r="C2119" s="418"/>
      <c r="D2119" s="418"/>
      <c r="E2119" s="418"/>
      <c r="F2119" s="418"/>
      <c r="G2119" s="418"/>
      <c r="H2119" s="418"/>
      <c r="I2119" s="418"/>
      <c r="J2119" s="418"/>
      <c r="K2119" s="418"/>
      <c r="L2119" s="418"/>
      <c r="M2119" s="418"/>
      <c r="N2119" s="416"/>
    </row>
    <row r="2120" spans="1:15" ht="12.75" customHeight="1" x14ac:dyDescent="0.2">
      <c r="A2120" s="713" t="s">
        <v>39</v>
      </c>
      <c r="B2120" s="418"/>
      <c r="C2120" s="418"/>
      <c r="D2120" s="418"/>
      <c r="E2120" s="418"/>
      <c r="F2120" s="418"/>
      <c r="G2120" s="416"/>
      <c r="H2120" s="61" t="s">
        <v>40</v>
      </c>
      <c r="I2120" s="717" t="s">
        <v>404</v>
      </c>
      <c r="J2120" s="416"/>
      <c r="K2120" s="64" t="s">
        <v>253</v>
      </c>
      <c r="L2120" s="65" t="s">
        <v>416</v>
      </c>
      <c r="M2120" s="717" t="s">
        <v>405</v>
      </c>
      <c r="N2120" s="416"/>
    </row>
    <row r="2121" spans="1:15" ht="12.75" customHeight="1" x14ac:dyDescent="0.25">
      <c r="A2121" s="711"/>
      <c r="B2121" s="418"/>
      <c r="C2121" s="418"/>
      <c r="D2121" s="418"/>
      <c r="E2121" s="418"/>
      <c r="F2121" s="418"/>
      <c r="G2121" s="416"/>
      <c r="H2121" s="12" t="str">
        <f>IF(A2121="","",VLOOKUP(A2121,AA_Cuadrillas,4,FALSE))</f>
        <v/>
      </c>
      <c r="I2121" s="712" t="str">
        <f>IF(A2121="","",VLOOKUP(A2121,AA_Cuadrillas,5,FALSE))</f>
        <v/>
      </c>
      <c r="J2121" s="416"/>
      <c r="K2121" s="3" t="str">
        <f>IF(A2121="","",'04'!$I$2)</f>
        <v/>
      </c>
      <c r="L2121" s="71"/>
      <c r="M2121" s="712" t="str">
        <f t="shared" ref="M2121:M2125" si="276">IF(A2121="","",I2121*K2121*L2121)</f>
        <v/>
      </c>
      <c r="N2121" s="416"/>
    </row>
    <row r="2122" spans="1:15" ht="12.75" customHeight="1" x14ac:dyDescent="0.25">
      <c r="A2122" s="711"/>
      <c r="B2122" s="418"/>
      <c r="C2122" s="418"/>
      <c r="D2122" s="418"/>
      <c r="E2122" s="418"/>
      <c r="F2122" s="418"/>
      <c r="G2122" s="416"/>
      <c r="H2122" s="12" t="str">
        <f>IF(A2122="","",VLOOKUP(A2122,AA_Cuadrillas,4,FALSE))</f>
        <v/>
      </c>
      <c r="I2122" s="712" t="str">
        <f>IF(A2122="","",VLOOKUP(A2122,AA_Cuadrillas,5,FALSE))</f>
        <v/>
      </c>
      <c r="J2122" s="416"/>
      <c r="K2122" s="3" t="str">
        <f>IF(A2122="","",'04'!$I$2)</f>
        <v/>
      </c>
      <c r="L2122" s="3"/>
      <c r="M2122" s="712" t="str">
        <f t="shared" si="276"/>
        <v/>
      </c>
      <c r="N2122" s="416"/>
    </row>
    <row r="2123" spans="1:15" ht="12.75" customHeight="1" x14ac:dyDescent="0.25">
      <c r="A2123" s="711"/>
      <c r="B2123" s="418"/>
      <c r="C2123" s="418"/>
      <c r="D2123" s="418"/>
      <c r="E2123" s="418"/>
      <c r="F2123" s="418"/>
      <c r="G2123" s="416"/>
      <c r="H2123" s="12" t="str">
        <f>IF(A2123="","",VLOOKUP(A2123,AA_Cuadrillas,4,FALSE))</f>
        <v/>
      </c>
      <c r="I2123" s="712" t="str">
        <f>IF(A2123="","",VLOOKUP(A2123,AA_Cuadrillas,5,FALSE))</f>
        <v/>
      </c>
      <c r="J2123" s="416"/>
      <c r="K2123" s="3" t="str">
        <f>IF(A2123="","",'04'!$I$2)</f>
        <v/>
      </c>
      <c r="L2123" s="13"/>
      <c r="M2123" s="712" t="str">
        <f t="shared" si="276"/>
        <v/>
      </c>
      <c r="N2123" s="416"/>
    </row>
    <row r="2124" spans="1:15" ht="12.75" customHeight="1" x14ac:dyDescent="0.25">
      <c r="A2124" s="711"/>
      <c r="B2124" s="418"/>
      <c r="C2124" s="418"/>
      <c r="D2124" s="418"/>
      <c r="E2124" s="418"/>
      <c r="F2124" s="418"/>
      <c r="G2124" s="416"/>
      <c r="H2124" s="12" t="str">
        <f>IF(A2124="","",VLOOKUP(A2124,AA_Cuadrillas,4,FALSE))</f>
        <v/>
      </c>
      <c r="I2124" s="712" t="str">
        <f>IF(A2124="","",VLOOKUP(A2124,AA_Cuadrillas,5,FALSE))</f>
        <v/>
      </c>
      <c r="J2124" s="416"/>
      <c r="K2124" s="3" t="str">
        <f>IF(A2124="","",'04'!$I$2)</f>
        <v/>
      </c>
      <c r="L2124" s="13"/>
      <c r="M2124" s="712" t="str">
        <f t="shared" si="276"/>
        <v/>
      </c>
      <c r="N2124" s="416"/>
    </row>
    <row r="2125" spans="1:15" ht="12.75" customHeight="1" x14ac:dyDescent="0.25">
      <c r="A2125" s="711"/>
      <c r="B2125" s="418"/>
      <c r="C2125" s="418"/>
      <c r="D2125" s="418"/>
      <c r="E2125" s="418"/>
      <c r="F2125" s="418"/>
      <c r="G2125" s="416"/>
      <c r="H2125" s="12" t="str">
        <f>IF(A2125="","",VLOOKUP(A2125,AA_Cuadrillas,4,FALSE))</f>
        <v/>
      </c>
      <c r="I2125" s="712" t="str">
        <f>IF(A2125="","",VLOOKUP(A2125,AA_Cuadrillas,5,FALSE))</f>
        <v/>
      </c>
      <c r="J2125" s="416"/>
      <c r="K2125" s="3" t="str">
        <f>IF(A2125="","",'04'!$I$2)</f>
        <v/>
      </c>
      <c r="L2125" s="13"/>
      <c r="M2125" s="712" t="str">
        <f t="shared" si="276"/>
        <v/>
      </c>
      <c r="N2125" s="416"/>
    </row>
    <row r="2126" spans="1:15" ht="12.75" customHeight="1" x14ac:dyDescent="0.25">
      <c r="A2126" s="5"/>
      <c r="B2126" s="5"/>
      <c r="C2126" s="5"/>
      <c r="D2126" s="5"/>
      <c r="E2126" s="5"/>
      <c r="F2126" s="5"/>
      <c r="G2126" s="5"/>
      <c r="H2126" s="5"/>
      <c r="I2126" s="5"/>
      <c r="J2126" s="5"/>
      <c r="K2126" s="713" t="s">
        <v>261</v>
      </c>
      <c r="L2126" s="416"/>
      <c r="M2126" s="712">
        <f>SUM(M2121:N2125)</f>
        <v>0</v>
      </c>
      <c r="N2126" s="416"/>
    </row>
    <row r="2127" spans="1:15" ht="12.75" customHeight="1" x14ac:dyDescent="0.2"/>
    <row r="2128" spans="1:15" ht="12.75" customHeight="1" x14ac:dyDescent="0.2">
      <c r="A2128" s="735" t="s">
        <v>1530</v>
      </c>
      <c r="B2128" s="736"/>
      <c r="C2128" s="736"/>
      <c r="D2128" s="736"/>
      <c r="E2128" s="736"/>
      <c r="F2128" s="736"/>
      <c r="G2128" s="736"/>
      <c r="H2128" s="736"/>
      <c r="I2128" s="736"/>
      <c r="J2128" s="736"/>
      <c r="K2128" s="736"/>
      <c r="L2128" s="736"/>
      <c r="M2128" s="736"/>
      <c r="N2128" s="737"/>
      <c r="O2128" s="271"/>
    </row>
    <row r="2129" spans="1:15" ht="12.75" customHeight="1" x14ac:dyDescent="0.2">
      <c r="A2129" s="738"/>
      <c r="B2129" s="739"/>
      <c r="C2129" s="739"/>
      <c r="D2129" s="739"/>
      <c r="E2129" s="739"/>
      <c r="F2129" s="739"/>
      <c r="G2129" s="739"/>
      <c r="H2129" s="739"/>
      <c r="I2129" s="739"/>
      <c r="J2129" s="739"/>
      <c r="K2129" s="739"/>
      <c r="L2129" s="739"/>
      <c r="M2129" s="739"/>
      <c r="N2129" s="740"/>
      <c r="O2129" s="271"/>
    </row>
    <row r="2130" spans="1:15" ht="12.75" customHeight="1" x14ac:dyDescent="0.2">
      <c r="A2130" s="136"/>
      <c r="B2130" s="136"/>
      <c r="C2130" s="136"/>
      <c r="D2130" s="136"/>
      <c r="E2130" s="136"/>
      <c r="F2130" s="136"/>
      <c r="G2130" s="136"/>
      <c r="H2130" s="136"/>
      <c r="I2130" s="136"/>
      <c r="J2130" s="136"/>
      <c r="K2130" s="136"/>
      <c r="L2130" s="136"/>
      <c r="M2130" s="136"/>
      <c r="N2130" s="136"/>
    </row>
    <row r="2131" spans="1:15" ht="12.75" customHeight="1" thickBot="1" x14ac:dyDescent="0.35">
      <c r="A2131" s="51" t="str">
        <f>VLOOKUP(A2128,'10'!$B$9:$N$100,13,FALSE)</f>
        <v>G047</v>
      </c>
      <c r="B2131" s="137" t="str">
        <f>A2128</f>
        <v>CORTE DE PAVIMENTO FLEXIBLE (INCLUYE CORTADORA DE DISCO, AGUA, HERRAMIENTA MENOR Y MANO DE OBRA)</v>
      </c>
      <c r="C2131" s="138" t="s">
        <v>400</v>
      </c>
      <c r="D2131" s="139" t="s">
        <v>401</v>
      </c>
      <c r="E2131" s="140" t="s">
        <v>177</v>
      </c>
      <c r="F2131" s="141">
        <f>H2131+J2131+L2131+N2131</f>
        <v>20109.971046262803</v>
      </c>
      <c r="G2131" s="140" t="s">
        <v>349</v>
      </c>
      <c r="H2131" s="141">
        <f>M2150</f>
        <v>6713.3079167600008</v>
      </c>
      <c r="I2131" s="140" t="s">
        <v>402</v>
      </c>
      <c r="J2131" s="141">
        <f>M2141</f>
        <v>400</v>
      </c>
      <c r="K2131" s="140" t="s">
        <v>351</v>
      </c>
      <c r="L2131" s="141">
        <f>M2159</f>
        <v>201.39923750280002</v>
      </c>
      <c r="M2131" s="140" t="s">
        <v>352</v>
      </c>
      <c r="N2131" s="141">
        <f>M2168</f>
        <v>12795.263892000001</v>
      </c>
    </row>
    <row r="2132" spans="1:15" ht="12.75" customHeight="1" thickBot="1" x14ac:dyDescent="0.3">
      <c r="A2132" s="142"/>
      <c r="B2132" s="142"/>
      <c r="C2132" s="142"/>
      <c r="D2132" s="142"/>
      <c r="E2132" s="142"/>
      <c r="F2132" s="142"/>
      <c r="G2132" s="142"/>
      <c r="J2132" s="142"/>
      <c r="K2132" s="142"/>
      <c r="L2132" s="327" t="s">
        <v>1934</v>
      </c>
      <c r="M2132" s="328">
        <f>+F2131*'01'!$O$16</f>
        <v>26028.154194854851</v>
      </c>
      <c r="N2132" s="142"/>
    </row>
    <row r="2133" spans="1:15" ht="12.75" customHeight="1" x14ac:dyDescent="0.2">
      <c r="A2133" s="731" t="s">
        <v>403</v>
      </c>
      <c r="B2133" s="725"/>
      <c r="C2133" s="725"/>
      <c r="D2133" s="725"/>
      <c r="E2133" s="725"/>
      <c r="F2133" s="725"/>
      <c r="G2133" s="725"/>
      <c r="H2133" s="725"/>
      <c r="I2133" s="725"/>
      <c r="J2133" s="725"/>
      <c r="K2133" s="725"/>
      <c r="L2133" s="725"/>
      <c r="M2133" s="725"/>
      <c r="N2133" s="726"/>
    </row>
    <row r="2134" spans="1:15" ht="12.75" customHeight="1" x14ac:dyDescent="0.2">
      <c r="A2134" s="728" t="s">
        <v>39</v>
      </c>
      <c r="B2134" s="725"/>
      <c r="C2134" s="725"/>
      <c r="D2134" s="725"/>
      <c r="E2134" s="725"/>
      <c r="F2134" s="725"/>
      <c r="G2134" s="726"/>
      <c r="H2134" s="143" t="s">
        <v>40</v>
      </c>
      <c r="I2134" s="732" t="s">
        <v>404</v>
      </c>
      <c r="J2134" s="726"/>
      <c r="K2134" s="732" t="s">
        <v>184</v>
      </c>
      <c r="L2134" s="726"/>
      <c r="M2134" s="732" t="s">
        <v>405</v>
      </c>
      <c r="N2134" s="726"/>
    </row>
    <row r="2135" spans="1:15" ht="12.75" customHeight="1" x14ac:dyDescent="0.2">
      <c r="A2135" s="733" t="s">
        <v>434</v>
      </c>
      <c r="B2135" s="725"/>
      <c r="C2135" s="725"/>
      <c r="D2135" s="725"/>
      <c r="E2135" s="725"/>
      <c r="F2135" s="725"/>
      <c r="G2135" s="726"/>
      <c r="H2135" s="107" t="str">
        <f t="shared" ref="H2135:H2140" si="277">IF(A2135="","",VLOOKUP(A2135,AA_Materiales,7,FALSE))</f>
        <v>Lt</v>
      </c>
      <c r="I2135" s="727">
        <f t="shared" ref="I2135:I2140" si="278">IF(A2135="","",VLOOKUP(A2135,AA_Materiales,8,FALSE))</f>
        <v>20</v>
      </c>
      <c r="J2135" s="726"/>
      <c r="K2135" s="730">
        <v>20</v>
      </c>
      <c r="L2135" s="726"/>
      <c r="M2135" s="727">
        <f t="shared" ref="M2135:M2140" si="279">IF(A2135="","",I2135*K2135)</f>
        <v>400</v>
      </c>
      <c r="N2135" s="726"/>
    </row>
    <row r="2136" spans="1:15" ht="12.75" customHeight="1" x14ac:dyDescent="0.2">
      <c r="A2136" s="733"/>
      <c r="B2136" s="725"/>
      <c r="C2136" s="725"/>
      <c r="D2136" s="725"/>
      <c r="E2136" s="725"/>
      <c r="F2136" s="725"/>
      <c r="G2136" s="726"/>
      <c r="H2136" s="107" t="str">
        <f t="shared" si="277"/>
        <v/>
      </c>
      <c r="I2136" s="727" t="str">
        <f t="shared" si="278"/>
        <v/>
      </c>
      <c r="J2136" s="726"/>
      <c r="K2136" s="730"/>
      <c r="L2136" s="726"/>
      <c r="M2136" s="727" t="str">
        <f t="shared" si="279"/>
        <v/>
      </c>
      <c r="N2136" s="726"/>
    </row>
    <row r="2137" spans="1:15" ht="12.75" customHeight="1" x14ac:dyDescent="0.2">
      <c r="A2137" s="733"/>
      <c r="B2137" s="725"/>
      <c r="C2137" s="725"/>
      <c r="D2137" s="725"/>
      <c r="E2137" s="725"/>
      <c r="F2137" s="725"/>
      <c r="G2137" s="726"/>
      <c r="H2137" s="107" t="str">
        <f t="shared" si="277"/>
        <v/>
      </c>
      <c r="I2137" s="727" t="str">
        <f t="shared" si="278"/>
        <v/>
      </c>
      <c r="J2137" s="726"/>
      <c r="K2137" s="730"/>
      <c r="L2137" s="726"/>
      <c r="M2137" s="727" t="str">
        <f t="shared" si="279"/>
        <v/>
      </c>
      <c r="N2137" s="726"/>
    </row>
    <row r="2138" spans="1:15" ht="12.75" customHeight="1" x14ac:dyDescent="0.2">
      <c r="A2138" s="733"/>
      <c r="B2138" s="725"/>
      <c r="C2138" s="725"/>
      <c r="D2138" s="725"/>
      <c r="E2138" s="725"/>
      <c r="F2138" s="725"/>
      <c r="G2138" s="726"/>
      <c r="H2138" s="107" t="str">
        <f t="shared" si="277"/>
        <v/>
      </c>
      <c r="I2138" s="727" t="str">
        <f t="shared" si="278"/>
        <v/>
      </c>
      <c r="J2138" s="726"/>
      <c r="K2138" s="730"/>
      <c r="L2138" s="726"/>
      <c r="M2138" s="727" t="str">
        <f t="shared" si="279"/>
        <v/>
      </c>
      <c r="N2138" s="726"/>
    </row>
    <row r="2139" spans="1:15" ht="12.75" customHeight="1" x14ac:dyDescent="0.2">
      <c r="A2139" s="733"/>
      <c r="B2139" s="725"/>
      <c r="C2139" s="725"/>
      <c r="D2139" s="725"/>
      <c r="E2139" s="725"/>
      <c r="F2139" s="725"/>
      <c r="G2139" s="726"/>
      <c r="H2139" s="107" t="str">
        <f t="shared" si="277"/>
        <v/>
      </c>
      <c r="I2139" s="727" t="str">
        <f t="shared" si="278"/>
        <v/>
      </c>
      <c r="J2139" s="726"/>
      <c r="K2139" s="730"/>
      <c r="L2139" s="726"/>
      <c r="M2139" s="727" t="str">
        <f t="shared" si="279"/>
        <v/>
      </c>
      <c r="N2139" s="726"/>
    </row>
    <row r="2140" spans="1:15" ht="12.75" customHeight="1" x14ac:dyDescent="0.2">
      <c r="A2140" s="733"/>
      <c r="B2140" s="725"/>
      <c r="C2140" s="725"/>
      <c r="D2140" s="725"/>
      <c r="E2140" s="725"/>
      <c r="F2140" s="725"/>
      <c r="G2140" s="726"/>
      <c r="H2140" s="107" t="str">
        <f t="shared" si="277"/>
        <v/>
      </c>
      <c r="I2140" s="727" t="str">
        <f t="shared" si="278"/>
        <v/>
      </c>
      <c r="J2140" s="726"/>
      <c r="K2140" s="730"/>
      <c r="L2140" s="726"/>
      <c r="M2140" s="727" t="str">
        <f t="shared" si="279"/>
        <v/>
      </c>
      <c r="N2140" s="726"/>
    </row>
    <row r="2141" spans="1:15" ht="12.75" customHeight="1" x14ac:dyDescent="0.25">
      <c r="A2141" s="94"/>
      <c r="B2141" s="94"/>
      <c r="C2141" s="94"/>
      <c r="D2141" s="94"/>
      <c r="E2141" s="94"/>
      <c r="F2141" s="94"/>
      <c r="G2141" s="94"/>
      <c r="H2141" s="94"/>
      <c r="I2141" s="94"/>
      <c r="J2141" s="94"/>
      <c r="K2141" s="728" t="s">
        <v>261</v>
      </c>
      <c r="L2141" s="726"/>
      <c r="M2141" s="727">
        <f>SUM(M2135:N2140)</f>
        <v>400</v>
      </c>
      <c r="N2141" s="726"/>
    </row>
    <row r="2142" spans="1:15" ht="12.75" customHeight="1" x14ac:dyDescent="0.25">
      <c r="A2142" s="94"/>
      <c r="B2142" s="94"/>
      <c r="C2142" s="94"/>
      <c r="D2142" s="94"/>
      <c r="E2142" s="94"/>
      <c r="F2142" s="94"/>
      <c r="G2142" s="94"/>
      <c r="H2142" s="94"/>
      <c r="I2142" s="94"/>
      <c r="J2142" s="94"/>
      <c r="K2142" s="94"/>
      <c r="L2142" s="94"/>
      <c r="M2142" s="94"/>
      <c r="N2142" s="94"/>
    </row>
    <row r="2143" spans="1:15" ht="12.75" customHeight="1" x14ac:dyDescent="0.2">
      <c r="A2143" s="731" t="s">
        <v>410</v>
      </c>
      <c r="B2143" s="725"/>
      <c r="C2143" s="725"/>
      <c r="D2143" s="725"/>
      <c r="E2143" s="725"/>
      <c r="F2143" s="725"/>
      <c r="G2143" s="725"/>
      <c r="H2143" s="725"/>
      <c r="I2143" s="725"/>
      <c r="J2143" s="725"/>
      <c r="K2143" s="725"/>
      <c r="L2143" s="725"/>
      <c r="M2143" s="725"/>
      <c r="N2143" s="726"/>
    </row>
    <row r="2144" spans="1:15" ht="12.75" customHeight="1" x14ac:dyDescent="0.2">
      <c r="A2144" s="728" t="s">
        <v>39</v>
      </c>
      <c r="B2144" s="725"/>
      <c r="C2144" s="725"/>
      <c r="D2144" s="725"/>
      <c r="E2144" s="725"/>
      <c r="F2144" s="725"/>
      <c r="G2144" s="726"/>
      <c r="H2144" s="143" t="s">
        <v>40</v>
      </c>
      <c r="I2144" s="732" t="s">
        <v>404</v>
      </c>
      <c r="J2144" s="726"/>
      <c r="K2144" s="732" t="s">
        <v>184</v>
      </c>
      <c r="L2144" s="726"/>
      <c r="M2144" s="732" t="s">
        <v>405</v>
      </c>
      <c r="N2144" s="726"/>
    </row>
    <row r="2145" spans="1:15" ht="12.75" customHeight="1" x14ac:dyDescent="0.2">
      <c r="A2145" s="729" t="s">
        <v>411</v>
      </c>
      <c r="B2145" s="725"/>
      <c r="C2145" s="725"/>
      <c r="D2145" s="725"/>
      <c r="E2145" s="725"/>
      <c r="F2145" s="725"/>
      <c r="G2145" s="726"/>
      <c r="H2145" s="107" t="str">
        <f>IF(A2145="","",VLOOKUP(A2145,AA_Equipos,7,FALSE))</f>
        <v>% M.O.</v>
      </c>
      <c r="I2145" s="727">
        <f>+M2168</f>
        <v>12795.263892000001</v>
      </c>
      <c r="J2145" s="726"/>
      <c r="K2145" s="734">
        <v>0.03</v>
      </c>
      <c r="L2145" s="726"/>
      <c r="M2145" s="727">
        <f t="shared" ref="M2145:M2149" si="280">IF(A2145="","",I2145*K2145)</f>
        <v>383.85791676000002</v>
      </c>
      <c r="N2145" s="726"/>
    </row>
    <row r="2146" spans="1:15" ht="12.75" customHeight="1" x14ac:dyDescent="0.2">
      <c r="A2146" s="733" t="s">
        <v>1440</v>
      </c>
      <c r="B2146" s="725"/>
      <c r="C2146" s="725"/>
      <c r="D2146" s="725"/>
      <c r="E2146" s="725"/>
      <c r="F2146" s="725"/>
      <c r="G2146" s="726"/>
      <c r="H2146" s="107" t="str">
        <f>IF(A2146="","",VLOOKUP(A2146,AA_Equipos,7,FALSE))</f>
        <v>Dia</v>
      </c>
      <c r="I2146" s="727">
        <f>IF(A2146="","",VLOOKUP(A2146,AA_Equipos,8,FALSE))</f>
        <v>63294.5</v>
      </c>
      <c r="J2146" s="726"/>
      <c r="K2146" s="748">
        <f>1/10</f>
        <v>0.1</v>
      </c>
      <c r="L2146" s="726"/>
      <c r="M2146" s="727">
        <f t="shared" si="280"/>
        <v>6329.4500000000007</v>
      </c>
      <c r="N2146" s="726"/>
    </row>
    <row r="2147" spans="1:15" ht="12.75" customHeight="1" x14ac:dyDescent="0.2">
      <c r="A2147" s="733"/>
      <c r="B2147" s="725"/>
      <c r="C2147" s="725"/>
      <c r="D2147" s="725"/>
      <c r="E2147" s="725"/>
      <c r="F2147" s="725"/>
      <c r="G2147" s="726"/>
      <c r="H2147" s="107" t="str">
        <f>IF(A2147="","",VLOOKUP(A2147,AA_Equipos,7,FALSE))</f>
        <v/>
      </c>
      <c r="I2147" s="727" t="str">
        <f>IF(A2147="","",VLOOKUP(A2147,AA_Equipos,8,FALSE))</f>
        <v/>
      </c>
      <c r="J2147" s="726"/>
      <c r="K2147" s="741"/>
      <c r="L2147" s="726"/>
      <c r="M2147" s="727" t="str">
        <f t="shared" si="280"/>
        <v/>
      </c>
      <c r="N2147" s="726"/>
    </row>
    <row r="2148" spans="1:15" ht="12.75" customHeight="1" x14ac:dyDescent="0.2">
      <c r="A2148" s="733"/>
      <c r="B2148" s="725"/>
      <c r="C2148" s="725"/>
      <c r="D2148" s="725"/>
      <c r="E2148" s="725"/>
      <c r="F2148" s="725"/>
      <c r="G2148" s="726"/>
      <c r="H2148" s="107" t="str">
        <f>IF(A2148="","",VLOOKUP(A2148,AA_Equipos,7,FALSE))</f>
        <v/>
      </c>
      <c r="I2148" s="727" t="str">
        <f>IF(A2148="","",VLOOKUP(A2148,AA_Equipos,8,FALSE))</f>
        <v/>
      </c>
      <c r="J2148" s="726"/>
      <c r="K2148" s="730"/>
      <c r="L2148" s="726"/>
      <c r="M2148" s="727" t="str">
        <f t="shared" si="280"/>
        <v/>
      </c>
      <c r="N2148" s="726"/>
    </row>
    <row r="2149" spans="1:15" ht="12.75" customHeight="1" x14ac:dyDescent="0.2">
      <c r="A2149" s="729"/>
      <c r="B2149" s="725"/>
      <c r="C2149" s="725"/>
      <c r="D2149" s="725"/>
      <c r="E2149" s="725"/>
      <c r="F2149" s="725"/>
      <c r="G2149" s="726"/>
      <c r="H2149" s="107" t="str">
        <f>IF(A2149="","",VLOOKUP(A2149,AA_Equipos,7,FALSE))</f>
        <v/>
      </c>
      <c r="I2149" s="727" t="str">
        <f>IF(A2149="","",VLOOKUP(A2149,AA_Equipos,8,FALSE))</f>
        <v/>
      </c>
      <c r="J2149" s="726"/>
      <c r="K2149" s="730"/>
      <c r="L2149" s="726"/>
      <c r="M2149" s="727" t="str">
        <f t="shared" si="280"/>
        <v/>
      </c>
      <c r="N2149" s="726"/>
    </row>
    <row r="2150" spans="1:15" ht="12.75" customHeight="1" x14ac:dyDescent="0.25">
      <c r="A2150" s="94"/>
      <c r="B2150" s="94"/>
      <c r="C2150" s="94"/>
      <c r="D2150" s="94"/>
      <c r="E2150" s="94"/>
      <c r="F2150" s="94"/>
      <c r="G2150" s="94"/>
      <c r="H2150" s="94"/>
      <c r="I2150" s="94"/>
      <c r="J2150" s="94"/>
      <c r="K2150" s="728" t="s">
        <v>261</v>
      </c>
      <c r="L2150" s="726"/>
      <c r="M2150" s="727">
        <f>SUM(M2145:N2149)</f>
        <v>6713.3079167600008</v>
      </c>
      <c r="N2150" s="726"/>
    </row>
    <row r="2151" spans="1:15" ht="12.75" customHeight="1" x14ac:dyDescent="0.25">
      <c r="A2151" s="94"/>
      <c r="B2151" s="94"/>
      <c r="C2151" s="94"/>
      <c r="D2151" s="94"/>
      <c r="E2151" s="94"/>
      <c r="F2151" s="94"/>
      <c r="G2151" s="94"/>
      <c r="H2151" s="94"/>
      <c r="I2151" s="94"/>
      <c r="J2151" s="94"/>
      <c r="K2151" s="94"/>
      <c r="L2151" s="94"/>
      <c r="M2151" s="94"/>
      <c r="N2151" s="94"/>
    </row>
    <row r="2152" spans="1:15" ht="12.75" customHeight="1" x14ac:dyDescent="0.2">
      <c r="A2152" s="731" t="s">
        <v>413</v>
      </c>
      <c r="B2152" s="725"/>
      <c r="C2152" s="725"/>
      <c r="D2152" s="725"/>
      <c r="E2152" s="725"/>
      <c r="F2152" s="725"/>
      <c r="G2152" s="725"/>
      <c r="H2152" s="725"/>
      <c r="I2152" s="725"/>
      <c r="J2152" s="725"/>
      <c r="K2152" s="725"/>
      <c r="L2152" s="725"/>
      <c r="M2152" s="725"/>
      <c r="N2152" s="726"/>
    </row>
    <row r="2153" spans="1:15" ht="12.75" customHeight="1" x14ac:dyDescent="0.2">
      <c r="A2153" s="728" t="s">
        <v>39</v>
      </c>
      <c r="B2153" s="725"/>
      <c r="C2153" s="725"/>
      <c r="D2153" s="725"/>
      <c r="E2153" s="725"/>
      <c r="F2153" s="725"/>
      <c r="G2153" s="726"/>
      <c r="H2153" s="143" t="s">
        <v>40</v>
      </c>
      <c r="I2153" s="732" t="s">
        <v>404</v>
      </c>
      <c r="J2153" s="726"/>
      <c r="K2153" s="732" t="s">
        <v>184</v>
      </c>
      <c r="L2153" s="726"/>
      <c r="M2153" s="732" t="s">
        <v>405</v>
      </c>
      <c r="N2153" s="726"/>
    </row>
    <row r="2154" spans="1:15" ht="12.75" customHeight="1" x14ac:dyDescent="0.2">
      <c r="A2154" s="729" t="s">
        <v>443</v>
      </c>
      <c r="B2154" s="725"/>
      <c r="C2154" s="725"/>
      <c r="D2154" s="725"/>
      <c r="E2154" s="725"/>
      <c r="F2154" s="725"/>
      <c r="G2154" s="726"/>
      <c r="H2154" s="107" t="s">
        <v>426</v>
      </c>
      <c r="I2154" s="727">
        <f>+M2141</f>
        <v>400</v>
      </c>
      <c r="J2154" s="726"/>
      <c r="K2154" s="734">
        <v>0</v>
      </c>
      <c r="L2154" s="726"/>
      <c r="M2154" s="727">
        <f t="shared" ref="M2154:M2158" si="281">IF(A2154="","",I2154*K2154)</f>
        <v>0</v>
      </c>
      <c r="N2154" s="726"/>
      <c r="O2154" s="144"/>
    </row>
    <row r="2155" spans="1:15" ht="12.75" customHeight="1" x14ac:dyDescent="0.2">
      <c r="A2155" s="733" t="s">
        <v>1441</v>
      </c>
      <c r="B2155" s="725"/>
      <c r="C2155" s="725"/>
      <c r="D2155" s="725"/>
      <c r="E2155" s="725"/>
      <c r="F2155" s="725"/>
      <c r="G2155" s="726"/>
      <c r="H2155" s="107" t="s">
        <v>1442</v>
      </c>
      <c r="I2155" s="727">
        <f>+M2150</f>
        <v>6713.3079167600008</v>
      </c>
      <c r="J2155" s="726"/>
      <c r="K2155" s="734">
        <v>0.03</v>
      </c>
      <c r="L2155" s="726"/>
      <c r="M2155" s="727">
        <f t="shared" si="281"/>
        <v>201.39923750280002</v>
      </c>
      <c r="N2155" s="726"/>
    </row>
    <row r="2156" spans="1:15" ht="12.75" customHeight="1" x14ac:dyDescent="0.2">
      <c r="A2156" s="729"/>
      <c r="B2156" s="725"/>
      <c r="C2156" s="725"/>
      <c r="D2156" s="725"/>
      <c r="E2156" s="725"/>
      <c r="F2156" s="725"/>
      <c r="G2156" s="726"/>
      <c r="H2156" s="107"/>
      <c r="I2156" s="727"/>
      <c r="J2156" s="726"/>
      <c r="K2156" s="730"/>
      <c r="L2156" s="726"/>
      <c r="M2156" s="727" t="str">
        <f t="shared" si="281"/>
        <v/>
      </c>
      <c r="N2156" s="726"/>
    </row>
    <row r="2157" spans="1:15" ht="12.75" customHeight="1" x14ac:dyDescent="0.2">
      <c r="A2157" s="729"/>
      <c r="B2157" s="725"/>
      <c r="C2157" s="725"/>
      <c r="D2157" s="725"/>
      <c r="E2157" s="725"/>
      <c r="F2157" s="725"/>
      <c r="G2157" s="726"/>
      <c r="H2157" s="107"/>
      <c r="I2157" s="727"/>
      <c r="J2157" s="726"/>
      <c r="K2157" s="730"/>
      <c r="L2157" s="726"/>
      <c r="M2157" s="727" t="str">
        <f t="shared" si="281"/>
        <v/>
      </c>
      <c r="N2157" s="726"/>
    </row>
    <row r="2158" spans="1:15" ht="12.75" customHeight="1" x14ac:dyDescent="0.2">
      <c r="A2158" s="729"/>
      <c r="B2158" s="725"/>
      <c r="C2158" s="725"/>
      <c r="D2158" s="725"/>
      <c r="E2158" s="725"/>
      <c r="F2158" s="725"/>
      <c r="G2158" s="726"/>
      <c r="H2158" s="107"/>
      <c r="I2158" s="727"/>
      <c r="J2158" s="726"/>
      <c r="K2158" s="730"/>
      <c r="L2158" s="726"/>
      <c r="M2158" s="727" t="str">
        <f t="shared" si="281"/>
        <v/>
      </c>
      <c r="N2158" s="726"/>
    </row>
    <row r="2159" spans="1:15" ht="12.75" customHeight="1" x14ac:dyDescent="0.25">
      <c r="A2159" s="94"/>
      <c r="B2159" s="94"/>
      <c r="C2159" s="94"/>
      <c r="D2159" s="94"/>
      <c r="E2159" s="94"/>
      <c r="F2159" s="94"/>
      <c r="G2159" s="94"/>
      <c r="H2159" s="94"/>
      <c r="I2159" s="94"/>
      <c r="J2159" s="94"/>
      <c r="K2159" s="728" t="s">
        <v>261</v>
      </c>
      <c r="L2159" s="726"/>
      <c r="M2159" s="727">
        <f>SUM(M2154:N2158)</f>
        <v>201.39923750280002</v>
      </c>
      <c r="N2159" s="726"/>
    </row>
    <row r="2160" spans="1:15" ht="12.75" customHeight="1" x14ac:dyDescent="0.25">
      <c r="A2160" s="94"/>
      <c r="B2160" s="94"/>
      <c r="C2160" s="94"/>
      <c r="D2160" s="94"/>
      <c r="E2160" s="94"/>
      <c r="F2160" s="94"/>
      <c r="G2160" s="94"/>
      <c r="H2160" s="94"/>
      <c r="I2160" s="94"/>
      <c r="J2160" s="94"/>
      <c r="K2160" s="94"/>
      <c r="L2160" s="94"/>
      <c r="M2160" s="94"/>
      <c r="N2160" s="94"/>
    </row>
    <row r="2161" spans="1:15" ht="12.75" customHeight="1" x14ac:dyDescent="0.2">
      <c r="A2161" s="731" t="s">
        <v>415</v>
      </c>
      <c r="B2161" s="725"/>
      <c r="C2161" s="725"/>
      <c r="D2161" s="725"/>
      <c r="E2161" s="725"/>
      <c r="F2161" s="725"/>
      <c r="G2161" s="725"/>
      <c r="H2161" s="725"/>
      <c r="I2161" s="725"/>
      <c r="J2161" s="725"/>
      <c r="K2161" s="725"/>
      <c r="L2161" s="725"/>
      <c r="M2161" s="725"/>
      <c r="N2161" s="726"/>
    </row>
    <row r="2162" spans="1:15" ht="12.75" customHeight="1" x14ac:dyDescent="0.2">
      <c r="A2162" s="728" t="s">
        <v>39</v>
      </c>
      <c r="B2162" s="725"/>
      <c r="C2162" s="725"/>
      <c r="D2162" s="725"/>
      <c r="E2162" s="725"/>
      <c r="F2162" s="725"/>
      <c r="G2162" s="726"/>
      <c r="H2162" s="143" t="s">
        <v>40</v>
      </c>
      <c r="I2162" s="732" t="s">
        <v>404</v>
      </c>
      <c r="J2162" s="726"/>
      <c r="K2162" s="145" t="s">
        <v>253</v>
      </c>
      <c r="L2162" s="146" t="s">
        <v>416</v>
      </c>
      <c r="M2162" s="732" t="s">
        <v>405</v>
      </c>
      <c r="N2162" s="726"/>
    </row>
    <row r="2163" spans="1:15" ht="12.75" customHeight="1" x14ac:dyDescent="0.25">
      <c r="A2163" s="724" t="s">
        <v>427</v>
      </c>
      <c r="B2163" s="725"/>
      <c r="C2163" s="725"/>
      <c r="D2163" s="725"/>
      <c r="E2163" s="725"/>
      <c r="F2163" s="725"/>
      <c r="G2163" s="726"/>
      <c r="H2163" s="107" t="str">
        <f>IF(A2163="","",VLOOKUP(A2163,AA_Cuadrillas,4,FALSE))</f>
        <v>Cuadrilla</v>
      </c>
      <c r="I2163" s="727">
        <f>IF(A2163="","",VLOOKUP(A2163,AA_Cuadrillas,5,FALSE))</f>
        <v>169254</v>
      </c>
      <c r="J2163" s="726"/>
      <c r="K2163" s="3">
        <f>IF(A2163="","",'04'!$I$2)</f>
        <v>1.88995</v>
      </c>
      <c r="L2163" s="103">
        <v>0.04</v>
      </c>
      <c r="M2163" s="727">
        <f t="shared" ref="M2163:M2167" si="282">IF(A2163="","",I2163*K2163*L2163)</f>
        <v>12795.263892000001</v>
      </c>
      <c r="N2163" s="726"/>
    </row>
    <row r="2164" spans="1:15" ht="12.75" customHeight="1" x14ac:dyDescent="0.25">
      <c r="A2164" s="724"/>
      <c r="B2164" s="725"/>
      <c r="C2164" s="725"/>
      <c r="D2164" s="725"/>
      <c r="E2164" s="725"/>
      <c r="F2164" s="725"/>
      <c r="G2164" s="726"/>
      <c r="H2164" s="107" t="str">
        <f>IF(A2164="","",VLOOKUP(A2164,AA_Cuadrillas,4,FALSE))</f>
        <v/>
      </c>
      <c r="I2164" s="727" t="str">
        <f>IF(A2164="","",VLOOKUP(A2164,AA_Cuadrillas,5,FALSE))</f>
        <v/>
      </c>
      <c r="J2164" s="726"/>
      <c r="K2164" s="3" t="str">
        <f>IF(A2164="","",'04'!$I$2)</f>
        <v/>
      </c>
      <c r="L2164" s="104"/>
      <c r="M2164" s="727" t="str">
        <f t="shared" si="282"/>
        <v/>
      </c>
      <c r="N2164" s="726"/>
    </row>
    <row r="2165" spans="1:15" ht="12.75" customHeight="1" x14ac:dyDescent="0.25">
      <c r="A2165" s="724"/>
      <c r="B2165" s="725"/>
      <c r="C2165" s="725"/>
      <c r="D2165" s="725"/>
      <c r="E2165" s="725"/>
      <c r="F2165" s="725"/>
      <c r="G2165" s="726"/>
      <c r="H2165" s="107" t="str">
        <f>IF(A2165="","",VLOOKUP(A2165,AA_Cuadrillas,4,FALSE))</f>
        <v/>
      </c>
      <c r="I2165" s="727" t="str">
        <f>IF(A2165="","",VLOOKUP(A2165,AA_Cuadrillas,5,FALSE))</f>
        <v/>
      </c>
      <c r="J2165" s="726"/>
      <c r="K2165" s="3" t="str">
        <f>IF(A2165="","",'04'!$I$2)</f>
        <v/>
      </c>
      <c r="L2165" s="108"/>
      <c r="M2165" s="727" t="str">
        <f t="shared" si="282"/>
        <v/>
      </c>
      <c r="N2165" s="726"/>
    </row>
    <row r="2166" spans="1:15" ht="12.75" customHeight="1" x14ac:dyDescent="0.25">
      <c r="A2166" s="724"/>
      <c r="B2166" s="725"/>
      <c r="C2166" s="725"/>
      <c r="D2166" s="725"/>
      <c r="E2166" s="725"/>
      <c r="F2166" s="725"/>
      <c r="G2166" s="726"/>
      <c r="H2166" s="107" t="str">
        <f>IF(A2166="","",VLOOKUP(A2166,AA_Cuadrillas,4,FALSE))</f>
        <v/>
      </c>
      <c r="I2166" s="727" t="str">
        <f>IF(A2166="","",VLOOKUP(A2166,AA_Cuadrillas,5,FALSE))</f>
        <v/>
      </c>
      <c r="J2166" s="726"/>
      <c r="K2166" s="3" t="str">
        <f>IF(A2166="","",'04'!$I$2)</f>
        <v/>
      </c>
      <c r="L2166" s="108"/>
      <c r="M2166" s="727" t="str">
        <f t="shared" si="282"/>
        <v/>
      </c>
      <c r="N2166" s="726"/>
    </row>
    <row r="2167" spans="1:15" ht="12.75" customHeight="1" x14ac:dyDescent="0.25">
      <c r="A2167" s="724"/>
      <c r="B2167" s="725"/>
      <c r="C2167" s="725"/>
      <c r="D2167" s="725"/>
      <c r="E2167" s="725"/>
      <c r="F2167" s="725"/>
      <c r="G2167" s="726"/>
      <c r="H2167" s="107" t="str">
        <f>IF(A2167="","",VLOOKUP(A2167,AA_Cuadrillas,4,FALSE))</f>
        <v/>
      </c>
      <c r="I2167" s="727" t="str">
        <f>IF(A2167="","",VLOOKUP(A2167,AA_Cuadrillas,5,FALSE))</f>
        <v/>
      </c>
      <c r="J2167" s="726"/>
      <c r="K2167" s="3" t="str">
        <f>IF(A2167="","",'04'!$I$2)</f>
        <v/>
      </c>
      <c r="L2167" s="108"/>
      <c r="M2167" s="727" t="str">
        <f t="shared" si="282"/>
        <v/>
      </c>
      <c r="N2167" s="726"/>
    </row>
    <row r="2168" spans="1:15" ht="12.75" customHeight="1" x14ac:dyDescent="0.25">
      <c r="A2168" s="94"/>
      <c r="B2168" s="94"/>
      <c r="C2168" s="94"/>
      <c r="D2168" s="94"/>
      <c r="E2168" s="94"/>
      <c r="F2168" s="94"/>
      <c r="G2168" s="94"/>
      <c r="H2168" s="94"/>
      <c r="I2168" s="94"/>
      <c r="J2168" s="94"/>
      <c r="K2168" s="728" t="s">
        <v>261</v>
      </c>
      <c r="L2168" s="726"/>
      <c r="M2168" s="727">
        <f>SUM(M2163:N2167)</f>
        <v>12795.263892000001</v>
      </c>
      <c r="N2168" s="726"/>
    </row>
    <row r="2169" spans="1:15" ht="12.75" customHeight="1" x14ac:dyDescent="0.25">
      <c r="A2169" s="94"/>
      <c r="B2169" s="94"/>
      <c r="C2169" s="94"/>
      <c r="D2169" s="94"/>
      <c r="E2169" s="94"/>
      <c r="F2169" s="94"/>
      <c r="G2169" s="94"/>
      <c r="H2169" s="94"/>
      <c r="I2169" s="94"/>
      <c r="J2169" s="94"/>
      <c r="K2169" s="148"/>
      <c r="L2169" s="149"/>
      <c r="M2169" s="150"/>
      <c r="N2169" s="151"/>
    </row>
    <row r="2170" spans="1:15" ht="12.75" customHeight="1" x14ac:dyDescent="0.2">
      <c r="A2170" s="735" t="s">
        <v>1531</v>
      </c>
      <c r="B2170" s="736"/>
      <c r="C2170" s="736"/>
      <c r="D2170" s="736"/>
      <c r="E2170" s="736"/>
      <c r="F2170" s="736"/>
      <c r="G2170" s="736"/>
      <c r="H2170" s="736"/>
      <c r="I2170" s="736"/>
      <c r="J2170" s="736"/>
      <c r="K2170" s="736"/>
      <c r="L2170" s="736"/>
      <c r="M2170" s="736"/>
      <c r="N2170" s="737"/>
      <c r="O2170" s="271"/>
    </row>
    <row r="2171" spans="1:15" ht="12.75" customHeight="1" x14ac:dyDescent="0.2">
      <c r="A2171" s="738"/>
      <c r="B2171" s="739"/>
      <c r="C2171" s="739"/>
      <c r="D2171" s="739"/>
      <c r="E2171" s="739"/>
      <c r="F2171" s="739"/>
      <c r="G2171" s="739"/>
      <c r="H2171" s="739"/>
      <c r="I2171" s="739"/>
      <c r="J2171" s="739"/>
      <c r="K2171" s="739"/>
      <c r="L2171" s="739"/>
      <c r="M2171" s="739"/>
      <c r="N2171" s="740"/>
      <c r="O2171" s="271"/>
    </row>
    <row r="2172" spans="1:15" ht="12.75" customHeight="1" x14ac:dyDescent="0.2">
      <c r="A2172" s="136"/>
      <c r="B2172" s="136"/>
      <c r="C2172" s="136"/>
      <c r="D2172" s="136"/>
      <c r="E2172" s="136"/>
      <c r="F2172" s="136"/>
      <c r="G2172" s="136"/>
      <c r="H2172" s="136"/>
      <c r="I2172" s="136"/>
      <c r="J2172" s="136"/>
      <c r="K2172" s="136"/>
      <c r="L2172" s="136"/>
      <c r="M2172" s="136"/>
      <c r="N2172" s="136"/>
    </row>
    <row r="2173" spans="1:15" ht="12.75" customHeight="1" thickBot="1" x14ac:dyDescent="0.35">
      <c r="A2173" s="51" t="str">
        <f>VLOOKUP(A2170,'10'!$B$9:$N$100,13,FALSE)</f>
        <v>G048</v>
      </c>
      <c r="B2173" s="137" t="str">
        <f>A2170</f>
        <v>DEMOLICIÓN Y ROTURA DE PAVIMENTO FLEXIBLE (INCLUYE COMPRESOR, MARTILLO DEMOLEDOR, MATERIALES, HERRAMIENTA MENOR Y MANO DE OBRA)</v>
      </c>
      <c r="C2173" s="138" t="s">
        <v>400</v>
      </c>
      <c r="D2173" s="139" t="s">
        <v>420</v>
      </c>
      <c r="E2173" s="140" t="s">
        <v>177</v>
      </c>
      <c r="F2173" s="141">
        <f>H2173+J2173+L2173+N2173</f>
        <v>71313.851342081427</v>
      </c>
      <c r="G2173" s="140" t="s">
        <v>349</v>
      </c>
      <c r="H2173" s="141">
        <f>M2191</f>
        <v>17103.378931285715</v>
      </c>
      <c r="I2173" s="140" t="s">
        <v>402</v>
      </c>
      <c r="J2173" s="141">
        <f>M2183</f>
        <v>8000</v>
      </c>
      <c r="K2173" s="140" t="s">
        <v>351</v>
      </c>
      <c r="L2173" s="141">
        <f>M2200</f>
        <v>513.10136793857146</v>
      </c>
      <c r="M2173" s="140" t="s">
        <v>352</v>
      </c>
      <c r="N2173" s="141">
        <f>M2209</f>
        <v>45697.371042857143</v>
      </c>
    </row>
    <row r="2174" spans="1:15" ht="12.75" customHeight="1" thickBot="1" x14ac:dyDescent="0.3">
      <c r="A2174" s="142"/>
      <c r="B2174" s="142"/>
      <c r="C2174" s="142"/>
      <c r="D2174" s="142"/>
      <c r="E2174" s="142"/>
      <c r="F2174" s="142"/>
      <c r="G2174" s="142"/>
      <c r="J2174" s="142"/>
      <c r="K2174" s="142"/>
      <c r="L2174" s="327" t="s">
        <v>1934</v>
      </c>
      <c r="M2174" s="328">
        <f>+F2173*'01'!$O$16</f>
        <v>92300.874759618251</v>
      </c>
      <c r="N2174" s="142"/>
    </row>
    <row r="2175" spans="1:15" ht="12.75" customHeight="1" x14ac:dyDescent="0.2">
      <c r="A2175" s="731" t="s">
        <v>403</v>
      </c>
      <c r="B2175" s="725"/>
      <c r="C2175" s="725"/>
      <c r="D2175" s="725"/>
      <c r="E2175" s="725"/>
      <c r="F2175" s="725"/>
      <c r="G2175" s="725"/>
      <c r="H2175" s="725"/>
      <c r="I2175" s="725"/>
      <c r="J2175" s="725"/>
      <c r="K2175" s="725"/>
      <c r="L2175" s="725"/>
      <c r="M2175" s="725"/>
      <c r="N2175" s="726"/>
    </row>
    <row r="2176" spans="1:15" ht="12.75" customHeight="1" x14ac:dyDescent="0.2">
      <c r="A2176" s="728" t="s">
        <v>39</v>
      </c>
      <c r="B2176" s="725"/>
      <c r="C2176" s="725"/>
      <c r="D2176" s="725"/>
      <c r="E2176" s="725"/>
      <c r="F2176" s="725"/>
      <c r="G2176" s="726"/>
      <c r="H2176" s="143" t="s">
        <v>40</v>
      </c>
      <c r="I2176" s="732" t="s">
        <v>404</v>
      </c>
      <c r="J2176" s="726"/>
      <c r="K2176" s="732" t="s">
        <v>184</v>
      </c>
      <c r="L2176" s="726"/>
      <c r="M2176" s="732" t="s">
        <v>405</v>
      </c>
      <c r="N2176" s="726"/>
    </row>
    <row r="2177" spans="1:15" ht="12.75" customHeight="1" x14ac:dyDescent="0.2">
      <c r="A2177" s="733" t="s">
        <v>434</v>
      </c>
      <c r="B2177" s="725"/>
      <c r="C2177" s="725"/>
      <c r="D2177" s="725"/>
      <c r="E2177" s="725"/>
      <c r="F2177" s="725"/>
      <c r="G2177" s="726"/>
      <c r="H2177" s="107" t="str">
        <f t="shared" ref="H2177:H2182" si="283">IF(A2177="","",VLOOKUP(A2177,AA_Materiales,7,FALSE))</f>
        <v>Lt</v>
      </c>
      <c r="I2177" s="727">
        <f t="shared" ref="I2177:I2182" si="284">IF(A2177="","",VLOOKUP(A2177,AA_Materiales,8,FALSE))</f>
        <v>20</v>
      </c>
      <c r="J2177" s="726"/>
      <c r="K2177" s="730">
        <v>400</v>
      </c>
      <c r="L2177" s="726"/>
      <c r="M2177" s="727">
        <f t="shared" ref="M2177:M2182" si="285">IF(A2177="","",I2177*K2177)</f>
        <v>8000</v>
      </c>
      <c r="N2177" s="726"/>
      <c r="O2177" s="144"/>
    </row>
    <row r="2178" spans="1:15" ht="12.75" customHeight="1" x14ac:dyDescent="0.2">
      <c r="A2178" s="733"/>
      <c r="B2178" s="725"/>
      <c r="C2178" s="725"/>
      <c r="D2178" s="725"/>
      <c r="E2178" s="725"/>
      <c r="F2178" s="725"/>
      <c r="G2178" s="726"/>
      <c r="H2178" s="107" t="str">
        <f t="shared" si="283"/>
        <v/>
      </c>
      <c r="I2178" s="727" t="str">
        <f t="shared" si="284"/>
        <v/>
      </c>
      <c r="J2178" s="726"/>
      <c r="K2178" s="730"/>
      <c r="L2178" s="726"/>
      <c r="M2178" s="727" t="str">
        <f t="shared" si="285"/>
        <v/>
      </c>
      <c r="N2178" s="726"/>
    </row>
    <row r="2179" spans="1:15" ht="12.75" customHeight="1" x14ac:dyDescent="0.2">
      <c r="A2179" s="733"/>
      <c r="B2179" s="725"/>
      <c r="C2179" s="725"/>
      <c r="D2179" s="725"/>
      <c r="E2179" s="725"/>
      <c r="F2179" s="725"/>
      <c r="G2179" s="726"/>
      <c r="H2179" s="107" t="str">
        <f t="shared" si="283"/>
        <v/>
      </c>
      <c r="I2179" s="727" t="str">
        <f t="shared" si="284"/>
        <v/>
      </c>
      <c r="J2179" s="726"/>
      <c r="K2179" s="730"/>
      <c r="L2179" s="726"/>
      <c r="M2179" s="727" t="str">
        <f t="shared" si="285"/>
        <v/>
      </c>
      <c r="N2179" s="726"/>
    </row>
    <row r="2180" spans="1:15" ht="12.75" customHeight="1" x14ac:dyDescent="0.2">
      <c r="A2180" s="733"/>
      <c r="B2180" s="725"/>
      <c r="C2180" s="725"/>
      <c r="D2180" s="725"/>
      <c r="E2180" s="725"/>
      <c r="F2180" s="725"/>
      <c r="G2180" s="726"/>
      <c r="H2180" s="107" t="str">
        <f t="shared" si="283"/>
        <v/>
      </c>
      <c r="I2180" s="727" t="str">
        <f t="shared" si="284"/>
        <v/>
      </c>
      <c r="J2180" s="726"/>
      <c r="K2180" s="730"/>
      <c r="L2180" s="726"/>
      <c r="M2180" s="727" t="str">
        <f t="shared" si="285"/>
        <v/>
      </c>
      <c r="N2180" s="726"/>
    </row>
    <row r="2181" spans="1:15" ht="12.75" customHeight="1" x14ac:dyDescent="0.2">
      <c r="A2181" s="733"/>
      <c r="B2181" s="725"/>
      <c r="C2181" s="725"/>
      <c r="D2181" s="725"/>
      <c r="E2181" s="725"/>
      <c r="F2181" s="725"/>
      <c r="G2181" s="726"/>
      <c r="H2181" s="107" t="str">
        <f t="shared" si="283"/>
        <v/>
      </c>
      <c r="I2181" s="727" t="str">
        <f t="shared" si="284"/>
        <v/>
      </c>
      <c r="J2181" s="726"/>
      <c r="K2181" s="730"/>
      <c r="L2181" s="726"/>
      <c r="M2181" s="727" t="str">
        <f t="shared" si="285"/>
        <v/>
      </c>
      <c r="N2181" s="726"/>
    </row>
    <row r="2182" spans="1:15" ht="12.75" customHeight="1" x14ac:dyDescent="0.2">
      <c r="A2182" s="733"/>
      <c r="B2182" s="725"/>
      <c r="C2182" s="725"/>
      <c r="D2182" s="725"/>
      <c r="E2182" s="725"/>
      <c r="F2182" s="725"/>
      <c r="G2182" s="726"/>
      <c r="H2182" s="107" t="str">
        <f t="shared" si="283"/>
        <v/>
      </c>
      <c r="I2182" s="727" t="str">
        <f t="shared" si="284"/>
        <v/>
      </c>
      <c r="J2182" s="726"/>
      <c r="K2182" s="730"/>
      <c r="L2182" s="726"/>
      <c r="M2182" s="727" t="str">
        <f t="shared" si="285"/>
        <v/>
      </c>
      <c r="N2182" s="726"/>
    </row>
    <row r="2183" spans="1:15" ht="12.75" customHeight="1" x14ac:dyDescent="0.25">
      <c r="A2183" s="94"/>
      <c r="B2183" s="94"/>
      <c r="C2183" s="94"/>
      <c r="D2183" s="94"/>
      <c r="E2183" s="94"/>
      <c r="F2183" s="94"/>
      <c r="G2183" s="94"/>
      <c r="H2183" s="94"/>
      <c r="I2183" s="94"/>
      <c r="J2183" s="94"/>
      <c r="K2183" s="728" t="s">
        <v>261</v>
      </c>
      <c r="L2183" s="726"/>
      <c r="M2183" s="727">
        <f>SUM(M2177:N2182)</f>
        <v>8000</v>
      </c>
      <c r="N2183" s="726"/>
    </row>
    <row r="2184" spans="1:15" ht="12.75" customHeight="1" x14ac:dyDescent="0.25">
      <c r="A2184" s="94"/>
      <c r="B2184" s="94"/>
      <c r="C2184" s="94"/>
      <c r="D2184" s="94"/>
      <c r="E2184" s="94"/>
      <c r="F2184" s="94"/>
      <c r="G2184" s="94"/>
      <c r="H2184" s="94"/>
      <c r="I2184" s="94"/>
      <c r="J2184" s="94"/>
      <c r="K2184" s="94"/>
      <c r="L2184" s="94"/>
      <c r="M2184" s="94"/>
      <c r="N2184" s="94"/>
    </row>
    <row r="2185" spans="1:15" ht="12.75" customHeight="1" x14ac:dyDescent="0.2">
      <c r="A2185" s="731" t="s">
        <v>410</v>
      </c>
      <c r="B2185" s="725"/>
      <c r="C2185" s="725"/>
      <c r="D2185" s="725"/>
      <c r="E2185" s="725"/>
      <c r="F2185" s="725"/>
      <c r="G2185" s="725"/>
      <c r="H2185" s="725"/>
      <c r="I2185" s="725"/>
      <c r="J2185" s="725"/>
      <c r="K2185" s="725"/>
      <c r="L2185" s="725"/>
      <c r="M2185" s="725"/>
      <c r="N2185" s="726"/>
    </row>
    <row r="2186" spans="1:15" ht="12.75" customHeight="1" x14ac:dyDescent="0.2">
      <c r="A2186" s="728" t="s">
        <v>39</v>
      </c>
      <c r="B2186" s="725"/>
      <c r="C2186" s="725"/>
      <c r="D2186" s="725"/>
      <c r="E2186" s="725"/>
      <c r="F2186" s="725"/>
      <c r="G2186" s="726"/>
      <c r="H2186" s="143" t="s">
        <v>40</v>
      </c>
      <c r="I2186" s="732" t="s">
        <v>404</v>
      </c>
      <c r="J2186" s="726"/>
      <c r="K2186" s="732" t="s">
        <v>184</v>
      </c>
      <c r="L2186" s="726"/>
      <c r="M2186" s="732" t="s">
        <v>405</v>
      </c>
      <c r="N2186" s="726"/>
    </row>
    <row r="2187" spans="1:15" ht="12.75" customHeight="1" x14ac:dyDescent="0.2">
      <c r="A2187" s="729" t="s">
        <v>411</v>
      </c>
      <c r="B2187" s="725"/>
      <c r="C2187" s="725"/>
      <c r="D2187" s="725"/>
      <c r="E2187" s="725"/>
      <c r="F2187" s="725"/>
      <c r="G2187" s="726"/>
      <c r="H2187" s="107" t="str">
        <f>IF(A2187="","",VLOOKUP(A2187,AA_Equipos,7,FALSE))</f>
        <v>% M.O.</v>
      </c>
      <c r="I2187" s="727">
        <f>+M2209</f>
        <v>45697.371042857143</v>
      </c>
      <c r="J2187" s="726"/>
      <c r="K2187" s="734">
        <v>0.03</v>
      </c>
      <c r="L2187" s="726"/>
      <c r="M2187" s="727">
        <f t="shared" ref="M2187:M2190" si="286">IF(A2187="","",I2187*K2187)</f>
        <v>1370.9211312857142</v>
      </c>
      <c r="N2187" s="726"/>
    </row>
    <row r="2188" spans="1:15" ht="12.75" customHeight="1" x14ac:dyDescent="0.2">
      <c r="A2188" s="733" t="s">
        <v>1443</v>
      </c>
      <c r="B2188" s="725"/>
      <c r="C2188" s="725"/>
      <c r="D2188" s="725"/>
      <c r="E2188" s="725"/>
      <c r="F2188" s="725"/>
      <c r="G2188" s="726"/>
      <c r="H2188" s="107" t="str">
        <f>IF(A2188="","",VLOOKUP(A2188,AA_Equipos,7,FALSE))</f>
        <v>Hora</v>
      </c>
      <c r="I2188" s="727">
        <f>IF(A2188="","",VLOOKUP(A2188,AA_Equipos,8,FALSE))</f>
        <v>198300</v>
      </c>
      <c r="J2188" s="726"/>
      <c r="K2188" s="741">
        <v>0.05</v>
      </c>
      <c r="L2188" s="726"/>
      <c r="M2188" s="727">
        <f t="shared" si="286"/>
        <v>9915</v>
      </c>
      <c r="N2188" s="726"/>
    </row>
    <row r="2189" spans="1:15" ht="12.75" customHeight="1" x14ac:dyDescent="0.2">
      <c r="A2189" s="733" t="s">
        <v>1444</v>
      </c>
      <c r="B2189" s="725"/>
      <c r="C2189" s="725"/>
      <c r="D2189" s="725"/>
      <c r="E2189" s="725"/>
      <c r="F2189" s="725"/>
      <c r="G2189" s="726"/>
      <c r="H2189" s="107" t="str">
        <f>IF(A2189="","",VLOOKUP(A2189,AA_Equipos,7,FALSE))</f>
        <v>Hora</v>
      </c>
      <c r="I2189" s="727">
        <f>IF(A2189="","",VLOOKUP(A2189,AA_Equipos,8,FALSE))</f>
        <v>14543.6445</v>
      </c>
      <c r="J2189" s="726"/>
      <c r="K2189" s="730">
        <v>0.4</v>
      </c>
      <c r="L2189" s="726"/>
      <c r="M2189" s="727">
        <f t="shared" si="286"/>
        <v>5817.4578000000001</v>
      </c>
      <c r="N2189" s="726"/>
    </row>
    <row r="2190" spans="1:15" ht="12.75" customHeight="1" x14ac:dyDescent="0.2">
      <c r="A2190" s="729"/>
      <c r="B2190" s="725"/>
      <c r="C2190" s="725"/>
      <c r="D2190" s="725"/>
      <c r="E2190" s="725"/>
      <c r="F2190" s="725"/>
      <c r="G2190" s="726"/>
      <c r="H2190" s="107" t="str">
        <f>IF(A2190="","",VLOOKUP(A2190,AA_Equipos,7,FALSE))</f>
        <v/>
      </c>
      <c r="I2190" s="727" t="str">
        <f>IF(A2190="","",VLOOKUP(A2190,AA_Equipos,8,FALSE))</f>
        <v/>
      </c>
      <c r="J2190" s="726"/>
      <c r="K2190" s="730"/>
      <c r="L2190" s="726"/>
      <c r="M2190" s="727" t="str">
        <f t="shared" si="286"/>
        <v/>
      </c>
      <c r="N2190" s="726"/>
    </row>
    <row r="2191" spans="1:15" ht="12.75" customHeight="1" x14ac:dyDescent="0.25">
      <c r="A2191" s="94"/>
      <c r="B2191" s="94"/>
      <c r="C2191" s="94"/>
      <c r="D2191" s="94"/>
      <c r="E2191" s="94"/>
      <c r="F2191" s="94"/>
      <c r="G2191" s="94"/>
      <c r="H2191" s="94"/>
      <c r="I2191" s="94"/>
      <c r="J2191" s="94"/>
      <c r="K2191" s="728" t="s">
        <v>261</v>
      </c>
      <c r="L2191" s="726"/>
      <c r="M2191" s="727">
        <f>SUM(M2187:N2190)</f>
        <v>17103.378931285715</v>
      </c>
      <c r="N2191" s="726"/>
    </row>
    <row r="2192" spans="1:15" ht="12.75" customHeight="1" x14ac:dyDescent="0.25">
      <c r="A2192" s="94"/>
      <c r="B2192" s="94"/>
      <c r="C2192" s="94"/>
      <c r="D2192" s="94"/>
      <c r="E2192" s="94"/>
      <c r="F2192" s="94"/>
      <c r="G2192" s="94"/>
      <c r="H2192" s="94"/>
      <c r="I2192" s="94"/>
      <c r="J2192" s="94"/>
      <c r="K2192" s="94"/>
      <c r="L2192" s="94"/>
      <c r="M2192" s="94"/>
      <c r="N2192" s="94"/>
    </row>
    <row r="2193" spans="1:14" ht="12.75" customHeight="1" x14ac:dyDescent="0.2">
      <c r="A2193" s="731" t="s">
        <v>413</v>
      </c>
      <c r="B2193" s="725"/>
      <c r="C2193" s="725"/>
      <c r="D2193" s="725"/>
      <c r="E2193" s="725"/>
      <c r="F2193" s="725"/>
      <c r="G2193" s="725"/>
      <c r="H2193" s="725"/>
      <c r="I2193" s="725"/>
      <c r="J2193" s="725"/>
      <c r="K2193" s="725"/>
      <c r="L2193" s="725"/>
      <c r="M2193" s="725"/>
      <c r="N2193" s="726"/>
    </row>
    <row r="2194" spans="1:14" ht="12.75" customHeight="1" x14ac:dyDescent="0.2">
      <c r="A2194" s="728" t="s">
        <v>39</v>
      </c>
      <c r="B2194" s="725"/>
      <c r="C2194" s="725"/>
      <c r="D2194" s="725"/>
      <c r="E2194" s="725"/>
      <c r="F2194" s="725"/>
      <c r="G2194" s="726"/>
      <c r="H2194" s="143" t="s">
        <v>40</v>
      </c>
      <c r="I2194" s="732" t="s">
        <v>404</v>
      </c>
      <c r="J2194" s="726"/>
      <c r="K2194" s="732" t="s">
        <v>184</v>
      </c>
      <c r="L2194" s="726"/>
      <c r="M2194" s="732" t="s">
        <v>405</v>
      </c>
      <c r="N2194" s="726"/>
    </row>
    <row r="2195" spans="1:14" ht="12.75" customHeight="1" x14ac:dyDescent="0.2">
      <c r="A2195" s="729" t="s">
        <v>443</v>
      </c>
      <c r="B2195" s="725"/>
      <c r="C2195" s="725"/>
      <c r="D2195" s="725"/>
      <c r="E2195" s="725"/>
      <c r="F2195" s="725"/>
      <c r="G2195" s="726"/>
      <c r="H2195" s="107" t="s">
        <v>426</v>
      </c>
      <c r="I2195" s="727">
        <f>+M2183</f>
        <v>8000</v>
      </c>
      <c r="J2195" s="726"/>
      <c r="K2195" s="734">
        <v>0</v>
      </c>
      <c r="L2195" s="726"/>
      <c r="M2195" s="727">
        <f t="shared" ref="M2195:M2199" si="287">IF(A2195="","",I2195*K2195)</f>
        <v>0</v>
      </c>
      <c r="N2195" s="726"/>
    </row>
    <row r="2196" spans="1:14" ht="12.75" customHeight="1" x14ac:dyDescent="0.2">
      <c r="A2196" s="733" t="s">
        <v>1441</v>
      </c>
      <c r="B2196" s="725"/>
      <c r="C2196" s="725"/>
      <c r="D2196" s="725"/>
      <c r="E2196" s="725"/>
      <c r="F2196" s="725"/>
      <c r="G2196" s="726"/>
      <c r="H2196" s="107" t="s">
        <v>1442</v>
      </c>
      <c r="I2196" s="727">
        <f>+M2191</f>
        <v>17103.378931285715</v>
      </c>
      <c r="J2196" s="726"/>
      <c r="K2196" s="734">
        <v>0.03</v>
      </c>
      <c r="L2196" s="726"/>
      <c r="M2196" s="727">
        <f t="shared" si="287"/>
        <v>513.10136793857146</v>
      </c>
      <c r="N2196" s="726"/>
    </row>
    <row r="2197" spans="1:14" ht="12.75" customHeight="1" x14ac:dyDescent="0.2">
      <c r="A2197" s="729"/>
      <c r="B2197" s="725"/>
      <c r="C2197" s="725"/>
      <c r="D2197" s="725"/>
      <c r="E2197" s="725"/>
      <c r="F2197" s="725"/>
      <c r="G2197" s="726"/>
      <c r="H2197" s="107"/>
      <c r="I2197" s="727"/>
      <c r="J2197" s="726"/>
      <c r="K2197" s="730"/>
      <c r="L2197" s="726"/>
      <c r="M2197" s="727" t="str">
        <f t="shared" si="287"/>
        <v/>
      </c>
      <c r="N2197" s="726"/>
    </row>
    <row r="2198" spans="1:14" ht="12.75" customHeight="1" x14ac:dyDescent="0.2">
      <c r="A2198" s="729"/>
      <c r="B2198" s="725"/>
      <c r="C2198" s="725"/>
      <c r="D2198" s="725"/>
      <c r="E2198" s="725"/>
      <c r="F2198" s="725"/>
      <c r="G2198" s="726"/>
      <c r="H2198" s="107"/>
      <c r="I2198" s="727"/>
      <c r="J2198" s="726"/>
      <c r="K2198" s="730"/>
      <c r="L2198" s="726"/>
      <c r="M2198" s="727" t="str">
        <f t="shared" si="287"/>
        <v/>
      </c>
      <c r="N2198" s="726"/>
    </row>
    <row r="2199" spans="1:14" ht="12.75" customHeight="1" x14ac:dyDescent="0.2">
      <c r="A2199" s="729"/>
      <c r="B2199" s="725"/>
      <c r="C2199" s="725"/>
      <c r="D2199" s="725"/>
      <c r="E2199" s="725"/>
      <c r="F2199" s="725"/>
      <c r="G2199" s="726"/>
      <c r="H2199" s="107"/>
      <c r="I2199" s="727"/>
      <c r="J2199" s="726"/>
      <c r="K2199" s="730"/>
      <c r="L2199" s="726"/>
      <c r="M2199" s="727" t="str">
        <f t="shared" si="287"/>
        <v/>
      </c>
      <c r="N2199" s="726"/>
    </row>
    <row r="2200" spans="1:14" ht="12.75" customHeight="1" x14ac:dyDescent="0.25">
      <c r="A2200" s="94"/>
      <c r="B2200" s="94"/>
      <c r="C2200" s="94"/>
      <c r="D2200" s="94"/>
      <c r="E2200" s="94"/>
      <c r="F2200" s="94"/>
      <c r="G2200" s="94"/>
      <c r="H2200" s="94"/>
      <c r="I2200" s="94"/>
      <c r="J2200" s="94"/>
      <c r="K2200" s="728" t="s">
        <v>261</v>
      </c>
      <c r="L2200" s="726"/>
      <c r="M2200" s="727">
        <f>SUM(M2195:N2199)</f>
        <v>513.10136793857146</v>
      </c>
      <c r="N2200" s="726"/>
    </row>
    <row r="2201" spans="1:14" ht="12.75" customHeight="1" x14ac:dyDescent="0.25">
      <c r="A2201" s="94"/>
      <c r="B2201" s="94"/>
      <c r="C2201" s="94"/>
      <c r="D2201" s="94"/>
      <c r="E2201" s="94"/>
      <c r="F2201" s="94"/>
      <c r="G2201" s="94"/>
      <c r="H2201" s="94"/>
      <c r="I2201" s="94"/>
      <c r="J2201" s="94"/>
      <c r="K2201" s="94"/>
      <c r="L2201" s="94"/>
      <c r="M2201" s="94"/>
      <c r="N2201" s="94"/>
    </row>
    <row r="2202" spans="1:14" ht="12.75" customHeight="1" x14ac:dyDescent="0.2">
      <c r="A2202" s="731" t="s">
        <v>415</v>
      </c>
      <c r="B2202" s="725"/>
      <c r="C2202" s="725"/>
      <c r="D2202" s="725"/>
      <c r="E2202" s="725"/>
      <c r="F2202" s="725"/>
      <c r="G2202" s="725"/>
      <c r="H2202" s="725"/>
      <c r="I2202" s="725"/>
      <c r="J2202" s="725"/>
      <c r="K2202" s="725"/>
      <c r="L2202" s="725"/>
      <c r="M2202" s="725"/>
      <c r="N2202" s="726"/>
    </row>
    <row r="2203" spans="1:14" ht="12.75" customHeight="1" x14ac:dyDescent="0.2">
      <c r="A2203" s="728" t="s">
        <v>39</v>
      </c>
      <c r="B2203" s="725"/>
      <c r="C2203" s="725"/>
      <c r="D2203" s="725"/>
      <c r="E2203" s="725"/>
      <c r="F2203" s="725"/>
      <c r="G2203" s="726"/>
      <c r="H2203" s="143" t="s">
        <v>40</v>
      </c>
      <c r="I2203" s="732" t="s">
        <v>404</v>
      </c>
      <c r="J2203" s="726"/>
      <c r="K2203" s="145" t="s">
        <v>253</v>
      </c>
      <c r="L2203" s="146" t="s">
        <v>416</v>
      </c>
      <c r="M2203" s="732" t="s">
        <v>405</v>
      </c>
      <c r="N2203" s="726"/>
    </row>
    <row r="2204" spans="1:14" ht="12.75" customHeight="1" x14ac:dyDescent="0.25">
      <c r="A2204" s="724" t="s">
        <v>427</v>
      </c>
      <c r="B2204" s="725"/>
      <c r="C2204" s="725"/>
      <c r="D2204" s="725"/>
      <c r="E2204" s="725"/>
      <c r="F2204" s="725"/>
      <c r="G2204" s="726"/>
      <c r="H2204" s="107" t="str">
        <f>IF(A2204="","",VLOOKUP(A2204,AA_Cuadrillas,4,FALSE))</f>
        <v>Cuadrilla</v>
      </c>
      <c r="I2204" s="727">
        <f>IF(A2204="","",VLOOKUP(A2204,AA_Cuadrillas,5,FALSE))</f>
        <v>169254</v>
      </c>
      <c r="J2204" s="726"/>
      <c r="K2204" s="3">
        <f>IF(A2204="","",'04'!$I$2)</f>
        <v>1.88995</v>
      </c>
      <c r="L2204" s="103">
        <f>1/7</f>
        <v>0.14285714285714285</v>
      </c>
      <c r="M2204" s="727">
        <f t="shared" ref="M2204:M2208" si="288">IF(A2204="","",I2204*K2204*L2204)</f>
        <v>45697.371042857143</v>
      </c>
      <c r="N2204" s="726"/>
    </row>
    <row r="2205" spans="1:14" ht="12.75" customHeight="1" x14ac:dyDescent="0.25">
      <c r="A2205" s="724"/>
      <c r="B2205" s="725"/>
      <c r="C2205" s="725"/>
      <c r="D2205" s="725"/>
      <c r="E2205" s="725"/>
      <c r="F2205" s="725"/>
      <c r="G2205" s="726"/>
      <c r="H2205" s="107" t="str">
        <f>IF(A2205="","",VLOOKUP(A2205,AA_Cuadrillas,4,FALSE))</f>
        <v/>
      </c>
      <c r="I2205" s="727" t="str">
        <f>IF(A2205="","",VLOOKUP(A2205,AA_Cuadrillas,5,FALSE))</f>
        <v/>
      </c>
      <c r="J2205" s="726"/>
      <c r="K2205" s="3" t="str">
        <f>IF(A2205="","",'04'!$I$2)</f>
        <v/>
      </c>
      <c r="L2205" s="104"/>
      <c r="M2205" s="727" t="str">
        <f t="shared" si="288"/>
        <v/>
      </c>
      <c r="N2205" s="726"/>
    </row>
    <row r="2206" spans="1:14" ht="12.75" customHeight="1" x14ac:dyDescent="0.25">
      <c r="A2206" s="724"/>
      <c r="B2206" s="725"/>
      <c r="C2206" s="725"/>
      <c r="D2206" s="725"/>
      <c r="E2206" s="725"/>
      <c r="F2206" s="725"/>
      <c r="G2206" s="726"/>
      <c r="H2206" s="107" t="str">
        <f>IF(A2206="","",VLOOKUP(A2206,AA_Cuadrillas,4,FALSE))</f>
        <v/>
      </c>
      <c r="I2206" s="727" t="str">
        <f>IF(A2206="","",VLOOKUP(A2206,AA_Cuadrillas,5,FALSE))</f>
        <v/>
      </c>
      <c r="J2206" s="726"/>
      <c r="K2206" s="3" t="str">
        <f>IF(A2206="","",'04'!$I$2)</f>
        <v/>
      </c>
      <c r="L2206" s="108"/>
      <c r="M2206" s="727" t="str">
        <f t="shared" si="288"/>
        <v/>
      </c>
      <c r="N2206" s="726"/>
    </row>
    <row r="2207" spans="1:14" ht="12.75" customHeight="1" x14ac:dyDescent="0.25">
      <c r="A2207" s="724"/>
      <c r="B2207" s="725"/>
      <c r="C2207" s="725"/>
      <c r="D2207" s="725"/>
      <c r="E2207" s="725"/>
      <c r="F2207" s="725"/>
      <c r="G2207" s="726"/>
      <c r="H2207" s="107" t="str">
        <f>IF(A2207="","",VLOOKUP(A2207,AA_Cuadrillas,4,FALSE))</f>
        <v/>
      </c>
      <c r="I2207" s="727" t="str">
        <f>IF(A2207="","",VLOOKUP(A2207,AA_Cuadrillas,5,FALSE))</f>
        <v/>
      </c>
      <c r="J2207" s="726"/>
      <c r="K2207" s="3" t="str">
        <f>IF(A2207="","",'04'!$I$2)</f>
        <v/>
      </c>
      <c r="L2207" s="108"/>
      <c r="M2207" s="727" t="str">
        <f t="shared" si="288"/>
        <v/>
      </c>
      <c r="N2207" s="726"/>
    </row>
    <row r="2208" spans="1:14" ht="12.75" customHeight="1" x14ac:dyDescent="0.25">
      <c r="A2208" s="724"/>
      <c r="B2208" s="725"/>
      <c r="C2208" s="725"/>
      <c r="D2208" s="725"/>
      <c r="E2208" s="725"/>
      <c r="F2208" s="725"/>
      <c r="G2208" s="726"/>
      <c r="H2208" s="107" t="str">
        <f>IF(A2208="","",VLOOKUP(A2208,AA_Cuadrillas,4,FALSE))</f>
        <v/>
      </c>
      <c r="I2208" s="727" t="str">
        <f>IF(A2208="","",VLOOKUP(A2208,AA_Cuadrillas,5,FALSE))</f>
        <v/>
      </c>
      <c r="J2208" s="726"/>
      <c r="K2208" s="3" t="str">
        <f>IF(A2208="","",'04'!$I$2)</f>
        <v/>
      </c>
      <c r="L2208" s="108"/>
      <c r="M2208" s="727" t="str">
        <f t="shared" si="288"/>
        <v/>
      </c>
      <c r="N2208" s="726"/>
    </row>
    <row r="2209" spans="1:16" ht="12.75" customHeight="1" x14ac:dyDescent="0.25">
      <c r="A2209" s="94"/>
      <c r="B2209" s="94"/>
      <c r="C2209" s="94"/>
      <c r="D2209" s="94"/>
      <c r="E2209" s="94"/>
      <c r="F2209" s="94"/>
      <c r="G2209" s="94"/>
      <c r="H2209" s="94"/>
      <c r="I2209" s="94"/>
      <c r="J2209" s="94"/>
      <c r="K2209" s="728" t="s">
        <v>261</v>
      </c>
      <c r="L2209" s="726"/>
      <c r="M2209" s="727">
        <f>SUM(M2204:N2208)</f>
        <v>45697.371042857143</v>
      </c>
      <c r="N2209" s="726"/>
    </row>
    <row r="2210" spans="1:16" ht="12.75" customHeight="1" x14ac:dyDescent="0.25">
      <c r="A2210" s="94"/>
      <c r="B2210" s="94"/>
      <c r="C2210" s="94"/>
      <c r="D2210" s="94"/>
      <c r="E2210" s="94"/>
      <c r="F2210" s="94"/>
      <c r="G2210" s="94"/>
      <c r="H2210" s="94"/>
      <c r="I2210" s="94"/>
      <c r="J2210" s="94"/>
      <c r="K2210" s="148"/>
      <c r="L2210" s="149"/>
      <c r="M2210" s="150"/>
      <c r="N2210" s="151"/>
    </row>
    <row r="2211" spans="1:16" ht="12.75" customHeight="1" x14ac:dyDescent="0.2">
      <c r="A2211" s="742" t="s">
        <v>1577</v>
      </c>
      <c r="B2211" s="743"/>
      <c r="C2211" s="743"/>
      <c r="D2211" s="743"/>
      <c r="E2211" s="743"/>
      <c r="F2211" s="743"/>
      <c r="G2211" s="743"/>
      <c r="H2211" s="743"/>
      <c r="I2211" s="743"/>
      <c r="J2211" s="743"/>
      <c r="K2211" s="743"/>
      <c r="L2211" s="743"/>
      <c r="M2211" s="743"/>
      <c r="N2211" s="744"/>
      <c r="O2211" s="271"/>
    </row>
    <row r="2212" spans="1:16" ht="12.75" customHeight="1" x14ac:dyDescent="0.2">
      <c r="A2212" s="745"/>
      <c r="B2212" s="746"/>
      <c r="C2212" s="746"/>
      <c r="D2212" s="746"/>
      <c r="E2212" s="746"/>
      <c r="F2212" s="746"/>
      <c r="G2212" s="746"/>
      <c r="H2212" s="746"/>
      <c r="I2212" s="746"/>
      <c r="J2212" s="746"/>
      <c r="K2212" s="746"/>
      <c r="L2212" s="746"/>
      <c r="M2212" s="746"/>
      <c r="N2212" s="747"/>
      <c r="O2212" s="271"/>
    </row>
    <row r="2213" spans="1:16" ht="12.75" customHeight="1" x14ac:dyDescent="0.2">
      <c r="A2213" s="136"/>
      <c r="B2213" s="136"/>
      <c r="C2213" s="136"/>
      <c r="D2213" s="136"/>
      <c r="E2213" s="136"/>
      <c r="F2213" s="136"/>
      <c r="G2213" s="136"/>
      <c r="H2213" s="136"/>
      <c r="I2213" s="136"/>
      <c r="J2213" s="136"/>
      <c r="K2213" s="136"/>
      <c r="L2213" s="136"/>
      <c r="M2213" s="136"/>
      <c r="N2213" s="136"/>
    </row>
    <row r="2214" spans="1:16" ht="12.75" customHeight="1" thickBot="1" x14ac:dyDescent="0.35">
      <c r="A2214" s="51" t="str">
        <f>VLOOKUP(A2211,'10'!$B$9:$N$100,13,FALSE)</f>
        <v>G049</v>
      </c>
      <c r="B2214" s="137" t="str">
        <f>A2211</f>
        <v>REPOSICIÓN DE PAVIMENTO FLEXIBLE CON MEZCLA ASFÁLTICA (INCLUYE AGUA, BASE GRANULAR, MEZCLA ASFÁLTICA, EXTENDIDO Y COMPACTACIÓN DE MATERIAL, EQUIPOS, HERRAMIENTA MENOR Y MANO DE OBRA)</v>
      </c>
      <c r="C2214" s="138" t="s">
        <v>400</v>
      </c>
      <c r="D2214" s="139" t="s">
        <v>420</v>
      </c>
      <c r="E2214" s="140" t="s">
        <v>177</v>
      </c>
      <c r="F2214" s="141">
        <f>H2214+J2214+L2214+N2214</f>
        <v>258761.70368242473</v>
      </c>
      <c r="G2214" s="140" t="s">
        <v>349</v>
      </c>
      <c r="H2214" s="141">
        <f>M2232</f>
        <v>17501.590725200003</v>
      </c>
      <c r="I2214" s="140" t="s">
        <v>402</v>
      </c>
      <c r="J2214" s="141">
        <f>M2224</f>
        <v>116287.595</v>
      </c>
      <c r="K2214" s="140" t="s">
        <v>351</v>
      </c>
      <c r="L2214" s="141">
        <f>M2241</f>
        <v>88792.827117224748</v>
      </c>
      <c r="M2214" s="140" t="s">
        <v>352</v>
      </c>
      <c r="N2214" s="141">
        <f>M2250</f>
        <v>36179.690840000003</v>
      </c>
    </row>
    <row r="2215" spans="1:16" ht="12.75" customHeight="1" thickBot="1" x14ac:dyDescent="0.3">
      <c r="A2215" s="142"/>
      <c r="B2215" s="142"/>
      <c r="C2215" s="142"/>
      <c r="D2215" s="142"/>
      <c r="E2215" s="142"/>
      <c r="F2215" s="142"/>
      <c r="G2215" s="142"/>
      <c r="J2215" s="142"/>
      <c r="K2215" s="142"/>
      <c r="L2215" s="327" t="s">
        <v>1934</v>
      </c>
      <c r="M2215" s="328">
        <f>+F2214*'01'!$O$16</f>
        <v>334912.93983842543</v>
      </c>
      <c r="N2215" s="142"/>
    </row>
    <row r="2216" spans="1:16" ht="12.75" customHeight="1" x14ac:dyDescent="0.2">
      <c r="A2216" s="731" t="s">
        <v>403</v>
      </c>
      <c r="B2216" s="725"/>
      <c r="C2216" s="725"/>
      <c r="D2216" s="725"/>
      <c r="E2216" s="725"/>
      <c r="F2216" s="725"/>
      <c r="G2216" s="725"/>
      <c r="H2216" s="725"/>
      <c r="I2216" s="725"/>
      <c r="J2216" s="725"/>
      <c r="K2216" s="725"/>
      <c r="L2216" s="725"/>
      <c r="M2216" s="725"/>
      <c r="N2216" s="726"/>
    </row>
    <row r="2217" spans="1:16" ht="12.75" customHeight="1" x14ac:dyDescent="0.2">
      <c r="A2217" s="728" t="s">
        <v>39</v>
      </c>
      <c r="B2217" s="725"/>
      <c r="C2217" s="725"/>
      <c r="D2217" s="725"/>
      <c r="E2217" s="725"/>
      <c r="F2217" s="725"/>
      <c r="G2217" s="726"/>
      <c r="H2217" s="143" t="s">
        <v>40</v>
      </c>
      <c r="I2217" s="732" t="s">
        <v>404</v>
      </c>
      <c r="J2217" s="726"/>
      <c r="K2217" s="732" t="s">
        <v>184</v>
      </c>
      <c r="L2217" s="726"/>
      <c r="M2217" s="732" t="s">
        <v>405</v>
      </c>
      <c r="N2217" s="726"/>
    </row>
    <row r="2218" spans="1:16" ht="12.75" customHeight="1" x14ac:dyDescent="0.2">
      <c r="A2218" s="733" t="s">
        <v>434</v>
      </c>
      <c r="B2218" s="725"/>
      <c r="C2218" s="725"/>
      <c r="D2218" s="725"/>
      <c r="E2218" s="725"/>
      <c r="F2218" s="725"/>
      <c r="G2218" s="726"/>
      <c r="H2218" s="107" t="str">
        <f t="shared" ref="H2218:H2223" si="289">IF(A2218="","",VLOOKUP(A2218,AA_Materiales,7,FALSE))</f>
        <v>Lt</v>
      </c>
      <c r="I2218" s="727">
        <f t="shared" ref="I2218:I2223" si="290">IF(A2218="","",VLOOKUP(A2218,AA_Materiales,8,FALSE))</f>
        <v>20</v>
      </c>
      <c r="J2218" s="726"/>
      <c r="K2218" s="730">
        <v>25</v>
      </c>
      <c r="L2218" s="726"/>
      <c r="M2218" s="727">
        <f t="shared" ref="M2218:M2223" si="291">IF(A2218="","",I2218*K2218)</f>
        <v>500</v>
      </c>
      <c r="N2218" s="726"/>
      <c r="O2218" s="179"/>
      <c r="P2218" s="144"/>
    </row>
    <row r="2219" spans="1:16" ht="12.75" customHeight="1" x14ac:dyDescent="0.2">
      <c r="A2219" s="733" t="s">
        <v>1532</v>
      </c>
      <c r="B2219" s="725"/>
      <c r="C2219" s="725"/>
      <c r="D2219" s="725"/>
      <c r="E2219" s="725"/>
      <c r="F2219" s="725"/>
      <c r="G2219" s="726"/>
      <c r="H2219" s="107" t="str">
        <f t="shared" si="289"/>
        <v>m3</v>
      </c>
      <c r="I2219" s="727">
        <f t="shared" si="290"/>
        <v>60559.1</v>
      </c>
      <c r="J2219" s="726"/>
      <c r="K2219" s="730">
        <v>0.45</v>
      </c>
      <c r="L2219" s="726"/>
      <c r="M2219" s="727">
        <f t="shared" si="291"/>
        <v>27251.595000000001</v>
      </c>
      <c r="N2219" s="726"/>
      <c r="P2219" s="144"/>
    </row>
    <row r="2220" spans="1:16" ht="12.75" customHeight="1" x14ac:dyDescent="0.2">
      <c r="A2220" s="733" t="s">
        <v>1533</v>
      </c>
      <c r="B2220" s="725"/>
      <c r="C2220" s="725"/>
      <c r="D2220" s="725"/>
      <c r="E2220" s="725"/>
      <c r="F2220" s="725"/>
      <c r="G2220" s="726"/>
      <c r="H2220" s="107" t="str">
        <f t="shared" si="289"/>
        <v>m3</v>
      </c>
      <c r="I2220" s="727">
        <f t="shared" si="290"/>
        <v>95200</v>
      </c>
      <c r="J2220" s="726"/>
      <c r="K2220" s="730">
        <v>0.93</v>
      </c>
      <c r="L2220" s="726"/>
      <c r="M2220" s="727">
        <f t="shared" si="291"/>
        <v>88536</v>
      </c>
      <c r="N2220" s="726"/>
      <c r="O2220" s="153"/>
    </row>
    <row r="2221" spans="1:16" ht="12.75" customHeight="1" x14ac:dyDescent="0.2">
      <c r="A2221" s="733"/>
      <c r="B2221" s="725"/>
      <c r="C2221" s="725"/>
      <c r="D2221" s="725"/>
      <c r="E2221" s="725"/>
      <c r="F2221" s="725"/>
      <c r="G2221" s="726"/>
      <c r="H2221" s="107" t="str">
        <f t="shared" si="289"/>
        <v/>
      </c>
      <c r="I2221" s="727" t="str">
        <f t="shared" si="290"/>
        <v/>
      </c>
      <c r="J2221" s="726"/>
      <c r="K2221" s="730"/>
      <c r="L2221" s="726"/>
      <c r="M2221" s="727" t="str">
        <f t="shared" si="291"/>
        <v/>
      </c>
      <c r="N2221" s="726"/>
    </row>
    <row r="2222" spans="1:16" ht="12.75" customHeight="1" x14ac:dyDescent="0.2">
      <c r="A2222" s="733"/>
      <c r="B2222" s="725"/>
      <c r="C2222" s="725"/>
      <c r="D2222" s="725"/>
      <c r="E2222" s="725"/>
      <c r="F2222" s="725"/>
      <c r="G2222" s="726"/>
      <c r="H2222" s="107" t="str">
        <f t="shared" si="289"/>
        <v/>
      </c>
      <c r="I2222" s="727" t="str">
        <f t="shared" si="290"/>
        <v/>
      </c>
      <c r="J2222" s="726"/>
      <c r="K2222" s="730"/>
      <c r="L2222" s="726"/>
      <c r="M2222" s="727" t="str">
        <f t="shared" si="291"/>
        <v/>
      </c>
      <c r="N2222" s="726"/>
    </row>
    <row r="2223" spans="1:16" ht="12.75" customHeight="1" x14ac:dyDescent="0.2">
      <c r="A2223" s="733"/>
      <c r="B2223" s="725"/>
      <c r="C2223" s="725"/>
      <c r="D2223" s="725"/>
      <c r="E2223" s="725"/>
      <c r="F2223" s="725"/>
      <c r="G2223" s="726"/>
      <c r="H2223" s="107" t="str">
        <f t="shared" si="289"/>
        <v/>
      </c>
      <c r="I2223" s="727" t="str">
        <f t="shared" si="290"/>
        <v/>
      </c>
      <c r="J2223" s="726"/>
      <c r="K2223" s="730"/>
      <c r="L2223" s="726"/>
      <c r="M2223" s="727" t="str">
        <f t="shared" si="291"/>
        <v/>
      </c>
      <c r="N2223" s="726"/>
    </row>
    <row r="2224" spans="1:16" ht="12.75" customHeight="1" x14ac:dyDescent="0.25">
      <c r="A2224" s="94"/>
      <c r="B2224" s="94"/>
      <c r="C2224" s="94"/>
      <c r="D2224" s="94"/>
      <c r="E2224" s="94"/>
      <c r="F2224" s="94"/>
      <c r="G2224" s="94"/>
      <c r="H2224" s="94"/>
      <c r="I2224" s="94"/>
      <c r="J2224" s="94"/>
      <c r="K2224" s="728" t="s">
        <v>261</v>
      </c>
      <c r="L2224" s="726"/>
      <c r="M2224" s="727">
        <f>SUM(M2218:N2223)</f>
        <v>116287.595</v>
      </c>
      <c r="N2224" s="726"/>
    </row>
    <row r="2225" spans="1:14" ht="12.75" customHeight="1" x14ac:dyDescent="0.25">
      <c r="A2225" s="94"/>
      <c r="B2225" s="94"/>
      <c r="C2225" s="94"/>
      <c r="D2225" s="94"/>
      <c r="E2225" s="94"/>
      <c r="F2225" s="94"/>
      <c r="G2225" s="94"/>
      <c r="H2225" s="94"/>
      <c r="I2225" s="94"/>
      <c r="J2225" s="94"/>
      <c r="K2225" s="94"/>
      <c r="L2225" s="94"/>
      <c r="M2225" s="94"/>
      <c r="N2225" s="94"/>
    </row>
    <row r="2226" spans="1:14" ht="12.75" customHeight="1" x14ac:dyDescent="0.2">
      <c r="A2226" s="731" t="s">
        <v>410</v>
      </c>
      <c r="B2226" s="725"/>
      <c r="C2226" s="725"/>
      <c r="D2226" s="725"/>
      <c r="E2226" s="725"/>
      <c r="F2226" s="725"/>
      <c r="G2226" s="725"/>
      <c r="H2226" s="725"/>
      <c r="I2226" s="725"/>
      <c r="J2226" s="725"/>
      <c r="K2226" s="725"/>
      <c r="L2226" s="725"/>
      <c r="M2226" s="725"/>
      <c r="N2226" s="726"/>
    </row>
    <row r="2227" spans="1:14" ht="12.75" customHeight="1" x14ac:dyDescent="0.2">
      <c r="A2227" s="728" t="s">
        <v>39</v>
      </c>
      <c r="B2227" s="725"/>
      <c r="C2227" s="725"/>
      <c r="D2227" s="725"/>
      <c r="E2227" s="725"/>
      <c r="F2227" s="725"/>
      <c r="G2227" s="726"/>
      <c r="H2227" s="143" t="s">
        <v>40</v>
      </c>
      <c r="I2227" s="732" t="s">
        <v>404</v>
      </c>
      <c r="J2227" s="726"/>
      <c r="K2227" s="732" t="s">
        <v>184</v>
      </c>
      <c r="L2227" s="726"/>
      <c r="M2227" s="732" t="s">
        <v>405</v>
      </c>
      <c r="N2227" s="726"/>
    </row>
    <row r="2228" spans="1:14" ht="12.75" customHeight="1" x14ac:dyDescent="0.2">
      <c r="A2228" s="729" t="s">
        <v>411</v>
      </c>
      <c r="B2228" s="725"/>
      <c r="C2228" s="725"/>
      <c r="D2228" s="725"/>
      <c r="E2228" s="725"/>
      <c r="F2228" s="725"/>
      <c r="G2228" s="726"/>
      <c r="H2228" s="107" t="str">
        <f>IF(A2228="","",VLOOKUP(A2228,AA_Equipos,7,FALSE))</f>
        <v>% M.O.</v>
      </c>
      <c r="I2228" s="727">
        <f>+M2250</f>
        <v>36179.690840000003</v>
      </c>
      <c r="J2228" s="726"/>
      <c r="K2228" s="734">
        <v>0.03</v>
      </c>
      <c r="L2228" s="726"/>
      <c r="M2228" s="727">
        <f t="shared" ref="M2228:M2231" si="292">IF(A2228="","",I2228*K2228)</f>
        <v>1085.3907252000001</v>
      </c>
      <c r="N2228" s="726"/>
    </row>
    <row r="2229" spans="1:14" ht="12.75" customHeight="1" x14ac:dyDescent="0.2">
      <c r="A2229" s="733" t="s">
        <v>468</v>
      </c>
      <c r="B2229" s="725"/>
      <c r="C2229" s="725"/>
      <c r="D2229" s="725"/>
      <c r="E2229" s="725"/>
      <c r="F2229" s="725"/>
      <c r="G2229" s="726"/>
      <c r="H2229" s="107" t="str">
        <f>IF(A2229="","",VLOOKUP(A2229,AA_Equipos,7,FALSE))</f>
        <v>Hora</v>
      </c>
      <c r="I2229" s="727">
        <f>IF(A2229="","",VLOOKUP(A2229,AA_Equipos,8,FALSE))</f>
        <v>154700</v>
      </c>
      <c r="J2229" s="726"/>
      <c r="K2229" s="741">
        <f>1/20</f>
        <v>0.05</v>
      </c>
      <c r="L2229" s="726"/>
      <c r="M2229" s="727">
        <f t="shared" si="292"/>
        <v>7735</v>
      </c>
      <c r="N2229" s="726"/>
    </row>
    <row r="2230" spans="1:14" ht="12.75" customHeight="1" x14ac:dyDescent="0.2">
      <c r="A2230" s="733" t="s">
        <v>428</v>
      </c>
      <c r="B2230" s="725"/>
      <c r="C2230" s="725"/>
      <c r="D2230" s="725"/>
      <c r="E2230" s="725"/>
      <c r="F2230" s="725"/>
      <c r="G2230" s="726"/>
      <c r="H2230" s="107" t="str">
        <f>IF(A2230="","",VLOOKUP(A2230,AA_Equipos,7,FALSE))</f>
        <v>Dia</v>
      </c>
      <c r="I2230" s="727">
        <f>IF(A2230="","",VLOOKUP(A2230,AA_Equipos,8,FALSE))</f>
        <v>130218</v>
      </c>
      <c r="J2230" s="726"/>
      <c r="K2230" s="730">
        <f>1/15</f>
        <v>6.6666666666666666E-2</v>
      </c>
      <c r="L2230" s="726"/>
      <c r="M2230" s="727">
        <f t="shared" si="292"/>
        <v>8681.2000000000007</v>
      </c>
      <c r="N2230" s="726"/>
    </row>
    <row r="2231" spans="1:14" ht="12.75" customHeight="1" x14ac:dyDescent="0.2">
      <c r="A2231" s="729"/>
      <c r="B2231" s="725"/>
      <c r="C2231" s="725"/>
      <c r="D2231" s="725"/>
      <c r="E2231" s="725"/>
      <c r="F2231" s="725"/>
      <c r="G2231" s="726"/>
      <c r="H2231" s="107" t="str">
        <f>IF(A2231="","",VLOOKUP(A2231,AA_Equipos,7,FALSE))</f>
        <v/>
      </c>
      <c r="I2231" s="727" t="str">
        <f>IF(A2231="","",VLOOKUP(A2231,AA_Equipos,8,FALSE))</f>
        <v/>
      </c>
      <c r="J2231" s="726"/>
      <c r="K2231" s="730"/>
      <c r="L2231" s="726"/>
      <c r="M2231" s="727" t="str">
        <f t="shared" si="292"/>
        <v/>
      </c>
      <c r="N2231" s="726"/>
    </row>
    <row r="2232" spans="1:14" ht="12.75" customHeight="1" x14ac:dyDescent="0.25">
      <c r="A2232" s="94"/>
      <c r="B2232" s="94"/>
      <c r="C2232" s="94"/>
      <c r="D2232" s="94"/>
      <c r="E2232" s="94"/>
      <c r="F2232" s="94"/>
      <c r="G2232" s="94"/>
      <c r="H2232" s="94"/>
      <c r="I2232" s="94"/>
      <c r="J2232" s="94"/>
      <c r="K2232" s="728" t="s">
        <v>261</v>
      </c>
      <c r="L2232" s="726"/>
      <c r="M2232" s="727">
        <f>SUM(M2228:N2231)</f>
        <v>17501.590725200003</v>
      </c>
      <c r="N2232" s="726"/>
    </row>
    <row r="2233" spans="1:14" ht="12.75" customHeight="1" x14ac:dyDescent="0.25">
      <c r="A2233" s="94"/>
      <c r="B2233" s="94"/>
      <c r="C2233" s="94"/>
      <c r="D2233" s="94"/>
      <c r="E2233" s="94"/>
      <c r="F2233" s="94"/>
      <c r="G2233" s="94"/>
      <c r="H2233" s="94"/>
      <c r="I2233" s="94"/>
      <c r="J2233" s="94"/>
      <c r="K2233" s="94"/>
      <c r="L2233" s="94"/>
      <c r="M2233" s="94"/>
      <c r="N2233" s="94"/>
    </row>
    <row r="2234" spans="1:14" ht="12.75" customHeight="1" x14ac:dyDescent="0.2">
      <c r="A2234" s="731" t="s">
        <v>413</v>
      </c>
      <c r="B2234" s="725"/>
      <c r="C2234" s="725"/>
      <c r="D2234" s="725"/>
      <c r="E2234" s="725"/>
      <c r="F2234" s="725"/>
      <c r="G2234" s="725"/>
      <c r="H2234" s="725"/>
      <c r="I2234" s="725"/>
      <c r="J2234" s="725"/>
      <c r="K2234" s="725"/>
      <c r="L2234" s="725"/>
      <c r="M2234" s="725"/>
      <c r="N2234" s="726"/>
    </row>
    <row r="2235" spans="1:14" ht="12.75" customHeight="1" x14ac:dyDescent="0.2">
      <c r="A2235" s="728" t="s">
        <v>39</v>
      </c>
      <c r="B2235" s="725"/>
      <c r="C2235" s="725"/>
      <c r="D2235" s="725"/>
      <c r="E2235" s="725"/>
      <c r="F2235" s="725"/>
      <c r="G2235" s="726"/>
      <c r="H2235" s="143" t="s">
        <v>40</v>
      </c>
      <c r="I2235" s="732" t="s">
        <v>404</v>
      </c>
      <c r="J2235" s="726"/>
      <c r="K2235" s="732" t="s">
        <v>184</v>
      </c>
      <c r="L2235" s="726"/>
      <c r="M2235" s="732" t="s">
        <v>405</v>
      </c>
      <c r="N2235" s="726"/>
    </row>
    <row r="2236" spans="1:14" ht="12.75" customHeight="1" x14ac:dyDescent="0.2">
      <c r="A2236" s="729" t="s">
        <v>1534</v>
      </c>
      <c r="B2236" s="725"/>
      <c r="C2236" s="725"/>
      <c r="D2236" s="725"/>
      <c r="E2236" s="725"/>
      <c r="F2236" s="725"/>
      <c r="G2236" s="726"/>
      <c r="H2236" s="107" t="s">
        <v>467</v>
      </c>
      <c r="I2236" s="727">
        <f>+'13'!J68</f>
        <v>2206.6944848867188</v>
      </c>
      <c r="J2236" s="726"/>
      <c r="K2236" s="730">
        <f>+Indice!$M$5</f>
        <v>40</v>
      </c>
      <c r="L2236" s="726"/>
      <c r="M2236" s="727">
        <f t="shared" ref="M2236:M2240" si="293">IF(A2236="","",I2236*K2236)</f>
        <v>88267.779395468751</v>
      </c>
      <c r="N2236" s="726"/>
    </row>
    <row r="2237" spans="1:14" ht="12.75" customHeight="1" x14ac:dyDescent="0.2">
      <c r="A2237" s="733" t="s">
        <v>1441</v>
      </c>
      <c r="B2237" s="725"/>
      <c r="C2237" s="725"/>
      <c r="D2237" s="725"/>
      <c r="E2237" s="725"/>
      <c r="F2237" s="725"/>
      <c r="G2237" s="726"/>
      <c r="H2237" s="107" t="s">
        <v>1446</v>
      </c>
      <c r="I2237" s="727">
        <f>+M2232</f>
        <v>17501.590725200003</v>
      </c>
      <c r="J2237" s="726"/>
      <c r="K2237" s="734">
        <v>0.03</v>
      </c>
      <c r="L2237" s="726"/>
      <c r="M2237" s="727">
        <f t="shared" si="293"/>
        <v>525.0477217560001</v>
      </c>
      <c r="N2237" s="726"/>
    </row>
    <row r="2238" spans="1:14" ht="12.75" customHeight="1" x14ac:dyDescent="0.2">
      <c r="A2238" s="729"/>
      <c r="B2238" s="725"/>
      <c r="C2238" s="725"/>
      <c r="D2238" s="725"/>
      <c r="E2238" s="725"/>
      <c r="F2238" s="725"/>
      <c r="G2238" s="726"/>
      <c r="H2238" s="107"/>
      <c r="I2238" s="727"/>
      <c r="J2238" s="726"/>
      <c r="K2238" s="730"/>
      <c r="L2238" s="726"/>
      <c r="M2238" s="727" t="str">
        <f t="shared" si="293"/>
        <v/>
      </c>
      <c r="N2238" s="726"/>
    </row>
    <row r="2239" spans="1:14" ht="12.75" customHeight="1" x14ac:dyDescent="0.2">
      <c r="A2239" s="729"/>
      <c r="B2239" s="725"/>
      <c r="C2239" s="725"/>
      <c r="D2239" s="725"/>
      <c r="E2239" s="725"/>
      <c r="F2239" s="725"/>
      <c r="G2239" s="726"/>
      <c r="H2239" s="107"/>
      <c r="I2239" s="727"/>
      <c r="J2239" s="726"/>
      <c r="K2239" s="730"/>
      <c r="L2239" s="726"/>
      <c r="M2239" s="727" t="str">
        <f t="shared" si="293"/>
        <v/>
      </c>
      <c r="N2239" s="726"/>
    </row>
    <row r="2240" spans="1:14" ht="12.75" customHeight="1" x14ac:dyDescent="0.2">
      <c r="A2240" s="729"/>
      <c r="B2240" s="725"/>
      <c r="C2240" s="725"/>
      <c r="D2240" s="725"/>
      <c r="E2240" s="725"/>
      <c r="F2240" s="725"/>
      <c r="G2240" s="726"/>
      <c r="H2240" s="107"/>
      <c r="I2240" s="727"/>
      <c r="J2240" s="726"/>
      <c r="K2240" s="730"/>
      <c r="L2240" s="726"/>
      <c r="M2240" s="727" t="str">
        <f t="shared" si="293"/>
        <v/>
      </c>
      <c r="N2240" s="726"/>
    </row>
    <row r="2241" spans="1:15" ht="12.75" customHeight="1" x14ac:dyDescent="0.25">
      <c r="A2241" s="94"/>
      <c r="B2241" s="94"/>
      <c r="C2241" s="94"/>
      <c r="D2241" s="94"/>
      <c r="E2241" s="94"/>
      <c r="F2241" s="94"/>
      <c r="G2241" s="94"/>
      <c r="H2241" s="94"/>
      <c r="I2241" s="94"/>
      <c r="J2241" s="94"/>
      <c r="K2241" s="728" t="s">
        <v>261</v>
      </c>
      <c r="L2241" s="726"/>
      <c r="M2241" s="727">
        <f>SUM(M2236:N2240)</f>
        <v>88792.827117224748</v>
      </c>
      <c r="N2241" s="726"/>
    </row>
    <row r="2242" spans="1:15" ht="12.75" customHeight="1" x14ac:dyDescent="0.25">
      <c r="A2242" s="94"/>
      <c r="B2242" s="94"/>
      <c r="C2242" s="94"/>
      <c r="D2242" s="94"/>
      <c r="E2242" s="94"/>
      <c r="F2242" s="94"/>
      <c r="G2242" s="94"/>
      <c r="H2242" s="94"/>
      <c r="I2242" s="94"/>
      <c r="J2242" s="94"/>
      <c r="K2242" s="94"/>
      <c r="L2242" s="94"/>
      <c r="M2242" s="94"/>
      <c r="N2242" s="94"/>
    </row>
    <row r="2243" spans="1:15" ht="12.75" customHeight="1" x14ac:dyDescent="0.2">
      <c r="A2243" s="731" t="s">
        <v>415</v>
      </c>
      <c r="B2243" s="725"/>
      <c r="C2243" s="725"/>
      <c r="D2243" s="725"/>
      <c r="E2243" s="725"/>
      <c r="F2243" s="725"/>
      <c r="G2243" s="725"/>
      <c r="H2243" s="725"/>
      <c r="I2243" s="725"/>
      <c r="J2243" s="725"/>
      <c r="K2243" s="725"/>
      <c r="L2243" s="725"/>
      <c r="M2243" s="725"/>
      <c r="N2243" s="726"/>
    </row>
    <row r="2244" spans="1:15" ht="12.75" customHeight="1" x14ac:dyDescent="0.2">
      <c r="A2244" s="728" t="s">
        <v>39</v>
      </c>
      <c r="B2244" s="725"/>
      <c r="C2244" s="725"/>
      <c r="D2244" s="725"/>
      <c r="E2244" s="725"/>
      <c r="F2244" s="725"/>
      <c r="G2244" s="726"/>
      <c r="H2244" s="143" t="s">
        <v>40</v>
      </c>
      <c r="I2244" s="732" t="s">
        <v>404</v>
      </c>
      <c r="J2244" s="726"/>
      <c r="K2244" s="145" t="s">
        <v>253</v>
      </c>
      <c r="L2244" s="146" t="s">
        <v>416</v>
      </c>
      <c r="M2244" s="732" t="s">
        <v>405</v>
      </c>
      <c r="N2244" s="726"/>
    </row>
    <row r="2245" spans="1:15" ht="12.75" customHeight="1" x14ac:dyDescent="0.25">
      <c r="A2245" s="724" t="s">
        <v>449</v>
      </c>
      <c r="B2245" s="725"/>
      <c r="C2245" s="725"/>
      <c r="D2245" s="725"/>
      <c r="E2245" s="725"/>
      <c r="F2245" s="725"/>
      <c r="G2245" s="726"/>
      <c r="H2245" s="107" t="str">
        <f>IF(A2245="","",VLOOKUP(A2245,AA_Cuadrillas,4,FALSE))</f>
        <v>Cuadrilla</v>
      </c>
      <c r="I2245" s="727">
        <f>IF(A2245="","",VLOOKUP(A2245,AA_Cuadrillas,5,FALSE))</f>
        <v>239290</v>
      </c>
      <c r="J2245" s="726"/>
      <c r="K2245" s="3">
        <f>IF(A2245="","",'04'!$I$2)</f>
        <v>1.88995</v>
      </c>
      <c r="L2245" s="103">
        <v>0.08</v>
      </c>
      <c r="M2245" s="727">
        <f t="shared" ref="M2245:M2249" si="294">IF(A2245="","",I2245*K2245*L2245)</f>
        <v>36179.690840000003</v>
      </c>
      <c r="N2245" s="726"/>
    </row>
    <row r="2246" spans="1:15" ht="12.75" customHeight="1" x14ac:dyDescent="0.25">
      <c r="A2246" s="724"/>
      <c r="B2246" s="725"/>
      <c r="C2246" s="725"/>
      <c r="D2246" s="725"/>
      <c r="E2246" s="725"/>
      <c r="F2246" s="725"/>
      <c r="G2246" s="726"/>
      <c r="H2246" s="107" t="str">
        <f>IF(A2246="","",VLOOKUP(A2246,AA_Cuadrillas,4,FALSE))</f>
        <v/>
      </c>
      <c r="I2246" s="727" t="str">
        <f>IF(A2246="","",VLOOKUP(A2246,AA_Cuadrillas,5,FALSE))</f>
        <v/>
      </c>
      <c r="J2246" s="726"/>
      <c r="K2246" s="3" t="str">
        <f>IF(A2246="","",'04'!$I$2)</f>
        <v/>
      </c>
      <c r="L2246" s="104"/>
      <c r="M2246" s="727" t="str">
        <f t="shared" si="294"/>
        <v/>
      </c>
      <c r="N2246" s="726"/>
    </row>
    <row r="2247" spans="1:15" ht="12.75" customHeight="1" x14ac:dyDescent="0.25">
      <c r="A2247" s="724"/>
      <c r="B2247" s="725"/>
      <c r="C2247" s="725"/>
      <c r="D2247" s="725"/>
      <c r="E2247" s="725"/>
      <c r="F2247" s="725"/>
      <c r="G2247" s="726"/>
      <c r="H2247" s="107" t="str">
        <f>IF(A2247="","",VLOOKUP(A2247,AA_Cuadrillas,4,FALSE))</f>
        <v/>
      </c>
      <c r="I2247" s="727" t="str">
        <f>IF(A2247="","",VLOOKUP(A2247,AA_Cuadrillas,5,FALSE))</f>
        <v/>
      </c>
      <c r="J2247" s="726"/>
      <c r="K2247" s="3" t="str">
        <f>IF(A2247="","",'04'!$I$2)</f>
        <v/>
      </c>
      <c r="L2247" s="108"/>
      <c r="M2247" s="727" t="str">
        <f t="shared" si="294"/>
        <v/>
      </c>
      <c r="N2247" s="726"/>
    </row>
    <row r="2248" spans="1:15" ht="12.75" customHeight="1" x14ac:dyDescent="0.25">
      <c r="A2248" s="724"/>
      <c r="B2248" s="725"/>
      <c r="C2248" s="725"/>
      <c r="D2248" s="725"/>
      <c r="E2248" s="725"/>
      <c r="F2248" s="725"/>
      <c r="G2248" s="726"/>
      <c r="H2248" s="107" t="str">
        <f>IF(A2248="","",VLOOKUP(A2248,AA_Cuadrillas,4,FALSE))</f>
        <v/>
      </c>
      <c r="I2248" s="727" t="str">
        <f>IF(A2248="","",VLOOKUP(A2248,AA_Cuadrillas,5,FALSE))</f>
        <v/>
      </c>
      <c r="J2248" s="726"/>
      <c r="K2248" s="3" t="str">
        <f>IF(A2248="","",'04'!$I$2)</f>
        <v/>
      </c>
      <c r="L2248" s="108"/>
      <c r="M2248" s="727" t="str">
        <f t="shared" si="294"/>
        <v/>
      </c>
      <c r="N2248" s="726"/>
    </row>
    <row r="2249" spans="1:15" ht="12.75" customHeight="1" x14ac:dyDescent="0.25">
      <c r="A2249" s="724"/>
      <c r="B2249" s="725"/>
      <c r="C2249" s="725"/>
      <c r="D2249" s="725"/>
      <c r="E2249" s="725"/>
      <c r="F2249" s="725"/>
      <c r="G2249" s="726"/>
      <c r="H2249" s="107" t="str">
        <f>IF(A2249="","",VLOOKUP(A2249,AA_Cuadrillas,4,FALSE))</f>
        <v/>
      </c>
      <c r="I2249" s="727" t="str">
        <f>IF(A2249="","",VLOOKUP(A2249,AA_Cuadrillas,5,FALSE))</f>
        <v/>
      </c>
      <c r="J2249" s="726"/>
      <c r="K2249" s="3" t="str">
        <f>IF(A2249="","",'04'!$I$2)</f>
        <v/>
      </c>
      <c r="L2249" s="108"/>
      <c r="M2249" s="727" t="str">
        <f t="shared" si="294"/>
        <v/>
      </c>
      <c r="N2249" s="726"/>
    </row>
    <row r="2250" spans="1:15" ht="12.75" customHeight="1" x14ac:dyDescent="0.25">
      <c r="A2250" s="94"/>
      <c r="B2250" s="94"/>
      <c r="C2250" s="94"/>
      <c r="D2250" s="94"/>
      <c r="E2250" s="94"/>
      <c r="F2250" s="94"/>
      <c r="G2250" s="94"/>
      <c r="H2250" s="94"/>
      <c r="I2250" s="94"/>
      <c r="J2250" s="94"/>
      <c r="K2250" s="728" t="s">
        <v>261</v>
      </c>
      <c r="L2250" s="726"/>
      <c r="M2250" s="727">
        <f>SUM(M2245:N2249)</f>
        <v>36179.690840000003</v>
      </c>
      <c r="N2250" s="726"/>
    </row>
    <row r="2251" spans="1:15" ht="15.75" customHeight="1" x14ac:dyDescent="0.2"/>
    <row r="2252" spans="1:15" ht="13.5" customHeight="1" x14ac:dyDescent="0.2">
      <c r="A2252" s="735" t="s">
        <v>1576</v>
      </c>
      <c r="B2252" s="736"/>
      <c r="C2252" s="736"/>
      <c r="D2252" s="736"/>
      <c r="E2252" s="736"/>
      <c r="F2252" s="736"/>
      <c r="G2252" s="736"/>
      <c r="H2252" s="736"/>
      <c r="I2252" s="736"/>
      <c r="J2252" s="736"/>
      <c r="K2252" s="736"/>
      <c r="L2252" s="736"/>
      <c r="M2252" s="736"/>
      <c r="N2252" s="737"/>
      <c r="O2252" s="271"/>
    </row>
    <row r="2253" spans="1:15" ht="13.5" customHeight="1" x14ac:dyDescent="0.2">
      <c r="A2253" s="738"/>
      <c r="B2253" s="739"/>
      <c r="C2253" s="739"/>
      <c r="D2253" s="739"/>
      <c r="E2253" s="739"/>
      <c r="F2253" s="739"/>
      <c r="G2253" s="739"/>
      <c r="H2253" s="739"/>
      <c r="I2253" s="739"/>
      <c r="J2253" s="739"/>
      <c r="K2253" s="739"/>
      <c r="L2253" s="739"/>
      <c r="M2253" s="739"/>
      <c r="N2253" s="740"/>
      <c r="O2253" s="271"/>
    </row>
    <row r="2254" spans="1:15" ht="13.5" customHeight="1" x14ac:dyDescent="0.2">
      <c r="A2254" s="136"/>
      <c r="B2254" s="136"/>
      <c r="C2254" s="136"/>
      <c r="D2254" s="136"/>
      <c r="E2254" s="136"/>
      <c r="F2254" s="136"/>
      <c r="G2254" s="136"/>
      <c r="H2254" s="136"/>
      <c r="I2254" s="136"/>
      <c r="J2254" s="136"/>
      <c r="K2254" s="136"/>
      <c r="L2254" s="136"/>
      <c r="M2254" s="136"/>
      <c r="N2254" s="136"/>
    </row>
    <row r="2255" spans="1:15" ht="13.5" customHeight="1" thickBot="1" x14ac:dyDescent="0.35">
      <c r="A2255" s="51" t="str">
        <f>VLOOKUP(A2252,'10'!$B$9:$N$100,13,FALSE)</f>
        <v>G070</v>
      </c>
      <c r="B2255" s="137" t="str">
        <f>A2252</f>
        <v>TRANSPORTE DE MATERIALES DE CANTERA (INCLUYE CONDUCTOR)</v>
      </c>
      <c r="C2255" s="138" t="s">
        <v>400</v>
      </c>
      <c r="D2255" s="139" t="s">
        <v>467</v>
      </c>
      <c r="E2255" s="140" t="s">
        <v>177</v>
      </c>
      <c r="F2255" s="141">
        <f>H2255+J2255+L2255+N2255</f>
        <v>2206.6944848867188</v>
      </c>
      <c r="G2255" s="140" t="s">
        <v>349</v>
      </c>
      <c r="H2255" s="141">
        <f>M2267</f>
        <v>0</v>
      </c>
      <c r="I2255" s="140" t="s">
        <v>402</v>
      </c>
      <c r="J2255" s="141">
        <f>M2296</f>
        <v>1889.1566666666665</v>
      </c>
      <c r="K2255" s="140" t="s">
        <v>351</v>
      </c>
      <c r="L2255" s="141">
        <f>M2304</f>
        <v>0</v>
      </c>
      <c r="M2255" s="140" t="s">
        <v>352</v>
      </c>
      <c r="N2255" s="141">
        <f>M2313</f>
        <v>317.53781822005209</v>
      </c>
    </row>
    <row r="2256" spans="1:15" ht="13.5" customHeight="1" thickBot="1" x14ac:dyDescent="0.3">
      <c r="A2256" s="142"/>
      <c r="B2256" s="142"/>
      <c r="C2256" s="142"/>
      <c r="D2256" s="142"/>
      <c r="E2256" s="142"/>
      <c r="F2256" s="142"/>
      <c r="G2256" s="142"/>
      <c r="J2256" s="142"/>
      <c r="K2256" s="142"/>
      <c r="L2256" s="327" t="s">
        <v>1934</v>
      </c>
      <c r="M2256" s="328">
        <f>+F2255*'01'!$O$16</f>
        <v>2856.1047741658058</v>
      </c>
      <c r="N2256" s="142"/>
    </row>
    <row r="2257" spans="1:14" ht="13.5" customHeight="1" x14ac:dyDescent="0.2">
      <c r="A2257" s="731" t="s">
        <v>403</v>
      </c>
      <c r="B2257" s="725"/>
      <c r="C2257" s="725"/>
      <c r="D2257" s="725"/>
      <c r="E2257" s="725"/>
      <c r="F2257" s="725"/>
      <c r="G2257" s="725"/>
      <c r="H2257" s="725"/>
      <c r="I2257" s="725"/>
      <c r="J2257" s="725"/>
      <c r="K2257" s="725"/>
      <c r="L2257" s="725"/>
      <c r="M2257" s="725"/>
      <c r="N2257" s="726"/>
    </row>
    <row r="2258" spans="1:14" ht="13.5" customHeight="1" x14ac:dyDescent="0.2">
      <c r="A2258" s="728" t="s">
        <v>39</v>
      </c>
      <c r="B2258" s="725"/>
      <c r="C2258" s="725"/>
      <c r="D2258" s="725"/>
      <c r="E2258" s="725"/>
      <c r="F2258" s="725"/>
      <c r="G2258" s="726"/>
      <c r="H2258" s="143" t="s">
        <v>40</v>
      </c>
      <c r="I2258" s="732" t="s">
        <v>404</v>
      </c>
      <c r="J2258" s="726"/>
      <c r="K2258" s="732" t="s">
        <v>184</v>
      </c>
      <c r="L2258" s="726"/>
      <c r="M2258" s="732" t="s">
        <v>405</v>
      </c>
      <c r="N2258" s="726"/>
    </row>
    <row r="2259" spans="1:14" ht="13.5" customHeight="1" x14ac:dyDescent="0.2">
      <c r="A2259" s="729"/>
      <c r="B2259" s="725"/>
      <c r="C2259" s="725"/>
      <c r="D2259" s="725"/>
      <c r="E2259" s="725"/>
      <c r="F2259" s="725"/>
      <c r="G2259" s="726"/>
      <c r="H2259" s="107"/>
      <c r="I2259" s="727"/>
      <c r="J2259" s="726"/>
      <c r="K2259" s="730"/>
      <c r="L2259" s="726"/>
      <c r="M2259" s="727"/>
      <c r="N2259" s="726"/>
    </row>
    <row r="2260" spans="1:14" ht="13.5" customHeight="1" x14ac:dyDescent="0.2">
      <c r="A2260" s="729"/>
      <c r="B2260" s="725"/>
      <c r="C2260" s="725"/>
      <c r="D2260" s="725"/>
      <c r="E2260" s="725"/>
      <c r="F2260" s="725"/>
      <c r="G2260" s="726"/>
      <c r="H2260" s="107"/>
      <c r="I2260" s="727"/>
      <c r="J2260" s="726"/>
      <c r="K2260" s="730"/>
      <c r="L2260" s="726"/>
      <c r="M2260" s="727"/>
      <c r="N2260" s="726"/>
    </row>
    <row r="2261" spans="1:14" ht="13.5" customHeight="1" x14ac:dyDescent="0.2">
      <c r="A2261" s="729"/>
      <c r="B2261" s="725"/>
      <c r="C2261" s="725"/>
      <c r="D2261" s="725"/>
      <c r="E2261" s="725"/>
      <c r="F2261" s="725"/>
      <c r="G2261" s="726"/>
      <c r="H2261" s="107"/>
      <c r="I2261" s="727"/>
      <c r="J2261" s="726"/>
      <c r="K2261" s="730"/>
      <c r="L2261" s="726"/>
      <c r="M2261" s="727"/>
      <c r="N2261" s="726"/>
    </row>
    <row r="2262" spans="1:14" ht="13.5" customHeight="1" x14ac:dyDescent="0.2">
      <c r="A2262" s="729"/>
      <c r="B2262" s="725"/>
      <c r="C2262" s="725"/>
      <c r="D2262" s="725"/>
      <c r="E2262" s="725"/>
      <c r="F2262" s="725"/>
      <c r="G2262" s="726"/>
      <c r="H2262" s="107" t="str">
        <f>IF(A2262="","",VLOOKUP(A2262,AA_Materiales,7,FALSE))</f>
        <v/>
      </c>
      <c r="I2262" s="727" t="str">
        <f>IF(A2262="","",VLOOKUP(A2262,AA_Materiales,8,FALSE))</f>
        <v/>
      </c>
      <c r="J2262" s="726"/>
      <c r="K2262" s="730"/>
      <c r="L2262" s="726"/>
      <c r="M2262" s="727" t="str">
        <f t="shared" ref="M2262:M2266" si="295">IF(A2262="","",I2262*K2262)</f>
        <v/>
      </c>
      <c r="N2262" s="726"/>
    </row>
    <row r="2263" spans="1:14" ht="13.5" customHeight="1" x14ac:dyDescent="0.2">
      <c r="A2263" s="729"/>
      <c r="B2263" s="725"/>
      <c r="C2263" s="725"/>
      <c r="D2263" s="725"/>
      <c r="E2263" s="725"/>
      <c r="F2263" s="725"/>
      <c r="G2263" s="726"/>
      <c r="H2263" s="107" t="str">
        <f>IF(A2263="","",VLOOKUP(A2263,AA_Materiales,7,FALSE))</f>
        <v/>
      </c>
      <c r="I2263" s="727" t="str">
        <f>IF(A2263="","",VLOOKUP(A2263,AA_Materiales,8,FALSE))</f>
        <v/>
      </c>
      <c r="J2263" s="726"/>
      <c r="K2263" s="730"/>
      <c r="L2263" s="726"/>
      <c r="M2263" s="727" t="str">
        <f t="shared" si="295"/>
        <v/>
      </c>
      <c r="N2263" s="726"/>
    </row>
    <row r="2264" spans="1:14" ht="13.5" customHeight="1" x14ac:dyDescent="0.2">
      <c r="A2264" s="729"/>
      <c r="B2264" s="725"/>
      <c r="C2264" s="725"/>
      <c r="D2264" s="725"/>
      <c r="E2264" s="725"/>
      <c r="F2264" s="725"/>
      <c r="G2264" s="726"/>
      <c r="H2264" s="107" t="str">
        <f>IF(A2264="","",VLOOKUP(A2264,AA_Materiales,7,FALSE))</f>
        <v/>
      </c>
      <c r="I2264" s="727" t="str">
        <f>IF(A2264="","",VLOOKUP(A2264,AA_Materiales,8,FALSE))</f>
        <v/>
      </c>
      <c r="J2264" s="726"/>
      <c r="K2264" s="730"/>
      <c r="L2264" s="726"/>
      <c r="M2264" s="727" t="str">
        <f t="shared" si="295"/>
        <v/>
      </c>
      <c r="N2264" s="726"/>
    </row>
    <row r="2265" spans="1:14" ht="13.5" customHeight="1" x14ac:dyDescent="0.2">
      <c r="A2265" s="729"/>
      <c r="B2265" s="725"/>
      <c r="C2265" s="725"/>
      <c r="D2265" s="725"/>
      <c r="E2265" s="725"/>
      <c r="F2265" s="725"/>
      <c r="G2265" s="726"/>
      <c r="H2265" s="107" t="str">
        <f>IF(A2265="","",VLOOKUP(A2265,AA_Materiales,7,FALSE))</f>
        <v/>
      </c>
      <c r="I2265" s="727" t="str">
        <f>IF(A2265="","",VLOOKUP(A2265,AA_Materiales,8,FALSE))</f>
        <v/>
      </c>
      <c r="J2265" s="726"/>
      <c r="K2265" s="730"/>
      <c r="L2265" s="726"/>
      <c r="M2265" s="727" t="str">
        <f t="shared" si="295"/>
        <v/>
      </c>
      <c r="N2265" s="726"/>
    </row>
    <row r="2266" spans="1:14" ht="13.5" customHeight="1" x14ac:dyDescent="0.2">
      <c r="A2266" s="729"/>
      <c r="B2266" s="725"/>
      <c r="C2266" s="725"/>
      <c r="D2266" s="725"/>
      <c r="E2266" s="725"/>
      <c r="F2266" s="725"/>
      <c r="G2266" s="726"/>
      <c r="H2266" s="107" t="str">
        <f>IF(A2266="","",VLOOKUP(A2266,AA_Materiales,7,FALSE))</f>
        <v/>
      </c>
      <c r="I2266" s="727" t="str">
        <f>IF(A2266="","",VLOOKUP(A2266,AA_Materiales,8,FALSE))</f>
        <v/>
      </c>
      <c r="J2266" s="726"/>
      <c r="K2266" s="730"/>
      <c r="L2266" s="726"/>
      <c r="M2266" s="727" t="str">
        <f t="shared" si="295"/>
        <v/>
      </c>
      <c r="N2266" s="726"/>
    </row>
    <row r="2267" spans="1:14" ht="13.5" customHeight="1" x14ac:dyDescent="0.25">
      <c r="A2267" s="94"/>
      <c r="B2267" s="94"/>
      <c r="C2267" s="94"/>
      <c r="D2267" s="94"/>
      <c r="E2267" s="94"/>
      <c r="F2267" s="94"/>
      <c r="G2267" s="94"/>
      <c r="H2267" s="94"/>
      <c r="I2267" s="94"/>
      <c r="J2267" s="94"/>
      <c r="K2267" s="728" t="s">
        <v>261</v>
      </c>
      <c r="L2267" s="726"/>
      <c r="M2267" s="727">
        <f>SUM(M2259:N2266)</f>
        <v>0</v>
      </c>
      <c r="N2267" s="726"/>
    </row>
    <row r="2268" spans="1:14" ht="13.5" customHeight="1" x14ac:dyDescent="0.25">
      <c r="A2268" s="94"/>
      <c r="B2268" s="94"/>
      <c r="C2268" s="94"/>
      <c r="D2268" s="94"/>
      <c r="E2268" s="94"/>
      <c r="F2268" s="94"/>
      <c r="G2268" s="94"/>
      <c r="H2268" s="94"/>
      <c r="I2268" s="94"/>
      <c r="J2268" s="94"/>
      <c r="K2268" s="94"/>
      <c r="L2268" s="94"/>
      <c r="M2268" s="94"/>
      <c r="N2268" s="94"/>
    </row>
    <row r="2269" spans="1:14" ht="13.5" customHeight="1" x14ac:dyDescent="0.2">
      <c r="A2269" s="731" t="s">
        <v>410</v>
      </c>
      <c r="B2269" s="725"/>
      <c r="C2269" s="725"/>
      <c r="D2269" s="725"/>
      <c r="E2269" s="725"/>
      <c r="F2269" s="725"/>
      <c r="G2269" s="725"/>
      <c r="H2269" s="725"/>
      <c r="I2269" s="725"/>
      <c r="J2269" s="725"/>
      <c r="K2269" s="725"/>
      <c r="L2269" s="725"/>
      <c r="M2269" s="725"/>
      <c r="N2269" s="726"/>
    </row>
    <row r="2270" spans="1:14" ht="13.5" customHeight="1" x14ac:dyDescent="0.2">
      <c r="A2270" s="728" t="s">
        <v>39</v>
      </c>
      <c r="B2270" s="725"/>
      <c r="C2270" s="725"/>
      <c r="D2270" s="725"/>
      <c r="E2270" s="725"/>
      <c r="F2270" s="725"/>
      <c r="G2270" s="726"/>
      <c r="H2270" s="143" t="s">
        <v>40</v>
      </c>
      <c r="I2270" s="732" t="s">
        <v>404</v>
      </c>
      <c r="J2270" s="726"/>
      <c r="K2270" s="732" t="s">
        <v>184</v>
      </c>
      <c r="L2270" s="726"/>
      <c r="M2270" s="732" t="s">
        <v>405</v>
      </c>
      <c r="N2270" s="726"/>
    </row>
    <row r="2271" spans="1:14" ht="13.5" customHeight="1" x14ac:dyDescent="0.2">
      <c r="A2271" s="729" t="s">
        <v>1536</v>
      </c>
      <c r="B2271" s="725"/>
      <c r="C2271" s="725"/>
      <c r="D2271" s="725"/>
      <c r="E2271" s="725"/>
      <c r="F2271" s="725"/>
      <c r="G2271" s="726"/>
      <c r="H2271" s="107" t="s">
        <v>1537</v>
      </c>
      <c r="I2271" s="727"/>
      <c r="J2271" s="726"/>
      <c r="K2271" s="730">
        <v>30</v>
      </c>
      <c r="L2271" s="726"/>
      <c r="M2271" s="727"/>
      <c r="N2271" s="726"/>
    </row>
    <row r="2272" spans="1:14" ht="13.5" customHeight="1" x14ac:dyDescent="0.2">
      <c r="A2272" s="729" t="s">
        <v>1538</v>
      </c>
      <c r="B2272" s="725"/>
      <c r="C2272" s="725"/>
      <c r="D2272" s="725"/>
      <c r="E2272" s="725"/>
      <c r="F2272" s="725"/>
      <c r="G2272" s="726"/>
      <c r="H2272" s="107" t="s">
        <v>1537</v>
      </c>
      <c r="I2272" s="727"/>
      <c r="J2272" s="726"/>
      <c r="K2272" s="730">
        <v>60</v>
      </c>
      <c r="L2272" s="726"/>
      <c r="M2272" s="727"/>
      <c r="N2272" s="726"/>
    </row>
    <row r="2273" spans="1:14" ht="13.5" customHeight="1" x14ac:dyDescent="0.2">
      <c r="A2273" s="729" t="s">
        <v>1539</v>
      </c>
      <c r="B2273" s="725"/>
      <c r="C2273" s="725"/>
      <c r="D2273" s="725"/>
      <c r="E2273" s="725"/>
      <c r="F2273" s="725"/>
      <c r="G2273" s="726"/>
      <c r="H2273" s="107" t="s">
        <v>531</v>
      </c>
      <c r="I2273" s="727"/>
      <c r="J2273" s="726"/>
      <c r="K2273" s="730">
        <v>6</v>
      </c>
      <c r="L2273" s="726"/>
      <c r="M2273" s="727"/>
      <c r="N2273" s="726"/>
    </row>
    <row r="2274" spans="1:14" ht="13.5" customHeight="1" x14ac:dyDescent="0.2">
      <c r="A2274" s="729" t="s">
        <v>1540</v>
      </c>
      <c r="B2274" s="725"/>
      <c r="C2274" s="725"/>
      <c r="D2274" s="725"/>
      <c r="E2274" s="725"/>
      <c r="F2274" s="725"/>
      <c r="G2274" s="726"/>
      <c r="H2274" s="107" t="s">
        <v>1541</v>
      </c>
      <c r="I2274" s="727"/>
      <c r="J2274" s="726"/>
      <c r="K2274" s="730">
        <f>K2273*K2281</f>
        <v>9</v>
      </c>
      <c r="L2274" s="726"/>
      <c r="M2274" s="727"/>
      <c r="N2274" s="726"/>
    </row>
    <row r="2275" spans="1:14" ht="13.5" customHeight="1" x14ac:dyDescent="0.2">
      <c r="A2275" s="729" t="s">
        <v>1542</v>
      </c>
      <c r="B2275" s="725"/>
      <c r="C2275" s="725"/>
      <c r="D2275" s="725"/>
      <c r="E2275" s="725"/>
      <c r="F2275" s="725"/>
      <c r="G2275" s="726"/>
      <c r="H2275" s="107" t="s">
        <v>531</v>
      </c>
      <c r="I2275" s="727"/>
      <c r="J2275" s="726"/>
      <c r="K2275" s="730">
        <v>0.2</v>
      </c>
      <c r="L2275" s="726"/>
      <c r="M2275" s="727"/>
      <c r="N2275" s="726"/>
    </row>
    <row r="2276" spans="1:14" ht="13.5" customHeight="1" x14ac:dyDescent="0.2">
      <c r="A2276" s="729" t="s">
        <v>1543</v>
      </c>
      <c r="B2276" s="725"/>
      <c r="C2276" s="725"/>
      <c r="D2276" s="725"/>
      <c r="E2276" s="725"/>
      <c r="F2276" s="725"/>
      <c r="G2276" s="726"/>
      <c r="H2276" s="107" t="s">
        <v>1544</v>
      </c>
      <c r="I2276" s="727"/>
      <c r="J2276" s="726"/>
      <c r="K2276" s="730">
        <v>1</v>
      </c>
      <c r="L2276" s="726"/>
      <c r="M2276" s="727"/>
      <c r="N2276" s="726"/>
    </row>
    <row r="2277" spans="1:14" ht="13.5" customHeight="1" x14ac:dyDescent="0.2">
      <c r="A2277" s="729" t="s">
        <v>1545</v>
      </c>
      <c r="B2277" s="725"/>
      <c r="C2277" s="725"/>
      <c r="D2277" s="725"/>
      <c r="E2277" s="725"/>
      <c r="F2277" s="725"/>
      <c r="G2277" s="726"/>
      <c r="H2277" s="107" t="s">
        <v>1546</v>
      </c>
      <c r="I2277" s="727"/>
      <c r="J2277" s="726"/>
      <c r="K2277" s="730">
        <v>1</v>
      </c>
      <c r="L2277" s="726"/>
      <c r="M2277" s="727"/>
      <c r="N2277" s="726"/>
    </row>
    <row r="2278" spans="1:14" ht="13.5" customHeight="1" x14ac:dyDescent="0.2">
      <c r="A2278" s="729" t="s">
        <v>1547</v>
      </c>
      <c r="B2278" s="725"/>
      <c r="C2278" s="725"/>
      <c r="D2278" s="725"/>
      <c r="E2278" s="725"/>
      <c r="F2278" s="725"/>
      <c r="G2278" s="726"/>
      <c r="H2278" s="107" t="s">
        <v>22</v>
      </c>
      <c r="I2278" s="727"/>
      <c r="J2278" s="726"/>
      <c r="K2278" s="730">
        <f>+Indice!$M$5</f>
        <v>40</v>
      </c>
      <c r="L2278" s="726"/>
      <c r="M2278" s="727"/>
      <c r="N2278" s="726"/>
    </row>
    <row r="2279" spans="1:14" ht="13.5" customHeight="1" x14ac:dyDescent="0.2">
      <c r="A2279" s="729" t="s">
        <v>1548</v>
      </c>
      <c r="B2279" s="725"/>
      <c r="C2279" s="725"/>
      <c r="D2279" s="725"/>
      <c r="E2279" s="725"/>
      <c r="F2279" s="725"/>
      <c r="G2279" s="726"/>
      <c r="H2279" s="107" t="s">
        <v>13</v>
      </c>
      <c r="I2279" s="727"/>
      <c r="J2279" s="726"/>
      <c r="K2279" s="730">
        <v>0.05</v>
      </c>
      <c r="L2279" s="726"/>
      <c r="M2279" s="727"/>
      <c r="N2279" s="726"/>
    </row>
    <row r="2280" spans="1:14" ht="13.5" customHeight="1" x14ac:dyDescent="0.2">
      <c r="A2280" s="729" t="s">
        <v>1549</v>
      </c>
      <c r="B2280" s="725"/>
      <c r="C2280" s="725"/>
      <c r="D2280" s="725"/>
      <c r="E2280" s="725"/>
      <c r="F2280" s="725"/>
      <c r="G2280" s="726"/>
      <c r="H2280" s="107" t="s">
        <v>13</v>
      </c>
      <c r="I2280" s="727"/>
      <c r="J2280" s="726"/>
      <c r="K2280" s="730">
        <v>0.3</v>
      </c>
      <c r="L2280" s="726"/>
      <c r="M2280" s="727"/>
      <c r="N2280" s="726"/>
    </row>
    <row r="2281" spans="1:14" ht="13.5" customHeight="1" x14ac:dyDescent="0.2">
      <c r="A2281" s="729" t="s">
        <v>1550</v>
      </c>
      <c r="B2281" s="725"/>
      <c r="C2281" s="725"/>
      <c r="D2281" s="725"/>
      <c r="E2281" s="725"/>
      <c r="F2281" s="725"/>
      <c r="G2281" s="726"/>
      <c r="H2281" s="107" t="s">
        <v>1551</v>
      </c>
      <c r="I2281" s="727"/>
      <c r="J2281" s="726"/>
      <c r="K2281" s="730">
        <v>1.5</v>
      </c>
      <c r="L2281" s="726"/>
      <c r="M2281" s="727"/>
      <c r="N2281" s="726"/>
    </row>
    <row r="2282" spans="1:14" ht="13.5" customHeight="1" x14ac:dyDescent="0.2">
      <c r="A2282" s="729" t="s">
        <v>1552</v>
      </c>
      <c r="B2282" s="725"/>
      <c r="C2282" s="725"/>
      <c r="D2282" s="725"/>
      <c r="E2282" s="725"/>
      <c r="F2282" s="725"/>
      <c r="G2282" s="726"/>
      <c r="H2282" s="107" t="s">
        <v>1553</v>
      </c>
      <c r="I2282" s="727">
        <f>+'14'!J23</f>
        <v>150000</v>
      </c>
      <c r="J2282" s="726"/>
      <c r="K2282" s="730"/>
      <c r="L2282" s="726"/>
      <c r="M2282" s="727"/>
      <c r="N2282" s="726"/>
    </row>
    <row r="2283" spans="1:14" ht="13.5" customHeight="1" x14ac:dyDescent="0.2">
      <c r="A2283" s="729" t="s">
        <v>1554</v>
      </c>
      <c r="B2283" s="725"/>
      <c r="C2283" s="725"/>
      <c r="D2283" s="725"/>
      <c r="E2283" s="725"/>
      <c r="F2283" s="725"/>
      <c r="G2283" s="726"/>
      <c r="H2283" s="107" t="s">
        <v>1555</v>
      </c>
      <c r="I2283" s="727">
        <v>0</v>
      </c>
      <c r="J2283" s="726"/>
      <c r="K2283" s="730"/>
      <c r="L2283" s="726"/>
      <c r="M2283" s="727"/>
      <c r="N2283" s="726"/>
    </row>
    <row r="2284" spans="1:14" ht="13.5" customHeight="1" x14ac:dyDescent="0.2">
      <c r="A2284" s="729" t="s">
        <v>1556</v>
      </c>
      <c r="B2284" s="725"/>
      <c r="C2284" s="725"/>
      <c r="D2284" s="725"/>
      <c r="E2284" s="725"/>
      <c r="F2284" s="725"/>
      <c r="G2284" s="726"/>
      <c r="H2284" s="107" t="s">
        <v>1557</v>
      </c>
      <c r="I2284" s="727">
        <f>I2283/K2273</f>
        <v>0</v>
      </c>
      <c r="J2284" s="726"/>
      <c r="K2284" s="730"/>
      <c r="L2284" s="726"/>
      <c r="M2284" s="727"/>
      <c r="N2284" s="726"/>
    </row>
    <row r="2285" spans="1:14" ht="13.5" customHeight="1" x14ac:dyDescent="0.2">
      <c r="A2285" s="729" t="s">
        <v>1558</v>
      </c>
      <c r="B2285" s="725"/>
      <c r="C2285" s="725"/>
      <c r="D2285" s="725"/>
      <c r="E2285" s="725"/>
      <c r="F2285" s="725"/>
      <c r="G2285" s="726"/>
      <c r="H2285" s="107" t="s">
        <v>1559</v>
      </c>
      <c r="I2285" s="727"/>
      <c r="J2285" s="726"/>
      <c r="K2285" s="730">
        <f>ROUNDUP(K2274/(K2275*(1-K2279)*(1-K2280)*K2281),0)</f>
        <v>46</v>
      </c>
      <c r="L2285" s="726"/>
      <c r="M2285" s="727"/>
      <c r="N2285" s="726"/>
    </row>
    <row r="2286" spans="1:14" ht="13.5" customHeight="1" x14ac:dyDescent="0.2">
      <c r="A2286" s="729" t="s">
        <v>1560</v>
      </c>
      <c r="B2286" s="725"/>
      <c r="C2286" s="725"/>
      <c r="D2286" s="725"/>
      <c r="E2286" s="725"/>
      <c r="F2286" s="725"/>
      <c r="G2286" s="726"/>
      <c r="H2286" s="107" t="s">
        <v>1561</v>
      </c>
      <c r="I2286" s="727"/>
      <c r="J2286" s="726"/>
      <c r="K2286" s="730">
        <f>(K2276*K2285)/60</f>
        <v>0.76666666666666672</v>
      </c>
      <c r="L2286" s="726"/>
      <c r="M2286" s="727"/>
      <c r="N2286" s="726"/>
    </row>
    <row r="2287" spans="1:14" ht="13.5" customHeight="1" x14ac:dyDescent="0.2">
      <c r="A2287" s="729" t="s">
        <v>1562</v>
      </c>
      <c r="B2287" s="725"/>
      <c r="C2287" s="725"/>
      <c r="D2287" s="725"/>
      <c r="E2287" s="725"/>
      <c r="F2287" s="725"/>
      <c r="G2287" s="726"/>
      <c r="H2287" s="107" t="s">
        <v>1561</v>
      </c>
      <c r="I2287" s="727"/>
      <c r="J2287" s="726"/>
      <c r="K2287" s="730">
        <f>K2277/60</f>
        <v>1.6666666666666666E-2</v>
      </c>
      <c r="L2287" s="726"/>
      <c r="M2287" s="727"/>
      <c r="N2287" s="726"/>
    </row>
    <row r="2288" spans="1:14" ht="13.5" customHeight="1" x14ac:dyDescent="0.2">
      <c r="A2288" s="729" t="s">
        <v>1563</v>
      </c>
      <c r="B2288" s="725"/>
      <c r="C2288" s="725"/>
      <c r="D2288" s="725"/>
      <c r="E2288" s="725"/>
      <c r="F2288" s="725"/>
      <c r="G2288" s="726"/>
      <c r="H2288" s="107" t="s">
        <v>1561</v>
      </c>
      <c r="I2288" s="727"/>
      <c r="J2288" s="726"/>
      <c r="K2288" s="730">
        <f>K2278/K2271</f>
        <v>1.3333333333333333</v>
      </c>
      <c r="L2288" s="726"/>
      <c r="M2288" s="727"/>
      <c r="N2288" s="726"/>
    </row>
    <row r="2289" spans="1:14" ht="13.5" customHeight="1" x14ac:dyDescent="0.2">
      <c r="A2289" s="729" t="s">
        <v>1564</v>
      </c>
      <c r="B2289" s="725"/>
      <c r="C2289" s="725"/>
      <c r="D2289" s="725"/>
      <c r="E2289" s="725"/>
      <c r="F2289" s="725"/>
      <c r="G2289" s="726"/>
      <c r="H2289" s="107" t="s">
        <v>1561</v>
      </c>
      <c r="I2289" s="727"/>
      <c r="J2289" s="726"/>
      <c r="K2289" s="730">
        <f>K2278/K2272</f>
        <v>0.66666666666666663</v>
      </c>
      <c r="L2289" s="726"/>
      <c r="M2289" s="727"/>
      <c r="N2289" s="726"/>
    </row>
    <row r="2290" spans="1:14" ht="13.5" customHeight="1" x14ac:dyDescent="0.2">
      <c r="A2290" s="729" t="s">
        <v>1565</v>
      </c>
      <c r="B2290" s="725"/>
      <c r="C2290" s="725"/>
      <c r="D2290" s="725"/>
      <c r="E2290" s="725"/>
      <c r="F2290" s="725"/>
      <c r="G2290" s="726"/>
      <c r="H2290" s="107" t="s">
        <v>1561</v>
      </c>
      <c r="I2290" s="727"/>
      <c r="J2290" s="726"/>
      <c r="K2290" s="730">
        <f>SUM(K2286:K2289)</f>
        <v>2.7833333333333332</v>
      </c>
      <c r="L2290" s="726"/>
      <c r="M2290" s="727"/>
      <c r="N2290" s="726"/>
    </row>
    <row r="2291" spans="1:14" ht="13.5" customHeight="1" x14ac:dyDescent="0.2">
      <c r="A2291" s="729" t="s">
        <v>1566</v>
      </c>
      <c r="B2291" s="725"/>
      <c r="C2291" s="725"/>
      <c r="D2291" s="725"/>
      <c r="E2291" s="725"/>
      <c r="F2291" s="725"/>
      <c r="G2291" s="726"/>
      <c r="H2291" s="107" t="s">
        <v>532</v>
      </c>
      <c r="I2291" s="727">
        <f>+'14'!$J$17</f>
        <v>11218</v>
      </c>
      <c r="J2291" s="726"/>
      <c r="K2291" s="730"/>
      <c r="L2291" s="726"/>
      <c r="M2291" s="727"/>
      <c r="N2291" s="726"/>
    </row>
    <row r="2292" spans="1:14" ht="13.5" customHeight="1" x14ac:dyDescent="0.2">
      <c r="A2292" s="729" t="s">
        <v>1567</v>
      </c>
      <c r="B2292" s="725"/>
      <c r="C2292" s="725"/>
      <c r="D2292" s="725"/>
      <c r="E2292" s="725"/>
      <c r="F2292" s="725"/>
      <c r="G2292" s="726"/>
      <c r="H2292" s="107" t="s">
        <v>1568</v>
      </c>
      <c r="I2292" s="727"/>
      <c r="J2292" s="726"/>
      <c r="K2292" s="730">
        <v>8</v>
      </c>
      <c r="L2292" s="726"/>
      <c r="M2292" s="727"/>
      <c r="N2292" s="726"/>
    </row>
    <row r="2293" spans="1:14" ht="13.5" customHeight="1" x14ac:dyDescent="0.2">
      <c r="A2293" s="729" t="s">
        <v>1569</v>
      </c>
      <c r="B2293" s="725"/>
      <c r="C2293" s="725"/>
      <c r="D2293" s="725"/>
      <c r="E2293" s="725"/>
      <c r="F2293" s="725"/>
      <c r="G2293" s="726"/>
      <c r="H2293" s="107" t="s">
        <v>1570</v>
      </c>
      <c r="I2293" s="727"/>
      <c r="J2293" s="726"/>
      <c r="K2293" s="730"/>
      <c r="L2293" s="726"/>
      <c r="M2293" s="727">
        <f>((K2292*I2291)/100)*K2278</f>
        <v>35897.600000000006</v>
      </c>
      <c r="N2293" s="726"/>
    </row>
    <row r="2294" spans="1:14" ht="13.5" customHeight="1" x14ac:dyDescent="0.2">
      <c r="A2294" s="729" t="s">
        <v>1571</v>
      </c>
      <c r="B2294" s="725"/>
      <c r="C2294" s="725"/>
      <c r="D2294" s="725"/>
      <c r="E2294" s="725"/>
      <c r="F2294" s="725"/>
      <c r="G2294" s="726"/>
      <c r="H2294" s="107" t="s">
        <v>1570</v>
      </c>
      <c r="I2294" s="727"/>
      <c r="J2294" s="726"/>
      <c r="K2294" s="730"/>
      <c r="L2294" s="726"/>
      <c r="M2294" s="727">
        <f>((I2282*K2290)+I2283)+M2293</f>
        <v>453397.6</v>
      </c>
      <c r="N2294" s="726"/>
    </row>
    <row r="2295" spans="1:14" ht="13.5" customHeight="1" x14ac:dyDescent="0.2">
      <c r="A2295" s="729" t="s">
        <v>1572</v>
      </c>
      <c r="B2295" s="725"/>
      <c r="C2295" s="725"/>
      <c r="D2295" s="725"/>
      <c r="E2295" s="725"/>
      <c r="F2295" s="725"/>
      <c r="G2295" s="726"/>
      <c r="H2295" s="107" t="s">
        <v>1573</v>
      </c>
      <c r="I2295" s="727"/>
      <c r="J2295" s="726"/>
      <c r="K2295" s="727">
        <f>K2278*K2273</f>
        <v>240</v>
      </c>
      <c r="L2295" s="726"/>
      <c r="M2295" s="727"/>
      <c r="N2295" s="726"/>
    </row>
    <row r="2296" spans="1:14" ht="13.5" customHeight="1" x14ac:dyDescent="0.25">
      <c r="A2296" s="94"/>
      <c r="B2296" s="94"/>
      <c r="C2296" s="94"/>
      <c r="D2296" s="94"/>
      <c r="E2296" s="94"/>
      <c r="F2296" s="94"/>
      <c r="G2296" s="94"/>
      <c r="H2296" s="94"/>
      <c r="I2296" s="94"/>
      <c r="J2296" s="94"/>
      <c r="K2296" s="728" t="s">
        <v>261</v>
      </c>
      <c r="L2296" s="726"/>
      <c r="M2296" s="727">
        <f>M2294/K2295</f>
        <v>1889.1566666666665</v>
      </c>
      <c r="N2296" s="726"/>
    </row>
    <row r="2297" spans="1:14" ht="13.5" customHeight="1" x14ac:dyDescent="0.25">
      <c r="A2297" s="94"/>
      <c r="B2297" s="94"/>
      <c r="C2297" s="94"/>
      <c r="D2297" s="94"/>
      <c r="E2297" s="94"/>
      <c r="F2297" s="94"/>
      <c r="G2297" s="94"/>
      <c r="H2297" s="94"/>
      <c r="I2297" s="94"/>
      <c r="J2297" s="94"/>
      <c r="K2297" s="94"/>
      <c r="L2297" s="94"/>
      <c r="M2297" s="94"/>
      <c r="N2297" s="94"/>
    </row>
    <row r="2298" spans="1:14" ht="13.5" customHeight="1" x14ac:dyDescent="0.2">
      <c r="A2298" s="731" t="s">
        <v>413</v>
      </c>
      <c r="B2298" s="725"/>
      <c r="C2298" s="725"/>
      <c r="D2298" s="725"/>
      <c r="E2298" s="725"/>
      <c r="F2298" s="725"/>
      <c r="G2298" s="725"/>
      <c r="H2298" s="725"/>
      <c r="I2298" s="725"/>
      <c r="J2298" s="725"/>
      <c r="K2298" s="725"/>
      <c r="L2298" s="725"/>
      <c r="M2298" s="725"/>
      <c r="N2298" s="726"/>
    </row>
    <row r="2299" spans="1:14" ht="13.5" customHeight="1" x14ac:dyDescent="0.2">
      <c r="A2299" s="728" t="s">
        <v>39</v>
      </c>
      <c r="B2299" s="725"/>
      <c r="C2299" s="725"/>
      <c r="D2299" s="725"/>
      <c r="E2299" s="725"/>
      <c r="F2299" s="725"/>
      <c r="G2299" s="726"/>
      <c r="H2299" s="143" t="s">
        <v>40</v>
      </c>
      <c r="I2299" s="732" t="s">
        <v>404</v>
      </c>
      <c r="J2299" s="726"/>
      <c r="K2299" s="732" t="s">
        <v>184</v>
      </c>
      <c r="L2299" s="726"/>
      <c r="M2299" s="732" t="s">
        <v>405</v>
      </c>
      <c r="N2299" s="726"/>
    </row>
    <row r="2300" spans="1:14" ht="13.5" customHeight="1" x14ac:dyDescent="0.2">
      <c r="A2300" s="733"/>
      <c r="B2300" s="725"/>
      <c r="C2300" s="725"/>
      <c r="D2300" s="725"/>
      <c r="E2300" s="725"/>
      <c r="F2300" s="725"/>
      <c r="G2300" s="726"/>
      <c r="H2300" s="107"/>
      <c r="I2300" s="727"/>
      <c r="J2300" s="726"/>
      <c r="K2300" s="734"/>
      <c r="L2300" s="726"/>
      <c r="M2300" s="727"/>
      <c r="N2300" s="726"/>
    </row>
    <row r="2301" spans="1:14" ht="13.5" customHeight="1" x14ac:dyDescent="0.2">
      <c r="A2301" s="729"/>
      <c r="B2301" s="725"/>
      <c r="C2301" s="725"/>
      <c r="D2301" s="725"/>
      <c r="E2301" s="725"/>
      <c r="F2301" s="725"/>
      <c r="G2301" s="726"/>
      <c r="H2301" s="107"/>
      <c r="I2301" s="727"/>
      <c r="J2301" s="726"/>
      <c r="K2301" s="730"/>
      <c r="L2301" s="726"/>
      <c r="M2301" s="727" t="str">
        <f t="shared" ref="M2301:M2303" si="296">IF(A2301="","",I2301*K2301)</f>
        <v/>
      </c>
      <c r="N2301" s="726"/>
    </row>
    <row r="2302" spans="1:14" ht="13.5" customHeight="1" x14ac:dyDescent="0.2">
      <c r="A2302" s="729"/>
      <c r="B2302" s="725"/>
      <c r="C2302" s="725"/>
      <c r="D2302" s="725"/>
      <c r="E2302" s="725"/>
      <c r="F2302" s="725"/>
      <c r="G2302" s="726"/>
      <c r="H2302" s="107"/>
      <c r="I2302" s="727"/>
      <c r="J2302" s="726"/>
      <c r="K2302" s="730"/>
      <c r="L2302" s="726"/>
      <c r="M2302" s="727" t="str">
        <f t="shared" si="296"/>
        <v/>
      </c>
      <c r="N2302" s="726"/>
    </row>
    <row r="2303" spans="1:14" ht="13.5" customHeight="1" x14ac:dyDescent="0.2">
      <c r="A2303" s="729"/>
      <c r="B2303" s="725"/>
      <c r="C2303" s="725"/>
      <c r="D2303" s="725"/>
      <c r="E2303" s="725"/>
      <c r="F2303" s="725"/>
      <c r="G2303" s="726"/>
      <c r="H2303" s="107"/>
      <c r="I2303" s="727"/>
      <c r="J2303" s="726"/>
      <c r="K2303" s="730"/>
      <c r="L2303" s="726"/>
      <c r="M2303" s="727" t="str">
        <f t="shared" si="296"/>
        <v/>
      </c>
      <c r="N2303" s="726"/>
    </row>
    <row r="2304" spans="1:14" ht="13.5" customHeight="1" x14ac:dyDescent="0.25">
      <c r="A2304" s="94"/>
      <c r="B2304" s="94"/>
      <c r="C2304" s="94"/>
      <c r="D2304" s="94"/>
      <c r="E2304" s="94"/>
      <c r="F2304" s="94"/>
      <c r="G2304" s="94"/>
      <c r="H2304" s="94"/>
      <c r="I2304" s="94"/>
      <c r="J2304" s="94"/>
      <c r="K2304" s="728" t="s">
        <v>261</v>
      </c>
      <c r="L2304" s="726"/>
      <c r="M2304" s="727">
        <f>SUM(M2300:N2303)</f>
        <v>0</v>
      </c>
      <c r="N2304" s="726"/>
    </row>
    <row r="2305" spans="1:16" ht="13.5" customHeight="1" x14ac:dyDescent="0.25">
      <c r="A2305" s="94"/>
      <c r="B2305" s="94"/>
      <c r="C2305" s="94"/>
      <c r="D2305" s="94"/>
      <c r="E2305" s="94"/>
      <c r="F2305" s="94"/>
      <c r="G2305" s="94"/>
      <c r="H2305" s="94"/>
      <c r="I2305" s="94"/>
      <c r="J2305" s="94"/>
      <c r="K2305" s="94"/>
      <c r="L2305" s="94"/>
      <c r="M2305" s="94"/>
      <c r="N2305" s="94"/>
    </row>
    <row r="2306" spans="1:16" ht="13.5" customHeight="1" x14ac:dyDescent="0.2">
      <c r="A2306" s="731" t="s">
        <v>415</v>
      </c>
      <c r="B2306" s="725"/>
      <c r="C2306" s="725"/>
      <c r="D2306" s="725"/>
      <c r="E2306" s="725"/>
      <c r="F2306" s="725"/>
      <c r="G2306" s="725"/>
      <c r="H2306" s="725"/>
      <c r="I2306" s="725"/>
      <c r="J2306" s="725"/>
      <c r="K2306" s="725"/>
      <c r="L2306" s="725"/>
      <c r="M2306" s="725"/>
      <c r="N2306" s="726"/>
    </row>
    <row r="2307" spans="1:16" ht="13.5" customHeight="1" x14ac:dyDescent="0.2">
      <c r="A2307" s="728" t="s">
        <v>39</v>
      </c>
      <c r="B2307" s="725"/>
      <c r="C2307" s="725"/>
      <c r="D2307" s="725"/>
      <c r="E2307" s="725"/>
      <c r="F2307" s="725"/>
      <c r="G2307" s="726"/>
      <c r="H2307" s="143" t="s">
        <v>40</v>
      </c>
      <c r="I2307" s="732" t="s">
        <v>404</v>
      </c>
      <c r="J2307" s="726"/>
      <c r="K2307" s="145" t="s">
        <v>253</v>
      </c>
      <c r="L2307" s="146" t="s">
        <v>416</v>
      </c>
      <c r="M2307" s="732" t="s">
        <v>405</v>
      </c>
      <c r="N2307" s="726"/>
    </row>
    <row r="2308" spans="1:16" ht="13.5" customHeight="1" x14ac:dyDescent="0.25">
      <c r="A2308" s="724" t="s">
        <v>533</v>
      </c>
      <c r="B2308" s="725"/>
      <c r="C2308" s="725"/>
      <c r="D2308" s="725"/>
      <c r="E2308" s="725"/>
      <c r="F2308" s="725"/>
      <c r="G2308" s="726"/>
      <c r="H2308" s="107" t="s">
        <v>534</v>
      </c>
      <c r="I2308" s="727">
        <f>IF(A2308="","",VLOOKUP(A2308,AA_Cuadrillas,5,FALSE))</f>
        <v>116727</v>
      </c>
      <c r="J2308" s="726"/>
      <c r="K2308" s="104">
        <v>1.8765499999999999</v>
      </c>
      <c r="L2308" s="178">
        <f>(K2290/8)/K2295</f>
        <v>1.4496527777777778E-3</v>
      </c>
      <c r="M2308" s="727">
        <f t="shared" ref="M2308:M2312" si="297">IF(A2308="","",I2308*K2308*L2308)</f>
        <v>317.53781822005209</v>
      </c>
      <c r="N2308" s="726"/>
    </row>
    <row r="2309" spans="1:16" ht="13.5" customHeight="1" x14ac:dyDescent="0.25">
      <c r="A2309" s="724"/>
      <c r="B2309" s="725"/>
      <c r="C2309" s="725"/>
      <c r="D2309" s="725"/>
      <c r="E2309" s="725"/>
      <c r="F2309" s="725"/>
      <c r="G2309" s="726"/>
      <c r="H2309" s="107" t="str">
        <f>IF(A2309="","",VLOOKUP(A2309,AA_Cuadrillas,4,FALSE))</f>
        <v/>
      </c>
      <c r="I2309" s="727" t="str">
        <f>IF(A2309="","",VLOOKUP(A2309,AA_Cuadrillas,5,FALSE))</f>
        <v/>
      </c>
      <c r="J2309" s="726"/>
      <c r="K2309" s="104" t="s">
        <v>1574</v>
      </c>
      <c r="L2309" s="104"/>
      <c r="M2309" s="727" t="str">
        <f t="shared" si="297"/>
        <v/>
      </c>
      <c r="N2309" s="726"/>
    </row>
    <row r="2310" spans="1:16" ht="13.5" customHeight="1" x14ac:dyDescent="0.25">
      <c r="A2310" s="724"/>
      <c r="B2310" s="725"/>
      <c r="C2310" s="725"/>
      <c r="D2310" s="725"/>
      <c r="E2310" s="725"/>
      <c r="F2310" s="725"/>
      <c r="G2310" s="726"/>
      <c r="H2310" s="107" t="str">
        <f>IF(A2310="","",VLOOKUP(A2310,AA_Cuadrillas,4,FALSE))</f>
        <v/>
      </c>
      <c r="I2310" s="727" t="str">
        <f>IF(A2310="","",VLOOKUP(A2310,AA_Cuadrillas,5,FALSE))</f>
        <v/>
      </c>
      <c r="J2310" s="726"/>
      <c r="K2310" s="104" t="s">
        <v>1574</v>
      </c>
      <c r="L2310" s="108"/>
      <c r="M2310" s="727" t="str">
        <f t="shared" si="297"/>
        <v/>
      </c>
      <c r="N2310" s="726"/>
    </row>
    <row r="2311" spans="1:16" ht="13.5" customHeight="1" x14ac:dyDescent="0.25">
      <c r="A2311" s="724"/>
      <c r="B2311" s="725"/>
      <c r="C2311" s="725"/>
      <c r="D2311" s="725"/>
      <c r="E2311" s="725"/>
      <c r="F2311" s="725"/>
      <c r="G2311" s="726"/>
      <c r="H2311" s="107" t="str">
        <f>IF(A2311="","",VLOOKUP(A2311,AA_Cuadrillas,4,FALSE))</f>
        <v/>
      </c>
      <c r="I2311" s="727" t="str">
        <f>IF(A2311="","",VLOOKUP(A2311,AA_Cuadrillas,5,FALSE))</f>
        <v/>
      </c>
      <c r="J2311" s="726"/>
      <c r="K2311" s="104" t="s">
        <v>1574</v>
      </c>
      <c r="L2311" s="108"/>
      <c r="M2311" s="727" t="str">
        <f t="shared" si="297"/>
        <v/>
      </c>
      <c r="N2311" s="726"/>
    </row>
    <row r="2312" spans="1:16" ht="13.5" customHeight="1" x14ac:dyDescent="0.25">
      <c r="A2312" s="724"/>
      <c r="B2312" s="725"/>
      <c r="C2312" s="725"/>
      <c r="D2312" s="725"/>
      <c r="E2312" s="725"/>
      <c r="F2312" s="725"/>
      <c r="G2312" s="726"/>
      <c r="H2312" s="107" t="str">
        <f>IF(A2312="","",VLOOKUP(A2312,AA_Cuadrillas,4,FALSE))</f>
        <v/>
      </c>
      <c r="I2312" s="727" t="str">
        <f>IF(A2312="","",VLOOKUP(A2312,AA_Cuadrillas,5,FALSE))</f>
        <v/>
      </c>
      <c r="J2312" s="726"/>
      <c r="K2312" s="104" t="s">
        <v>1574</v>
      </c>
      <c r="L2312" s="108"/>
      <c r="M2312" s="727" t="str">
        <f t="shared" si="297"/>
        <v/>
      </c>
      <c r="N2312" s="726"/>
    </row>
    <row r="2313" spans="1:16" ht="13.5" customHeight="1" x14ac:dyDescent="0.25">
      <c r="A2313" s="94"/>
      <c r="B2313" s="94"/>
      <c r="C2313" s="94"/>
      <c r="D2313" s="94"/>
      <c r="E2313" s="94"/>
      <c r="F2313" s="94"/>
      <c r="G2313" s="94"/>
      <c r="H2313" s="94"/>
      <c r="I2313" s="94"/>
      <c r="J2313" s="94"/>
      <c r="K2313" s="728" t="s">
        <v>261</v>
      </c>
      <c r="L2313" s="726"/>
      <c r="M2313" s="727">
        <f>SUM(M2308:N2312)</f>
        <v>317.53781822005209</v>
      </c>
      <c r="N2313" s="726"/>
    </row>
    <row r="2315" spans="1:16" ht="12.75" customHeight="1" x14ac:dyDescent="0.2">
      <c r="A2315" s="718" t="s">
        <v>1792</v>
      </c>
      <c r="B2315" s="498"/>
      <c r="C2315" s="498"/>
      <c r="D2315" s="498"/>
      <c r="E2315" s="498"/>
      <c r="F2315" s="498"/>
      <c r="G2315" s="498"/>
      <c r="H2315" s="498"/>
      <c r="I2315" s="498"/>
      <c r="J2315" s="498"/>
      <c r="K2315" s="498"/>
      <c r="L2315" s="498"/>
      <c r="M2315" s="498"/>
      <c r="N2315" s="499"/>
      <c r="O2315" s="272"/>
      <c r="P2315" s="9"/>
    </row>
    <row r="2316" spans="1:16" ht="12.75" customHeight="1" x14ac:dyDescent="0.2">
      <c r="A2316" s="503"/>
      <c r="B2316" s="504"/>
      <c r="C2316" s="504"/>
      <c r="D2316" s="504"/>
      <c r="E2316" s="504"/>
      <c r="F2316" s="504"/>
      <c r="G2316" s="504"/>
      <c r="H2316" s="504"/>
      <c r="I2316" s="504"/>
      <c r="J2316" s="504"/>
      <c r="K2316" s="504"/>
      <c r="L2316" s="504"/>
      <c r="M2316" s="504"/>
      <c r="N2316" s="505"/>
      <c r="O2316" s="272"/>
      <c r="P2316" s="9"/>
    </row>
    <row r="2317" spans="1:16" ht="12.75" customHeight="1" x14ac:dyDescent="0.2">
      <c r="A2317" s="49"/>
      <c r="B2317" s="49"/>
      <c r="C2317" s="49"/>
      <c r="D2317" s="49"/>
      <c r="E2317" s="49"/>
      <c r="F2317" s="49"/>
      <c r="G2317" s="49"/>
      <c r="H2317" s="49"/>
      <c r="I2317" s="49"/>
      <c r="J2317" s="49"/>
      <c r="K2317" s="49"/>
      <c r="L2317" s="49"/>
      <c r="M2317" s="49"/>
      <c r="N2317" s="49"/>
    </row>
    <row r="2318" spans="1:16" ht="12.75" customHeight="1" thickBot="1" x14ac:dyDescent="0.35">
      <c r="A2318" s="51" t="str">
        <f>VLOOKUP(A2315,'10'!$B$9:$N$100,13,FALSE)</f>
        <v>G071</v>
      </c>
      <c r="B2318" s="52" t="str">
        <f>A2315</f>
        <v>ESTACIÓN DE MACROMEDICIÓN L=1.90M, A=1.60M DE Ø6" A TODO COSTO (INCLUYE CONFORMACIÓN DE CAJA EN CONCRETO DE 4000 PSI, ACERO DE REFUERZO, TUBERÍA, ACCESORIOS, MATERIALES, HERRRAMIENTA MENOR Y MANO DE OBRA)</v>
      </c>
      <c r="C2318" s="53" t="s">
        <v>400</v>
      </c>
      <c r="D2318" s="54" t="s">
        <v>475</v>
      </c>
      <c r="E2318" s="55" t="s">
        <v>177</v>
      </c>
      <c r="F2318" s="59">
        <f>H2318+J2318+L2318+N2318</f>
        <v>32236076.52850429</v>
      </c>
      <c r="G2318" s="55" t="s">
        <v>349</v>
      </c>
      <c r="H2318" s="59">
        <f>M2355</f>
        <v>65917.585382399993</v>
      </c>
      <c r="I2318" s="55" t="s">
        <v>402</v>
      </c>
      <c r="J2318" s="72">
        <f>M2346</f>
        <v>28857794.260375224</v>
      </c>
      <c r="K2318" s="55" t="s">
        <v>351</v>
      </c>
      <c r="L2318" s="70">
        <f>M2364</f>
        <v>1115111.8366666667</v>
      </c>
      <c r="M2318" s="55" t="s">
        <v>352</v>
      </c>
      <c r="N2318" s="70">
        <f>M2373</f>
        <v>2197252.84608</v>
      </c>
    </row>
    <row r="2319" spans="1:16" ht="12.75" customHeight="1" thickBot="1" x14ac:dyDescent="0.3">
      <c r="A2319" s="60"/>
      <c r="B2319" s="60"/>
      <c r="C2319" s="60"/>
      <c r="D2319" s="60"/>
      <c r="E2319" s="60"/>
      <c r="F2319" s="60"/>
      <c r="G2319" s="60"/>
      <c r="J2319" s="60"/>
      <c r="K2319" s="60"/>
      <c r="L2319" s="327" t="s">
        <v>1934</v>
      </c>
      <c r="M2319" s="328">
        <f>+F2318*'01'!$O$16</f>
        <v>41722863.180202216</v>
      </c>
      <c r="N2319" s="60"/>
    </row>
    <row r="2320" spans="1:16" ht="12.75" customHeight="1" x14ac:dyDescent="0.2">
      <c r="A2320" s="716" t="s">
        <v>403</v>
      </c>
      <c r="B2320" s="418"/>
      <c r="C2320" s="418"/>
      <c r="D2320" s="418"/>
      <c r="E2320" s="418"/>
      <c r="F2320" s="418"/>
      <c r="G2320" s="418"/>
      <c r="H2320" s="418"/>
      <c r="I2320" s="418"/>
      <c r="J2320" s="418"/>
      <c r="K2320" s="418"/>
      <c r="L2320" s="418"/>
      <c r="M2320" s="418"/>
      <c r="N2320" s="416"/>
    </row>
    <row r="2321" spans="1:14" ht="12.75" customHeight="1" x14ac:dyDescent="0.2">
      <c r="A2321" s="713" t="s">
        <v>39</v>
      </c>
      <c r="B2321" s="418"/>
      <c r="C2321" s="418"/>
      <c r="D2321" s="418"/>
      <c r="E2321" s="418"/>
      <c r="F2321" s="418"/>
      <c r="G2321" s="416"/>
      <c r="H2321" s="61" t="s">
        <v>40</v>
      </c>
      <c r="I2321" s="717" t="s">
        <v>404</v>
      </c>
      <c r="J2321" s="416"/>
      <c r="K2321" s="717" t="s">
        <v>184</v>
      </c>
      <c r="L2321" s="416"/>
      <c r="M2321" s="717" t="s">
        <v>405</v>
      </c>
      <c r="N2321" s="416"/>
    </row>
    <row r="2322" spans="1:14" ht="12.75" customHeight="1" x14ac:dyDescent="0.2">
      <c r="A2322" s="714" t="s">
        <v>519</v>
      </c>
      <c r="B2322" s="418"/>
      <c r="C2322" s="418"/>
      <c r="D2322" s="418"/>
      <c r="E2322" s="418"/>
      <c r="F2322" s="418"/>
      <c r="G2322" s="416"/>
      <c r="H2322" s="12" t="str">
        <f t="shared" ref="H2322:H2345" si="298">IF(A2322="","",VLOOKUP(A2322,AA_Materiales,7,FALSE))</f>
        <v>m2</v>
      </c>
      <c r="I2322" s="712">
        <f t="shared" ref="I2322:I2345" si="299">IF(A2322="","",VLOOKUP(A2322,AA_Materiales,8,FALSE))</f>
        <v>5165.5045752643746</v>
      </c>
      <c r="J2322" s="416"/>
      <c r="K2322" s="715">
        <f>+'18'!$C$432</f>
        <v>3.04</v>
      </c>
      <c r="L2322" s="416"/>
      <c r="M2322" s="712">
        <f t="shared" ref="M2322:M2336" si="300">IF(A2322="","",I2322*K2322)</f>
        <v>15703.133908803698</v>
      </c>
      <c r="N2322" s="416"/>
    </row>
    <row r="2323" spans="1:14" ht="12.75" customHeight="1" x14ac:dyDescent="0.2">
      <c r="A2323" s="714" t="s">
        <v>520</v>
      </c>
      <c r="B2323" s="418"/>
      <c r="C2323" s="418"/>
      <c r="D2323" s="418"/>
      <c r="E2323" s="418"/>
      <c r="F2323" s="418"/>
      <c r="G2323" s="416"/>
      <c r="H2323" s="12" t="str">
        <f t="shared" si="298"/>
        <v>m3</v>
      </c>
      <c r="I2323" s="712">
        <f t="shared" si="299"/>
        <v>69126.000000000015</v>
      </c>
      <c r="J2323" s="416"/>
      <c r="K2323" s="715">
        <f>+'18'!$C$433</f>
        <v>5.4720000000000004</v>
      </c>
      <c r="L2323" s="416"/>
      <c r="M2323" s="712">
        <f t="shared" si="300"/>
        <v>378257.47200000013</v>
      </c>
      <c r="N2323" s="416"/>
    </row>
    <row r="2324" spans="1:14" ht="12.75" customHeight="1" x14ac:dyDescent="0.2">
      <c r="A2324" s="719" t="s">
        <v>521</v>
      </c>
      <c r="B2324" s="418"/>
      <c r="C2324" s="418"/>
      <c r="D2324" s="418"/>
      <c r="E2324" s="418"/>
      <c r="F2324" s="418"/>
      <c r="G2324" s="416"/>
      <c r="H2324" s="12" t="str">
        <f t="shared" si="298"/>
        <v>m3</v>
      </c>
      <c r="I2324" s="712">
        <f t="shared" si="299"/>
        <v>139300.48782583541</v>
      </c>
      <c r="J2324" s="416"/>
      <c r="K2324" s="715">
        <f>+'18'!$C$434</f>
        <v>0.6080000000000001</v>
      </c>
      <c r="L2324" s="416"/>
      <c r="M2324" s="712">
        <f t="shared" si="300"/>
        <v>84694.696598107941</v>
      </c>
      <c r="N2324" s="416"/>
    </row>
    <row r="2325" spans="1:14" ht="12.75" customHeight="1" x14ac:dyDescent="0.2">
      <c r="A2325" s="714" t="s">
        <v>538</v>
      </c>
      <c r="B2325" s="418"/>
      <c r="C2325" s="418"/>
      <c r="D2325" s="418"/>
      <c r="E2325" s="418"/>
      <c r="F2325" s="418"/>
      <c r="G2325" s="416"/>
      <c r="H2325" s="12" t="str">
        <f t="shared" si="298"/>
        <v>m3</v>
      </c>
      <c r="I2325" s="712">
        <f t="shared" si="299"/>
        <v>17142.28</v>
      </c>
      <c r="J2325" s="416"/>
      <c r="K2325" s="715">
        <f>+K2323</f>
        <v>5.4720000000000004</v>
      </c>
      <c r="L2325" s="416"/>
      <c r="M2325" s="712">
        <f t="shared" si="300"/>
        <v>93802.556160000007</v>
      </c>
      <c r="N2325" s="416"/>
    </row>
    <row r="2326" spans="1:14" ht="12.75" customHeight="1" x14ac:dyDescent="0.2">
      <c r="A2326" s="714" t="s">
        <v>522</v>
      </c>
      <c r="B2326" s="418"/>
      <c r="C2326" s="418"/>
      <c r="D2326" s="418"/>
      <c r="E2326" s="418"/>
      <c r="F2326" s="418"/>
      <c r="G2326" s="416"/>
      <c r="H2326" s="12" t="str">
        <f t="shared" si="298"/>
        <v>m3</v>
      </c>
      <c r="I2326" s="712">
        <f t="shared" si="299"/>
        <v>568340.14513763634</v>
      </c>
      <c r="J2326" s="416"/>
      <c r="K2326" s="715">
        <f>+'18'!$C$436</f>
        <v>0.15200000000000002</v>
      </c>
      <c r="L2326" s="416"/>
      <c r="M2326" s="712">
        <f t="shared" si="300"/>
        <v>86387.702060920739</v>
      </c>
      <c r="N2326" s="416"/>
    </row>
    <row r="2327" spans="1:14" ht="12.75" customHeight="1" x14ac:dyDescent="0.2">
      <c r="A2327" s="714" t="s">
        <v>540</v>
      </c>
      <c r="B2327" s="418"/>
      <c r="C2327" s="418"/>
      <c r="D2327" s="418"/>
      <c r="E2327" s="418"/>
      <c r="F2327" s="418"/>
      <c r="G2327" s="416"/>
      <c r="H2327" s="12" t="str">
        <f t="shared" si="298"/>
        <v>m3</v>
      </c>
      <c r="I2327" s="712">
        <f t="shared" si="299"/>
        <v>779466.77586727508</v>
      </c>
      <c r="J2327" s="416"/>
      <c r="K2327" s="715">
        <f>+'18'!$C$438</f>
        <v>0.6080000000000001</v>
      </c>
      <c r="L2327" s="416"/>
      <c r="M2327" s="712">
        <f t="shared" si="300"/>
        <v>473915.79972730333</v>
      </c>
      <c r="N2327" s="416"/>
    </row>
    <row r="2328" spans="1:14" ht="12.75" customHeight="1" x14ac:dyDescent="0.2">
      <c r="A2328" s="714" t="s">
        <v>543</v>
      </c>
      <c r="B2328" s="418"/>
      <c r="C2328" s="418"/>
      <c r="D2328" s="418"/>
      <c r="E2328" s="418"/>
      <c r="F2328" s="418"/>
      <c r="G2328" s="416"/>
      <c r="H2328" s="12" t="str">
        <f t="shared" si="298"/>
        <v>m3</v>
      </c>
      <c r="I2328" s="712">
        <f t="shared" si="299"/>
        <v>1521992.9025899819</v>
      </c>
      <c r="J2328" s="416"/>
      <c r="K2328" s="715">
        <f>+'18'!$C$439</f>
        <v>1.2960000000000003</v>
      </c>
      <c r="L2328" s="416"/>
      <c r="M2328" s="712">
        <f t="shared" si="300"/>
        <v>1972502.8017566169</v>
      </c>
      <c r="N2328" s="416"/>
    </row>
    <row r="2329" spans="1:14" ht="12.75" customHeight="1" x14ac:dyDescent="0.2">
      <c r="A2329" s="714" t="s">
        <v>541</v>
      </c>
      <c r="B2329" s="418"/>
      <c r="C2329" s="418"/>
      <c r="D2329" s="418"/>
      <c r="E2329" s="418"/>
      <c r="F2329" s="418"/>
      <c r="G2329" s="416"/>
      <c r="H2329" s="12" t="str">
        <f t="shared" si="298"/>
        <v>m3</v>
      </c>
      <c r="I2329" s="712">
        <f t="shared" si="299"/>
        <v>1069692.5030110567</v>
      </c>
      <c r="J2329" s="416"/>
      <c r="K2329" s="715">
        <f>+'18'!$C$440</f>
        <v>0.45599999999999996</v>
      </c>
      <c r="L2329" s="416"/>
      <c r="M2329" s="712">
        <f t="shared" si="300"/>
        <v>487779.7813730418</v>
      </c>
      <c r="N2329" s="416"/>
    </row>
    <row r="2330" spans="1:14" ht="12.75" customHeight="1" x14ac:dyDescent="0.2">
      <c r="A2330" s="714" t="s">
        <v>523</v>
      </c>
      <c r="B2330" s="418"/>
      <c r="C2330" s="418"/>
      <c r="D2330" s="418"/>
      <c r="E2330" s="418"/>
      <c r="F2330" s="418"/>
      <c r="G2330" s="416"/>
      <c r="H2330" s="12" t="str">
        <f t="shared" si="298"/>
        <v>Kg</v>
      </c>
      <c r="I2330" s="712">
        <f t="shared" si="299"/>
        <v>7128.02232826</v>
      </c>
      <c r="J2330" s="416"/>
      <c r="K2330" s="715">
        <f>+'18'!$C$437</f>
        <v>225.92</v>
      </c>
      <c r="L2330" s="416"/>
      <c r="M2330" s="712">
        <f t="shared" si="300"/>
        <v>1610362.8044004992</v>
      </c>
      <c r="N2330" s="416"/>
    </row>
    <row r="2331" spans="1:14" ht="12.75" customHeight="1" x14ac:dyDescent="0.2">
      <c r="A2331" s="714" t="s">
        <v>524</v>
      </c>
      <c r="B2331" s="418"/>
      <c r="C2331" s="418"/>
      <c r="D2331" s="418"/>
      <c r="E2331" s="418"/>
      <c r="F2331" s="418"/>
      <c r="G2331" s="416"/>
      <c r="H2331" s="12" t="str">
        <f t="shared" si="298"/>
        <v>Unidad</v>
      </c>
      <c r="I2331" s="712">
        <f t="shared" si="299"/>
        <v>115255.28385825001</v>
      </c>
      <c r="J2331" s="416"/>
      <c r="K2331" s="715">
        <f>+'18'!$C$441</f>
        <v>4</v>
      </c>
      <c r="L2331" s="416"/>
      <c r="M2331" s="712">
        <f t="shared" si="300"/>
        <v>461021.13543300005</v>
      </c>
      <c r="N2331" s="416"/>
    </row>
    <row r="2332" spans="1:14" ht="12.75" customHeight="1" x14ac:dyDescent="0.2">
      <c r="A2332" s="714" t="s">
        <v>525</v>
      </c>
      <c r="B2332" s="418"/>
      <c r="C2332" s="418"/>
      <c r="D2332" s="418"/>
      <c r="E2332" s="418"/>
      <c r="F2332" s="418"/>
      <c r="G2332" s="416"/>
      <c r="H2332" s="12" t="str">
        <f t="shared" si="298"/>
        <v>Unidad</v>
      </c>
      <c r="I2332" s="712">
        <f t="shared" si="299"/>
        <v>891129.64362359489</v>
      </c>
      <c r="J2332" s="416"/>
      <c r="K2332" s="715">
        <f>+'18'!$C$442</f>
        <v>1</v>
      </c>
      <c r="L2332" s="416"/>
      <c r="M2332" s="712">
        <f t="shared" si="300"/>
        <v>891129.64362359489</v>
      </c>
      <c r="N2332" s="416"/>
    </row>
    <row r="2333" spans="1:14" ht="12.75" customHeight="1" x14ac:dyDescent="0.2">
      <c r="A2333" s="714" t="s">
        <v>1793</v>
      </c>
      <c r="B2333" s="418"/>
      <c r="C2333" s="418"/>
      <c r="D2333" s="418"/>
      <c r="E2333" s="418"/>
      <c r="F2333" s="418"/>
      <c r="G2333" s="416"/>
      <c r="H2333" s="12" t="str">
        <f t="shared" si="298"/>
        <v>Unidad</v>
      </c>
      <c r="I2333" s="712">
        <f t="shared" si="299"/>
        <v>1347080</v>
      </c>
      <c r="J2333" s="416"/>
      <c r="K2333" s="715">
        <f>+'18'!$L$431</f>
        <v>2</v>
      </c>
      <c r="L2333" s="416"/>
      <c r="M2333" s="720">
        <f t="shared" si="300"/>
        <v>2694160</v>
      </c>
      <c r="N2333" s="721"/>
    </row>
    <row r="2334" spans="1:14" ht="12.75" customHeight="1" x14ac:dyDescent="0.2">
      <c r="A2334" s="714" t="s">
        <v>498</v>
      </c>
      <c r="B2334" s="418"/>
      <c r="C2334" s="418"/>
      <c r="D2334" s="418"/>
      <c r="E2334" s="418"/>
      <c r="F2334" s="418"/>
      <c r="G2334" s="416"/>
      <c r="H2334" s="12" t="str">
        <f t="shared" si="298"/>
        <v>Unidad</v>
      </c>
      <c r="I2334" s="712">
        <f t="shared" si="299"/>
        <v>904400</v>
      </c>
      <c r="J2334" s="416"/>
      <c r="K2334" s="715">
        <f>+'18'!$L$432</f>
        <v>2</v>
      </c>
      <c r="L2334" s="416"/>
      <c r="M2334" s="720">
        <f t="shared" si="300"/>
        <v>1808800</v>
      </c>
      <c r="N2334" s="721"/>
    </row>
    <row r="2335" spans="1:14" ht="12.75" customHeight="1" x14ac:dyDescent="0.2">
      <c r="A2335" s="714" t="s">
        <v>1794</v>
      </c>
      <c r="B2335" s="418"/>
      <c r="C2335" s="418"/>
      <c r="D2335" s="418"/>
      <c r="E2335" s="418"/>
      <c r="F2335" s="418"/>
      <c r="G2335" s="416"/>
      <c r="H2335" s="12" t="str">
        <f t="shared" si="298"/>
        <v>Unidad</v>
      </c>
      <c r="I2335" s="712">
        <f t="shared" si="299"/>
        <v>2382380</v>
      </c>
      <c r="J2335" s="416"/>
      <c r="K2335" s="715">
        <f>+'18'!$L$433</f>
        <v>3</v>
      </c>
      <c r="L2335" s="416"/>
      <c r="M2335" s="720">
        <f t="shared" si="300"/>
        <v>7147140</v>
      </c>
      <c r="N2335" s="721"/>
    </row>
    <row r="2336" spans="1:14" ht="12.75" customHeight="1" x14ac:dyDescent="0.2">
      <c r="A2336" s="714" t="s">
        <v>548</v>
      </c>
      <c r="B2336" s="418"/>
      <c r="C2336" s="418"/>
      <c r="D2336" s="418"/>
      <c r="E2336" s="418"/>
      <c r="F2336" s="418"/>
      <c r="G2336" s="416"/>
      <c r="H2336" s="12" t="str">
        <f t="shared" si="298"/>
        <v>ml</v>
      </c>
      <c r="I2336" s="712">
        <f t="shared" si="299"/>
        <v>133503.16666666666</v>
      </c>
      <c r="J2336" s="416"/>
      <c r="K2336" s="715">
        <f>+'18'!$L$434</f>
        <v>11.6</v>
      </c>
      <c r="L2336" s="416"/>
      <c r="M2336" s="720">
        <f t="shared" si="300"/>
        <v>1548636.7333333332</v>
      </c>
      <c r="N2336" s="721"/>
    </row>
    <row r="2337" spans="1:14" ht="12.75" customHeight="1" x14ac:dyDescent="0.2">
      <c r="A2337" s="714" t="s">
        <v>504</v>
      </c>
      <c r="B2337" s="418"/>
      <c r="C2337" s="418"/>
      <c r="D2337" s="418"/>
      <c r="E2337" s="418"/>
      <c r="F2337" s="418"/>
      <c r="G2337" s="416"/>
      <c r="H2337" s="12" t="str">
        <f t="shared" si="298"/>
        <v>Unidad</v>
      </c>
      <c r="I2337" s="712">
        <f t="shared" si="299"/>
        <v>261800</v>
      </c>
      <c r="J2337" s="416"/>
      <c r="K2337" s="715">
        <f>+'18'!$L$435</f>
        <v>2</v>
      </c>
      <c r="L2337" s="416"/>
      <c r="M2337" s="720">
        <f t="shared" ref="M2337:M2341" si="301">IF(A2337="","",I2337*K2337)</f>
        <v>523600</v>
      </c>
      <c r="N2337" s="721"/>
    </row>
    <row r="2338" spans="1:14" ht="12.75" customHeight="1" x14ac:dyDescent="0.2">
      <c r="A2338" s="714" t="s">
        <v>499</v>
      </c>
      <c r="B2338" s="418"/>
      <c r="C2338" s="418"/>
      <c r="D2338" s="418"/>
      <c r="E2338" s="418"/>
      <c r="F2338" s="418"/>
      <c r="G2338" s="416"/>
      <c r="H2338" s="12" t="str">
        <f t="shared" si="298"/>
        <v>Unidad</v>
      </c>
      <c r="I2338" s="712">
        <f t="shared" si="299"/>
        <v>1178100</v>
      </c>
      <c r="J2338" s="416"/>
      <c r="K2338" s="715">
        <f>+'18'!$L$436</f>
        <v>1</v>
      </c>
      <c r="L2338" s="416"/>
      <c r="M2338" s="720">
        <f t="shared" si="301"/>
        <v>1178100</v>
      </c>
      <c r="N2338" s="721"/>
    </row>
    <row r="2339" spans="1:14" ht="12.75" customHeight="1" x14ac:dyDescent="0.2">
      <c r="A2339" s="714" t="s">
        <v>1795</v>
      </c>
      <c r="B2339" s="418"/>
      <c r="C2339" s="418"/>
      <c r="D2339" s="418"/>
      <c r="E2339" s="418"/>
      <c r="F2339" s="418"/>
      <c r="G2339" s="416"/>
      <c r="H2339" s="12" t="str">
        <f t="shared" si="298"/>
        <v>Unidad</v>
      </c>
      <c r="I2339" s="712">
        <f t="shared" si="299"/>
        <v>2023000</v>
      </c>
      <c r="J2339" s="416"/>
      <c r="K2339" s="715">
        <f>+'18'!$L$437</f>
        <v>1</v>
      </c>
      <c r="L2339" s="416"/>
      <c r="M2339" s="720">
        <f t="shared" si="301"/>
        <v>2023000</v>
      </c>
      <c r="N2339" s="721"/>
    </row>
    <row r="2340" spans="1:14" ht="12.75" customHeight="1" x14ac:dyDescent="0.2">
      <c r="A2340" s="714" t="s">
        <v>1805</v>
      </c>
      <c r="B2340" s="418"/>
      <c r="C2340" s="418"/>
      <c r="D2340" s="418"/>
      <c r="E2340" s="418"/>
      <c r="F2340" s="418"/>
      <c r="G2340" s="416"/>
      <c r="H2340" s="12" t="str">
        <f t="shared" si="298"/>
        <v>Unidad</v>
      </c>
      <c r="I2340" s="712">
        <f t="shared" si="299"/>
        <v>190400</v>
      </c>
      <c r="J2340" s="416"/>
      <c r="K2340" s="715">
        <f>+'18'!$L$438</f>
        <v>2</v>
      </c>
      <c r="L2340" s="416"/>
      <c r="M2340" s="720">
        <f t="shared" si="301"/>
        <v>380800</v>
      </c>
      <c r="N2340" s="721"/>
    </row>
    <row r="2341" spans="1:14" ht="12.75" customHeight="1" x14ac:dyDescent="0.2">
      <c r="A2341" s="714" t="s">
        <v>550</v>
      </c>
      <c r="B2341" s="418"/>
      <c r="C2341" s="418"/>
      <c r="D2341" s="418"/>
      <c r="E2341" s="418"/>
      <c r="F2341" s="418"/>
      <c r="G2341" s="416"/>
      <c r="H2341" s="12" t="str">
        <f t="shared" si="298"/>
        <v>Unidad</v>
      </c>
      <c r="I2341" s="712">
        <f t="shared" si="299"/>
        <v>4998000</v>
      </c>
      <c r="J2341" s="416"/>
      <c r="K2341" s="715">
        <f>+'18'!$L$439</f>
        <v>1</v>
      </c>
      <c r="L2341" s="416"/>
      <c r="M2341" s="720">
        <f t="shared" si="301"/>
        <v>4998000</v>
      </c>
      <c r="N2341" s="721"/>
    </row>
    <row r="2342" spans="1:14" ht="12.75" customHeight="1" x14ac:dyDescent="0.2">
      <c r="A2342" s="714"/>
      <c r="B2342" s="418"/>
      <c r="C2342" s="418"/>
      <c r="D2342" s="418"/>
      <c r="E2342" s="418"/>
      <c r="F2342" s="418"/>
      <c r="G2342" s="416"/>
      <c r="H2342" s="12" t="str">
        <f t="shared" si="298"/>
        <v/>
      </c>
      <c r="I2342" s="712" t="str">
        <f t="shared" si="299"/>
        <v/>
      </c>
      <c r="J2342" s="416"/>
      <c r="K2342" s="715"/>
      <c r="L2342" s="416"/>
      <c r="M2342" s="712"/>
      <c r="N2342" s="416"/>
    </row>
    <row r="2343" spans="1:14" ht="12.75" customHeight="1" x14ac:dyDescent="0.2">
      <c r="A2343" s="714"/>
      <c r="B2343" s="418"/>
      <c r="C2343" s="418"/>
      <c r="D2343" s="418"/>
      <c r="E2343" s="418"/>
      <c r="F2343" s="418"/>
      <c r="G2343" s="416"/>
      <c r="H2343" s="12" t="str">
        <f t="shared" si="298"/>
        <v/>
      </c>
      <c r="I2343" s="712" t="str">
        <f t="shared" si="299"/>
        <v/>
      </c>
      <c r="J2343" s="416"/>
      <c r="K2343" s="715"/>
      <c r="L2343" s="416"/>
      <c r="M2343" s="712" t="str">
        <f>IF(A2343="","",I2343*K2343)</f>
        <v/>
      </c>
      <c r="N2343" s="416"/>
    </row>
    <row r="2344" spans="1:14" ht="12.75" customHeight="1" x14ac:dyDescent="0.2">
      <c r="A2344" s="714"/>
      <c r="B2344" s="418"/>
      <c r="C2344" s="418"/>
      <c r="D2344" s="418"/>
      <c r="E2344" s="418"/>
      <c r="F2344" s="418"/>
      <c r="G2344" s="416"/>
      <c r="H2344" s="12" t="str">
        <f t="shared" si="298"/>
        <v/>
      </c>
      <c r="I2344" s="712" t="str">
        <f t="shared" si="299"/>
        <v/>
      </c>
      <c r="J2344" s="416"/>
      <c r="K2344" s="715"/>
      <c r="L2344" s="416"/>
      <c r="M2344" s="712"/>
      <c r="N2344" s="416"/>
    </row>
    <row r="2345" spans="1:14" ht="12.75" customHeight="1" x14ac:dyDescent="0.2">
      <c r="A2345" s="714"/>
      <c r="B2345" s="418"/>
      <c r="C2345" s="418"/>
      <c r="D2345" s="418"/>
      <c r="E2345" s="418"/>
      <c r="F2345" s="418"/>
      <c r="G2345" s="416"/>
      <c r="H2345" s="12" t="str">
        <f t="shared" si="298"/>
        <v/>
      </c>
      <c r="I2345" s="712" t="str">
        <f t="shared" si="299"/>
        <v/>
      </c>
      <c r="J2345" s="416"/>
      <c r="K2345" s="715"/>
      <c r="L2345" s="416"/>
      <c r="M2345" s="712" t="str">
        <f>IF(A2345="","",I2345*K2345)</f>
        <v/>
      </c>
      <c r="N2345" s="416"/>
    </row>
    <row r="2346" spans="1:14" ht="12.75" customHeight="1" x14ac:dyDescent="0.25">
      <c r="A2346" s="5"/>
      <c r="B2346" s="5"/>
      <c r="C2346" s="5"/>
      <c r="D2346" s="5"/>
      <c r="E2346" s="5"/>
      <c r="F2346" s="5"/>
      <c r="G2346" s="5"/>
      <c r="H2346" s="5"/>
      <c r="I2346" s="5"/>
      <c r="J2346" s="5"/>
      <c r="K2346" s="713" t="s">
        <v>261</v>
      </c>
      <c r="L2346" s="416"/>
      <c r="M2346" s="712">
        <f>SUM(M2322:N2345)</f>
        <v>28857794.260375224</v>
      </c>
      <c r="N2346" s="416"/>
    </row>
    <row r="2347" spans="1:14" ht="12.75" customHeight="1" x14ac:dyDescent="0.25">
      <c r="A2347" s="5"/>
      <c r="B2347" s="5"/>
      <c r="C2347" s="5"/>
      <c r="D2347" s="5"/>
      <c r="E2347" s="5"/>
      <c r="F2347" s="5"/>
      <c r="G2347" s="5"/>
      <c r="H2347" s="5"/>
      <c r="I2347" s="5"/>
      <c r="J2347" s="5"/>
      <c r="K2347" s="5"/>
      <c r="L2347" s="5"/>
      <c r="M2347" s="5"/>
      <c r="N2347" s="5"/>
    </row>
    <row r="2348" spans="1:14" ht="12.75" customHeight="1" x14ac:dyDescent="0.2">
      <c r="A2348" s="716" t="s">
        <v>410</v>
      </c>
      <c r="B2348" s="418"/>
      <c r="C2348" s="418"/>
      <c r="D2348" s="418"/>
      <c r="E2348" s="418"/>
      <c r="F2348" s="418"/>
      <c r="G2348" s="418"/>
      <c r="H2348" s="418"/>
      <c r="I2348" s="418"/>
      <c r="J2348" s="418"/>
      <c r="K2348" s="418"/>
      <c r="L2348" s="418"/>
      <c r="M2348" s="418"/>
      <c r="N2348" s="416"/>
    </row>
    <row r="2349" spans="1:14" ht="12.75" customHeight="1" x14ac:dyDescent="0.2">
      <c r="A2349" s="713" t="s">
        <v>39</v>
      </c>
      <c r="B2349" s="418"/>
      <c r="C2349" s="418"/>
      <c r="D2349" s="418"/>
      <c r="E2349" s="418"/>
      <c r="F2349" s="418"/>
      <c r="G2349" s="416"/>
      <c r="H2349" s="61" t="s">
        <v>40</v>
      </c>
      <c r="I2349" s="717" t="s">
        <v>404</v>
      </c>
      <c r="J2349" s="416"/>
      <c r="K2349" s="717" t="s">
        <v>184</v>
      </c>
      <c r="L2349" s="416"/>
      <c r="M2349" s="717" t="s">
        <v>405</v>
      </c>
      <c r="N2349" s="416"/>
    </row>
    <row r="2350" spans="1:14" ht="12.75" customHeight="1" x14ac:dyDescent="0.2">
      <c r="A2350" s="714" t="s">
        <v>411</v>
      </c>
      <c r="B2350" s="418"/>
      <c r="C2350" s="418"/>
      <c r="D2350" s="418"/>
      <c r="E2350" s="418"/>
      <c r="F2350" s="418"/>
      <c r="G2350" s="416"/>
      <c r="H2350" s="12" t="str">
        <f>IF(A2350="","",VLOOKUP(A2350,AA_Equipos,7,FALSE))</f>
        <v>% M.O.</v>
      </c>
      <c r="I2350" s="720">
        <f>M2373</f>
        <v>2197252.84608</v>
      </c>
      <c r="J2350" s="721"/>
      <c r="K2350" s="722">
        <v>0.03</v>
      </c>
      <c r="L2350" s="416"/>
      <c r="M2350" s="712">
        <f t="shared" ref="M2350:M2354" si="302">IF(A2350="","",I2350*K2350)</f>
        <v>65917.585382399993</v>
      </c>
      <c r="N2350" s="416"/>
    </row>
    <row r="2351" spans="1:14" ht="12.75" customHeight="1" x14ac:dyDescent="0.2">
      <c r="A2351" s="719"/>
      <c r="B2351" s="418"/>
      <c r="C2351" s="418"/>
      <c r="D2351" s="418"/>
      <c r="E2351" s="418"/>
      <c r="F2351" s="418"/>
      <c r="G2351" s="416"/>
      <c r="H2351" s="12" t="str">
        <f>IF(A2351="","",VLOOKUP(A2351,AA_Equipos,7,FALSE))</f>
        <v/>
      </c>
      <c r="I2351" s="712" t="str">
        <f>IF(A2351="","",VLOOKUP(A2351,AA_Equipos,8,FALSE))</f>
        <v/>
      </c>
      <c r="J2351" s="416"/>
      <c r="K2351" s="723"/>
      <c r="L2351" s="416"/>
      <c r="M2351" s="712" t="str">
        <f t="shared" si="302"/>
        <v/>
      </c>
      <c r="N2351" s="416"/>
    </row>
    <row r="2352" spans="1:14" ht="12.75" customHeight="1" x14ac:dyDescent="0.2">
      <c r="A2352" s="714"/>
      <c r="B2352" s="418"/>
      <c r="C2352" s="418"/>
      <c r="D2352" s="418"/>
      <c r="E2352" s="418"/>
      <c r="F2352" s="418"/>
      <c r="G2352" s="416"/>
      <c r="H2352" s="12" t="str">
        <f>IF(A2352="","",VLOOKUP(A2352,AA_Equipos,7,FALSE))</f>
        <v/>
      </c>
      <c r="I2352" s="712" t="str">
        <f>IF(A2352="","",VLOOKUP(A2352,AA_Equipos,8,FALSE))</f>
        <v/>
      </c>
      <c r="J2352" s="416"/>
      <c r="K2352" s="715"/>
      <c r="L2352" s="416"/>
      <c r="M2352" s="712" t="str">
        <f t="shared" si="302"/>
        <v/>
      </c>
      <c r="N2352" s="416"/>
    </row>
    <row r="2353" spans="1:14" ht="12.75" customHeight="1" x14ac:dyDescent="0.2">
      <c r="A2353" s="714"/>
      <c r="B2353" s="418"/>
      <c r="C2353" s="418"/>
      <c r="D2353" s="418"/>
      <c r="E2353" s="418"/>
      <c r="F2353" s="418"/>
      <c r="G2353" s="416"/>
      <c r="H2353" s="12" t="str">
        <f>IF(A2353="","",VLOOKUP(A2353,AA_Equipos,7,FALSE))</f>
        <v/>
      </c>
      <c r="I2353" s="712" t="str">
        <f>IF(A2353="","",VLOOKUP(A2353,AA_Equipos,8,FALSE))</f>
        <v/>
      </c>
      <c r="J2353" s="416"/>
      <c r="K2353" s="715"/>
      <c r="L2353" s="416"/>
      <c r="M2353" s="712" t="str">
        <f t="shared" si="302"/>
        <v/>
      </c>
      <c r="N2353" s="416"/>
    </row>
    <row r="2354" spans="1:14" ht="12.75" customHeight="1" x14ac:dyDescent="0.2">
      <c r="A2354" s="714"/>
      <c r="B2354" s="418"/>
      <c r="C2354" s="418"/>
      <c r="D2354" s="418"/>
      <c r="E2354" s="418"/>
      <c r="F2354" s="418"/>
      <c r="G2354" s="416"/>
      <c r="H2354" s="12" t="str">
        <f>IF(A2354="","",VLOOKUP(A2354,AA_Equipos,7,FALSE))</f>
        <v/>
      </c>
      <c r="I2354" s="712" t="str">
        <f>IF(A2354="","",VLOOKUP(A2354,AA_Equipos,8,FALSE))</f>
        <v/>
      </c>
      <c r="J2354" s="416"/>
      <c r="K2354" s="715"/>
      <c r="L2354" s="416"/>
      <c r="M2354" s="712" t="str">
        <f t="shared" si="302"/>
        <v/>
      </c>
      <c r="N2354" s="416"/>
    </row>
    <row r="2355" spans="1:14" ht="12.75" customHeight="1" x14ac:dyDescent="0.25">
      <c r="A2355" s="5"/>
      <c r="B2355" s="5"/>
      <c r="C2355" s="5"/>
      <c r="D2355" s="5"/>
      <c r="E2355" s="5"/>
      <c r="F2355" s="5"/>
      <c r="G2355" s="5"/>
      <c r="H2355" s="5"/>
      <c r="I2355" s="5"/>
      <c r="J2355" s="5"/>
      <c r="K2355" s="713" t="s">
        <v>261</v>
      </c>
      <c r="L2355" s="416"/>
      <c r="M2355" s="712">
        <f>SUM(M2350:N2354)</f>
        <v>65917.585382399993</v>
      </c>
      <c r="N2355" s="416"/>
    </row>
    <row r="2356" spans="1:14" ht="12.75" customHeight="1" x14ac:dyDescent="0.25">
      <c r="A2356" s="5"/>
      <c r="B2356" s="5"/>
      <c r="C2356" s="5"/>
      <c r="D2356" s="5"/>
      <c r="E2356" s="5"/>
      <c r="F2356" s="5"/>
      <c r="G2356" s="5"/>
      <c r="H2356" s="5"/>
      <c r="I2356" s="5"/>
      <c r="J2356" s="5"/>
      <c r="K2356" s="5"/>
      <c r="L2356" s="5"/>
      <c r="M2356" s="5"/>
      <c r="N2356" s="5"/>
    </row>
    <row r="2357" spans="1:14" ht="12.75" customHeight="1" x14ac:dyDescent="0.2">
      <c r="A2357" s="716" t="s">
        <v>413</v>
      </c>
      <c r="B2357" s="418"/>
      <c r="C2357" s="418"/>
      <c r="D2357" s="418"/>
      <c r="E2357" s="418"/>
      <c r="F2357" s="418"/>
      <c r="G2357" s="418"/>
      <c r="H2357" s="418"/>
      <c r="I2357" s="418"/>
      <c r="J2357" s="418"/>
      <c r="K2357" s="418"/>
      <c r="L2357" s="418"/>
      <c r="M2357" s="418"/>
      <c r="N2357" s="416"/>
    </row>
    <row r="2358" spans="1:14" ht="12.75" customHeight="1" x14ac:dyDescent="0.2">
      <c r="A2358" s="713" t="s">
        <v>39</v>
      </c>
      <c r="B2358" s="418"/>
      <c r="C2358" s="418"/>
      <c r="D2358" s="418"/>
      <c r="E2358" s="418"/>
      <c r="F2358" s="418"/>
      <c r="G2358" s="416"/>
      <c r="H2358" s="61" t="s">
        <v>40</v>
      </c>
      <c r="I2358" s="717" t="s">
        <v>404</v>
      </c>
      <c r="J2358" s="416"/>
      <c r="K2358" s="717" t="s">
        <v>184</v>
      </c>
      <c r="L2358" s="416"/>
      <c r="M2358" s="717" t="s">
        <v>405</v>
      </c>
      <c r="N2358" s="416"/>
    </row>
    <row r="2359" spans="1:14" ht="12.75" customHeight="1" x14ac:dyDescent="0.2">
      <c r="A2359" s="719" t="s">
        <v>443</v>
      </c>
      <c r="B2359" s="418"/>
      <c r="C2359" s="418"/>
      <c r="D2359" s="418"/>
      <c r="E2359" s="418"/>
      <c r="F2359" s="418"/>
      <c r="G2359" s="416"/>
      <c r="H2359" s="12" t="s">
        <v>13</v>
      </c>
      <c r="I2359" s="720">
        <f>+SUM(M2333:N2341)</f>
        <v>22302236.733333334</v>
      </c>
      <c r="J2359" s="721"/>
      <c r="K2359" s="722">
        <v>0.05</v>
      </c>
      <c r="L2359" s="416"/>
      <c r="M2359" s="712">
        <f t="shared" ref="M2359:M2363" si="303">IF(A2359="","",I2359*K2359)</f>
        <v>1115111.8366666667</v>
      </c>
      <c r="N2359" s="416"/>
    </row>
    <row r="2360" spans="1:14" ht="12.75" customHeight="1" x14ac:dyDescent="0.2">
      <c r="A2360" s="719"/>
      <c r="B2360" s="418"/>
      <c r="C2360" s="418"/>
      <c r="D2360" s="418"/>
      <c r="E2360" s="418"/>
      <c r="F2360" s="418"/>
      <c r="G2360" s="416"/>
      <c r="H2360" s="12"/>
      <c r="I2360" s="712"/>
      <c r="J2360" s="416"/>
      <c r="K2360" s="722"/>
      <c r="L2360" s="416"/>
      <c r="M2360" s="712" t="str">
        <f t="shared" si="303"/>
        <v/>
      </c>
      <c r="N2360" s="416"/>
    </row>
    <row r="2361" spans="1:14" ht="12.75" customHeight="1" x14ac:dyDescent="0.2">
      <c r="A2361" s="714"/>
      <c r="B2361" s="418"/>
      <c r="C2361" s="418"/>
      <c r="D2361" s="418"/>
      <c r="E2361" s="418"/>
      <c r="F2361" s="418"/>
      <c r="G2361" s="416"/>
      <c r="H2361" s="12"/>
      <c r="I2361" s="712"/>
      <c r="J2361" s="416"/>
      <c r="K2361" s="715"/>
      <c r="L2361" s="416"/>
      <c r="M2361" s="712" t="str">
        <f t="shared" si="303"/>
        <v/>
      </c>
      <c r="N2361" s="416"/>
    </row>
    <row r="2362" spans="1:14" ht="12.75" customHeight="1" x14ac:dyDescent="0.2">
      <c r="A2362" s="714"/>
      <c r="B2362" s="418"/>
      <c r="C2362" s="418"/>
      <c r="D2362" s="418"/>
      <c r="E2362" s="418"/>
      <c r="F2362" s="418"/>
      <c r="G2362" s="416"/>
      <c r="H2362" s="12"/>
      <c r="I2362" s="712"/>
      <c r="J2362" s="416"/>
      <c r="K2362" s="715"/>
      <c r="L2362" s="416"/>
      <c r="M2362" s="712" t="str">
        <f t="shared" si="303"/>
        <v/>
      </c>
      <c r="N2362" s="416"/>
    </row>
    <row r="2363" spans="1:14" ht="12.75" customHeight="1" x14ac:dyDescent="0.2">
      <c r="A2363" s="714"/>
      <c r="B2363" s="418"/>
      <c r="C2363" s="418"/>
      <c r="D2363" s="418"/>
      <c r="E2363" s="418"/>
      <c r="F2363" s="418"/>
      <c r="G2363" s="416"/>
      <c r="H2363" s="12"/>
      <c r="I2363" s="712"/>
      <c r="J2363" s="416"/>
      <c r="K2363" s="715"/>
      <c r="L2363" s="416"/>
      <c r="M2363" s="712" t="str">
        <f t="shared" si="303"/>
        <v/>
      </c>
      <c r="N2363" s="416"/>
    </row>
    <row r="2364" spans="1:14" ht="12.75" customHeight="1" x14ac:dyDescent="0.25">
      <c r="A2364" s="5"/>
      <c r="B2364" s="5"/>
      <c r="C2364" s="5"/>
      <c r="D2364" s="5"/>
      <c r="E2364" s="5"/>
      <c r="F2364" s="5"/>
      <c r="G2364" s="5"/>
      <c r="H2364" s="5"/>
      <c r="I2364" s="5"/>
      <c r="J2364" s="5"/>
      <c r="K2364" s="713" t="s">
        <v>261</v>
      </c>
      <c r="L2364" s="416"/>
      <c r="M2364" s="712">
        <f>SUM(M2359:N2363)</f>
        <v>1115111.8366666667</v>
      </c>
      <c r="N2364" s="416"/>
    </row>
    <row r="2365" spans="1:14" ht="12.75" customHeight="1" x14ac:dyDescent="0.25">
      <c r="A2365" s="5"/>
      <c r="B2365" s="5"/>
      <c r="C2365" s="5"/>
      <c r="D2365" s="5"/>
      <c r="E2365" s="5"/>
      <c r="F2365" s="5"/>
      <c r="G2365" s="5"/>
      <c r="H2365" s="5"/>
      <c r="I2365" s="5"/>
      <c r="J2365" s="5"/>
      <c r="K2365" s="5"/>
      <c r="L2365" s="5"/>
      <c r="M2365" s="5"/>
      <c r="N2365" s="5"/>
    </row>
    <row r="2366" spans="1:14" ht="12.75" customHeight="1" x14ac:dyDescent="0.2">
      <c r="A2366" s="716" t="s">
        <v>415</v>
      </c>
      <c r="B2366" s="418"/>
      <c r="C2366" s="418"/>
      <c r="D2366" s="418"/>
      <c r="E2366" s="418"/>
      <c r="F2366" s="418"/>
      <c r="G2366" s="418"/>
      <c r="H2366" s="418"/>
      <c r="I2366" s="418"/>
      <c r="J2366" s="418"/>
      <c r="K2366" s="418"/>
      <c r="L2366" s="418"/>
      <c r="M2366" s="418"/>
      <c r="N2366" s="416"/>
    </row>
    <row r="2367" spans="1:14" ht="12.75" customHeight="1" x14ac:dyDescent="0.2">
      <c r="A2367" s="713" t="s">
        <v>39</v>
      </c>
      <c r="B2367" s="418"/>
      <c r="C2367" s="418"/>
      <c r="D2367" s="418"/>
      <c r="E2367" s="418"/>
      <c r="F2367" s="418"/>
      <c r="G2367" s="416"/>
      <c r="H2367" s="61" t="s">
        <v>40</v>
      </c>
      <c r="I2367" s="717" t="s">
        <v>404</v>
      </c>
      <c r="J2367" s="416"/>
      <c r="K2367" s="64" t="s">
        <v>253</v>
      </c>
      <c r="L2367" s="65" t="s">
        <v>416</v>
      </c>
      <c r="M2367" s="717" t="s">
        <v>405</v>
      </c>
      <c r="N2367" s="416"/>
    </row>
    <row r="2368" spans="1:14" ht="12.75" customHeight="1" x14ac:dyDescent="0.25">
      <c r="A2368" s="711" t="s">
        <v>597</v>
      </c>
      <c r="B2368" s="418"/>
      <c r="C2368" s="418"/>
      <c r="D2368" s="418"/>
      <c r="E2368" s="418"/>
      <c r="F2368" s="418"/>
      <c r="G2368" s="416"/>
      <c r="H2368" s="12" t="str">
        <f>IF(A2368="","",VLOOKUP(A2368,AA_Cuadrillas,4,FALSE))</f>
        <v>Cuadrilla</v>
      </c>
      <c r="I2368" s="712">
        <f>IF(A2368="","",VLOOKUP(A2368,AA_Cuadrillas,5,FALSE))</f>
        <v>484416</v>
      </c>
      <c r="J2368" s="416"/>
      <c r="K2368" s="3">
        <f>IF(A2368="","",'04'!$I$2)</f>
        <v>1.88995</v>
      </c>
      <c r="L2368" s="66">
        <v>2.4</v>
      </c>
      <c r="M2368" s="712">
        <f t="shared" ref="M2368:M2372" si="304">IF(A2368="","",I2368*K2368*L2368)</f>
        <v>2197252.84608</v>
      </c>
      <c r="N2368" s="416"/>
    </row>
    <row r="2369" spans="1:16" ht="12.75" customHeight="1" x14ac:dyDescent="0.25">
      <c r="A2369" s="711"/>
      <c r="B2369" s="418"/>
      <c r="C2369" s="418"/>
      <c r="D2369" s="418"/>
      <c r="E2369" s="418"/>
      <c r="F2369" s="418"/>
      <c r="G2369" s="416"/>
      <c r="H2369" s="12" t="str">
        <f>IF(A2369="","",VLOOKUP(A2369,AA_Cuadrillas,4,FALSE))</f>
        <v/>
      </c>
      <c r="I2369" s="712" t="str">
        <f>IF(A2369="","",VLOOKUP(A2369,AA_Cuadrillas,5,FALSE))</f>
        <v/>
      </c>
      <c r="J2369" s="416"/>
      <c r="K2369" s="3" t="str">
        <f>IF(A2369="","",'04'!$I$2)</f>
        <v/>
      </c>
      <c r="L2369" s="3"/>
      <c r="M2369" s="712" t="str">
        <f t="shared" si="304"/>
        <v/>
      </c>
      <c r="N2369" s="416"/>
    </row>
    <row r="2370" spans="1:16" ht="12.75" customHeight="1" x14ac:dyDescent="0.25">
      <c r="A2370" s="711"/>
      <c r="B2370" s="418"/>
      <c r="C2370" s="418"/>
      <c r="D2370" s="418"/>
      <c r="E2370" s="418"/>
      <c r="F2370" s="418"/>
      <c r="G2370" s="416"/>
      <c r="H2370" s="12" t="str">
        <f>IF(A2370="","",VLOOKUP(A2370,AA_Cuadrillas,4,FALSE))</f>
        <v/>
      </c>
      <c r="I2370" s="712" t="str">
        <f>IF(A2370="","",VLOOKUP(A2370,AA_Cuadrillas,5,FALSE))</f>
        <v/>
      </c>
      <c r="J2370" s="416"/>
      <c r="K2370" s="3" t="str">
        <f>IF(A2370="","",'04'!$I$2)</f>
        <v/>
      </c>
      <c r="L2370" s="13"/>
      <c r="M2370" s="712" t="str">
        <f t="shared" si="304"/>
        <v/>
      </c>
      <c r="N2370" s="416"/>
    </row>
    <row r="2371" spans="1:16" ht="12.75" customHeight="1" x14ac:dyDescent="0.25">
      <c r="A2371" s="711"/>
      <c r="B2371" s="418"/>
      <c r="C2371" s="418"/>
      <c r="D2371" s="418"/>
      <c r="E2371" s="418"/>
      <c r="F2371" s="418"/>
      <c r="G2371" s="416"/>
      <c r="H2371" s="12" t="str">
        <f>IF(A2371="","",VLOOKUP(A2371,AA_Cuadrillas,4,FALSE))</f>
        <v/>
      </c>
      <c r="I2371" s="712" t="str">
        <f>IF(A2371="","",VLOOKUP(A2371,AA_Cuadrillas,5,FALSE))</f>
        <v/>
      </c>
      <c r="J2371" s="416"/>
      <c r="K2371" s="3" t="str">
        <f>IF(A2371="","",'04'!$I$2)</f>
        <v/>
      </c>
      <c r="L2371" s="13"/>
      <c r="M2371" s="712" t="str">
        <f t="shared" si="304"/>
        <v/>
      </c>
      <c r="N2371" s="416"/>
    </row>
    <row r="2372" spans="1:16" ht="12.75" customHeight="1" x14ac:dyDescent="0.25">
      <c r="A2372" s="711"/>
      <c r="B2372" s="418"/>
      <c r="C2372" s="418"/>
      <c r="D2372" s="418"/>
      <c r="E2372" s="418"/>
      <c r="F2372" s="418"/>
      <c r="G2372" s="416"/>
      <c r="H2372" s="12" t="str">
        <f>IF(A2372="","",VLOOKUP(A2372,AA_Cuadrillas,4,FALSE))</f>
        <v/>
      </c>
      <c r="I2372" s="712" t="str">
        <f>IF(A2372="","",VLOOKUP(A2372,AA_Cuadrillas,5,FALSE))</f>
        <v/>
      </c>
      <c r="J2372" s="416"/>
      <c r="K2372" s="3" t="str">
        <f>IF(A2372="","",'04'!$I$2)</f>
        <v/>
      </c>
      <c r="L2372" s="13"/>
      <c r="M2372" s="712" t="str">
        <f t="shared" si="304"/>
        <v/>
      </c>
      <c r="N2372" s="416"/>
    </row>
    <row r="2373" spans="1:16" ht="12.75" customHeight="1" x14ac:dyDescent="0.25">
      <c r="A2373" s="5"/>
      <c r="B2373" s="5"/>
      <c r="C2373" s="5"/>
      <c r="D2373" s="5"/>
      <c r="E2373" s="5"/>
      <c r="F2373" s="5"/>
      <c r="G2373" s="5"/>
      <c r="H2373" s="5"/>
      <c r="I2373" s="5"/>
      <c r="J2373" s="5"/>
      <c r="K2373" s="713" t="s">
        <v>261</v>
      </c>
      <c r="L2373" s="416"/>
      <c r="M2373" s="712">
        <f>SUM(M2368:N2372)</f>
        <v>2197252.84608</v>
      </c>
      <c r="N2373" s="416"/>
    </row>
    <row r="2375" spans="1:16" ht="12.75" customHeight="1" x14ac:dyDescent="0.2">
      <c r="A2375" s="718" t="s">
        <v>1796</v>
      </c>
      <c r="B2375" s="498"/>
      <c r="C2375" s="498"/>
      <c r="D2375" s="498"/>
      <c r="E2375" s="498"/>
      <c r="F2375" s="498"/>
      <c r="G2375" s="498"/>
      <c r="H2375" s="498"/>
      <c r="I2375" s="498"/>
      <c r="J2375" s="498"/>
      <c r="K2375" s="498"/>
      <c r="L2375" s="498"/>
      <c r="M2375" s="498"/>
      <c r="N2375" s="499"/>
      <c r="O2375" s="272"/>
      <c r="P2375" s="9"/>
    </row>
    <row r="2376" spans="1:16" ht="12.75" customHeight="1" x14ac:dyDescent="0.2">
      <c r="A2376" s="503"/>
      <c r="B2376" s="504"/>
      <c r="C2376" s="504"/>
      <c r="D2376" s="504"/>
      <c r="E2376" s="504"/>
      <c r="F2376" s="504"/>
      <c r="G2376" s="504"/>
      <c r="H2376" s="504"/>
      <c r="I2376" s="504"/>
      <c r="J2376" s="504"/>
      <c r="K2376" s="504"/>
      <c r="L2376" s="504"/>
      <c r="M2376" s="504"/>
      <c r="N2376" s="505"/>
      <c r="O2376" s="272"/>
      <c r="P2376" s="9"/>
    </row>
    <row r="2377" spans="1:16" ht="12.75" customHeight="1" x14ac:dyDescent="0.2">
      <c r="A2377" s="49"/>
      <c r="B2377" s="49"/>
      <c r="C2377" s="49"/>
      <c r="D2377" s="49"/>
      <c r="E2377" s="49"/>
      <c r="F2377" s="49"/>
      <c r="G2377" s="49"/>
      <c r="H2377" s="49"/>
      <c r="I2377" s="49"/>
      <c r="J2377" s="49"/>
      <c r="K2377" s="49"/>
      <c r="L2377" s="49"/>
      <c r="M2377" s="49"/>
      <c r="N2377" s="49"/>
    </row>
    <row r="2378" spans="1:16" ht="12.75" customHeight="1" thickBot="1" x14ac:dyDescent="0.35">
      <c r="A2378" s="51" t="str">
        <f>VLOOKUP(A2375,'10'!$B$9:$N$100,13,FALSE)</f>
        <v>G072</v>
      </c>
      <c r="B2378" s="52" t="str">
        <f>A2375</f>
        <v>ESTACIÓN DE MACROMEDICIÓN L=1.90M, A=1.60M DE Ø4" A TODO COSTO (INCLUYE CONFORMACIÓN DE CAJA EN CONCRETO DE 4000 PSI, ACERO DE REFUERZO, TUBERÍA, ACCESORIOS, MATERIALES, HERRRAMIENTA MENOR Y MANO DE OBRA)</v>
      </c>
      <c r="C2378" s="53" t="s">
        <v>400</v>
      </c>
      <c r="D2378" s="54" t="s">
        <v>475</v>
      </c>
      <c r="E2378" s="55" t="s">
        <v>177</v>
      </c>
      <c r="F2378" s="59">
        <f>H2378+J2378+L2378+N2378</f>
        <v>23470044.946504291</v>
      </c>
      <c r="G2378" s="55" t="s">
        <v>349</v>
      </c>
      <c r="H2378" s="59">
        <f>M2415</f>
        <v>65917.585382399993</v>
      </c>
      <c r="I2378" s="55" t="s">
        <v>402</v>
      </c>
      <c r="J2378" s="72">
        <f>M2406</f>
        <v>20780137.127041891</v>
      </c>
      <c r="K2378" s="55" t="s">
        <v>351</v>
      </c>
      <c r="L2378" s="70">
        <f>M2424</f>
        <v>426737.38799999998</v>
      </c>
      <c r="M2378" s="55" t="s">
        <v>352</v>
      </c>
      <c r="N2378" s="70">
        <f>M2433</f>
        <v>2197252.84608</v>
      </c>
    </row>
    <row r="2379" spans="1:16" ht="12.75" customHeight="1" thickBot="1" x14ac:dyDescent="0.3">
      <c r="A2379" s="60"/>
      <c r="B2379" s="60"/>
      <c r="C2379" s="60"/>
      <c r="D2379" s="60"/>
      <c r="E2379" s="60"/>
      <c r="F2379" s="60"/>
      <c r="G2379" s="60"/>
      <c r="J2379" s="60"/>
      <c r="K2379" s="60"/>
      <c r="L2379" s="327" t="s">
        <v>1934</v>
      </c>
      <c r="M2379" s="328">
        <f>+F2378*'01'!$O$16</f>
        <v>30377067.546365894</v>
      </c>
      <c r="N2379" s="60"/>
    </row>
    <row r="2380" spans="1:16" ht="12.75" customHeight="1" x14ac:dyDescent="0.2">
      <c r="A2380" s="716" t="s">
        <v>403</v>
      </c>
      <c r="B2380" s="418"/>
      <c r="C2380" s="418"/>
      <c r="D2380" s="418"/>
      <c r="E2380" s="418"/>
      <c r="F2380" s="418"/>
      <c r="G2380" s="418"/>
      <c r="H2380" s="418"/>
      <c r="I2380" s="418"/>
      <c r="J2380" s="418"/>
      <c r="K2380" s="418"/>
      <c r="L2380" s="418"/>
      <c r="M2380" s="418"/>
      <c r="N2380" s="416"/>
    </row>
    <row r="2381" spans="1:16" ht="12.75" customHeight="1" x14ac:dyDescent="0.2">
      <c r="A2381" s="713" t="s">
        <v>39</v>
      </c>
      <c r="B2381" s="418"/>
      <c r="C2381" s="418"/>
      <c r="D2381" s="418"/>
      <c r="E2381" s="418"/>
      <c r="F2381" s="418"/>
      <c r="G2381" s="416"/>
      <c r="H2381" s="61" t="s">
        <v>40</v>
      </c>
      <c r="I2381" s="717" t="s">
        <v>404</v>
      </c>
      <c r="J2381" s="416"/>
      <c r="K2381" s="717" t="s">
        <v>184</v>
      </c>
      <c r="L2381" s="416"/>
      <c r="M2381" s="717" t="s">
        <v>405</v>
      </c>
      <c r="N2381" s="416"/>
    </row>
    <row r="2382" spans="1:16" ht="12.75" customHeight="1" x14ac:dyDescent="0.2">
      <c r="A2382" s="714" t="s">
        <v>519</v>
      </c>
      <c r="B2382" s="418"/>
      <c r="C2382" s="418"/>
      <c r="D2382" s="418"/>
      <c r="E2382" s="418"/>
      <c r="F2382" s="418"/>
      <c r="G2382" s="416"/>
      <c r="H2382" s="12" t="str">
        <f t="shared" ref="H2382:H2405" si="305">IF(A2382="","",VLOOKUP(A2382,AA_Materiales,7,FALSE))</f>
        <v>m2</v>
      </c>
      <c r="I2382" s="712">
        <f t="shared" ref="I2382:I2405" si="306">IF(A2382="","",VLOOKUP(A2382,AA_Materiales,8,FALSE))</f>
        <v>5165.5045752643746</v>
      </c>
      <c r="J2382" s="416"/>
      <c r="K2382" s="715">
        <f>+'18'!$C$432</f>
        <v>3.04</v>
      </c>
      <c r="L2382" s="416"/>
      <c r="M2382" s="712">
        <f t="shared" ref="M2382:M2401" si="307">IF(A2382="","",I2382*K2382)</f>
        <v>15703.133908803698</v>
      </c>
      <c r="N2382" s="416"/>
    </row>
    <row r="2383" spans="1:16" ht="12.75" customHeight="1" x14ac:dyDescent="0.2">
      <c r="A2383" s="714" t="s">
        <v>520</v>
      </c>
      <c r="B2383" s="418"/>
      <c r="C2383" s="418"/>
      <c r="D2383" s="418"/>
      <c r="E2383" s="418"/>
      <c r="F2383" s="418"/>
      <c r="G2383" s="416"/>
      <c r="H2383" s="12" t="str">
        <f t="shared" si="305"/>
        <v>m3</v>
      </c>
      <c r="I2383" s="712">
        <f t="shared" si="306"/>
        <v>69126.000000000015</v>
      </c>
      <c r="J2383" s="416"/>
      <c r="K2383" s="715">
        <f>+'18'!$C$433</f>
        <v>5.4720000000000004</v>
      </c>
      <c r="L2383" s="416"/>
      <c r="M2383" s="712">
        <f t="shared" si="307"/>
        <v>378257.47200000013</v>
      </c>
      <c r="N2383" s="416"/>
    </row>
    <row r="2384" spans="1:16" ht="12.75" customHeight="1" x14ac:dyDescent="0.2">
      <c r="A2384" s="719" t="s">
        <v>521</v>
      </c>
      <c r="B2384" s="418"/>
      <c r="C2384" s="418"/>
      <c r="D2384" s="418"/>
      <c r="E2384" s="418"/>
      <c r="F2384" s="418"/>
      <c r="G2384" s="416"/>
      <c r="H2384" s="12" t="str">
        <f t="shared" si="305"/>
        <v>m3</v>
      </c>
      <c r="I2384" s="712">
        <f t="shared" si="306"/>
        <v>139300.48782583541</v>
      </c>
      <c r="J2384" s="416"/>
      <c r="K2384" s="715">
        <f>+'18'!$C$434</f>
        <v>0.6080000000000001</v>
      </c>
      <c r="L2384" s="416"/>
      <c r="M2384" s="712">
        <f t="shared" si="307"/>
        <v>84694.696598107941</v>
      </c>
      <c r="N2384" s="416"/>
    </row>
    <row r="2385" spans="1:14" ht="12.75" customHeight="1" x14ac:dyDescent="0.2">
      <c r="A2385" s="714" t="s">
        <v>538</v>
      </c>
      <c r="B2385" s="418"/>
      <c r="C2385" s="418"/>
      <c r="D2385" s="418"/>
      <c r="E2385" s="418"/>
      <c r="F2385" s="418"/>
      <c r="G2385" s="416"/>
      <c r="H2385" s="12" t="str">
        <f t="shared" si="305"/>
        <v>m3</v>
      </c>
      <c r="I2385" s="712">
        <f t="shared" si="306"/>
        <v>17142.28</v>
      </c>
      <c r="J2385" s="416"/>
      <c r="K2385" s="715">
        <f>+K2383</f>
        <v>5.4720000000000004</v>
      </c>
      <c r="L2385" s="416"/>
      <c r="M2385" s="712">
        <f t="shared" si="307"/>
        <v>93802.556160000007</v>
      </c>
      <c r="N2385" s="416"/>
    </row>
    <row r="2386" spans="1:14" ht="12.75" customHeight="1" x14ac:dyDescent="0.2">
      <c r="A2386" s="714" t="s">
        <v>522</v>
      </c>
      <c r="B2386" s="418"/>
      <c r="C2386" s="418"/>
      <c r="D2386" s="418"/>
      <c r="E2386" s="418"/>
      <c r="F2386" s="418"/>
      <c r="G2386" s="416"/>
      <c r="H2386" s="12" t="str">
        <f t="shared" si="305"/>
        <v>m3</v>
      </c>
      <c r="I2386" s="712">
        <f t="shared" si="306"/>
        <v>568340.14513763634</v>
      </c>
      <c r="J2386" s="416"/>
      <c r="K2386" s="715">
        <f>+'18'!$C$436</f>
        <v>0.15200000000000002</v>
      </c>
      <c r="L2386" s="416"/>
      <c r="M2386" s="712">
        <f t="shared" si="307"/>
        <v>86387.702060920739</v>
      </c>
      <c r="N2386" s="416"/>
    </row>
    <row r="2387" spans="1:14" ht="12.75" customHeight="1" x14ac:dyDescent="0.2">
      <c r="A2387" s="714" t="s">
        <v>540</v>
      </c>
      <c r="B2387" s="418"/>
      <c r="C2387" s="418"/>
      <c r="D2387" s="418"/>
      <c r="E2387" s="418"/>
      <c r="F2387" s="418"/>
      <c r="G2387" s="416"/>
      <c r="H2387" s="12" t="str">
        <f t="shared" si="305"/>
        <v>m3</v>
      </c>
      <c r="I2387" s="712">
        <f t="shared" si="306"/>
        <v>779466.77586727508</v>
      </c>
      <c r="J2387" s="416"/>
      <c r="K2387" s="715">
        <f>+'18'!$C$438</f>
        <v>0.6080000000000001</v>
      </c>
      <c r="L2387" s="416"/>
      <c r="M2387" s="712">
        <f t="shared" si="307"/>
        <v>473915.79972730333</v>
      </c>
      <c r="N2387" s="416"/>
    </row>
    <row r="2388" spans="1:14" ht="12.75" customHeight="1" x14ac:dyDescent="0.2">
      <c r="A2388" s="714" t="s">
        <v>543</v>
      </c>
      <c r="B2388" s="418"/>
      <c r="C2388" s="418"/>
      <c r="D2388" s="418"/>
      <c r="E2388" s="418"/>
      <c r="F2388" s="418"/>
      <c r="G2388" s="416"/>
      <c r="H2388" s="12" t="str">
        <f t="shared" si="305"/>
        <v>m3</v>
      </c>
      <c r="I2388" s="712">
        <f t="shared" si="306"/>
        <v>1521992.9025899819</v>
      </c>
      <c r="J2388" s="416"/>
      <c r="K2388" s="715">
        <f>+'18'!$C$439</f>
        <v>1.2960000000000003</v>
      </c>
      <c r="L2388" s="416"/>
      <c r="M2388" s="712">
        <f t="shared" si="307"/>
        <v>1972502.8017566169</v>
      </c>
      <c r="N2388" s="416"/>
    </row>
    <row r="2389" spans="1:14" ht="12.75" customHeight="1" x14ac:dyDescent="0.2">
      <c r="A2389" s="714" t="s">
        <v>541</v>
      </c>
      <c r="B2389" s="418"/>
      <c r="C2389" s="418"/>
      <c r="D2389" s="418"/>
      <c r="E2389" s="418"/>
      <c r="F2389" s="418"/>
      <c r="G2389" s="416"/>
      <c r="H2389" s="12" t="str">
        <f t="shared" si="305"/>
        <v>m3</v>
      </c>
      <c r="I2389" s="712">
        <f t="shared" si="306"/>
        <v>1069692.5030110567</v>
      </c>
      <c r="J2389" s="416"/>
      <c r="K2389" s="715">
        <f>+'18'!$C$440</f>
        <v>0.45599999999999996</v>
      </c>
      <c r="L2389" s="416"/>
      <c r="M2389" s="712">
        <f t="shared" si="307"/>
        <v>487779.7813730418</v>
      </c>
      <c r="N2389" s="416"/>
    </row>
    <row r="2390" spans="1:14" ht="12.75" customHeight="1" x14ac:dyDescent="0.2">
      <c r="A2390" s="714" t="s">
        <v>523</v>
      </c>
      <c r="B2390" s="418"/>
      <c r="C2390" s="418"/>
      <c r="D2390" s="418"/>
      <c r="E2390" s="418"/>
      <c r="F2390" s="418"/>
      <c r="G2390" s="416"/>
      <c r="H2390" s="12" t="str">
        <f t="shared" si="305"/>
        <v>Kg</v>
      </c>
      <c r="I2390" s="712">
        <f t="shared" si="306"/>
        <v>7128.02232826</v>
      </c>
      <c r="J2390" s="416"/>
      <c r="K2390" s="715">
        <f>+'18'!$C$437</f>
        <v>225.92</v>
      </c>
      <c r="L2390" s="416"/>
      <c r="M2390" s="712">
        <f t="shared" si="307"/>
        <v>1610362.8044004992</v>
      </c>
      <c r="N2390" s="416"/>
    </row>
    <row r="2391" spans="1:14" ht="12.75" customHeight="1" x14ac:dyDescent="0.2">
      <c r="A2391" s="714" t="s">
        <v>524</v>
      </c>
      <c r="B2391" s="418"/>
      <c r="C2391" s="418"/>
      <c r="D2391" s="418"/>
      <c r="E2391" s="418"/>
      <c r="F2391" s="418"/>
      <c r="G2391" s="416"/>
      <c r="H2391" s="12" t="str">
        <f t="shared" si="305"/>
        <v>Unidad</v>
      </c>
      <c r="I2391" s="712">
        <f t="shared" si="306"/>
        <v>115255.28385825001</v>
      </c>
      <c r="J2391" s="416"/>
      <c r="K2391" s="715">
        <f>+'18'!$C$441</f>
        <v>4</v>
      </c>
      <c r="L2391" s="416"/>
      <c r="M2391" s="712">
        <f t="shared" si="307"/>
        <v>461021.13543300005</v>
      </c>
      <c r="N2391" s="416"/>
    </row>
    <row r="2392" spans="1:14" ht="12.75" customHeight="1" x14ac:dyDescent="0.2">
      <c r="A2392" s="714" t="s">
        <v>525</v>
      </c>
      <c r="B2392" s="418"/>
      <c r="C2392" s="418"/>
      <c r="D2392" s="418"/>
      <c r="E2392" s="418"/>
      <c r="F2392" s="418"/>
      <c r="G2392" s="416"/>
      <c r="H2392" s="12" t="str">
        <f t="shared" si="305"/>
        <v>Unidad</v>
      </c>
      <c r="I2392" s="712">
        <f t="shared" si="306"/>
        <v>891129.64362359489</v>
      </c>
      <c r="J2392" s="416"/>
      <c r="K2392" s="715">
        <f>+'18'!$C$442</f>
        <v>1</v>
      </c>
      <c r="L2392" s="416"/>
      <c r="M2392" s="720">
        <f t="shared" si="307"/>
        <v>891129.64362359489</v>
      </c>
      <c r="N2392" s="721"/>
    </row>
    <row r="2393" spans="1:14" ht="12.75" customHeight="1" x14ac:dyDescent="0.2">
      <c r="A2393" s="714" t="s">
        <v>1798</v>
      </c>
      <c r="B2393" s="418"/>
      <c r="C2393" s="418"/>
      <c r="D2393" s="418"/>
      <c r="E2393" s="418"/>
      <c r="F2393" s="418"/>
      <c r="G2393" s="416"/>
      <c r="H2393" s="12" t="str">
        <f t="shared" si="305"/>
        <v>Unidad</v>
      </c>
      <c r="I2393" s="712">
        <f t="shared" si="306"/>
        <v>925820</v>
      </c>
      <c r="J2393" s="416"/>
      <c r="K2393" s="715">
        <f>+'18'!$L$431</f>
        <v>2</v>
      </c>
      <c r="L2393" s="416"/>
      <c r="M2393" s="720">
        <f t="shared" si="307"/>
        <v>1851640</v>
      </c>
      <c r="N2393" s="721"/>
    </row>
    <row r="2394" spans="1:14" ht="12.75" customHeight="1" x14ac:dyDescent="0.2">
      <c r="A2394" s="714" t="s">
        <v>1799</v>
      </c>
      <c r="B2394" s="418"/>
      <c r="C2394" s="418"/>
      <c r="D2394" s="418"/>
      <c r="E2394" s="418"/>
      <c r="F2394" s="418"/>
      <c r="G2394" s="416"/>
      <c r="H2394" s="12" t="str">
        <f t="shared" si="305"/>
        <v>Unidad</v>
      </c>
      <c r="I2394" s="712">
        <f t="shared" si="306"/>
        <v>548590</v>
      </c>
      <c r="J2394" s="416"/>
      <c r="K2394" s="715">
        <f>+'18'!$L$432</f>
        <v>2</v>
      </c>
      <c r="L2394" s="416"/>
      <c r="M2394" s="720">
        <f t="shared" si="307"/>
        <v>1097180</v>
      </c>
      <c r="N2394" s="721"/>
    </row>
    <row r="2395" spans="1:14" ht="12.75" customHeight="1" x14ac:dyDescent="0.2">
      <c r="A2395" s="789" t="s">
        <v>1800</v>
      </c>
      <c r="B2395" s="418"/>
      <c r="C2395" s="418"/>
      <c r="D2395" s="418"/>
      <c r="E2395" s="418"/>
      <c r="F2395" s="418"/>
      <c r="G2395" s="416"/>
      <c r="H2395" s="12" t="str">
        <f t="shared" si="305"/>
        <v>Unidad</v>
      </c>
      <c r="I2395" s="712">
        <f t="shared" si="306"/>
        <v>1194760</v>
      </c>
      <c r="J2395" s="416"/>
      <c r="K2395" s="715">
        <f>+'18'!$L$433</f>
        <v>3</v>
      </c>
      <c r="L2395" s="416"/>
      <c r="M2395" s="720">
        <f t="shared" si="307"/>
        <v>3584280</v>
      </c>
      <c r="N2395" s="721"/>
    </row>
    <row r="2396" spans="1:14" ht="12.75" customHeight="1" x14ac:dyDescent="0.2">
      <c r="A2396" s="714" t="s">
        <v>535</v>
      </c>
      <c r="B2396" s="418"/>
      <c r="C2396" s="418"/>
      <c r="D2396" s="418"/>
      <c r="E2396" s="418"/>
      <c r="F2396" s="418"/>
      <c r="G2396" s="416"/>
      <c r="H2396" s="12" t="str">
        <f t="shared" si="305"/>
        <v>ml</v>
      </c>
      <c r="I2396" s="712">
        <f t="shared" si="306"/>
        <v>64981</v>
      </c>
      <c r="J2396" s="416"/>
      <c r="K2396" s="715">
        <f>+'18'!$L$434</f>
        <v>11.6</v>
      </c>
      <c r="L2396" s="416"/>
      <c r="M2396" s="720">
        <f t="shared" si="307"/>
        <v>753779.6</v>
      </c>
      <c r="N2396" s="721"/>
    </row>
    <row r="2397" spans="1:14" ht="12.75" customHeight="1" x14ac:dyDescent="0.2">
      <c r="A2397" s="714" t="s">
        <v>1801</v>
      </c>
      <c r="B2397" s="418"/>
      <c r="C2397" s="418"/>
      <c r="D2397" s="418"/>
      <c r="E2397" s="418"/>
      <c r="F2397" s="418"/>
      <c r="G2397" s="416"/>
      <c r="H2397" s="12" t="str">
        <f t="shared" si="305"/>
        <v>Unidad</v>
      </c>
      <c r="I2397" s="712">
        <f t="shared" si="306"/>
        <v>205870</v>
      </c>
      <c r="J2397" s="416"/>
      <c r="K2397" s="715">
        <f>+'18'!$L$435</f>
        <v>2</v>
      </c>
      <c r="L2397" s="416"/>
      <c r="M2397" s="720">
        <f t="shared" si="307"/>
        <v>411740</v>
      </c>
      <c r="N2397" s="721"/>
    </row>
    <row r="2398" spans="1:14" ht="12.75" customHeight="1" x14ac:dyDescent="0.2">
      <c r="A2398" s="714" t="s">
        <v>1802</v>
      </c>
      <c r="B2398" s="418"/>
      <c r="C2398" s="418"/>
      <c r="D2398" s="418"/>
      <c r="E2398" s="418"/>
      <c r="F2398" s="418"/>
      <c r="G2398" s="416"/>
      <c r="H2398" s="12" t="str">
        <f t="shared" si="305"/>
        <v>Unidad</v>
      </c>
      <c r="I2398" s="712">
        <f t="shared" si="306"/>
        <v>899640</v>
      </c>
      <c r="J2398" s="416"/>
      <c r="K2398" s="715">
        <f>+'18'!$L$436</f>
        <v>1</v>
      </c>
      <c r="L2398" s="416"/>
      <c r="M2398" s="720">
        <f t="shared" si="307"/>
        <v>899640</v>
      </c>
      <c r="N2398" s="721"/>
    </row>
    <row r="2399" spans="1:14" ht="12.75" customHeight="1" x14ac:dyDescent="0.2">
      <c r="A2399" s="714" t="s">
        <v>1803</v>
      </c>
      <c r="B2399" s="418"/>
      <c r="C2399" s="418"/>
      <c r="D2399" s="418"/>
      <c r="E2399" s="418"/>
      <c r="F2399" s="418"/>
      <c r="G2399" s="416"/>
      <c r="H2399" s="12" t="str">
        <f t="shared" si="305"/>
        <v>Unidad</v>
      </c>
      <c r="I2399" s="712">
        <f t="shared" si="306"/>
        <v>1247120</v>
      </c>
      <c r="J2399" s="416"/>
      <c r="K2399" s="715">
        <f>+'18'!$L$437</f>
        <v>1</v>
      </c>
      <c r="L2399" s="416"/>
      <c r="M2399" s="720">
        <f t="shared" si="307"/>
        <v>1247120</v>
      </c>
      <c r="N2399" s="721"/>
    </row>
    <row r="2400" spans="1:14" ht="12.75" customHeight="1" x14ac:dyDescent="0.2">
      <c r="A2400" s="714" t="s">
        <v>1804</v>
      </c>
      <c r="B2400" s="418"/>
      <c r="C2400" s="418"/>
      <c r="D2400" s="418"/>
      <c r="E2400" s="418"/>
      <c r="F2400" s="418"/>
      <c r="G2400" s="416"/>
      <c r="H2400" s="12" t="str">
        <f t="shared" si="305"/>
        <v>Unidad</v>
      </c>
      <c r="I2400" s="712">
        <f t="shared" si="306"/>
        <v>166600</v>
      </c>
      <c r="J2400" s="416"/>
      <c r="K2400" s="715">
        <f>+'18'!$L$438</f>
        <v>2</v>
      </c>
      <c r="L2400" s="416"/>
      <c r="M2400" s="720">
        <f t="shared" si="307"/>
        <v>333200</v>
      </c>
      <c r="N2400" s="721"/>
    </row>
    <row r="2401" spans="1:14" ht="12.75" customHeight="1" x14ac:dyDescent="0.2">
      <c r="A2401" s="714" t="s">
        <v>1806</v>
      </c>
      <c r="B2401" s="418"/>
      <c r="C2401" s="418"/>
      <c r="D2401" s="418"/>
      <c r="E2401" s="418"/>
      <c r="F2401" s="418"/>
      <c r="G2401" s="416"/>
      <c r="H2401" s="12" t="str">
        <f t="shared" si="305"/>
        <v>Unidad</v>
      </c>
      <c r="I2401" s="712">
        <f t="shared" si="306"/>
        <v>4046000</v>
      </c>
      <c r="J2401" s="416"/>
      <c r="K2401" s="715">
        <f>+'18'!$L$439</f>
        <v>1</v>
      </c>
      <c r="L2401" s="416"/>
      <c r="M2401" s="720">
        <f t="shared" si="307"/>
        <v>4046000</v>
      </c>
      <c r="N2401" s="721"/>
    </row>
    <row r="2402" spans="1:14" ht="12.75" customHeight="1" x14ac:dyDescent="0.2">
      <c r="A2402" s="714"/>
      <c r="B2402" s="418"/>
      <c r="C2402" s="418"/>
      <c r="D2402" s="418"/>
      <c r="E2402" s="418"/>
      <c r="F2402" s="418"/>
      <c r="G2402" s="416"/>
      <c r="H2402" s="12" t="str">
        <f t="shared" si="305"/>
        <v/>
      </c>
      <c r="I2402" s="712" t="str">
        <f t="shared" si="306"/>
        <v/>
      </c>
      <c r="J2402" s="416"/>
      <c r="K2402" s="715"/>
      <c r="L2402" s="416"/>
      <c r="M2402" s="712"/>
      <c r="N2402" s="416"/>
    </row>
    <row r="2403" spans="1:14" ht="12.75" customHeight="1" x14ac:dyDescent="0.2">
      <c r="A2403" s="714"/>
      <c r="B2403" s="418"/>
      <c r="C2403" s="418"/>
      <c r="D2403" s="418"/>
      <c r="E2403" s="418"/>
      <c r="F2403" s="418"/>
      <c r="G2403" s="416"/>
      <c r="H2403" s="12" t="str">
        <f t="shared" si="305"/>
        <v/>
      </c>
      <c r="I2403" s="712" t="str">
        <f t="shared" si="306"/>
        <v/>
      </c>
      <c r="J2403" s="416"/>
      <c r="K2403" s="715"/>
      <c r="L2403" s="416"/>
      <c r="M2403" s="712" t="str">
        <f>IF(A2403="","",I2403*K2403)</f>
        <v/>
      </c>
      <c r="N2403" s="416"/>
    </row>
    <row r="2404" spans="1:14" ht="12.75" customHeight="1" x14ac:dyDescent="0.2">
      <c r="A2404" s="714"/>
      <c r="B2404" s="418"/>
      <c r="C2404" s="418"/>
      <c r="D2404" s="418"/>
      <c r="E2404" s="418"/>
      <c r="F2404" s="418"/>
      <c r="G2404" s="416"/>
      <c r="H2404" s="12" t="str">
        <f t="shared" si="305"/>
        <v/>
      </c>
      <c r="I2404" s="712" t="str">
        <f t="shared" si="306"/>
        <v/>
      </c>
      <c r="J2404" s="416"/>
      <c r="K2404" s="715"/>
      <c r="L2404" s="416"/>
      <c r="M2404" s="712"/>
      <c r="N2404" s="416"/>
    </row>
    <row r="2405" spans="1:14" ht="12.75" customHeight="1" x14ac:dyDescent="0.2">
      <c r="A2405" s="714"/>
      <c r="B2405" s="418"/>
      <c r="C2405" s="418"/>
      <c r="D2405" s="418"/>
      <c r="E2405" s="418"/>
      <c r="F2405" s="418"/>
      <c r="G2405" s="416"/>
      <c r="H2405" s="12" t="str">
        <f t="shared" si="305"/>
        <v/>
      </c>
      <c r="I2405" s="712" t="str">
        <f t="shared" si="306"/>
        <v/>
      </c>
      <c r="J2405" s="416"/>
      <c r="K2405" s="715"/>
      <c r="L2405" s="416"/>
      <c r="M2405" s="712" t="str">
        <f>IF(A2405="","",I2405*K2405)</f>
        <v/>
      </c>
      <c r="N2405" s="416"/>
    </row>
    <row r="2406" spans="1:14" ht="12.75" customHeight="1" x14ac:dyDescent="0.25">
      <c r="A2406" s="5"/>
      <c r="B2406" s="5"/>
      <c r="C2406" s="5"/>
      <c r="D2406" s="5"/>
      <c r="E2406" s="5"/>
      <c r="F2406" s="5"/>
      <c r="G2406" s="5"/>
      <c r="H2406" s="5"/>
      <c r="I2406" s="5"/>
      <c r="J2406" s="5"/>
      <c r="K2406" s="713" t="s">
        <v>261</v>
      </c>
      <c r="L2406" s="416"/>
      <c r="M2406" s="712">
        <f>SUM(M2382:N2405)</f>
        <v>20780137.127041891</v>
      </c>
      <c r="N2406" s="416"/>
    </row>
    <row r="2407" spans="1:14" ht="12.75" customHeight="1" x14ac:dyDescent="0.25">
      <c r="A2407" s="5"/>
      <c r="B2407" s="5"/>
      <c r="C2407" s="5"/>
      <c r="D2407" s="5"/>
      <c r="E2407" s="5"/>
      <c r="F2407" s="5"/>
      <c r="G2407" s="5"/>
      <c r="H2407" s="5"/>
      <c r="I2407" s="5"/>
      <c r="J2407" s="5"/>
      <c r="K2407" s="5"/>
      <c r="L2407" s="5"/>
      <c r="M2407" s="5"/>
      <c r="N2407" s="5"/>
    </row>
    <row r="2408" spans="1:14" ht="12.75" customHeight="1" x14ac:dyDescent="0.2">
      <c r="A2408" s="716" t="s">
        <v>410</v>
      </c>
      <c r="B2408" s="418"/>
      <c r="C2408" s="418"/>
      <c r="D2408" s="418"/>
      <c r="E2408" s="418"/>
      <c r="F2408" s="418"/>
      <c r="G2408" s="418"/>
      <c r="H2408" s="418"/>
      <c r="I2408" s="418"/>
      <c r="J2408" s="418"/>
      <c r="K2408" s="418"/>
      <c r="L2408" s="418"/>
      <c r="M2408" s="418"/>
      <c r="N2408" s="416"/>
    </row>
    <row r="2409" spans="1:14" ht="12.75" customHeight="1" x14ac:dyDescent="0.2">
      <c r="A2409" s="713" t="s">
        <v>39</v>
      </c>
      <c r="B2409" s="418"/>
      <c r="C2409" s="418"/>
      <c r="D2409" s="418"/>
      <c r="E2409" s="418"/>
      <c r="F2409" s="418"/>
      <c r="G2409" s="416"/>
      <c r="H2409" s="61" t="s">
        <v>40</v>
      </c>
      <c r="I2409" s="717" t="s">
        <v>404</v>
      </c>
      <c r="J2409" s="416"/>
      <c r="K2409" s="717" t="s">
        <v>184</v>
      </c>
      <c r="L2409" s="416"/>
      <c r="M2409" s="717" t="s">
        <v>405</v>
      </c>
      <c r="N2409" s="416"/>
    </row>
    <row r="2410" spans="1:14" ht="12.75" customHeight="1" x14ac:dyDescent="0.2">
      <c r="A2410" s="714" t="s">
        <v>411</v>
      </c>
      <c r="B2410" s="418"/>
      <c r="C2410" s="418"/>
      <c r="D2410" s="418"/>
      <c r="E2410" s="418"/>
      <c r="F2410" s="418"/>
      <c r="G2410" s="416"/>
      <c r="H2410" s="12" t="str">
        <f>IF(A2410="","",VLOOKUP(A2410,AA_Equipos,7,FALSE))</f>
        <v>% M.O.</v>
      </c>
      <c r="I2410" s="712">
        <f>M2433</f>
        <v>2197252.84608</v>
      </c>
      <c r="J2410" s="416"/>
      <c r="K2410" s="722">
        <v>0.03</v>
      </c>
      <c r="L2410" s="416"/>
      <c r="M2410" s="712">
        <f t="shared" ref="M2410:M2414" si="308">IF(A2410="","",I2410*K2410)</f>
        <v>65917.585382399993</v>
      </c>
      <c r="N2410" s="416"/>
    </row>
    <row r="2411" spans="1:14" ht="12.75" customHeight="1" x14ac:dyDescent="0.2">
      <c r="A2411" s="719"/>
      <c r="B2411" s="418"/>
      <c r="C2411" s="418"/>
      <c r="D2411" s="418"/>
      <c r="E2411" s="418"/>
      <c r="F2411" s="418"/>
      <c r="G2411" s="416"/>
      <c r="H2411" s="12" t="str">
        <f>IF(A2411="","",VLOOKUP(A2411,AA_Equipos,7,FALSE))</f>
        <v/>
      </c>
      <c r="I2411" s="712" t="str">
        <f>IF(A2411="","",VLOOKUP(A2411,AA_Equipos,8,FALSE))</f>
        <v/>
      </c>
      <c r="J2411" s="416"/>
      <c r="K2411" s="723"/>
      <c r="L2411" s="416"/>
      <c r="M2411" s="712" t="str">
        <f t="shared" si="308"/>
        <v/>
      </c>
      <c r="N2411" s="416"/>
    </row>
    <row r="2412" spans="1:14" ht="12.75" customHeight="1" x14ac:dyDescent="0.2">
      <c r="A2412" s="714"/>
      <c r="B2412" s="418"/>
      <c r="C2412" s="418"/>
      <c r="D2412" s="418"/>
      <c r="E2412" s="418"/>
      <c r="F2412" s="418"/>
      <c r="G2412" s="416"/>
      <c r="H2412" s="12" t="str">
        <f>IF(A2412="","",VLOOKUP(A2412,AA_Equipos,7,FALSE))</f>
        <v/>
      </c>
      <c r="I2412" s="712" t="str">
        <f>IF(A2412="","",VLOOKUP(A2412,AA_Equipos,8,FALSE))</f>
        <v/>
      </c>
      <c r="J2412" s="416"/>
      <c r="K2412" s="715"/>
      <c r="L2412" s="416"/>
      <c r="M2412" s="712" t="str">
        <f t="shared" si="308"/>
        <v/>
      </c>
      <c r="N2412" s="416"/>
    </row>
    <row r="2413" spans="1:14" ht="12.75" customHeight="1" x14ac:dyDescent="0.2">
      <c r="A2413" s="714"/>
      <c r="B2413" s="418"/>
      <c r="C2413" s="418"/>
      <c r="D2413" s="418"/>
      <c r="E2413" s="418"/>
      <c r="F2413" s="418"/>
      <c r="G2413" s="416"/>
      <c r="H2413" s="12" t="str">
        <f>IF(A2413="","",VLOOKUP(A2413,AA_Equipos,7,FALSE))</f>
        <v/>
      </c>
      <c r="I2413" s="712" t="str">
        <f>IF(A2413="","",VLOOKUP(A2413,AA_Equipos,8,FALSE))</f>
        <v/>
      </c>
      <c r="J2413" s="416"/>
      <c r="K2413" s="715"/>
      <c r="L2413" s="416"/>
      <c r="M2413" s="712" t="str">
        <f t="shared" si="308"/>
        <v/>
      </c>
      <c r="N2413" s="416"/>
    </row>
    <row r="2414" spans="1:14" ht="12.75" customHeight="1" x14ac:dyDescent="0.2">
      <c r="A2414" s="714"/>
      <c r="B2414" s="418"/>
      <c r="C2414" s="418"/>
      <c r="D2414" s="418"/>
      <c r="E2414" s="418"/>
      <c r="F2414" s="418"/>
      <c r="G2414" s="416"/>
      <c r="H2414" s="12" t="str">
        <f>IF(A2414="","",VLOOKUP(A2414,AA_Equipos,7,FALSE))</f>
        <v/>
      </c>
      <c r="I2414" s="712" t="str">
        <f>IF(A2414="","",VLOOKUP(A2414,AA_Equipos,8,FALSE))</f>
        <v/>
      </c>
      <c r="J2414" s="416"/>
      <c r="K2414" s="715"/>
      <c r="L2414" s="416"/>
      <c r="M2414" s="712" t="str">
        <f t="shared" si="308"/>
        <v/>
      </c>
      <c r="N2414" s="416"/>
    </row>
    <row r="2415" spans="1:14" ht="12.75" customHeight="1" x14ac:dyDescent="0.25">
      <c r="A2415" s="5"/>
      <c r="B2415" s="5"/>
      <c r="C2415" s="5"/>
      <c r="D2415" s="5"/>
      <c r="E2415" s="5"/>
      <c r="F2415" s="5"/>
      <c r="G2415" s="5"/>
      <c r="H2415" s="5"/>
      <c r="I2415" s="5"/>
      <c r="J2415" s="5"/>
      <c r="K2415" s="713" t="s">
        <v>261</v>
      </c>
      <c r="L2415" s="416"/>
      <c r="M2415" s="712">
        <f>SUM(M2410:N2414)</f>
        <v>65917.585382399993</v>
      </c>
      <c r="N2415" s="416"/>
    </row>
    <row r="2416" spans="1:14" ht="12.75" customHeight="1" x14ac:dyDescent="0.25">
      <c r="A2416" s="5"/>
      <c r="B2416" s="5"/>
      <c r="C2416" s="5"/>
      <c r="D2416" s="5"/>
      <c r="E2416" s="5"/>
      <c r="F2416" s="5"/>
      <c r="G2416" s="5"/>
      <c r="H2416" s="5"/>
      <c r="I2416" s="5"/>
      <c r="J2416" s="5"/>
      <c r="K2416" s="5"/>
      <c r="L2416" s="5"/>
      <c r="M2416" s="5"/>
      <c r="N2416" s="5"/>
    </row>
    <row r="2417" spans="1:14" ht="12.75" customHeight="1" x14ac:dyDescent="0.2">
      <c r="A2417" s="716" t="s">
        <v>413</v>
      </c>
      <c r="B2417" s="418"/>
      <c r="C2417" s="418"/>
      <c r="D2417" s="418"/>
      <c r="E2417" s="418"/>
      <c r="F2417" s="418"/>
      <c r="G2417" s="418"/>
      <c r="H2417" s="418"/>
      <c r="I2417" s="418"/>
      <c r="J2417" s="418"/>
      <c r="K2417" s="418"/>
      <c r="L2417" s="418"/>
      <c r="M2417" s="418"/>
      <c r="N2417" s="416"/>
    </row>
    <row r="2418" spans="1:14" ht="12.75" customHeight="1" x14ac:dyDescent="0.2">
      <c r="A2418" s="713" t="s">
        <v>39</v>
      </c>
      <c r="B2418" s="418"/>
      <c r="C2418" s="418"/>
      <c r="D2418" s="418"/>
      <c r="E2418" s="418"/>
      <c r="F2418" s="418"/>
      <c r="G2418" s="416"/>
      <c r="H2418" s="61" t="s">
        <v>40</v>
      </c>
      <c r="I2418" s="717" t="s">
        <v>404</v>
      </c>
      <c r="J2418" s="416"/>
      <c r="K2418" s="717" t="s">
        <v>184</v>
      </c>
      <c r="L2418" s="416"/>
      <c r="M2418" s="717" t="s">
        <v>405</v>
      </c>
      <c r="N2418" s="416"/>
    </row>
    <row r="2419" spans="1:14" ht="12.75" customHeight="1" x14ac:dyDescent="0.2">
      <c r="A2419" s="719" t="s">
        <v>443</v>
      </c>
      <c r="B2419" s="418"/>
      <c r="C2419" s="418"/>
      <c r="D2419" s="418"/>
      <c r="E2419" s="418"/>
      <c r="F2419" s="418"/>
      <c r="G2419" s="416"/>
      <c r="H2419" s="12" t="s">
        <v>13</v>
      </c>
      <c r="I2419" s="720">
        <f>+SUM(M2393:N2401)</f>
        <v>14224579.6</v>
      </c>
      <c r="J2419" s="721"/>
      <c r="K2419" s="722">
        <v>0.03</v>
      </c>
      <c r="L2419" s="416"/>
      <c r="M2419" s="712">
        <f t="shared" ref="M2419:M2423" si="309">IF(A2419="","",I2419*K2419)</f>
        <v>426737.38799999998</v>
      </c>
      <c r="N2419" s="416"/>
    </row>
    <row r="2420" spans="1:14" ht="12.75" customHeight="1" x14ac:dyDescent="0.2">
      <c r="A2420" s="719"/>
      <c r="B2420" s="418"/>
      <c r="C2420" s="418"/>
      <c r="D2420" s="418"/>
      <c r="E2420" s="418"/>
      <c r="F2420" s="418"/>
      <c r="G2420" s="416"/>
      <c r="H2420" s="12"/>
      <c r="I2420" s="712"/>
      <c r="J2420" s="416"/>
      <c r="K2420" s="722"/>
      <c r="L2420" s="416"/>
      <c r="M2420" s="712" t="str">
        <f t="shared" si="309"/>
        <v/>
      </c>
      <c r="N2420" s="416"/>
    </row>
    <row r="2421" spans="1:14" ht="12.75" customHeight="1" x14ac:dyDescent="0.2">
      <c r="A2421" s="714"/>
      <c r="B2421" s="418"/>
      <c r="C2421" s="418"/>
      <c r="D2421" s="418"/>
      <c r="E2421" s="418"/>
      <c r="F2421" s="418"/>
      <c r="G2421" s="416"/>
      <c r="H2421" s="12"/>
      <c r="I2421" s="712"/>
      <c r="J2421" s="416"/>
      <c r="K2421" s="715"/>
      <c r="L2421" s="416"/>
      <c r="M2421" s="712" t="str">
        <f t="shared" si="309"/>
        <v/>
      </c>
      <c r="N2421" s="416"/>
    </row>
    <row r="2422" spans="1:14" ht="12.75" customHeight="1" x14ac:dyDescent="0.2">
      <c r="A2422" s="714"/>
      <c r="B2422" s="418"/>
      <c r="C2422" s="418"/>
      <c r="D2422" s="418"/>
      <c r="E2422" s="418"/>
      <c r="F2422" s="418"/>
      <c r="G2422" s="416"/>
      <c r="H2422" s="12"/>
      <c r="I2422" s="712"/>
      <c r="J2422" s="416"/>
      <c r="K2422" s="715"/>
      <c r="L2422" s="416"/>
      <c r="M2422" s="712" t="str">
        <f t="shared" si="309"/>
        <v/>
      </c>
      <c r="N2422" s="416"/>
    </row>
    <row r="2423" spans="1:14" ht="12.75" customHeight="1" x14ac:dyDescent="0.2">
      <c r="A2423" s="714"/>
      <c r="B2423" s="418"/>
      <c r="C2423" s="418"/>
      <c r="D2423" s="418"/>
      <c r="E2423" s="418"/>
      <c r="F2423" s="418"/>
      <c r="G2423" s="416"/>
      <c r="H2423" s="12"/>
      <c r="I2423" s="712"/>
      <c r="J2423" s="416"/>
      <c r="K2423" s="715"/>
      <c r="L2423" s="416"/>
      <c r="M2423" s="712" t="str">
        <f t="shared" si="309"/>
        <v/>
      </c>
      <c r="N2423" s="416"/>
    </row>
    <row r="2424" spans="1:14" ht="12.75" customHeight="1" x14ac:dyDescent="0.25">
      <c r="A2424" s="5"/>
      <c r="B2424" s="5"/>
      <c r="C2424" s="5"/>
      <c r="D2424" s="5"/>
      <c r="E2424" s="5"/>
      <c r="F2424" s="5"/>
      <c r="G2424" s="5"/>
      <c r="H2424" s="5"/>
      <c r="I2424" s="5"/>
      <c r="J2424" s="5"/>
      <c r="K2424" s="713" t="s">
        <v>261</v>
      </c>
      <c r="L2424" s="416"/>
      <c r="M2424" s="712">
        <f>SUM(M2419:N2423)</f>
        <v>426737.38799999998</v>
      </c>
      <c r="N2424" s="416"/>
    </row>
    <row r="2425" spans="1:14" ht="12.75" customHeight="1" x14ac:dyDescent="0.25">
      <c r="A2425" s="5"/>
      <c r="B2425" s="5"/>
      <c r="C2425" s="5"/>
      <c r="D2425" s="5"/>
      <c r="E2425" s="5"/>
      <c r="F2425" s="5"/>
      <c r="G2425" s="5"/>
      <c r="H2425" s="5"/>
      <c r="I2425" s="5"/>
      <c r="J2425" s="5"/>
      <c r="K2425" s="5"/>
      <c r="L2425" s="5"/>
      <c r="M2425" s="5"/>
      <c r="N2425" s="5"/>
    </row>
    <row r="2426" spans="1:14" ht="12.75" customHeight="1" x14ac:dyDescent="0.2">
      <c r="A2426" s="716" t="s">
        <v>415</v>
      </c>
      <c r="B2426" s="418"/>
      <c r="C2426" s="418"/>
      <c r="D2426" s="418"/>
      <c r="E2426" s="418"/>
      <c r="F2426" s="418"/>
      <c r="G2426" s="418"/>
      <c r="H2426" s="418"/>
      <c r="I2426" s="418"/>
      <c r="J2426" s="418"/>
      <c r="K2426" s="418"/>
      <c r="L2426" s="418"/>
      <c r="M2426" s="418"/>
      <c r="N2426" s="416"/>
    </row>
    <row r="2427" spans="1:14" ht="12.75" customHeight="1" x14ac:dyDescent="0.2">
      <c r="A2427" s="713" t="s">
        <v>39</v>
      </c>
      <c r="B2427" s="418"/>
      <c r="C2427" s="418"/>
      <c r="D2427" s="418"/>
      <c r="E2427" s="418"/>
      <c r="F2427" s="418"/>
      <c r="G2427" s="416"/>
      <c r="H2427" s="61" t="s">
        <v>40</v>
      </c>
      <c r="I2427" s="717" t="s">
        <v>404</v>
      </c>
      <c r="J2427" s="416"/>
      <c r="K2427" s="64" t="s">
        <v>253</v>
      </c>
      <c r="L2427" s="65" t="s">
        <v>416</v>
      </c>
      <c r="M2427" s="717" t="s">
        <v>405</v>
      </c>
      <c r="N2427" s="416"/>
    </row>
    <row r="2428" spans="1:14" ht="12.75" customHeight="1" x14ac:dyDescent="0.25">
      <c r="A2428" s="711" t="s">
        <v>597</v>
      </c>
      <c r="B2428" s="418"/>
      <c r="C2428" s="418"/>
      <c r="D2428" s="418"/>
      <c r="E2428" s="418"/>
      <c r="F2428" s="418"/>
      <c r="G2428" s="416"/>
      <c r="H2428" s="12" t="str">
        <f>IF(A2428="","",VLOOKUP(A2428,AA_Cuadrillas,4,FALSE))</f>
        <v>Cuadrilla</v>
      </c>
      <c r="I2428" s="712">
        <f>IF(A2428="","",VLOOKUP(A2428,AA_Cuadrillas,5,FALSE))</f>
        <v>484416</v>
      </c>
      <c r="J2428" s="416"/>
      <c r="K2428" s="3">
        <f>IF(A2428="","",'04'!$I$2)</f>
        <v>1.88995</v>
      </c>
      <c r="L2428" s="66">
        <v>2.4</v>
      </c>
      <c r="M2428" s="712">
        <f t="shared" ref="M2428:M2432" si="310">IF(A2428="","",I2428*K2428*L2428)</f>
        <v>2197252.84608</v>
      </c>
      <c r="N2428" s="416"/>
    </row>
    <row r="2429" spans="1:14" ht="12.75" customHeight="1" x14ac:dyDescent="0.25">
      <c r="A2429" s="711"/>
      <c r="B2429" s="418"/>
      <c r="C2429" s="418"/>
      <c r="D2429" s="418"/>
      <c r="E2429" s="418"/>
      <c r="F2429" s="418"/>
      <c r="G2429" s="416"/>
      <c r="H2429" s="12" t="str">
        <f>IF(A2429="","",VLOOKUP(A2429,AA_Cuadrillas,4,FALSE))</f>
        <v/>
      </c>
      <c r="I2429" s="712" t="str">
        <f>IF(A2429="","",VLOOKUP(A2429,AA_Cuadrillas,5,FALSE))</f>
        <v/>
      </c>
      <c r="J2429" s="416"/>
      <c r="K2429" s="3" t="str">
        <f>IF(A2429="","",'04'!$I$2)</f>
        <v/>
      </c>
      <c r="L2429" s="3"/>
      <c r="M2429" s="712" t="str">
        <f t="shared" si="310"/>
        <v/>
      </c>
      <c r="N2429" s="416"/>
    </row>
    <row r="2430" spans="1:14" ht="12.75" customHeight="1" x14ac:dyDescent="0.25">
      <c r="A2430" s="711"/>
      <c r="B2430" s="418"/>
      <c r="C2430" s="418"/>
      <c r="D2430" s="418"/>
      <c r="E2430" s="418"/>
      <c r="F2430" s="418"/>
      <c r="G2430" s="416"/>
      <c r="H2430" s="12" t="str">
        <f>IF(A2430="","",VLOOKUP(A2430,AA_Cuadrillas,4,FALSE))</f>
        <v/>
      </c>
      <c r="I2430" s="712" t="str">
        <f>IF(A2430="","",VLOOKUP(A2430,AA_Cuadrillas,5,FALSE))</f>
        <v/>
      </c>
      <c r="J2430" s="416"/>
      <c r="K2430" s="3" t="str">
        <f>IF(A2430="","",'04'!$I$2)</f>
        <v/>
      </c>
      <c r="L2430" s="13"/>
      <c r="M2430" s="712" t="str">
        <f t="shared" si="310"/>
        <v/>
      </c>
      <c r="N2430" s="416"/>
    </row>
    <row r="2431" spans="1:14" ht="12.75" customHeight="1" x14ac:dyDescent="0.25">
      <c r="A2431" s="711"/>
      <c r="B2431" s="418"/>
      <c r="C2431" s="418"/>
      <c r="D2431" s="418"/>
      <c r="E2431" s="418"/>
      <c r="F2431" s="418"/>
      <c r="G2431" s="416"/>
      <c r="H2431" s="12" t="str">
        <f>IF(A2431="","",VLOOKUP(A2431,AA_Cuadrillas,4,FALSE))</f>
        <v/>
      </c>
      <c r="I2431" s="712" t="str">
        <f>IF(A2431="","",VLOOKUP(A2431,AA_Cuadrillas,5,FALSE))</f>
        <v/>
      </c>
      <c r="J2431" s="416"/>
      <c r="K2431" s="3" t="str">
        <f>IF(A2431="","",'04'!$I$2)</f>
        <v/>
      </c>
      <c r="L2431" s="13"/>
      <c r="M2431" s="712" t="str">
        <f t="shared" si="310"/>
        <v/>
      </c>
      <c r="N2431" s="416"/>
    </row>
    <row r="2432" spans="1:14" ht="12.75" customHeight="1" x14ac:dyDescent="0.25">
      <c r="A2432" s="711"/>
      <c r="B2432" s="418"/>
      <c r="C2432" s="418"/>
      <c r="D2432" s="418"/>
      <c r="E2432" s="418"/>
      <c r="F2432" s="418"/>
      <c r="G2432" s="416"/>
      <c r="H2432" s="12" t="str">
        <f>IF(A2432="","",VLOOKUP(A2432,AA_Cuadrillas,4,FALSE))</f>
        <v/>
      </c>
      <c r="I2432" s="712" t="str">
        <f>IF(A2432="","",VLOOKUP(A2432,AA_Cuadrillas,5,FALSE))</f>
        <v/>
      </c>
      <c r="J2432" s="416"/>
      <c r="K2432" s="3" t="str">
        <f>IF(A2432="","",'04'!$I$2)</f>
        <v/>
      </c>
      <c r="L2432" s="13"/>
      <c r="M2432" s="712" t="str">
        <f t="shared" si="310"/>
        <v/>
      </c>
      <c r="N2432" s="416"/>
    </row>
    <row r="2433" spans="1:16" ht="12.75" customHeight="1" x14ac:dyDescent="0.25">
      <c r="A2433" s="5"/>
      <c r="B2433" s="5"/>
      <c r="C2433" s="5"/>
      <c r="D2433" s="5"/>
      <c r="E2433" s="5"/>
      <c r="F2433" s="5"/>
      <c r="G2433" s="5"/>
      <c r="H2433" s="5"/>
      <c r="I2433" s="5"/>
      <c r="J2433" s="5"/>
      <c r="K2433" s="713" t="s">
        <v>261</v>
      </c>
      <c r="L2433" s="416"/>
      <c r="M2433" s="712">
        <f>SUM(M2428:N2432)</f>
        <v>2197252.84608</v>
      </c>
      <c r="N2433" s="416"/>
    </row>
    <row r="2435" spans="1:16" ht="12.75" customHeight="1" x14ac:dyDescent="0.2">
      <c r="A2435" s="718" t="s">
        <v>1833</v>
      </c>
      <c r="B2435" s="498"/>
      <c r="C2435" s="498"/>
      <c r="D2435" s="498"/>
      <c r="E2435" s="498"/>
      <c r="F2435" s="498"/>
      <c r="G2435" s="498"/>
      <c r="H2435" s="498"/>
      <c r="I2435" s="498"/>
      <c r="J2435" s="498"/>
      <c r="K2435" s="498"/>
      <c r="L2435" s="498"/>
      <c r="M2435" s="498"/>
      <c r="N2435" s="499"/>
      <c r="O2435" s="272"/>
      <c r="P2435" s="9"/>
    </row>
    <row r="2436" spans="1:16" ht="12.75" customHeight="1" x14ac:dyDescent="0.2">
      <c r="A2436" s="503"/>
      <c r="B2436" s="504"/>
      <c r="C2436" s="504"/>
      <c r="D2436" s="504"/>
      <c r="E2436" s="504"/>
      <c r="F2436" s="504"/>
      <c r="G2436" s="504"/>
      <c r="H2436" s="504"/>
      <c r="I2436" s="504"/>
      <c r="J2436" s="504"/>
      <c r="K2436" s="504"/>
      <c r="L2436" s="504"/>
      <c r="M2436" s="504"/>
      <c r="N2436" s="505"/>
      <c r="O2436" s="272"/>
      <c r="P2436" s="9"/>
    </row>
    <row r="2437" spans="1:16" ht="12.75" customHeight="1" x14ac:dyDescent="0.2">
      <c r="A2437" s="49"/>
      <c r="B2437" s="49"/>
      <c r="C2437" s="49"/>
      <c r="D2437" s="49"/>
      <c r="E2437" s="49"/>
      <c r="F2437" s="49"/>
      <c r="G2437" s="49"/>
      <c r="H2437" s="49"/>
      <c r="I2437" s="49"/>
      <c r="J2437" s="49"/>
      <c r="K2437" s="49"/>
      <c r="L2437" s="49"/>
      <c r="M2437" s="49"/>
      <c r="N2437" s="49"/>
    </row>
    <row r="2438" spans="1:16" ht="12.75" customHeight="1" thickBot="1" x14ac:dyDescent="0.35">
      <c r="A2438" s="51" t="str">
        <f>VLOOKUP(A2435,'10'!$B$9:$N$100,13,FALSE)</f>
        <v>G073</v>
      </c>
      <c r="B2438" s="52" t="str">
        <f>A2435</f>
        <v>SUMINISTRO E INSTALACIÓN DE VÁLVULA DE CORTE TIPO CHOROTE Ø4" EN HIERRO DUCTIL (INCLUYE CAJA EN CONCRETO, REPLANTEO, EXCAVACIÓN, RECEBO, SOLADO, CONCRETO, ACERO, PASAMURO, VÁLVULA, MATERIALES, HERRAMIENTA MENOR Y MANO DE OBRA)</v>
      </c>
      <c r="C2438" s="53" t="s">
        <v>400</v>
      </c>
      <c r="D2438" s="54" t="s">
        <v>475</v>
      </c>
      <c r="E2438" s="55" t="s">
        <v>177</v>
      </c>
      <c r="F2438" s="59">
        <f>H2438+J2438+L2438+N2438</f>
        <v>9507114.4556431733</v>
      </c>
      <c r="G2438" s="55" t="s">
        <v>349</v>
      </c>
      <c r="H2438" s="59">
        <f>M2468</f>
        <v>27465.660575999998</v>
      </c>
      <c r="I2438" s="55" t="s">
        <v>402</v>
      </c>
      <c r="J2438" s="72">
        <f>M2459</f>
        <v>8513884.8743671738</v>
      </c>
      <c r="K2438" s="55" t="s">
        <v>351</v>
      </c>
      <c r="L2438" s="70">
        <f>M2477</f>
        <v>50241.9015</v>
      </c>
      <c r="M2438" s="55" t="s">
        <v>352</v>
      </c>
      <c r="N2438" s="70">
        <f>M2486</f>
        <v>915522.01919999998</v>
      </c>
    </row>
    <row r="2439" spans="1:16" ht="12.75" customHeight="1" thickBot="1" x14ac:dyDescent="0.3">
      <c r="A2439" s="60"/>
      <c r="B2439" s="60"/>
      <c r="C2439" s="60"/>
      <c r="D2439" s="60"/>
      <c r="E2439" s="60"/>
      <c r="F2439" s="60"/>
      <c r="G2439" s="60"/>
      <c r="J2439" s="60"/>
      <c r="K2439" s="60"/>
      <c r="L2439" s="327" t="s">
        <v>1934</v>
      </c>
      <c r="M2439" s="328">
        <f>+F2438*'01'!$O$16</f>
        <v>12304972.514895797</v>
      </c>
      <c r="N2439" s="60"/>
    </row>
    <row r="2440" spans="1:16" ht="12.75" customHeight="1" x14ac:dyDescent="0.2">
      <c r="A2440" s="716" t="s">
        <v>403</v>
      </c>
      <c r="B2440" s="418"/>
      <c r="C2440" s="418"/>
      <c r="D2440" s="418"/>
      <c r="E2440" s="418"/>
      <c r="F2440" s="418"/>
      <c r="G2440" s="418"/>
      <c r="H2440" s="418"/>
      <c r="I2440" s="418"/>
      <c r="J2440" s="418"/>
      <c r="K2440" s="418"/>
      <c r="L2440" s="418"/>
      <c r="M2440" s="418"/>
      <c r="N2440" s="416"/>
    </row>
    <row r="2441" spans="1:16" ht="12.75" customHeight="1" x14ac:dyDescent="0.2">
      <c r="A2441" s="713" t="s">
        <v>39</v>
      </c>
      <c r="B2441" s="418"/>
      <c r="C2441" s="418"/>
      <c r="D2441" s="418"/>
      <c r="E2441" s="418"/>
      <c r="F2441" s="418"/>
      <c r="G2441" s="416"/>
      <c r="H2441" s="61" t="s">
        <v>40</v>
      </c>
      <c r="I2441" s="717" t="s">
        <v>404</v>
      </c>
      <c r="J2441" s="416"/>
      <c r="K2441" s="717" t="s">
        <v>184</v>
      </c>
      <c r="L2441" s="416"/>
      <c r="M2441" s="717" t="s">
        <v>405</v>
      </c>
      <c r="N2441" s="416"/>
    </row>
    <row r="2442" spans="1:16" ht="12.75" customHeight="1" x14ac:dyDescent="0.2">
      <c r="A2442" s="714" t="s">
        <v>519</v>
      </c>
      <c r="B2442" s="418"/>
      <c r="C2442" s="418"/>
      <c r="D2442" s="418"/>
      <c r="E2442" s="418"/>
      <c r="F2442" s="418"/>
      <c r="G2442" s="416"/>
      <c r="H2442" s="12" t="str">
        <f t="shared" ref="H2442:H2458" si="311">IF(A2442="","",VLOOKUP(A2442,AA_Materiales,7,FALSE))</f>
        <v>m2</v>
      </c>
      <c r="I2442" s="712">
        <f t="shared" ref="I2442:I2458" si="312">IF(A2442="","",VLOOKUP(A2442,AA_Materiales,8,FALSE))</f>
        <v>5165.5045752643746</v>
      </c>
      <c r="J2442" s="416"/>
      <c r="K2442" s="715">
        <f>+'18'!$F$454</f>
        <v>5.3654999999999999</v>
      </c>
      <c r="L2442" s="416"/>
      <c r="M2442" s="712">
        <f t="shared" ref="M2442:M2454" si="313">IF(A2442="","",I2442*K2442)</f>
        <v>27715.514798581</v>
      </c>
      <c r="N2442" s="416"/>
    </row>
    <row r="2443" spans="1:16" ht="12.75" customHeight="1" x14ac:dyDescent="0.2">
      <c r="A2443" s="714" t="s">
        <v>520</v>
      </c>
      <c r="B2443" s="418"/>
      <c r="C2443" s="418"/>
      <c r="D2443" s="418"/>
      <c r="E2443" s="418"/>
      <c r="F2443" s="418"/>
      <c r="G2443" s="416"/>
      <c r="H2443" s="12" t="str">
        <f t="shared" si="311"/>
        <v>m3</v>
      </c>
      <c r="I2443" s="712">
        <f t="shared" si="312"/>
        <v>69126.000000000015</v>
      </c>
      <c r="J2443" s="416"/>
      <c r="K2443" s="715">
        <f>+'18'!$F$465</f>
        <v>9.2823150000000005</v>
      </c>
      <c r="L2443" s="416"/>
      <c r="M2443" s="712">
        <f t="shared" si="313"/>
        <v>641649.30669000023</v>
      </c>
      <c r="N2443" s="416"/>
    </row>
    <row r="2444" spans="1:16" ht="12.75" customHeight="1" x14ac:dyDescent="0.2">
      <c r="A2444" s="719" t="s">
        <v>521</v>
      </c>
      <c r="B2444" s="418"/>
      <c r="C2444" s="418"/>
      <c r="D2444" s="418"/>
      <c r="E2444" s="418"/>
      <c r="F2444" s="418"/>
      <c r="G2444" s="416"/>
      <c r="H2444" s="12" t="str">
        <f t="shared" si="311"/>
        <v>m3</v>
      </c>
      <c r="I2444" s="712">
        <f t="shared" si="312"/>
        <v>139300.48782583541</v>
      </c>
      <c r="J2444" s="416"/>
      <c r="K2444" s="715">
        <f>+'18'!$F$476</f>
        <v>1.0730999999999999</v>
      </c>
      <c r="L2444" s="416"/>
      <c r="M2444" s="712">
        <f t="shared" si="313"/>
        <v>149483.35348590396</v>
      </c>
      <c r="N2444" s="416"/>
    </row>
    <row r="2445" spans="1:16" ht="12.75" customHeight="1" x14ac:dyDescent="0.2">
      <c r="A2445" s="719" t="s">
        <v>527</v>
      </c>
      <c r="B2445" s="418"/>
      <c r="C2445" s="418"/>
      <c r="D2445" s="418"/>
      <c r="E2445" s="418"/>
      <c r="F2445" s="418"/>
      <c r="G2445" s="416"/>
      <c r="H2445" s="12" t="str">
        <f t="shared" si="311"/>
        <v>m3</v>
      </c>
      <c r="I2445" s="712">
        <f t="shared" ref="I2445:I2446" si="314">IF(A2445="","",VLOOKUP(A2445,AA_Materiales,8,FALSE))</f>
        <v>25094.779677772727</v>
      </c>
      <c r="J2445" s="416"/>
      <c r="K2445" s="715">
        <f>+'18'!$F$487</f>
        <v>3.1957650000000002</v>
      </c>
      <c r="L2445" s="416"/>
      <c r="M2445" s="712">
        <f t="shared" ref="M2445" si="315">IF(A2445="","",I2445*K2445)</f>
        <v>80197.018576937364</v>
      </c>
      <c r="N2445" s="416"/>
    </row>
    <row r="2446" spans="1:16" ht="12.75" customHeight="1" x14ac:dyDescent="0.2">
      <c r="A2446" s="714" t="s">
        <v>538</v>
      </c>
      <c r="B2446" s="418"/>
      <c r="C2446" s="418"/>
      <c r="D2446" s="418"/>
      <c r="E2446" s="418"/>
      <c r="F2446" s="418"/>
      <c r="G2446" s="416"/>
      <c r="H2446" s="12" t="str">
        <f t="shared" si="311"/>
        <v>m3</v>
      </c>
      <c r="I2446" s="712">
        <f t="shared" si="314"/>
        <v>17142.28</v>
      </c>
      <c r="J2446" s="416"/>
      <c r="K2446" s="715">
        <f>+'18'!$F$498</f>
        <v>6.0865500000000008</v>
      </c>
      <c r="L2446" s="416"/>
      <c r="M2446" s="712">
        <f t="shared" si="313"/>
        <v>104337.34433400001</v>
      </c>
      <c r="N2446" s="416"/>
    </row>
    <row r="2447" spans="1:16" ht="12.75" customHeight="1" x14ac:dyDescent="0.2">
      <c r="A2447" s="714" t="s">
        <v>522</v>
      </c>
      <c r="B2447" s="418"/>
      <c r="C2447" s="418"/>
      <c r="D2447" s="418"/>
      <c r="E2447" s="418"/>
      <c r="F2447" s="418"/>
      <c r="G2447" s="416"/>
      <c r="H2447" s="12" t="str">
        <f t="shared" si="311"/>
        <v>m3</v>
      </c>
      <c r="I2447" s="712">
        <f t="shared" si="312"/>
        <v>568340.14513763634</v>
      </c>
      <c r="J2447" s="416"/>
      <c r="K2447" s="715">
        <f>+'18'!$F$509</f>
        <v>0.26827499999999999</v>
      </c>
      <c r="L2447" s="416"/>
      <c r="M2447" s="712">
        <f t="shared" si="313"/>
        <v>152471.45243679939</v>
      </c>
      <c r="N2447" s="416"/>
    </row>
    <row r="2448" spans="1:16" ht="12.75" customHeight="1" x14ac:dyDescent="0.2">
      <c r="A2448" s="714" t="s">
        <v>540</v>
      </c>
      <c r="B2448" s="418"/>
      <c r="C2448" s="418"/>
      <c r="D2448" s="418"/>
      <c r="E2448" s="418"/>
      <c r="F2448" s="418"/>
      <c r="G2448" s="416"/>
      <c r="H2448" s="12" t="str">
        <f t="shared" si="311"/>
        <v>m3</v>
      </c>
      <c r="I2448" s="712">
        <f t="shared" si="312"/>
        <v>779466.77586727508</v>
      </c>
      <c r="J2448" s="416"/>
      <c r="K2448" s="715">
        <f>+'18'!$F$520</f>
        <v>1.341375</v>
      </c>
      <c r="L2448" s="416"/>
      <c r="M2448" s="712">
        <f t="shared" si="313"/>
        <v>1045557.2464789661</v>
      </c>
      <c r="N2448" s="416"/>
    </row>
    <row r="2449" spans="1:14" ht="12.75" customHeight="1" x14ac:dyDescent="0.2">
      <c r="A2449" s="714" t="s">
        <v>543</v>
      </c>
      <c r="B2449" s="418"/>
      <c r="C2449" s="418"/>
      <c r="D2449" s="418"/>
      <c r="E2449" s="418"/>
      <c r="F2449" s="418"/>
      <c r="G2449" s="416"/>
      <c r="H2449" s="12" t="str">
        <f t="shared" si="311"/>
        <v>m3</v>
      </c>
      <c r="I2449" s="712">
        <f t="shared" si="312"/>
        <v>1521992.9025899819</v>
      </c>
      <c r="J2449" s="416"/>
      <c r="K2449" s="715">
        <f>+'18'!$F$531</f>
        <v>2.0434999999999999</v>
      </c>
      <c r="L2449" s="416"/>
      <c r="M2449" s="712">
        <f t="shared" si="313"/>
        <v>3110192.4964426276</v>
      </c>
      <c r="N2449" s="416"/>
    </row>
    <row r="2450" spans="1:14" ht="12.75" customHeight="1" x14ac:dyDescent="0.2">
      <c r="A2450" s="714" t="s">
        <v>541</v>
      </c>
      <c r="B2450" s="418"/>
      <c r="C2450" s="418"/>
      <c r="D2450" s="418"/>
      <c r="E2450" s="418"/>
      <c r="F2450" s="418"/>
      <c r="G2450" s="416"/>
      <c r="H2450" s="12" t="str">
        <f t="shared" si="311"/>
        <v>m3</v>
      </c>
      <c r="I2450" s="712">
        <f t="shared" si="312"/>
        <v>1069692.5030110567</v>
      </c>
      <c r="J2450" s="416"/>
      <c r="K2450" s="715">
        <f>+'18'!$F$542</f>
        <v>0.25109999999999999</v>
      </c>
      <c r="L2450" s="416"/>
      <c r="M2450" s="712">
        <f t="shared" si="313"/>
        <v>268599.78750607633</v>
      </c>
      <c r="N2450" s="416"/>
    </row>
    <row r="2451" spans="1:14" ht="12.75" customHeight="1" x14ac:dyDescent="0.2">
      <c r="A2451" s="714" t="s">
        <v>523</v>
      </c>
      <c r="B2451" s="418"/>
      <c r="C2451" s="418"/>
      <c r="D2451" s="418"/>
      <c r="E2451" s="418"/>
      <c r="F2451" s="418"/>
      <c r="G2451" s="416"/>
      <c r="H2451" s="12" t="str">
        <f t="shared" si="311"/>
        <v>Kg</v>
      </c>
      <c r="I2451" s="712">
        <f t="shared" si="312"/>
        <v>7128.02232826</v>
      </c>
      <c r="J2451" s="416"/>
      <c r="K2451" s="715">
        <f>+'18'!$F$553</f>
        <v>176.62</v>
      </c>
      <c r="L2451" s="416"/>
      <c r="M2451" s="712">
        <f t="shared" si="313"/>
        <v>1258951.3036172811</v>
      </c>
      <c r="N2451" s="416"/>
    </row>
    <row r="2452" spans="1:14" ht="12.75" customHeight="1" x14ac:dyDescent="0.2">
      <c r="A2452" s="801" t="s">
        <v>1800</v>
      </c>
      <c r="B2452" s="418"/>
      <c r="C2452" s="418"/>
      <c r="D2452" s="418"/>
      <c r="E2452" s="418"/>
      <c r="F2452" s="418"/>
      <c r="G2452" s="416"/>
      <c r="H2452" s="12" t="str">
        <f t="shared" si="311"/>
        <v>Unidad</v>
      </c>
      <c r="I2452" s="712">
        <f t="shared" si="312"/>
        <v>1194760</v>
      </c>
      <c r="J2452" s="416"/>
      <c r="K2452" s="715">
        <f>+'18'!$F$575</f>
        <v>1</v>
      </c>
      <c r="L2452" s="416"/>
      <c r="M2452" s="712">
        <f t="shared" si="313"/>
        <v>1194760</v>
      </c>
      <c r="N2452" s="416"/>
    </row>
    <row r="2453" spans="1:14" ht="12.75" customHeight="1" x14ac:dyDescent="0.2">
      <c r="A2453" s="801" t="s">
        <v>535</v>
      </c>
      <c r="B2453" s="418"/>
      <c r="C2453" s="418"/>
      <c r="D2453" s="418"/>
      <c r="E2453" s="418"/>
      <c r="F2453" s="418"/>
      <c r="G2453" s="416"/>
      <c r="H2453" s="12" t="str">
        <f t="shared" si="311"/>
        <v>ml</v>
      </c>
      <c r="I2453" s="712">
        <f t="shared" si="312"/>
        <v>64981</v>
      </c>
      <c r="J2453" s="416"/>
      <c r="K2453" s="715">
        <f>+'18'!$F$586</f>
        <v>1.05</v>
      </c>
      <c r="L2453" s="416"/>
      <c r="M2453" s="712">
        <f t="shared" si="313"/>
        <v>68230.05</v>
      </c>
      <c r="N2453" s="416"/>
    </row>
    <row r="2454" spans="1:14" ht="12.75" customHeight="1" x14ac:dyDescent="0.2">
      <c r="A2454" s="801" t="s">
        <v>1801</v>
      </c>
      <c r="B2454" s="418"/>
      <c r="C2454" s="418"/>
      <c r="D2454" s="418"/>
      <c r="E2454" s="418"/>
      <c r="F2454" s="418"/>
      <c r="G2454" s="416"/>
      <c r="H2454" s="12" t="str">
        <f t="shared" si="311"/>
        <v>Unidad</v>
      </c>
      <c r="I2454" s="712">
        <f t="shared" si="312"/>
        <v>205870</v>
      </c>
      <c r="J2454" s="416"/>
      <c r="K2454" s="715">
        <f>+'18'!$F$564</f>
        <v>2</v>
      </c>
      <c r="L2454" s="416"/>
      <c r="M2454" s="712">
        <f t="shared" si="313"/>
        <v>411740</v>
      </c>
      <c r="N2454" s="416"/>
    </row>
    <row r="2455" spans="1:14" ht="12.75" customHeight="1" x14ac:dyDescent="0.2">
      <c r="A2455" s="714"/>
      <c r="B2455" s="418"/>
      <c r="C2455" s="418"/>
      <c r="D2455" s="418"/>
      <c r="E2455" s="418"/>
      <c r="F2455" s="418"/>
      <c r="G2455" s="416"/>
      <c r="H2455" s="12" t="str">
        <f t="shared" si="311"/>
        <v/>
      </c>
      <c r="I2455" s="712" t="str">
        <f t="shared" si="312"/>
        <v/>
      </c>
      <c r="J2455" s="416"/>
      <c r="K2455" s="715"/>
      <c r="L2455" s="416"/>
      <c r="M2455" s="712"/>
      <c r="N2455" s="416"/>
    </row>
    <row r="2456" spans="1:14" ht="12.75" customHeight="1" x14ac:dyDescent="0.2">
      <c r="A2456" s="714"/>
      <c r="B2456" s="418"/>
      <c r="C2456" s="418"/>
      <c r="D2456" s="418"/>
      <c r="E2456" s="418"/>
      <c r="F2456" s="418"/>
      <c r="G2456" s="416"/>
      <c r="H2456" s="12" t="str">
        <f t="shared" si="311"/>
        <v/>
      </c>
      <c r="I2456" s="712" t="str">
        <f t="shared" si="312"/>
        <v/>
      </c>
      <c r="J2456" s="416"/>
      <c r="K2456" s="715"/>
      <c r="L2456" s="416"/>
      <c r="M2456" s="712" t="str">
        <f>IF(A2456="","",I2456*K2456)</f>
        <v/>
      </c>
      <c r="N2456" s="416"/>
    </row>
    <row r="2457" spans="1:14" ht="12.75" customHeight="1" x14ac:dyDescent="0.2">
      <c r="A2457" s="714"/>
      <c r="B2457" s="418"/>
      <c r="C2457" s="418"/>
      <c r="D2457" s="418"/>
      <c r="E2457" s="418"/>
      <c r="F2457" s="418"/>
      <c r="G2457" s="416"/>
      <c r="H2457" s="12" t="str">
        <f t="shared" si="311"/>
        <v/>
      </c>
      <c r="I2457" s="712" t="str">
        <f t="shared" si="312"/>
        <v/>
      </c>
      <c r="J2457" s="416"/>
      <c r="K2457" s="715"/>
      <c r="L2457" s="416"/>
      <c r="M2457" s="712"/>
      <c r="N2457" s="416"/>
    </row>
    <row r="2458" spans="1:14" ht="12.75" customHeight="1" x14ac:dyDescent="0.2">
      <c r="A2458" s="714"/>
      <c r="B2458" s="418"/>
      <c r="C2458" s="418"/>
      <c r="D2458" s="418"/>
      <c r="E2458" s="418"/>
      <c r="F2458" s="418"/>
      <c r="G2458" s="416"/>
      <c r="H2458" s="12" t="str">
        <f t="shared" si="311"/>
        <v/>
      </c>
      <c r="I2458" s="712" t="str">
        <f t="shared" si="312"/>
        <v/>
      </c>
      <c r="J2458" s="416"/>
      <c r="K2458" s="715"/>
      <c r="L2458" s="416"/>
      <c r="M2458" s="712" t="str">
        <f>IF(A2458="","",I2458*K2458)</f>
        <v/>
      </c>
      <c r="N2458" s="416"/>
    </row>
    <row r="2459" spans="1:14" ht="12.75" customHeight="1" x14ac:dyDescent="0.25">
      <c r="A2459" s="5"/>
      <c r="B2459" s="5"/>
      <c r="C2459" s="5"/>
      <c r="D2459" s="5"/>
      <c r="E2459" s="5"/>
      <c r="F2459" s="5"/>
      <c r="G2459" s="5"/>
      <c r="H2459" s="5"/>
      <c r="I2459" s="5"/>
      <c r="J2459" s="5"/>
      <c r="K2459" s="713" t="s">
        <v>261</v>
      </c>
      <c r="L2459" s="416"/>
      <c r="M2459" s="712">
        <f>SUM(M2442:N2458)</f>
        <v>8513884.8743671738</v>
      </c>
      <c r="N2459" s="416"/>
    </row>
    <row r="2460" spans="1:14" ht="12.75" customHeight="1" x14ac:dyDescent="0.25">
      <c r="A2460" s="5"/>
      <c r="B2460" s="5"/>
      <c r="C2460" s="5"/>
      <c r="D2460" s="5"/>
      <c r="E2460" s="5"/>
      <c r="F2460" s="5"/>
      <c r="G2460" s="5"/>
      <c r="H2460" s="5"/>
      <c r="I2460" s="5"/>
      <c r="J2460" s="5"/>
      <c r="K2460" s="5"/>
      <c r="L2460" s="5"/>
      <c r="M2460" s="5"/>
      <c r="N2460" s="5"/>
    </row>
    <row r="2461" spans="1:14" ht="12.75" customHeight="1" x14ac:dyDescent="0.2">
      <c r="A2461" s="716" t="s">
        <v>410</v>
      </c>
      <c r="B2461" s="418"/>
      <c r="C2461" s="418"/>
      <c r="D2461" s="418"/>
      <c r="E2461" s="418"/>
      <c r="F2461" s="418"/>
      <c r="G2461" s="418"/>
      <c r="H2461" s="418"/>
      <c r="I2461" s="418"/>
      <c r="J2461" s="418"/>
      <c r="K2461" s="418"/>
      <c r="L2461" s="418"/>
      <c r="M2461" s="418"/>
      <c r="N2461" s="416"/>
    </row>
    <row r="2462" spans="1:14" ht="12.75" customHeight="1" x14ac:dyDescent="0.2">
      <c r="A2462" s="713" t="s">
        <v>39</v>
      </c>
      <c r="B2462" s="418"/>
      <c r="C2462" s="418"/>
      <c r="D2462" s="418"/>
      <c r="E2462" s="418"/>
      <c r="F2462" s="418"/>
      <c r="G2462" s="416"/>
      <c r="H2462" s="61" t="s">
        <v>40</v>
      </c>
      <c r="I2462" s="717" t="s">
        <v>404</v>
      </c>
      <c r="J2462" s="416"/>
      <c r="K2462" s="717" t="s">
        <v>184</v>
      </c>
      <c r="L2462" s="416"/>
      <c r="M2462" s="717" t="s">
        <v>405</v>
      </c>
      <c r="N2462" s="416"/>
    </row>
    <row r="2463" spans="1:14" ht="12.75" customHeight="1" x14ac:dyDescent="0.2">
      <c r="A2463" s="714" t="s">
        <v>411</v>
      </c>
      <c r="B2463" s="418"/>
      <c r="C2463" s="418"/>
      <c r="D2463" s="418"/>
      <c r="E2463" s="418"/>
      <c r="F2463" s="418"/>
      <c r="G2463" s="416"/>
      <c r="H2463" s="12" t="str">
        <f>IF(A2463="","",VLOOKUP(A2463,AA_Equipos,7,FALSE))</f>
        <v>% M.O.</v>
      </c>
      <c r="I2463" s="712">
        <f>M2486</f>
        <v>915522.01919999998</v>
      </c>
      <c r="J2463" s="416"/>
      <c r="K2463" s="722">
        <v>0.03</v>
      </c>
      <c r="L2463" s="416"/>
      <c r="M2463" s="712">
        <f t="shared" ref="M2463:M2467" si="316">IF(A2463="","",I2463*K2463)</f>
        <v>27465.660575999998</v>
      </c>
      <c r="N2463" s="416"/>
    </row>
    <row r="2464" spans="1:14" ht="12.75" customHeight="1" x14ac:dyDescent="0.2">
      <c r="A2464" s="719"/>
      <c r="B2464" s="418"/>
      <c r="C2464" s="418"/>
      <c r="D2464" s="418"/>
      <c r="E2464" s="418"/>
      <c r="F2464" s="418"/>
      <c r="G2464" s="416"/>
      <c r="H2464" s="12" t="str">
        <f>IF(A2464="","",VLOOKUP(A2464,AA_Equipos,7,FALSE))</f>
        <v/>
      </c>
      <c r="I2464" s="712" t="str">
        <f>IF(A2464="","",VLOOKUP(A2464,AA_Equipos,8,FALSE))</f>
        <v/>
      </c>
      <c r="J2464" s="416"/>
      <c r="K2464" s="723"/>
      <c r="L2464" s="416"/>
      <c r="M2464" s="712" t="str">
        <f t="shared" si="316"/>
        <v/>
      </c>
      <c r="N2464" s="416"/>
    </row>
    <row r="2465" spans="1:14" ht="12.75" customHeight="1" x14ac:dyDescent="0.2">
      <c r="A2465" s="714"/>
      <c r="B2465" s="418"/>
      <c r="C2465" s="418"/>
      <c r="D2465" s="418"/>
      <c r="E2465" s="418"/>
      <c r="F2465" s="418"/>
      <c r="G2465" s="416"/>
      <c r="H2465" s="12" t="str">
        <f>IF(A2465="","",VLOOKUP(A2465,AA_Equipos,7,FALSE))</f>
        <v/>
      </c>
      <c r="I2465" s="712" t="str">
        <f>IF(A2465="","",VLOOKUP(A2465,AA_Equipos,8,FALSE))</f>
        <v/>
      </c>
      <c r="J2465" s="416"/>
      <c r="K2465" s="715"/>
      <c r="L2465" s="416"/>
      <c r="M2465" s="712" t="str">
        <f t="shared" si="316"/>
        <v/>
      </c>
      <c r="N2465" s="416"/>
    </row>
    <row r="2466" spans="1:14" ht="12.75" customHeight="1" x14ac:dyDescent="0.2">
      <c r="A2466" s="714"/>
      <c r="B2466" s="418"/>
      <c r="C2466" s="418"/>
      <c r="D2466" s="418"/>
      <c r="E2466" s="418"/>
      <c r="F2466" s="418"/>
      <c r="G2466" s="416"/>
      <c r="H2466" s="12" t="str">
        <f>IF(A2466="","",VLOOKUP(A2466,AA_Equipos,7,FALSE))</f>
        <v/>
      </c>
      <c r="I2466" s="712" t="str">
        <f>IF(A2466="","",VLOOKUP(A2466,AA_Equipos,8,FALSE))</f>
        <v/>
      </c>
      <c r="J2466" s="416"/>
      <c r="K2466" s="715"/>
      <c r="L2466" s="416"/>
      <c r="M2466" s="712" t="str">
        <f t="shared" si="316"/>
        <v/>
      </c>
      <c r="N2466" s="416"/>
    </row>
    <row r="2467" spans="1:14" ht="12.75" customHeight="1" x14ac:dyDescent="0.2">
      <c r="A2467" s="714"/>
      <c r="B2467" s="418"/>
      <c r="C2467" s="418"/>
      <c r="D2467" s="418"/>
      <c r="E2467" s="418"/>
      <c r="F2467" s="418"/>
      <c r="G2467" s="416"/>
      <c r="H2467" s="12" t="str">
        <f>IF(A2467="","",VLOOKUP(A2467,AA_Equipos,7,FALSE))</f>
        <v/>
      </c>
      <c r="I2467" s="712" t="str">
        <f>IF(A2467="","",VLOOKUP(A2467,AA_Equipos,8,FALSE))</f>
        <v/>
      </c>
      <c r="J2467" s="416"/>
      <c r="K2467" s="715"/>
      <c r="L2467" s="416"/>
      <c r="M2467" s="712" t="str">
        <f t="shared" si="316"/>
        <v/>
      </c>
      <c r="N2467" s="416"/>
    </row>
    <row r="2468" spans="1:14" ht="12.75" customHeight="1" x14ac:dyDescent="0.25">
      <c r="A2468" s="5"/>
      <c r="B2468" s="5"/>
      <c r="C2468" s="5"/>
      <c r="D2468" s="5"/>
      <c r="E2468" s="5"/>
      <c r="F2468" s="5"/>
      <c r="G2468" s="5"/>
      <c r="H2468" s="5"/>
      <c r="I2468" s="5"/>
      <c r="J2468" s="5"/>
      <c r="K2468" s="713" t="s">
        <v>261</v>
      </c>
      <c r="L2468" s="416"/>
      <c r="M2468" s="712">
        <f>SUM(M2463:N2467)</f>
        <v>27465.660575999998</v>
      </c>
      <c r="N2468" s="416"/>
    </row>
    <row r="2469" spans="1:14" ht="12.75" customHeight="1" x14ac:dyDescent="0.25">
      <c r="A2469" s="5"/>
      <c r="B2469" s="5"/>
      <c r="C2469" s="5"/>
      <c r="D2469" s="5"/>
      <c r="E2469" s="5"/>
      <c r="F2469" s="5"/>
      <c r="G2469" s="5"/>
      <c r="H2469" s="5"/>
      <c r="I2469" s="5"/>
      <c r="J2469" s="5"/>
      <c r="K2469" s="5"/>
      <c r="L2469" s="5"/>
      <c r="M2469" s="5"/>
      <c r="N2469" s="5"/>
    </row>
    <row r="2470" spans="1:14" ht="12.75" customHeight="1" x14ac:dyDescent="0.2">
      <c r="A2470" s="716" t="s">
        <v>413</v>
      </c>
      <c r="B2470" s="418"/>
      <c r="C2470" s="418"/>
      <c r="D2470" s="418"/>
      <c r="E2470" s="418"/>
      <c r="F2470" s="418"/>
      <c r="G2470" s="418"/>
      <c r="H2470" s="418"/>
      <c r="I2470" s="418"/>
      <c r="J2470" s="418"/>
      <c r="K2470" s="418"/>
      <c r="L2470" s="418"/>
      <c r="M2470" s="418"/>
      <c r="N2470" s="416"/>
    </row>
    <row r="2471" spans="1:14" ht="12.75" customHeight="1" x14ac:dyDescent="0.2">
      <c r="A2471" s="713" t="s">
        <v>39</v>
      </c>
      <c r="B2471" s="418"/>
      <c r="C2471" s="418"/>
      <c r="D2471" s="418"/>
      <c r="E2471" s="418"/>
      <c r="F2471" s="418"/>
      <c r="G2471" s="416"/>
      <c r="H2471" s="61" t="s">
        <v>40</v>
      </c>
      <c r="I2471" s="717" t="s">
        <v>404</v>
      </c>
      <c r="J2471" s="416"/>
      <c r="K2471" s="717" t="s">
        <v>184</v>
      </c>
      <c r="L2471" s="416"/>
      <c r="M2471" s="717" t="s">
        <v>405</v>
      </c>
      <c r="N2471" s="416"/>
    </row>
    <row r="2472" spans="1:14" ht="12.75" customHeight="1" x14ac:dyDescent="0.2">
      <c r="A2472" s="719" t="s">
        <v>443</v>
      </c>
      <c r="B2472" s="418"/>
      <c r="C2472" s="418"/>
      <c r="D2472" s="418"/>
      <c r="E2472" s="418"/>
      <c r="F2472" s="418"/>
      <c r="G2472" s="416"/>
      <c r="H2472" s="12" t="s">
        <v>13</v>
      </c>
      <c r="I2472" s="712">
        <f>+SUM(M2452:N2454)</f>
        <v>1674730.05</v>
      </c>
      <c r="J2472" s="416"/>
      <c r="K2472" s="722">
        <v>0.03</v>
      </c>
      <c r="L2472" s="416"/>
      <c r="M2472" s="712">
        <f t="shared" ref="M2472:M2476" si="317">IF(A2472="","",I2472*K2472)</f>
        <v>50241.9015</v>
      </c>
      <c r="N2472" s="416"/>
    </row>
    <row r="2473" spans="1:14" ht="12.75" customHeight="1" x14ac:dyDescent="0.2">
      <c r="A2473" s="719"/>
      <c r="B2473" s="418"/>
      <c r="C2473" s="418"/>
      <c r="D2473" s="418"/>
      <c r="E2473" s="418"/>
      <c r="F2473" s="418"/>
      <c r="G2473" s="416"/>
      <c r="H2473" s="12"/>
      <c r="I2473" s="712"/>
      <c r="J2473" s="416"/>
      <c r="K2473" s="722"/>
      <c r="L2473" s="416"/>
      <c r="M2473" s="712" t="str">
        <f t="shared" si="317"/>
        <v/>
      </c>
      <c r="N2473" s="416"/>
    </row>
    <row r="2474" spans="1:14" ht="12.75" customHeight="1" x14ac:dyDescent="0.2">
      <c r="A2474" s="714"/>
      <c r="B2474" s="418"/>
      <c r="C2474" s="418"/>
      <c r="D2474" s="418"/>
      <c r="E2474" s="418"/>
      <c r="F2474" s="418"/>
      <c r="G2474" s="416"/>
      <c r="H2474" s="12"/>
      <c r="I2474" s="712"/>
      <c r="J2474" s="416"/>
      <c r="K2474" s="715"/>
      <c r="L2474" s="416"/>
      <c r="M2474" s="712" t="str">
        <f t="shared" si="317"/>
        <v/>
      </c>
      <c r="N2474" s="416"/>
    </row>
    <row r="2475" spans="1:14" ht="12.75" customHeight="1" x14ac:dyDescent="0.2">
      <c r="A2475" s="714"/>
      <c r="B2475" s="418"/>
      <c r="C2475" s="418"/>
      <c r="D2475" s="418"/>
      <c r="E2475" s="418"/>
      <c r="F2475" s="418"/>
      <c r="G2475" s="416"/>
      <c r="H2475" s="12"/>
      <c r="I2475" s="712"/>
      <c r="J2475" s="416"/>
      <c r="K2475" s="715"/>
      <c r="L2475" s="416"/>
      <c r="M2475" s="712" t="str">
        <f t="shared" si="317"/>
        <v/>
      </c>
      <c r="N2475" s="416"/>
    </row>
    <row r="2476" spans="1:14" ht="12.75" customHeight="1" x14ac:dyDescent="0.2">
      <c r="A2476" s="714"/>
      <c r="B2476" s="418"/>
      <c r="C2476" s="418"/>
      <c r="D2476" s="418"/>
      <c r="E2476" s="418"/>
      <c r="F2476" s="418"/>
      <c r="G2476" s="416"/>
      <c r="H2476" s="12"/>
      <c r="I2476" s="712"/>
      <c r="J2476" s="416"/>
      <c r="K2476" s="715"/>
      <c r="L2476" s="416"/>
      <c r="M2476" s="712" t="str">
        <f t="shared" si="317"/>
        <v/>
      </c>
      <c r="N2476" s="416"/>
    </row>
    <row r="2477" spans="1:14" ht="12.75" customHeight="1" x14ac:dyDescent="0.25">
      <c r="A2477" s="5"/>
      <c r="B2477" s="5"/>
      <c r="C2477" s="5"/>
      <c r="D2477" s="5"/>
      <c r="E2477" s="5"/>
      <c r="F2477" s="5"/>
      <c r="G2477" s="5"/>
      <c r="H2477" s="5"/>
      <c r="I2477" s="5"/>
      <c r="J2477" s="5"/>
      <c r="K2477" s="713" t="s">
        <v>261</v>
      </c>
      <c r="L2477" s="416"/>
      <c r="M2477" s="712">
        <f>SUM(M2472:N2476)</f>
        <v>50241.9015</v>
      </c>
      <c r="N2477" s="416"/>
    </row>
    <row r="2478" spans="1:14" ht="12.75" customHeight="1" x14ac:dyDescent="0.25">
      <c r="A2478" s="5"/>
      <c r="B2478" s="5"/>
      <c r="C2478" s="5"/>
      <c r="D2478" s="5"/>
      <c r="E2478" s="5"/>
      <c r="F2478" s="5"/>
      <c r="G2478" s="5"/>
      <c r="H2478" s="5"/>
      <c r="I2478" s="5"/>
      <c r="J2478" s="5"/>
      <c r="K2478" s="5"/>
      <c r="L2478" s="5"/>
      <c r="M2478" s="5"/>
      <c r="N2478" s="5"/>
    </row>
    <row r="2479" spans="1:14" ht="12.75" customHeight="1" x14ac:dyDescent="0.2">
      <c r="A2479" s="716" t="s">
        <v>415</v>
      </c>
      <c r="B2479" s="418"/>
      <c r="C2479" s="418"/>
      <c r="D2479" s="418"/>
      <c r="E2479" s="418"/>
      <c r="F2479" s="418"/>
      <c r="G2479" s="418"/>
      <c r="H2479" s="418"/>
      <c r="I2479" s="418"/>
      <c r="J2479" s="418"/>
      <c r="K2479" s="418"/>
      <c r="L2479" s="418"/>
      <c r="M2479" s="418"/>
      <c r="N2479" s="416"/>
    </row>
    <row r="2480" spans="1:14" ht="12.75" customHeight="1" x14ac:dyDescent="0.2">
      <c r="A2480" s="713" t="s">
        <v>39</v>
      </c>
      <c r="B2480" s="418"/>
      <c r="C2480" s="418"/>
      <c r="D2480" s="418"/>
      <c r="E2480" s="418"/>
      <c r="F2480" s="418"/>
      <c r="G2480" s="416"/>
      <c r="H2480" s="61" t="s">
        <v>40</v>
      </c>
      <c r="I2480" s="717" t="s">
        <v>404</v>
      </c>
      <c r="J2480" s="416"/>
      <c r="K2480" s="64" t="s">
        <v>253</v>
      </c>
      <c r="L2480" s="65" t="s">
        <v>416</v>
      </c>
      <c r="M2480" s="717" t="s">
        <v>405</v>
      </c>
      <c r="N2480" s="416"/>
    </row>
    <row r="2481" spans="1:16" ht="12.75" customHeight="1" x14ac:dyDescent="0.25">
      <c r="A2481" s="711" t="s">
        <v>597</v>
      </c>
      <c r="B2481" s="418"/>
      <c r="C2481" s="418"/>
      <c r="D2481" s="418"/>
      <c r="E2481" s="418"/>
      <c r="F2481" s="418"/>
      <c r="G2481" s="416"/>
      <c r="H2481" s="12" t="str">
        <f>IF(A2481="","",VLOOKUP(A2481,AA_Cuadrillas,4,FALSE))</f>
        <v>Cuadrilla</v>
      </c>
      <c r="I2481" s="712">
        <f>IF(A2481="","",VLOOKUP(A2481,AA_Cuadrillas,5,FALSE))</f>
        <v>484416</v>
      </c>
      <c r="J2481" s="416"/>
      <c r="K2481" s="3">
        <f>IF(A2481="","",'04'!$I$2)</f>
        <v>1.88995</v>
      </c>
      <c r="L2481" s="66">
        <v>1</v>
      </c>
      <c r="M2481" s="712">
        <f>IF(A2481="","",I2481*K2481*L2481)</f>
        <v>915522.01919999998</v>
      </c>
      <c r="N2481" s="416"/>
    </row>
    <row r="2482" spans="1:16" ht="12.75" customHeight="1" x14ac:dyDescent="0.25">
      <c r="A2482" s="711"/>
      <c r="B2482" s="418"/>
      <c r="C2482" s="418"/>
      <c r="D2482" s="418"/>
      <c r="E2482" s="418"/>
      <c r="F2482" s="418"/>
      <c r="G2482" s="416"/>
      <c r="H2482" s="12" t="str">
        <f>IF(A2482="","",VLOOKUP(A2482,AA_Cuadrillas,4,FALSE))</f>
        <v/>
      </c>
      <c r="I2482" s="712" t="str">
        <f>IF(A2482="","",VLOOKUP(A2482,AA_Cuadrillas,5,FALSE))</f>
        <v/>
      </c>
      <c r="J2482" s="416"/>
      <c r="K2482" s="3" t="str">
        <f>IF(A2482="","",'04'!$I$2)</f>
        <v/>
      </c>
      <c r="L2482" s="3"/>
      <c r="M2482" s="712" t="str">
        <f>IF(A2482="","",I2482*K2482*L2482)</f>
        <v/>
      </c>
      <c r="N2482" s="416"/>
    </row>
    <row r="2483" spans="1:16" ht="12.75" customHeight="1" x14ac:dyDescent="0.25">
      <c r="A2483" s="711"/>
      <c r="B2483" s="418"/>
      <c r="C2483" s="418"/>
      <c r="D2483" s="418"/>
      <c r="E2483" s="418"/>
      <c r="F2483" s="418"/>
      <c r="G2483" s="416"/>
      <c r="H2483" s="12" t="str">
        <f>IF(A2483="","",VLOOKUP(A2483,AA_Cuadrillas,4,FALSE))</f>
        <v/>
      </c>
      <c r="I2483" s="712" t="str">
        <f>IF(A2483="","",VLOOKUP(A2483,AA_Cuadrillas,5,FALSE))</f>
        <v/>
      </c>
      <c r="J2483" s="416"/>
      <c r="K2483" s="3" t="str">
        <f>IF(A2483="","",'04'!$I$2)</f>
        <v/>
      </c>
      <c r="L2483" s="13"/>
      <c r="M2483" s="712" t="str">
        <f t="shared" ref="M2483:M2485" si="318">IF(A2483="","",I2483*K2483*L2483)</f>
        <v/>
      </c>
      <c r="N2483" s="416"/>
    </row>
    <row r="2484" spans="1:16" ht="12.75" customHeight="1" x14ac:dyDescent="0.25">
      <c r="A2484" s="711"/>
      <c r="B2484" s="418"/>
      <c r="C2484" s="418"/>
      <c r="D2484" s="418"/>
      <c r="E2484" s="418"/>
      <c r="F2484" s="418"/>
      <c r="G2484" s="416"/>
      <c r="H2484" s="12" t="str">
        <f>IF(A2484="","",VLOOKUP(A2484,AA_Cuadrillas,4,FALSE))</f>
        <v/>
      </c>
      <c r="I2484" s="712" t="str">
        <f>IF(A2484="","",VLOOKUP(A2484,AA_Cuadrillas,5,FALSE))</f>
        <v/>
      </c>
      <c r="J2484" s="416"/>
      <c r="K2484" s="3" t="str">
        <f>IF(A2484="","",'04'!$I$2)</f>
        <v/>
      </c>
      <c r="L2484" s="13"/>
      <c r="M2484" s="712" t="str">
        <f t="shared" si="318"/>
        <v/>
      </c>
      <c r="N2484" s="416"/>
    </row>
    <row r="2485" spans="1:16" ht="12.75" customHeight="1" x14ac:dyDescent="0.25">
      <c r="A2485" s="711"/>
      <c r="B2485" s="418"/>
      <c r="C2485" s="418"/>
      <c r="D2485" s="418"/>
      <c r="E2485" s="418"/>
      <c r="F2485" s="418"/>
      <c r="G2485" s="416"/>
      <c r="H2485" s="12" t="str">
        <f>IF(A2485="","",VLOOKUP(A2485,AA_Cuadrillas,4,FALSE))</f>
        <v/>
      </c>
      <c r="I2485" s="712" t="str">
        <f>IF(A2485="","",VLOOKUP(A2485,AA_Cuadrillas,5,FALSE))</f>
        <v/>
      </c>
      <c r="J2485" s="416"/>
      <c r="K2485" s="3" t="str">
        <f>IF(A2485="","",'04'!$I$2)</f>
        <v/>
      </c>
      <c r="L2485" s="13"/>
      <c r="M2485" s="712" t="str">
        <f t="shared" si="318"/>
        <v/>
      </c>
      <c r="N2485" s="416"/>
    </row>
    <row r="2486" spans="1:16" ht="12.75" customHeight="1" x14ac:dyDescent="0.25">
      <c r="A2486" s="5"/>
      <c r="B2486" s="5"/>
      <c r="C2486" s="5"/>
      <c r="D2486" s="5"/>
      <c r="E2486" s="5"/>
      <c r="F2486" s="5"/>
      <c r="G2486" s="5"/>
      <c r="H2486" s="5"/>
      <c r="I2486" s="5"/>
      <c r="J2486" s="5"/>
      <c r="K2486" s="713" t="s">
        <v>261</v>
      </c>
      <c r="L2486" s="416"/>
      <c r="M2486" s="712">
        <f>SUM(M2481:N2485)</f>
        <v>915522.01919999998</v>
      </c>
      <c r="N2486" s="416"/>
    </row>
    <row r="2488" spans="1:16" ht="12.75" customHeight="1" x14ac:dyDescent="0.2">
      <c r="A2488" s="718" t="s">
        <v>1835</v>
      </c>
      <c r="B2488" s="498"/>
      <c r="C2488" s="498"/>
      <c r="D2488" s="498"/>
      <c r="E2488" s="498"/>
      <c r="F2488" s="498"/>
      <c r="G2488" s="498"/>
      <c r="H2488" s="498"/>
      <c r="I2488" s="498"/>
      <c r="J2488" s="498"/>
      <c r="K2488" s="498"/>
      <c r="L2488" s="498"/>
      <c r="M2488" s="498"/>
      <c r="N2488" s="499"/>
      <c r="O2488" s="272"/>
      <c r="P2488" s="9"/>
    </row>
    <row r="2489" spans="1:16" ht="12.75" customHeight="1" x14ac:dyDescent="0.2">
      <c r="A2489" s="503"/>
      <c r="B2489" s="504"/>
      <c r="C2489" s="504"/>
      <c r="D2489" s="504"/>
      <c r="E2489" s="504"/>
      <c r="F2489" s="504"/>
      <c r="G2489" s="504"/>
      <c r="H2489" s="504"/>
      <c r="I2489" s="504"/>
      <c r="J2489" s="504"/>
      <c r="K2489" s="504"/>
      <c r="L2489" s="504"/>
      <c r="M2489" s="504"/>
      <c r="N2489" s="505"/>
      <c r="O2489" s="272"/>
      <c r="P2489" s="9"/>
    </row>
    <row r="2490" spans="1:16" ht="12.75" customHeight="1" x14ac:dyDescent="0.2">
      <c r="A2490" s="49"/>
      <c r="B2490" s="49"/>
      <c r="C2490" s="49"/>
      <c r="D2490" s="49"/>
      <c r="E2490" s="49"/>
      <c r="F2490" s="49"/>
      <c r="G2490" s="49"/>
      <c r="H2490" s="49"/>
      <c r="I2490" s="49"/>
      <c r="J2490" s="49"/>
      <c r="K2490" s="49"/>
      <c r="L2490" s="49"/>
      <c r="M2490" s="49"/>
      <c r="N2490" s="49"/>
    </row>
    <row r="2491" spans="1:16" ht="12.75" customHeight="1" thickBot="1" x14ac:dyDescent="0.35">
      <c r="A2491" s="51" t="str">
        <f>VLOOKUP(A2488,'10'!$B$9:$N$100,13,FALSE)</f>
        <v>G074</v>
      </c>
      <c r="B2491" s="52" t="str">
        <f>A2488</f>
        <v>SUMINISTRO E INSTALACIÓN DE VÁLVULA DE CORTE TIPO CHOROTE Ø6" EN HIERRO DUCTIL (INCLUYE CAJA EN CONCRETO, REPLANTEO, EXCAVACIÓN, RECEBO, SOLADO, CONCRETO, ACERO, PASAMURO, VÁLVULA, MATERIALES, HERRAMIENTA MENOR Y MANO DE OBRA)</v>
      </c>
      <c r="C2491" s="53" t="s">
        <v>400</v>
      </c>
      <c r="D2491" s="54" t="s">
        <v>475</v>
      </c>
      <c r="E2491" s="55" t="s">
        <v>177</v>
      </c>
      <c r="F2491" s="59">
        <f>H2491+J2491+L2491+N2491</f>
        <v>10731088.042937972</v>
      </c>
      <c r="G2491" s="55" t="s">
        <v>349</v>
      </c>
      <c r="H2491" s="59">
        <f>M2521</f>
        <v>21972.5284608</v>
      </c>
      <c r="I2491" s="55" t="s">
        <v>402</v>
      </c>
      <c r="J2491" s="72">
        <f>M2512</f>
        <v>9885313.1493671723</v>
      </c>
      <c r="K2491" s="55" t="s">
        <v>351</v>
      </c>
      <c r="L2491" s="70">
        <f>M2530</f>
        <v>91384.749750000003</v>
      </c>
      <c r="M2491" s="55" t="s">
        <v>352</v>
      </c>
      <c r="N2491" s="70">
        <f>M2539</f>
        <v>732417.61536000005</v>
      </c>
    </row>
    <row r="2492" spans="1:16" ht="12.75" customHeight="1" thickBot="1" x14ac:dyDescent="0.3">
      <c r="A2492" s="60"/>
      <c r="B2492" s="60"/>
      <c r="C2492" s="60"/>
      <c r="D2492" s="60"/>
      <c r="E2492" s="60"/>
      <c r="F2492" s="60"/>
      <c r="G2492" s="60"/>
      <c r="J2492" s="60"/>
      <c r="K2492" s="60"/>
      <c r="L2492" s="327" t="s">
        <v>1934</v>
      </c>
      <c r="M2492" s="328">
        <f>+F2491*'01'!$O$16</f>
        <v>13889150.492439879</v>
      </c>
      <c r="N2492" s="60"/>
    </row>
    <row r="2493" spans="1:16" ht="12.75" customHeight="1" x14ac:dyDescent="0.2">
      <c r="A2493" s="716" t="s">
        <v>403</v>
      </c>
      <c r="B2493" s="418"/>
      <c r="C2493" s="418"/>
      <c r="D2493" s="418"/>
      <c r="E2493" s="418"/>
      <c r="F2493" s="418"/>
      <c r="G2493" s="418"/>
      <c r="H2493" s="418"/>
      <c r="I2493" s="418"/>
      <c r="J2493" s="418"/>
      <c r="K2493" s="418"/>
      <c r="L2493" s="418"/>
      <c r="M2493" s="418"/>
      <c r="N2493" s="416"/>
    </row>
    <row r="2494" spans="1:16" ht="12.75" customHeight="1" x14ac:dyDescent="0.2">
      <c r="A2494" s="713" t="s">
        <v>39</v>
      </c>
      <c r="B2494" s="418"/>
      <c r="C2494" s="418"/>
      <c r="D2494" s="418"/>
      <c r="E2494" s="418"/>
      <c r="F2494" s="418"/>
      <c r="G2494" s="416"/>
      <c r="H2494" s="61" t="s">
        <v>40</v>
      </c>
      <c r="I2494" s="717" t="s">
        <v>404</v>
      </c>
      <c r="J2494" s="416"/>
      <c r="K2494" s="717" t="s">
        <v>184</v>
      </c>
      <c r="L2494" s="416"/>
      <c r="M2494" s="717" t="s">
        <v>405</v>
      </c>
      <c r="N2494" s="416"/>
    </row>
    <row r="2495" spans="1:16" ht="12.75" customHeight="1" x14ac:dyDescent="0.2">
      <c r="A2495" s="714" t="s">
        <v>519</v>
      </c>
      <c r="B2495" s="418"/>
      <c r="C2495" s="418"/>
      <c r="D2495" s="418"/>
      <c r="E2495" s="418"/>
      <c r="F2495" s="418"/>
      <c r="G2495" s="416"/>
      <c r="H2495" s="12" t="str">
        <f t="shared" ref="H2495:H2511" si="319">IF(A2495="","",VLOOKUP(A2495,AA_Materiales,7,FALSE))</f>
        <v>m2</v>
      </c>
      <c r="I2495" s="712">
        <f t="shared" ref="I2495:I2511" si="320">IF(A2495="","",VLOOKUP(A2495,AA_Materiales,8,FALSE))</f>
        <v>5165.5045752643746</v>
      </c>
      <c r="J2495" s="416"/>
      <c r="K2495" s="715">
        <f>+'18'!$F$454</f>
        <v>5.3654999999999999</v>
      </c>
      <c r="L2495" s="416"/>
      <c r="M2495" s="712">
        <f t="shared" ref="M2495:M2507" si="321">IF(A2495="","",I2495*K2495)</f>
        <v>27715.514798581</v>
      </c>
      <c r="N2495" s="416"/>
    </row>
    <row r="2496" spans="1:16" ht="12.75" customHeight="1" x14ac:dyDescent="0.2">
      <c r="A2496" s="714" t="s">
        <v>520</v>
      </c>
      <c r="B2496" s="418"/>
      <c r="C2496" s="418"/>
      <c r="D2496" s="418"/>
      <c r="E2496" s="418"/>
      <c r="F2496" s="418"/>
      <c r="G2496" s="416"/>
      <c r="H2496" s="12" t="str">
        <f t="shared" si="319"/>
        <v>m3</v>
      </c>
      <c r="I2496" s="712">
        <f t="shared" si="320"/>
        <v>69126.000000000015</v>
      </c>
      <c r="J2496" s="416"/>
      <c r="K2496" s="715">
        <f>+'18'!$F$465</f>
        <v>9.2823150000000005</v>
      </c>
      <c r="L2496" s="416"/>
      <c r="M2496" s="712">
        <f t="shared" si="321"/>
        <v>641649.30669000023</v>
      </c>
      <c r="N2496" s="416"/>
    </row>
    <row r="2497" spans="1:14" ht="12.75" customHeight="1" x14ac:dyDescent="0.2">
      <c r="A2497" s="719" t="s">
        <v>521</v>
      </c>
      <c r="B2497" s="418"/>
      <c r="C2497" s="418"/>
      <c r="D2497" s="418"/>
      <c r="E2497" s="418"/>
      <c r="F2497" s="418"/>
      <c r="G2497" s="416"/>
      <c r="H2497" s="12" t="str">
        <f t="shared" si="319"/>
        <v>m3</v>
      </c>
      <c r="I2497" s="712">
        <f t="shared" si="320"/>
        <v>139300.48782583541</v>
      </c>
      <c r="J2497" s="416"/>
      <c r="K2497" s="715">
        <f>+'18'!$F$476</f>
        <v>1.0730999999999999</v>
      </c>
      <c r="L2497" s="416"/>
      <c r="M2497" s="712">
        <f t="shared" si="321"/>
        <v>149483.35348590396</v>
      </c>
      <c r="N2497" s="416"/>
    </row>
    <row r="2498" spans="1:14" ht="12.75" customHeight="1" x14ac:dyDescent="0.2">
      <c r="A2498" s="719" t="s">
        <v>527</v>
      </c>
      <c r="B2498" s="418"/>
      <c r="C2498" s="418"/>
      <c r="D2498" s="418"/>
      <c r="E2498" s="418"/>
      <c r="F2498" s="418"/>
      <c r="G2498" s="416"/>
      <c r="H2498" s="12" t="str">
        <f t="shared" si="319"/>
        <v>m3</v>
      </c>
      <c r="I2498" s="712">
        <f t="shared" si="320"/>
        <v>25094.779677772727</v>
      </c>
      <c r="J2498" s="416"/>
      <c r="K2498" s="715">
        <f>+'18'!$F$487</f>
        <v>3.1957650000000002</v>
      </c>
      <c r="L2498" s="416"/>
      <c r="M2498" s="712">
        <f t="shared" si="321"/>
        <v>80197.018576937364</v>
      </c>
      <c r="N2498" s="416"/>
    </row>
    <row r="2499" spans="1:14" ht="12.75" customHeight="1" x14ac:dyDescent="0.2">
      <c r="A2499" s="714" t="s">
        <v>538</v>
      </c>
      <c r="B2499" s="418"/>
      <c r="C2499" s="418"/>
      <c r="D2499" s="418"/>
      <c r="E2499" s="418"/>
      <c r="F2499" s="418"/>
      <c r="G2499" s="416"/>
      <c r="H2499" s="12" t="str">
        <f t="shared" si="319"/>
        <v>m3</v>
      </c>
      <c r="I2499" s="712">
        <f t="shared" si="320"/>
        <v>17142.28</v>
      </c>
      <c r="J2499" s="416"/>
      <c r="K2499" s="715">
        <f>+'18'!$F$498</f>
        <v>6.0865500000000008</v>
      </c>
      <c r="L2499" s="416"/>
      <c r="M2499" s="712">
        <f t="shared" si="321"/>
        <v>104337.34433400001</v>
      </c>
      <c r="N2499" s="416"/>
    </row>
    <row r="2500" spans="1:14" ht="12.75" customHeight="1" x14ac:dyDescent="0.2">
      <c r="A2500" s="714" t="s">
        <v>522</v>
      </c>
      <c r="B2500" s="418"/>
      <c r="C2500" s="418"/>
      <c r="D2500" s="418"/>
      <c r="E2500" s="418"/>
      <c r="F2500" s="418"/>
      <c r="G2500" s="416"/>
      <c r="H2500" s="12" t="str">
        <f t="shared" si="319"/>
        <v>m3</v>
      </c>
      <c r="I2500" s="712">
        <f t="shared" si="320"/>
        <v>568340.14513763634</v>
      </c>
      <c r="J2500" s="416"/>
      <c r="K2500" s="715">
        <f>+'18'!$F$509</f>
        <v>0.26827499999999999</v>
      </c>
      <c r="L2500" s="416"/>
      <c r="M2500" s="712">
        <f t="shared" si="321"/>
        <v>152471.45243679939</v>
      </c>
      <c r="N2500" s="416"/>
    </row>
    <row r="2501" spans="1:14" ht="12.75" customHeight="1" x14ac:dyDescent="0.2">
      <c r="A2501" s="714" t="s">
        <v>540</v>
      </c>
      <c r="B2501" s="418"/>
      <c r="C2501" s="418"/>
      <c r="D2501" s="418"/>
      <c r="E2501" s="418"/>
      <c r="F2501" s="418"/>
      <c r="G2501" s="416"/>
      <c r="H2501" s="12" t="str">
        <f t="shared" si="319"/>
        <v>m3</v>
      </c>
      <c r="I2501" s="712">
        <f t="shared" si="320"/>
        <v>779466.77586727508</v>
      </c>
      <c r="J2501" s="416"/>
      <c r="K2501" s="715">
        <f>+'18'!$F$520</f>
        <v>1.341375</v>
      </c>
      <c r="L2501" s="416"/>
      <c r="M2501" s="712">
        <f t="shared" si="321"/>
        <v>1045557.2464789661</v>
      </c>
      <c r="N2501" s="416"/>
    </row>
    <row r="2502" spans="1:14" ht="12.75" customHeight="1" x14ac:dyDescent="0.2">
      <c r="A2502" s="714" t="s">
        <v>543</v>
      </c>
      <c r="B2502" s="418"/>
      <c r="C2502" s="418"/>
      <c r="D2502" s="418"/>
      <c r="E2502" s="418"/>
      <c r="F2502" s="418"/>
      <c r="G2502" s="416"/>
      <c r="H2502" s="12" t="str">
        <f t="shared" si="319"/>
        <v>m3</v>
      </c>
      <c r="I2502" s="712">
        <f t="shared" si="320"/>
        <v>1521992.9025899819</v>
      </c>
      <c r="J2502" s="416"/>
      <c r="K2502" s="715">
        <f>+'18'!$F$531</f>
        <v>2.0434999999999999</v>
      </c>
      <c r="L2502" s="416"/>
      <c r="M2502" s="712">
        <f t="shared" si="321"/>
        <v>3110192.4964426276</v>
      </c>
      <c r="N2502" s="416"/>
    </row>
    <row r="2503" spans="1:14" ht="12.75" customHeight="1" x14ac:dyDescent="0.2">
      <c r="A2503" s="714" t="s">
        <v>541</v>
      </c>
      <c r="B2503" s="418"/>
      <c r="C2503" s="418"/>
      <c r="D2503" s="418"/>
      <c r="E2503" s="418"/>
      <c r="F2503" s="418"/>
      <c r="G2503" s="416"/>
      <c r="H2503" s="12" t="str">
        <f t="shared" si="319"/>
        <v>m3</v>
      </c>
      <c r="I2503" s="712">
        <f t="shared" si="320"/>
        <v>1069692.5030110567</v>
      </c>
      <c r="J2503" s="416"/>
      <c r="K2503" s="715">
        <f>+'18'!$F$542</f>
        <v>0.25109999999999999</v>
      </c>
      <c r="L2503" s="416"/>
      <c r="M2503" s="712">
        <f t="shared" si="321"/>
        <v>268599.78750607633</v>
      </c>
      <c r="N2503" s="416"/>
    </row>
    <row r="2504" spans="1:14" ht="12.75" customHeight="1" x14ac:dyDescent="0.2">
      <c r="A2504" s="714" t="s">
        <v>523</v>
      </c>
      <c r="B2504" s="418"/>
      <c r="C2504" s="418"/>
      <c r="D2504" s="418"/>
      <c r="E2504" s="418"/>
      <c r="F2504" s="418"/>
      <c r="G2504" s="416"/>
      <c r="H2504" s="12" t="str">
        <f t="shared" si="319"/>
        <v>Kg</v>
      </c>
      <c r="I2504" s="712">
        <f t="shared" si="320"/>
        <v>7128.02232826</v>
      </c>
      <c r="J2504" s="416"/>
      <c r="K2504" s="715">
        <f>+'18'!$F$553</f>
        <v>176.62</v>
      </c>
      <c r="L2504" s="416"/>
      <c r="M2504" s="712">
        <f t="shared" si="321"/>
        <v>1258951.3036172811</v>
      </c>
      <c r="N2504" s="416"/>
    </row>
    <row r="2505" spans="1:14" ht="12.75" customHeight="1" x14ac:dyDescent="0.2">
      <c r="A2505" s="714" t="s">
        <v>1794</v>
      </c>
      <c r="B2505" s="802"/>
      <c r="C2505" s="802"/>
      <c r="D2505" s="802"/>
      <c r="E2505" s="802"/>
      <c r="F2505" s="802"/>
      <c r="G2505" s="721"/>
      <c r="H2505" s="12" t="str">
        <f t="shared" si="319"/>
        <v>Unidad</v>
      </c>
      <c r="I2505" s="712">
        <f t="shared" si="320"/>
        <v>2382380</v>
      </c>
      <c r="J2505" s="416"/>
      <c r="K2505" s="715">
        <f>+'18'!$F$575</f>
        <v>1</v>
      </c>
      <c r="L2505" s="416"/>
      <c r="M2505" s="720">
        <f t="shared" si="321"/>
        <v>2382380</v>
      </c>
      <c r="N2505" s="721"/>
    </row>
    <row r="2506" spans="1:14" ht="12.75" customHeight="1" x14ac:dyDescent="0.2">
      <c r="A2506" s="714" t="s">
        <v>548</v>
      </c>
      <c r="B2506" s="802"/>
      <c r="C2506" s="802"/>
      <c r="D2506" s="802"/>
      <c r="E2506" s="802"/>
      <c r="F2506" s="802"/>
      <c r="G2506" s="721"/>
      <c r="H2506" s="12" t="str">
        <f t="shared" si="319"/>
        <v>ml</v>
      </c>
      <c r="I2506" s="712">
        <f t="shared" si="320"/>
        <v>133503.16666666666</v>
      </c>
      <c r="J2506" s="416"/>
      <c r="K2506" s="715">
        <f>+'18'!$F$586</f>
        <v>1.05</v>
      </c>
      <c r="L2506" s="416"/>
      <c r="M2506" s="720">
        <f t="shared" si="321"/>
        <v>140178.32499999998</v>
      </c>
      <c r="N2506" s="721"/>
    </row>
    <row r="2507" spans="1:14" ht="12.75" customHeight="1" x14ac:dyDescent="0.2">
      <c r="A2507" s="714" t="s">
        <v>504</v>
      </c>
      <c r="B2507" s="802"/>
      <c r="C2507" s="802"/>
      <c r="D2507" s="802"/>
      <c r="E2507" s="802"/>
      <c r="F2507" s="802"/>
      <c r="G2507" s="721"/>
      <c r="H2507" s="12" t="str">
        <f t="shared" si="319"/>
        <v>Unidad</v>
      </c>
      <c r="I2507" s="712">
        <f t="shared" si="320"/>
        <v>261800</v>
      </c>
      <c r="J2507" s="416"/>
      <c r="K2507" s="715">
        <f>+'18'!$F$564</f>
        <v>2</v>
      </c>
      <c r="L2507" s="416"/>
      <c r="M2507" s="720">
        <f t="shared" si="321"/>
        <v>523600</v>
      </c>
      <c r="N2507" s="721"/>
    </row>
    <row r="2508" spans="1:14" ht="12.75" customHeight="1" x14ac:dyDescent="0.2">
      <c r="A2508" s="714"/>
      <c r="B2508" s="418"/>
      <c r="C2508" s="418"/>
      <c r="D2508" s="418"/>
      <c r="E2508" s="418"/>
      <c r="F2508" s="418"/>
      <c r="G2508" s="416"/>
      <c r="H2508" s="12" t="str">
        <f t="shared" si="319"/>
        <v/>
      </c>
      <c r="I2508" s="712" t="str">
        <f t="shared" si="320"/>
        <v/>
      </c>
      <c r="J2508" s="416"/>
      <c r="K2508" s="715"/>
      <c r="L2508" s="416"/>
      <c r="M2508" s="712"/>
      <c r="N2508" s="416"/>
    </row>
    <row r="2509" spans="1:14" ht="12.75" customHeight="1" x14ac:dyDescent="0.2">
      <c r="A2509" s="714"/>
      <c r="B2509" s="418"/>
      <c r="C2509" s="418"/>
      <c r="D2509" s="418"/>
      <c r="E2509" s="418"/>
      <c r="F2509" s="418"/>
      <c r="G2509" s="416"/>
      <c r="H2509" s="12" t="str">
        <f t="shared" si="319"/>
        <v/>
      </c>
      <c r="I2509" s="712" t="str">
        <f t="shared" si="320"/>
        <v/>
      </c>
      <c r="J2509" s="416"/>
      <c r="K2509" s="715"/>
      <c r="L2509" s="416"/>
      <c r="M2509" s="712" t="str">
        <f>IF(A2509="","",I2509*K2509)</f>
        <v/>
      </c>
      <c r="N2509" s="416"/>
    </row>
    <row r="2510" spans="1:14" ht="12.75" customHeight="1" x14ac:dyDescent="0.2">
      <c r="A2510" s="714"/>
      <c r="B2510" s="418"/>
      <c r="C2510" s="418"/>
      <c r="D2510" s="418"/>
      <c r="E2510" s="418"/>
      <c r="F2510" s="418"/>
      <c r="G2510" s="416"/>
      <c r="H2510" s="12" t="str">
        <f t="shared" si="319"/>
        <v/>
      </c>
      <c r="I2510" s="712" t="str">
        <f t="shared" si="320"/>
        <v/>
      </c>
      <c r="J2510" s="416"/>
      <c r="K2510" s="715"/>
      <c r="L2510" s="416"/>
      <c r="M2510" s="712"/>
      <c r="N2510" s="416"/>
    </row>
    <row r="2511" spans="1:14" ht="12.75" customHeight="1" x14ac:dyDescent="0.2">
      <c r="A2511" s="714"/>
      <c r="B2511" s="418"/>
      <c r="C2511" s="418"/>
      <c r="D2511" s="418"/>
      <c r="E2511" s="418"/>
      <c r="F2511" s="418"/>
      <c r="G2511" s="416"/>
      <c r="H2511" s="12" t="str">
        <f t="shared" si="319"/>
        <v/>
      </c>
      <c r="I2511" s="712" t="str">
        <f t="shared" si="320"/>
        <v/>
      </c>
      <c r="J2511" s="416"/>
      <c r="K2511" s="715"/>
      <c r="L2511" s="416"/>
      <c r="M2511" s="712" t="str">
        <f>IF(A2511="","",I2511*K2511)</f>
        <v/>
      </c>
      <c r="N2511" s="416"/>
    </row>
    <row r="2512" spans="1:14" ht="12.75" customHeight="1" x14ac:dyDescent="0.25">
      <c r="A2512" s="5"/>
      <c r="B2512" s="5"/>
      <c r="C2512" s="5"/>
      <c r="D2512" s="5"/>
      <c r="E2512" s="5"/>
      <c r="F2512" s="5"/>
      <c r="G2512" s="5"/>
      <c r="H2512" s="5"/>
      <c r="I2512" s="5"/>
      <c r="J2512" s="5"/>
      <c r="K2512" s="713" t="s">
        <v>261</v>
      </c>
      <c r="L2512" s="416"/>
      <c r="M2512" s="712">
        <f>SUM(M2495:N2511)</f>
        <v>9885313.1493671723</v>
      </c>
      <c r="N2512" s="416"/>
    </row>
    <row r="2513" spans="1:14" ht="12.75" customHeight="1" x14ac:dyDescent="0.25">
      <c r="A2513" s="5"/>
      <c r="B2513" s="5"/>
      <c r="C2513" s="5"/>
      <c r="D2513" s="5"/>
      <c r="E2513" s="5"/>
      <c r="F2513" s="5"/>
      <c r="G2513" s="5"/>
      <c r="H2513" s="5"/>
      <c r="I2513" s="5"/>
      <c r="J2513" s="5"/>
      <c r="K2513" s="5"/>
      <c r="L2513" s="5"/>
      <c r="M2513" s="5"/>
      <c r="N2513" s="5"/>
    </row>
    <row r="2514" spans="1:14" ht="12.75" customHeight="1" x14ac:dyDescent="0.2">
      <c r="A2514" s="716" t="s">
        <v>410</v>
      </c>
      <c r="B2514" s="418"/>
      <c r="C2514" s="418"/>
      <c r="D2514" s="418"/>
      <c r="E2514" s="418"/>
      <c r="F2514" s="418"/>
      <c r="G2514" s="418"/>
      <c r="H2514" s="418"/>
      <c r="I2514" s="418"/>
      <c r="J2514" s="418"/>
      <c r="K2514" s="418"/>
      <c r="L2514" s="418"/>
      <c r="M2514" s="418"/>
      <c r="N2514" s="416"/>
    </row>
    <row r="2515" spans="1:14" ht="12.75" customHeight="1" x14ac:dyDescent="0.2">
      <c r="A2515" s="713" t="s">
        <v>39</v>
      </c>
      <c r="B2515" s="418"/>
      <c r="C2515" s="418"/>
      <c r="D2515" s="418"/>
      <c r="E2515" s="418"/>
      <c r="F2515" s="418"/>
      <c r="G2515" s="416"/>
      <c r="H2515" s="61" t="s">
        <v>40</v>
      </c>
      <c r="I2515" s="717" t="s">
        <v>404</v>
      </c>
      <c r="J2515" s="416"/>
      <c r="K2515" s="717" t="s">
        <v>184</v>
      </c>
      <c r="L2515" s="416"/>
      <c r="M2515" s="717" t="s">
        <v>405</v>
      </c>
      <c r="N2515" s="416"/>
    </row>
    <row r="2516" spans="1:14" ht="12.75" customHeight="1" x14ac:dyDescent="0.2">
      <c r="A2516" s="714" t="s">
        <v>411</v>
      </c>
      <c r="B2516" s="418"/>
      <c r="C2516" s="418"/>
      <c r="D2516" s="418"/>
      <c r="E2516" s="418"/>
      <c r="F2516" s="418"/>
      <c r="G2516" s="416"/>
      <c r="H2516" s="12" t="str">
        <f>IF(A2516="","",VLOOKUP(A2516,AA_Equipos,7,FALSE))</f>
        <v>% M.O.</v>
      </c>
      <c r="I2516" s="712">
        <f>M2539</f>
        <v>732417.61536000005</v>
      </c>
      <c r="J2516" s="416"/>
      <c r="K2516" s="722">
        <v>0.03</v>
      </c>
      <c r="L2516" s="416"/>
      <c r="M2516" s="712">
        <f t="shared" ref="M2516:M2520" si="322">IF(A2516="","",I2516*K2516)</f>
        <v>21972.5284608</v>
      </c>
      <c r="N2516" s="416"/>
    </row>
    <row r="2517" spans="1:14" ht="12.75" customHeight="1" x14ac:dyDescent="0.2">
      <c r="A2517" s="719"/>
      <c r="B2517" s="418"/>
      <c r="C2517" s="418"/>
      <c r="D2517" s="418"/>
      <c r="E2517" s="418"/>
      <c r="F2517" s="418"/>
      <c r="G2517" s="416"/>
      <c r="H2517" s="12" t="str">
        <f>IF(A2517="","",VLOOKUP(A2517,AA_Equipos,7,FALSE))</f>
        <v/>
      </c>
      <c r="I2517" s="712" t="str">
        <f>IF(A2517="","",VLOOKUP(A2517,AA_Equipos,8,FALSE))</f>
        <v/>
      </c>
      <c r="J2517" s="416"/>
      <c r="K2517" s="723"/>
      <c r="L2517" s="416"/>
      <c r="M2517" s="712" t="str">
        <f t="shared" si="322"/>
        <v/>
      </c>
      <c r="N2517" s="416"/>
    </row>
    <row r="2518" spans="1:14" ht="12.75" customHeight="1" x14ac:dyDescent="0.2">
      <c r="A2518" s="714"/>
      <c r="B2518" s="418"/>
      <c r="C2518" s="418"/>
      <c r="D2518" s="418"/>
      <c r="E2518" s="418"/>
      <c r="F2518" s="418"/>
      <c r="G2518" s="416"/>
      <c r="H2518" s="12" t="str">
        <f>IF(A2518="","",VLOOKUP(A2518,AA_Equipos,7,FALSE))</f>
        <v/>
      </c>
      <c r="I2518" s="712" t="str">
        <f>IF(A2518="","",VLOOKUP(A2518,AA_Equipos,8,FALSE))</f>
        <v/>
      </c>
      <c r="J2518" s="416"/>
      <c r="K2518" s="715"/>
      <c r="L2518" s="416"/>
      <c r="M2518" s="712" t="str">
        <f t="shared" si="322"/>
        <v/>
      </c>
      <c r="N2518" s="416"/>
    </row>
    <row r="2519" spans="1:14" ht="12.75" customHeight="1" x14ac:dyDescent="0.2">
      <c r="A2519" s="714"/>
      <c r="B2519" s="418"/>
      <c r="C2519" s="418"/>
      <c r="D2519" s="418"/>
      <c r="E2519" s="418"/>
      <c r="F2519" s="418"/>
      <c r="G2519" s="416"/>
      <c r="H2519" s="12" t="str">
        <f>IF(A2519="","",VLOOKUP(A2519,AA_Equipos,7,FALSE))</f>
        <v/>
      </c>
      <c r="I2519" s="712" t="str">
        <f>IF(A2519="","",VLOOKUP(A2519,AA_Equipos,8,FALSE))</f>
        <v/>
      </c>
      <c r="J2519" s="416"/>
      <c r="K2519" s="715"/>
      <c r="L2519" s="416"/>
      <c r="M2519" s="712" t="str">
        <f t="shared" si="322"/>
        <v/>
      </c>
      <c r="N2519" s="416"/>
    </row>
    <row r="2520" spans="1:14" ht="12.75" customHeight="1" x14ac:dyDescent="0.2">
      <c r="A2520" s="714"/>
      <c r="B2520" s="418"/>
      <c r="C2520" s="418"/>
      <c r="D2520" s="418"/>
      <c r="E2520" s="418"/>
      <c r="F2520" s="418"/>
      <c r="G2520" s="416"/>
      <c r="H2520" s="12" t="str">
        <f>IF(A2520="","",VLOOKUP(A2520,AA_Equipos,7,FALSE))</f>
        <v/>
      </c>
      <c r="I2520" s="712" t="str">
        <f>IF(A2520="","",VLOOKUP(A2520,AA_Equipos,8,FALSE))</f>
        <v/>
      </c>
      <c r="J2520" s="416"/>
      <c r="K2520" s="715"/>
      <c r="L2520" s="416"/>
      <c r="M2520" s="712" t="str">
        <f t="shared" si="322"/>
        <v/>
      </c>
      <c r="N2520" s="416"/>
    </row>
    <row r="2521" spans="1:14" ht="12.75" customHeight="1" x14ac:dyDescent="0.25">
      <c r="A2521" s="5"/>
      <c r="B2521" s="5"/>
      <c r="C2521" s="5"/>
      <c r="D2521" s="5"/>
      <c r="E2521" s="5"/>
      <c r="F2521" s="5"/>
      <c r="G2521" s="5"/>
      <c r="H2521" s="5"/>
      <c r="I2521" s="5"/>
      <c r="J2521" s="5"/>
      <c r="K2521" s="713" t="s">
        <v>261</v>
      </c>
      <c r="L2521" s="416"/>
      <c r="M2521" s="712">
        <f>SUM(M2516:N2520)</f>
        <v>21972.5284608</v>
      </c>
      <c r="N2521" s="416"/>
    </row>
    <row r="2522" spans="1:14" ht="12.75" customHeight="1" x14ac:dyDescent="0.25">
      <c r="A2522" s="5"/>
      <c r="B2522" s="5"/>
      <c r="C2522" s="5"/>
      <c r="D2522" s="5"/>
      <c r="E2522" s="5"/>
      <c r="F2522" s="5"/>
      <c r="G2522" s="5"/>
      <c r="H2522" s="5"/>
      <c r="I2522" s="5"/>
      <c r="J2522" s="5"/>
      <c r="K2522" s="5"/>
      <c r="L2522" s="5"/>
      <c r="M2522" s="5"/>
      <c r="N2522" s="5"/>
    </row>
    <row r="2523" spans="1:14" ht="12.75" customHeight="1" x14ac:dyDescent="0.2">
      <c r="A2523" s="716" t="s">
        <v>413</v>
      </c>
      <c r="B2523" s="418"/>
      <c r="C2523" s="418"/>
      <c r="D2523" s="418"/>
      <c r="E2523" s="418"/>
      <c r="F2523" s="418"/>
      <c r="G2523" s="418"/>
      <c r="H2523" s="418"/>
      <c r="I2523" s="418"/>
      <c r="J2523" s="418"/>
      <c r="K2523" s="418"/>
      <c r="L2523" s="418"/>
      <c r="M2523" s="418"/>
      <c r="N2523" s="416"/>
    </row>
    <row r="2524" spans="1:14" ht="12.75" customHeight="1" x14ac:dyDescent="0.2">
      <c r="A2524" s="713" t="s">
        <v>39</v>
      </c>
      <c r="B2524" s="418"/>
      <c r="C2524" s="418"/>
      <c r="D2524" s="418"/>
      <c r="E2524" s="418"/>
      <c r="F2524" s="418"/>
      <c r="G2524" s="416"/>
      <c r="H2524" s="61" t="s">
        <v>40</v>
      </c>
      <c r="I2524" s="717" t="s">
        <v>404</v>
      </c>
      <c r="J2524" s="416"/>
      <c r="K2524" s="717" t="s">
        <v>184</v>
      </c>
      <c r="L2524" s="416"/>
      <c r="M2524" s="717" t="s">
        <v>405</v>
      </c>
      <c r="N2524" s="416"/>
    </row>
    <row r="2525" spans="1:14" ht="12.75" customHeight="1" x14ac:dyDescent="0.2">
      <c r="A2525" s="719" t="s">
        <v>443</v>
      </c>
      <c r="B2525" s="418"/>
      <c r="C2525" s="418"/>
      <c r="D2525" s="418"/>
      <c r="E2525" s="418"/>
      <c r="F2525" s="418"/>
      <c r="G2525" s="416"/>
      <c r="H2525" s="12" t="s">
        <v>13</v>
      </c>
      <c r="I2525" s="712">
        <f>+SUM(M2505:N2507)</f>
        <v>3046158.3250000002</v>
      </c>
      <c r="J2525" s="416"/>
      <c r="K2525" s="722">
        <v>0.03</v>
      </c>
      <c r="L2525" s="416"/>
      <c r="M2525" s="712">
        <f t="shared" ref="M2525:M2529" si="323">IF(A2525="","",I2525*K2525)</f>
        <v>91384.749750000003</v>
      </c>
      <c r="N2525" s="416"/>
    </row>
    <row r="2526" spans="1:14" ht="12.75" customHeight="1" x14ac:dyDescent="0.2">
      <c r="A2526" s="719"/>
      <c r="B2526" s="418"/>
      <c r="C2526" s="418"/>
      <c r="D2526" s="418"/>
      <c r="E2526" s="418"/>
      <c r="F2526" s="418"/>
      <c r="G2526" s="416"/>
      <c r="H2526" s="12"/>
      <c r="I2526" s="712"/>
      <c r="J2526" s="416"/>
      <c r="K2526" s="722"/>
      <c r="L2526" s="416"/>
      <c r="M2526" s="712" t="str">
        <f t="shared" si="323"/>
        <v/>
      </c>
      <c r="N2526" s="416"/>
    </row>
    <row r="2527" spans="1:14" ht="12.75" customHeight="1" x14ac:dyDescent="0.2">
      <c r="A2527" s="714"/>
      <c r="B2527" s="418"/>
      <c r="C2527" s="418"/>
      <c r="D2527" s="418"/>
      <c r="E2527" s="418"/>
      <c r="F2527" s="418"/>
      <c r="G2527" s="416"/>
      <c r="H2527" s="12"/>
      <c r="I2527" s="712"/>
      <c r="J2527" s="416"/>
      <c r="K2527" s="715"/>
      <c r="L2527" s="416"/>
      <c r="M2527" s="712" t="str">
        <f t="shared" si="323"/>
        <v/>
      </c>
      <c r="N2527" s="416"/>
    </row>
    <row r="2528" spans="1:14" ht="12.75" customHeight="1" x14ac:dyDescent="0.2">
      <c r="A2528" s="714"/>
      <c r="B2528" s="418"/>
      <c r="C2528" s="418"/>
      <c r="D2528" s="418"/>
      <c r="E2528" s="418"/>
      <c r="F2528" s="418"/>
      <c r="G2528" s="416"/>
      <c r="H2528" s="12"/>
      <c r="I2528" s="712"/>
      <c r="J2528" s="416"/>
      <c r="K2528" s="715"/>
      <c r="L2528" s="416"/>
      <c r="M2528" s="712" t="str">
        <f t="shared" si="323"/>
        <v/>
      </c>
      <c r="N2528" s="416"/>
    </row>
    <row r="2529" spans="1:14" ht="12.75" customHeight="1" x14ac:dyDescent="0.2">
      <c r="A2529" s="714"/>
      <c r="B2529" s="418"/>
      <c r="C2529" s="418"/>
      <c r="D2529" s="418"/>
      <c r="E2529" s="418"/>
      <c r="F2529" s="418"/>
      <c r="G2529" s="416"/>
      <c r="H2529" s="12"/>
      <c r="I2529" s="712"/>
      <c r="J2529" s="416"/>
      <c r="K2529" s="715"/>
      <c r="L2529" s="416"/>
      <c r="M2529" s="712" t="str">
        <f t="shared" si="323"/>
        <v/>
      </c>
      <c r="N2529" s="416"/>
    </row>
    <row r="2530" spans="1:14" ht="12.75" customHeight="1" x14ac:dyDescent="0.25">
      <c r="A2530" s="5"/>
      <c r="B2530" s="5"/>
      <c r="C2530" s="5"/>
      <c r="D2530" s="5"/>
      <c r="E2530" s="5"/>
      <c r="F2530" s="5"/>
      <c r="G2530" s="5"/>
      <c r="H2530" s="5"/>
      <c r="I2530" s="5"/>
      <c r="J2530" s="5"/>
      <c r="K2530" s="713" t="s">
        <v>261</v>
      </c>
      <c r="L2530" s="416"/>
      <c r="M2530" s="712">
        <f>SUM(M2525:N2529)</f>
        <v>91384.749750000003</v>
      </c>
      <c r="N2530" s="416"/>
    </row>
    <row r="2531" spans="1:14" ht="12.75" customHeight="1" x14ac:dyDescent="0.25">
      <c r="A2531" s="5"/>
      <c r="B2531" s="5"/>
      <c r="C2531" s="5"/>
      <c r="D2531" s="5"/>
      <c r="E2531" s="5"/>
      <c r="F2531" s="5"/>
      <c r="G2531" s="5"/>
      <c r="H2531" s="5"/>
      <c r="I2531" s="5"/>
      <c r="J2531" s="5"/>
      <c r="K2531" s="5"/>
      <c r="L2531" s="5"/>
      <c r="M2531" s="5"/>
      <c r="N2531" s="5"/>
    </row>
    <row r="2532" spans="1:14" ht="12.75" customHeight="1" x14ac:dyDescent="0.2">
      <c r="A2532" s="716" t="s">
        <v>415</v>
      </c>
      <c r="B2532" s="418"/>
      <c r="C2532" s="418"/>
      <c r="D2532" s="418"/>
      <c r="E2532" s="418"/>
      <c r="F2532" s="418"/>
      <c r="G2532" s="418"/>
      <c r="H2532" s="418"/>
      <c r="I2532" s="418"/>
      <c r="J2532" s="418"/>
      <c r="K2532" s="418"/>
      <c r="L2532" s="418"/>
      <c r="M2532" s="418"/>
      <c r="N2532" s="416"/>
    </row>
    <row r="2533" spans="1:14" ht="12.75" customHeight="1" x14ac:dyDescent="0.2">
      <c r="A2533" s="713" t="s">
        <v>39</v>
      </c>
      <c r="B2533" s="418"/>
      <c r="C2533" s="418"/>
      <c r="D2533" s="418"/>
      <c r="E2533" s="418"/>
      <c r="F2533" s="418"/>
      <c r="G2533" s="416"/>
      <c r="H2533" s="61" t="s">
        <v>40</v>
      </c>
      <c r="I2533" s="717" t="s">
        <v>404</v>
      </c>
      <c r="J2533" s="416"/>
      <c r="K2533" s="64" t="s">
        <v>253</v>
      </c>
      <c r="L2533" s="65" t="s">
        <v>416</v>
      </c>
      <c r="M2533" s="717" t="s">
        <v>405</v>
      </c>
      <c r="N2533" s="416"/>
    </row>
    <row r="2534" spans="1:14" ht="12.75" customHeight="1" x14ac:dyDescent="0.25">
      <c r="A2534" s="711" t="s">
        <v>597</v>
      </c>
      <c r="B2534" s="418"/>
      <c r="C2534" s="418"/>
      <c r="D2534" s="418"/>
      <c r="E2534" s="418"/>
      <c r="F2534" s="418"/>
      <c r="G2534" s="416"/>
      <c r="H2534" s="12" t="str">
        <f>IF(A2534="","",VLOOKUP(A2534,AA_Cuadrillas,4,FALSE))</f>
        <v>Cuadrilla</v>
      </c>
      <c r="I2534" s="712">
        <f>IF(A2534="","",VLOOKUP(A2534,AA_Cuadrillas,5,FALSE))</f>
        <v>484416</v>
      </c>
      <c r="J2534" s="416"/>
      <c r="K2534" s="3">
        <f>IF(A2534="","",'04'!$I$2)</f>
        <v>1.88995</v>
      </c>
      <c r="L2534" s="66">
        <v>0.8</v>
      </c>
      <c r="M2534" s="712">
        <f t="shared" ref="M2534:M2538" si="324">IF(A2534="","",I2534*K2534*L2534)</f>
        <v>732417.61536000005</v>
      </c>
      <c r="N2534" s="416"/>
    </row>
    <row r="2535" spans="1:14" ht="12.75" customHeight="1" x14ac:dyDescent="0.25">
      <c r="A2535" s="711"/>
      <c r="B2535" s="418"/>
      <c r="C2535" s="418"/>
      <c r="D2535" s="418"/>
      <c r="E2535" s="418"/>
      <c r="F2535" s="418"/>
      <c r="G2535" s="416"/>
      <c r="H2535" s="12" t="str">
        <f>IF(A2535="","",VLOOKUP(A2535,AA_Cuadrillas,4,FALSE))</f>
        <v/>
      </c>
      <c r="I2535" s="712" t="str">
        <f>IF(A2535="","",VLOOKUP(A2535,AA_Cuadrillas,5,FALSE))</f>
        <v/>
      </c>
      <c r="J2535" s="416"/>
      <c r="K2535" s="3" t="str">
        <f>IF(A2535="","",'04'!$I$2)</f>
        <v/>
      </c>
      <c r="L2535" s="3"/>
      <c r="M2535" s="712" t="str">
        <f t="shared" si="324"/>
        <v/>
      </c>
      <c r="N2535" s="416"/>
    </row>
    <row r="2536" spans="1:14" ht="12.75" customHeight="1" x14ac:dyDescent="0.25">
      <c r="A2536" s="711"/>
      <c r="B2536" s="418"/>
      <c r="C2536" s="418"/>
      <c r="D2536" s="418"/>
      <c r="E2536" s="418"/>
      <c r="F2536" s="418"/>
      <c r="G2536" s="416"/>
      <c r="H2536" s="12" t="str">
        <f>IF(A2536="","",VLOOKUP(A2536,AA_Cuadrillas,4,FALSE))</f>
        <v/>
      </c>
      <c r="I2536" s="712" t="str">
        <f>IF(A2536="","",VLOOKUP(A2536,AA_Cuadrillas,5,FALSE))</f>
        <v/>
      </c>
      <c r="J2536" s="416"/>
      <c r="K2536" s="3" t="str">
        <f>IF(A2536="","",'04'!$I$2)</f>
        <v/>
      </c>
      <c r="L2536" s="13"/>
      <c r="M2536" s="712" t="str">
        <f t="shared" si="324"/>
        <v/>
      </c>
      <c r="N2536" s="416"/>
    </row>
    <row r="2537" spans="1:14" ht="12.75" customHeight="1" x14ac:dyDescent="0.25">
      <c r="A2537" s="711"/>
      <c r="B2537" s="418"/>
      <c r="C2537" s="418"/>
      <c r="D2537" s="418"/>
      <c r="E2537" s="418"/>
      <c r="F2537" s="418"/>
      <c r="G2537" s="416"/>
      <c r="H2537" s="12" t="str">
        <f>IF(A2537="","",VLOOKUP(A2537,AA_Cuadrillas,4,FALSE))</f>
        <v/>
      </c>
      <c r="I2537" s="712" t="str">
        <f>IF(A2537="","",VLOOKUP(A2537,AA_Cuadrillas,5,FALSE))</f>
        <v/>
      </c>
      <c r="J2537" s="416"/>
      <c r="K2537" s="3" t="str">
        <f>IF(A2537="","",'04'!$I$2)</f>
        <v/>
      </c>
      <c r="L2537" s="13"/>
      <c r="M2537" s="712" t="str">
        <f t="shared" si="324"/>
        <v/>
      </c>
      <c r="N2537" s="416"/>
    </row>
    <row r="2538" spans="1:14" ht="12.75" customHeight="1" x14ac:dyDescent="0.25">
      <c r="A2538" s="711"/>
      <c r="B2538" s="418"/>
      <c r="C2538" s="418"/>
      <c r="D2538" s="418"/>
      <c r="E2538" s="418"/>
      <c r="F2538" s="418"/>
      <c r="G2538" s="416"/>
      <c r="H2538" s="12" t="str">
        <f>IF(A2538="","",VLOOKUP(A2538,AA_Cuadrillas,4,FALSE))</f>
        <v/>
      </c>
      <c r="I2538" s="712" t="str">
        <f>IF(A2538="","",VLOOKUP(A2538,AA_Cuadrillas,5,FALSE))</f>
        <v/>
      </c>
      <c r="J2538" s="416"/>
      <c r="K2538" s="3" t="str">
        <f>IF(A2538="","",'04'!$I$2)</f>
        <v/>
      </c>
      <c r="L2538" s="13"/>
      <c r="M2538" s="712" t="str">
        <f t="shared" si="324"/>
        <v/>
      </c>
      <c r="N2538" s="416"/>
    </row>
    <row r="2539" spans="1:14" ht="12.75" customHeight="1" x14ac:dyDescent="0.25">
      <c r="A2539" s="5"/>
      <c r="B2539" s="5"/>
      <c r="C2539" s="5"/>
      <c r="D2539" s="5"/>
      <c r="E2539" s="5"/>
      <c r="F2539" s="5"/>
      <c r="G2539" s="5"/>
      <c r="H2539" s="5"/>
      <c r="I2539" s="5"/>
      <c r="J2539" s="5"/>
      <c r="K2539" s="713" t="s">
        <v>261</v>
      </c>
      <c r="L2539" s="416"/>
      <c r="M2539" s="712">
        <f>SUM(M2534:N2538)</f>
        <v>732417.61536000005</v>
      </c>
      <c r="N2539" s="416"/>
    </row>
    <row r="2540" spans="1:14" ht="12.75" customHeight="1" x14ac:dyDescent="0.25">
      <c r="A2540" s="5"/>
      <c r="B2540" s="5"/>
      <c r="C2540" s="5"/>
      <c r="D2540" s="5"/>
      <c r="E2540" s="5"/>
      <c r="F2540" s="5"/>
      <c r="G2540" s="5"/>
      <c r="H2540" s="5"/>
      <c r="I2540" s="5"/>
      <c r="J2540" s="5"/>
      <c r="K2540" s="5"/>
      <c r="L2540" s="5"/>
      <c r="M2540" s="5"/>
      <c r="N2540" s="5"/>
    </row>
    <row r="2542" spans="1:14" ht="15" customHeight="1" thickBot="1" x14ac:dyDescent="0.3">
      <c r="J2542" s="190"/>
      <c r="K2542" s="190"/>
      <c r="L2542" s="132"/>
      <c r="M2542" s="132"/>
      <c r="N2542" s="132"/>
    </row>
    <row r="2543" spans="1:14" ht="15" customHeight="1" thickTop="1" x14ac:dyDescent="0.2">
      <c r="J2543" s="429" t="s">
        <v>1126</v>
      </c>
      <c r="K2543" s="429"/>
      <c r="L2543" s="429"/>
      <c r="M2543" s="429"/>
      <c r="N2543" s="429"/>
    </row>
    <row r="2544" spans="1:14" ht="15" customHeight="1" x14ac:dyDescent="0.25">
      <c r="J2544" s="406" t="s">
        <v>1127</v>
      </c>
      <c r="K2544" s="406"/>
      <c r="L2544" s="406"/>
      <c r="M2544" s="406"/>
      <c r="N2544" s="406"/>
    </row>
    <row r="2545" spans="10:14" ht="15" customHeight="1" x14ac:dyDescent="0.25">
      <c r="J2545" s="406" t="s">
        <v>1123</v>
      </c>
      <c r="K2545" s="406"/>
      <c r="L2545" s="406"/>
      <c r="M2545" s="406"/>
      <c r="N2545" s="406"/>
    </row>
  </sheetData>
  <mergeCells count="6690">
    <mergeCell ref="K2539:L2539"/>
    <mergeCell ref="M2539:N2539"/>
    <mergeCell ref="A2532:N2532"/>
    <mergeCell ref="A2533:G2533"/>
    <mergeCell ref="I2533:J2533"/>
    <mergeCell ref="M2533:N2533"/>
    <mergeCell ref="A2534:G2534"/>
    <mergeCell ref="I2534:J2534"/>
    <mergeCell ref="M2534:N2534"/>
    <mergeCell ref="A2535:G2535"/>
    <mergeCell ref="I2535:J2535"/>
    <mergeCell ref="M2535:N2535"/>
    <mergeCell ref="A2536:G2536"/>
    <mergeCell ref="I2536:J2536"/>
    <mergeCell ref="M2536:N2536"/>
    <mergeCell ref="A2537:G2537"/>
    <mergeCell ref="I2537:J2537"/>
    <mergeCell ref="M2537:N2537"/>
    <mergeCell ref="A2538:G2538"/>
    <mergeCell ref="I2538:J2538"/>
    <mergeCell ref="M2538:N2538"/>
    <mergeCell ref="A2526:G2526"/>
    <mergeCell ref="I2526:J2526"/>
    <mergeCell ref="K2526:L2526"/>
    <mergeCell ref="M2526:N2526"/>
    <mergeCell ref="A2527:G2527"/>
    <mergeCell ref="I2527:J2527"/>
    <mergeCell ref="K2527:L2527"/>
    <mergeCell ref="M2527:N2527"/>
    <mergeCell ref="A2528:G2528"/>
    <mergeCell ref="I2528:J2528"/>
    <mergeCell ref="K2528:L2528"/>
    <mergeCell ref="M2528:N2528"/>
    <mergeCell ref="A2529:G2529"/>
    <mergeCell ref="I2529:J2529"/>
    <mergeCell ref="K2529:L2529"/>
    <mergeCell ref="M2529:N2529"/>
    <mergeCell ref="K2530:L2530"/>
    <mergeCell ref="M2530:N2530"/>
    <mergeCell ref="A2519:G2519"/>
    <mergeCell ref="I2519:J2519"/>
    <mergeCell ref="K2519:L2519"/>
    <mergeCell ref="M2519:N2519"/>
    <mergeCell ref="A2520:G2520"/>
    <mergeCell ref="I2520:J2520"/>
    <mergeCell ref="K2520:L2520"/>
    <mergeCell ref="M2520:N2520"/>
    <mergeCell ref="K2521:L2521"/>
    <mergeCell ref="M2521:N2521"/>
    <mergeCell ref="A2523:N2523"/>
    <mergeCell ref="A2524:G2524"/>
    <mergeCell ref="I2524:J2524"/>
    <mergeCell ref="K2524:L2524"/>
    <mergeCell ref="M2524:N2524"/>
    <mergeCell ref="A2525:G2525"/>
    <mergeCell ref="I2525:J2525"/>
    <mergeCell ref="K2525:L2525"/>
    <mergeCell ref="M2525:N2525"/>
    <mergeCell ref="A2514:N2514"/>
    <mergeCell ref="A2515:G2515"/>
    <mergeCell ref="I2515:J2515"/>
    <mergeCell ref="K2515:L2515"/>
    <mergeCell ref="M2515:N2515"/>
    <mergeCell ref="A2516:G2516"/>
    <mergeCell ref="I2516:J2516"/>
    <mergeCell ref="K2516:L2516"/>
    <mergeCell ref="M2516:N2516"/>
    <mergeCell ref="A2517:G2517"/>
    <mergeCell ref="I2517:J2517"/>
    <mergeCell ref="K2517:L2517"/>
    <mergeCell ref="M2517:N2517"/>
    <mergeCell ref="A2518:G2518"/>
    <mergeCell ref="I2518:J2518"/>
    <mergeCell ref="K2518:L2518"/>
    <mergeCell ref="M2518:N2518"/>
    <mergeCell ref="A2508:G2508"/>
    <mergeCell ref="I2508:J2508"/>
    <mergeCell ref="K2508:L2508"/>
    <mergeCell ref="M2508:N2508"/>
    <mergeCell ref="A2509:G2509"/>
    <mergeCell ref="I2509:J2509"/>
    <mergeCell ref="K2509:L2509"/>
    <mergeCell ref="M2509:N2509"/>
    <mergeCell ref="A2510:G2510"/>
    <mergeCell ref="I2510:J2510"/>
    <mergeCell ref="K2510:L2510"/>
    <mergeCell ref="M2510:N2510"/>
    <mergeCell ref="A2511:G2511"/>
    <mergeCell ref="I2511:J2511"/>
    <mergeCell ref="K2511:L2511"/>
    <mergeCell ref="M2511:N2511"/>
    <mergeCell ref="K2512:L2512"/>
    <mergeCell ref="M2512:N2512"/>
    <mergeCell ref="A2503:G2503"/>
    <mergeCell ref="I2503:J2503"/>
    <mergeCell ref="K2503:L2503"/>
    <mergeCell ref="M2503:N2503"/>
    <mergeCell ref="A2504:G2504"/>
    <mergeCell ref="I2504:J2504"/>
    <mergeCell ref="K2504:L2504"/>
    <mergeCell ref="M2504:N2504"/>
    <mergeCell ref="A2505:G2505"/>
    <mergeCell ref="I2505:J2505"/>
    <mergeCell ref="K2505:L2505"/>
    <mergeCell ref="M2505:N2505"/>
    <mergeCell ref="A2506:G2506"/>
    <mergeCell ref="I2506:J2506"/>
    <mergeCell ref="K2506:L2506"/>
    <mergeCell ref="M2506:N2506"/>
    <mergeCell ref="A2507:G2507"/>
    <mergeCell ref="I2507:J2507"/>
    <mergeCell ref="K2507:L2507"/>
    <mergeCell ref="M2507:N2507"/>
    <mergeCell ref="A2498:G2498"/>
    <mergeCell ref="I2498:J2498"/>
    <mergeCell ref="K2498:L2498"/>
    <mergeCell ref="M2498:N2498"/>
    <mergeCell ref="A2499:G2499"/>
    <mergeCell ref="I2499:J2499"/>
    <mergeCell ref="K2499:L2499"/>
    <mergeCell ref="M2499:N2499"/>
    <mergeCell ref="A2500:G2500"/>
    <mergeCell ref="I2500:J2500"/>
    <mergeCell ref="K2500:L2500"/>
    <mergeCell ref="M2500:N2500"/>
    <mergeCell ref="A2501:G2501"/>
    <mergeCell ref="I2501:J2501"/>
    <mergeCell ref="K2501:L2501"/>
    <mergeCell ref="M2501:N2501"/>
    <mergeCell ref="A2502:G2502"/>
    <mergeCell ref="I2502:J2502"/>
    <mergeCell ref="K2502:L2502"/>
    <mergeCell ref="M2502:N2502"/>
    <mergeCell ref="A2488:N2489"/>
    <mergeCell ref="A2493:N2493"/>
    <mergeCell ref="A2494:G2494"/>
    <mergeCell ref="I2494:J2494"/>
    <mergeCell ref="K2494:L2494"/>
    <mergeCell ref="M2494:N2494"/>
    <mergeCell ref="A2495:G2495"/>
    <mergeCell ref="I2495:J2495"/>
    <mergeCell ref="K2495:L2495"/>
    <mergeCell ref="M2495:N2495"/>
    <mergeCell ref="A2496:G2496"/>
    <mergeCell ref="I2496:J2496"/>
    <mergeCell ref="K2496:L2496"/>
    <mergeCell ref="M2496:N2496"/>
    <mergeCell ref="A2497:G2497"/>
    <mergeCell ref="I2497:J2497"/>
    <mergeCell ref="K2497:L2497"/>
    <mergeCell ref="M2497:N2497"/>
    <mergeCell ref="A2482:G2482"/>
    <mergeCell ref="I2482:J2482"/>
    <mergeCell ref="M2482:N2482"/>
    <mergeCell ref="A2483:G2483"/>
    <mergeCell ref="I2483:J2483"/>
    <mergeCell ref="M2483:N2483"/>
    <mergeCell ref="A2484:G2484"/>
    <mergeCell ref="I2484:J2484"/>
    <mergeCell ref="M2484:N2484"/>
    <mergeCell ref="A2485:G2485"/>
    <mergeCell ref="I2485:J2485"/>
    <mergeCell ref="M2485:N2485"/>
    <mergeCell ref="K2486:L2486"/>
    <mergeCell ref="M2486:N2486"/>
    <mergeCell ref="A2445:G2445"/>
    <mergeCell ref="I2445:J2445"/>
    <mergeCell ref="K2445:L2445"/>
    <mergeCell ref="M2445:N2445"/>
    <mergeCell ref="A2475:G2475"/>
    <mergeCell ref="I2475:J2475"/>
    <mergeCell ref="K2475:L2475"/>
    <mergeCell ref="M2475:N2475"/>
    <mergeCell ref="A2476:G2476"/>
    <mergeCell ref="I2476:J2476"/>
    <mergeCell ref="K2476:L2476"/>
    <mergeCell ref="M2476:N2476"/>
    <mergeCell ref="K2477:L2477"/>
    <mergeCell ref="M2477:N2477"/>
    <mergeCell ref="A2479:N2479"/>
    <mergeCell ref="A2480:G2480"/>
    <mergeCell ref="I2480:J2480"/>
    <mergeCell ref="M2480:N2480"/>
    <mergeCell ref="A2481:G2481"/>
    <mergeCell ref="I2481:J2481"/>
    <mergeCell ref="M2481:N2481"/>
    <mergeCell ref="A2470:N2470"/>
    <mergeCell ref="A2471:G2471"/>
    <mergeCell ref="I2471:J2471"/>
    <mergeCell ref="K2471:L2471"/>
    <mergeCell ref="M2471:N2471"/>
    <mergeCell ref="A2472:G2472"/>
    <mergeCell ref="I2472:J2472"/>
    <mergeCell ref="K2472:L2472"/>
    <mergeCell ref="M2472:N2472"/>
    <mergeCell ref="A2473:G2473"/>
    <mergeCell ref="I2473:J2473"/>
    <mergeCell ref="K2473:L2473"/>
    <mergeCell ref="M2473:N2473"/>
    <mergeCell ref="A2474:G2474"/>
    <mergeCell ref="I2474:J2474"/>
    <mergeCell ref="K2474:L2474"/>
    <mergeCell ref="M2474:N2474"/>
    <mergeCell ref="A2464:G2464"/>
    <mergeCell ref="I2464:J2464"/>
    <mergeCell ref="K2464:L2464"/>
    <mergeCell ref="M2464:N2464"/>
    <mergeCell ref="A2465:G2465"/>
    <mergeCell ref="I2465:J2465"/>
    <mergeCell ref="K2465:L2465"/>
    <mergeCell ref="M2465:N2465"/>
    <mergeCell ref="A2466:G2466"/>
    <mergeCell ref="I2466:J2466"/>
    <mergeCell ref="K2466:L2466"/>
    <mergeCell ref="M2466:N2466"/>
    <mergeCell ref="A2467:G2467"/>
    <mergeCell ref="I2467:J2467"/>
    <mergeCell ref="K2467:L2467"/>
    <mergeCell ref="M2467:N2467"/>
    <mergeCell ref="K2468:L2468"/>
    <mergeCell ref="M2468:N2468"/>
    <mergeCell ref="A2457:G2457"/>
    <mergeCell ref="I2457:J2457"/>
    <mergeCell ref="K2457:L2457"/>
    <mergeCell ref="M2457:N2457"/>
    <mergeCell ref="A2458:G2458"/>
    <mergeCell ref="I2458:J2458"/>
    <mergeCell ref="K2458:L2458"/>
    <mergeCell ref="M2458:N2458"/>
    <mergeCell ref="K2459:L2459"/>
    <mergeCell ref="M2459:N2459"/>
    <mergeCell ref="A2461:N2461"/>
    <mergeCell ref="A2462:G2462"/>
    <mergeCell ref="I2462:J2462"/>
    <mergeCell ref="K2462:L2462"/>
    <mergeCell ref="M2462:N2462"/>
    <mergeCell ref="A2463:G2463"/>
    <mergeCell ref="I2463:J2463"/>
    <mergeCell ref="K2463:L2463"/>
    <mergeCell ref="M2463:N2463"/>
    <mergeCell ref="A2455:G2455"/>
    <mergeCell ref="I2455:J2455"/>
    <mergeCell ref="K2455:L2455"/>
    <mergeCell ref="M2455:N2455"/>
    <mergeCell ref="A2456:G2456"/>
    <mergeCell ref="I2456:J2456"/>
    <mergeCell ref="K2456:L2456"/>
    <mergeCell ref="M2456:N2456"/>
    <mergeCell ref="A2452:G2452"/>
    <mergeCell ref="I2452:J2452"/>
    <mergeCell ref="K2452:L2452"/>
    <mergeCell ref="M2452:N2452"/>
    <mergeCell ref="A2453:G2453"/>
    <mergeCell ref="I2453:J2453"/>
    <mergeCell ref="K2453:L2453"/>
    <mergeCell ref="M2453:N2453"/>
    <mergeCell ref="A2454:G2454"/>
    <mergeCell ref="I2454:J2454"/>
    <mergeCell ref="K2454:L2454"/>
    <mergeCell ref="M2454:N2454"/>
    <mergeCell ref="A2451:G2451"/>
    <mergeCell ref="I2451:J2451"/>
    <mergeCell ref="K2451:L2451"/>
    <mergeCell ref="M2451:N2451"/>
    <mergeCell ref="A2444:G2444"/>
    <mergeCell ref="I2444:J2444"/>
    <mergeCell ref="K2444:L2444"/>
    <mergeCell ref="M2444:N2444"/>
    <mergeCell ref="A2446:G2446"/>
    <mergeCell ref="I2446:J2446"/>
    <mergeCell ref="K2446:L2446"/>
    <mergeCell ref="M2446:N2446"/>
    <mergeCell ref="A2447:G2447"/>
    <mergeCell ref="I2447:J2447"/>
    <mergeCell ref="K2447:L2447"/>
    <mergeCell ref="M2447:N2447"/>
    <mergeCell ref="A2448:G2448"/>
    <mergeCell ref="I2448:J2448"/>
    <mergeCell ref="K2448:L2448"/>
    <mergeCell ref="M2448:N2448"/>
    <mergeCell ref="A2449:G2449"/>
    <mergeCell ref="I2449:J2449"/>
    <mergeCell ref="K2449:L2449"/>
    <mergeCell ref="M2449:N2449"/>
    <mergeCell ref="K2433:L2433"/>
    <mergeCell ref="M2433:N2433"/>
    <mergeCell ref="A2435:N2436"/>
    <mergeCell ref="A2440:N2440"/>
    <mergeCell ref="A2441:G2441"/>
    <mergeCell ref="I2441:J2441"/>
    <mergeCell ref="K2441:L2441"/>
    <mergeCell ref="M2441:N2441"/>
    <mergeCell ref="A2442:G2442"/>
    <mergeCell ref="I2442:J2442"/>
    <mergeCell ref="K2442:L2442"/>
    <mergeCell ref="M2442:N2442"/>
    <mergeCell ref="A2443:G2443"/>
    <mergeCell ref="I2443:J2443"/>
    <mergeCell ref="K2443:L2443"/>
    <mergeCell ref="M2443:N2443"/>
    <mergeCell ref="A2450:G2450"/>
    <mergeCell ref="I2450:J2450"/>
    <mergeCell ref="K2450:L2450"/>
    <mergeCell ref="M2450:N2450"/>
    <mergeCell ref="A2426:N2426"/>
    <mergeCell ref="A2427:G2427"/>
    <mergeCell ref="I2427:J2427"/>
    <mergeCell ref="M2427:N2427"/>
    <mergeCell ref="A2428:G2428"/>
    <mergeCell ref="I2428:J2428"/>
    <mergeCell ref="M2428:N2428"/>
    <mergeCell ref="A2429:G2429"/>
    <mergeCell ref="I2429:J2429"/>
    <mergeCell ref="M2429:N2429"/>
    <mergeCell ref="A2430:G2430"/>
    <mergeCell ref="I2430:J2430"/>
    <mergeCell ref="M2430:N2430"/>
    <mergeCell ref="A2431:G2431"/>
    <mergeCell ref="I2431:J2431"/>
    <mergeCell ref="M2431:N2431"/>
    <mergeCell ref="A2432:G2432"/>
    <mergeCell ref="I2432:J2432"/>
    <mergeCell ref="M2432:N2432"/>
    <mergeCell ref="A2420:G2420"/>
    <mergeCell ref="I2420:J2420"/>
    <mergeCell ref="K2420:L2420"/>
    <mergeCell ref="M2420:N2420"/>
    <mergeCell ref="A2421:G2421"/>
    <mergeCell ref="I2421:J2421"/>
    <mergeCell ref="K2421:L2421"/>
    <mergeCell ref="M2421:N2421"/>
    <mergeCell ref="A2422:G2422"/>
    <mergeCell ref="I2422:J2422"/>
    <mergeCell ref="K2422:L2422"/>
    <mergeCell ref="M2422:N2422"/>
    <mergeCell ref="A2423:G2423"/>
    <mergeCell ref="I2423:J2423"/>
    <mergeCell ref="K2423:L2423"/>
    <mergeCell ref="M2423:N2423"/>
    <mergeCell ref="K2424:L2424"/>
    <mergeCell ref="M2424:N2424"/>
    <mergeCell ref="A2413:G2413"/>
    <mergeCell ref="I2413:J2413"/>
    <mergeCell ref="K2413:L2413"/>
    <mergeCell ref="M2413:N2413"/>
    <mergeCell ref="A2414:G2414"/>
    <mergeCell ref="I2414:J2414"/>
    <mergeCell ref="K2414:L2414"/>
    <mergeCell ref="M2414:N2414"/>
    <mergeCell ref="K2415:L2415"/>
    <mergeCell ref="M2415:N2415"/>
    <mergeCell ref="A2417:N2417"/>
    <mergeCell ref="A2418:G2418"/>
    <mergeCell ref="I2418:J2418"/>
    <mergeCell ref="K2418:L2418"/>
    <mergeCell ref="M2418:N2418"/>
    <mergeCell ref="A2419:G2419"/>
    <mergeCell ref="I2419:J2419"/>
    <mergeCell ref="K2419:L2419"/>
    <mergeCell ref="M2419:N2419"/>
    <mergeCell ref="K2406:L2406"/>
    <mergeCell ref="M2406:N2406"/>
    <mergeCell ref="A2408:N2408"/>
    <mergeCell ref="A2409:G2409"/>
    <mergeCell ref="I2409:J2409"/>
    <mergeCell ref="K2409:L2409"/>
    <mergeCell ref="M2409:N2409"/>
    <mergeCell ref="A2410:G2410"/>
    <mergeCell ref="I2410:J2410"/>
    <mergeCell ref="K2410:L2410"/>
    <mergeCell ref="M2410:N2410"/>
    <mergeCell ref="A2411:G2411"/>
    <mergeCell ref="I2411:J2411"/>
    <mergeCell ref="K2411:L2411"/>
    <mergeCell ref="M2411:N2411"/>
    <mergeCell ref="A2412:G2412"/>
    <mergeCell ref="I2412:J2412"/>
    <mergeCell ref="K2412:L2412"/>
    <mergeCell ref="M2412:N2412"/>
    <mergeCell ref="A2401:G2401"/>
    <mergeCell ref="I2401:J2401"/>
    <mergeCell ref="K2401:L2401"/>
    <mergeCell ref="M2401:N2401"/>
    <mergeCell ref="A2402:G2402"/>
    <mergeCell ref="I2402:J2402"/>
    <mergeCell ref="K2402:L2402"/>
    <mergeCell ref="M2402:N2402"/>
    <mergeCell ref="A2403:G2403"/>
    <mergeCell ref="I2403:J2403"/>
    <mergeCell ref="K2403:L2403"/>
    <mergeCell ref="M2403:N2403"/>
    <mergeCell ref="A2404:G2404"/>
    <mergeCell ref="I2404:J2404"/>
    <mergeCell ref="K2404:L2404"/>
    <mergeCell ref="M2404:N2404"/>
    <mergeCell ref="A2405:G2405"/>
    <mergeCell ref="I2405:J2405"/>
    <mergeCell ref="K2405:L2405"/>
    <mergeCell ref="M2405:N2405"/>
    <mergeCell ref="A2396:G2396"/>
    <mergeCell ref="I2396:J2396"/>
    <mergeCell ref="K2396:L2396"/>
    <mergeCell ref="M2396:N2396"/>
    <mergeCell ref="A2397:G2397"/>
    <mergeCell ref="I2397:J2397"/>
    <mergeCell ref="K2397:L2397"/>
    <mergeCell ref="M2397:N2397"/>
    <mergeCell ref="A2398:G2398"/>
    <mergeCell ref="I2398:J2398"/>
    <mergeCell ref="K2398:L2398"/>
    <mergeCell ref="M2398:N2398"/>
    <mergeCell ref="A2399:G2399"/>
    <mergeCell ref="I2399:J2399"/>
    <mergeCell ref="K2399:L2399"/>
    <mergeCell ref="M2399:N2399"/>
    <mergeCell ref="A2400:G2400"/>
    <mergeCell ref="I2400:J2400"/>
    <mergeCell ref="K2400:L2400"/>
    <mergeCell ref="M2400:N2400"/>
    <mergeCell ref="A2391:G2391"/>
    <mergeCell ref="I2391:J2391"/>
    <mergeCell ref="K2391:L2391"/>
    <mergeCell ref="M2391:N2391"/>
    <mergeCell ref="A2392:G2392"/>
    <mergeCell ref="I2392:J2392"/>
    <mergeCell ref="K2392:L2392"/>
    <mergeCell ref="M2392:N2392"/>
    <mergeCell ref="A2393:G2393"/>
    <mergeCell ref="I2393:J2393"/>
    <mergeCell ref="K2393:L2393"/>
    <mergeCell ref="M2393:N2393"/>
    <mergeCell ref="A2394:G2394"/>
    <mergeCell ref="I2394:J2394"/>
    <mergeCell ref="K2394:L2394"/>
    <mergeCell ref="M2394:N2394"/>
    <mergeCell ref="A2395:G2395"/>
    <mergeCell ref="I2395:J2395"/>
    <mergeCell ref="K2395:L2395"/>
    <mergeCell ref="M2395:N2395"/>
    <mergeCell ref="A2386:G2386"/>
    <mergeCell ref="I2386:J2386"/>
    <mergeCell ref="K2386:L2386"/>
    <mergeCell ref="M2386:N2386"/>
    <mergeCell ref="A2387:G2387"/>
    <mergeCell ref="I2387:J2387"/>
    <mergeCell ref="K2387:L2387"/>
    <mergeCell ref="M2387:N2387"/>
    <mergeCell ref="A2388:G2388"/>
    <mergeCell ref="I2388:J2388"/>
    <mergeCell ref="K2388:L2388"/>
    <mergeCell ref="M2388:N2388"/>
    <mergeCell ref="A2389:G2389"/>
    <mergeCell ref="I2389:J2389"/>
    <mergeCell ref="K2389:L2389"/>
    <mergeCell ref="M2389:N2389"/>
    <mergeCell ref="A2390:G2390"/>
    <mergeCell ref="I2390:J2390"/>
    <mergeCell ref="K2390:L2390"/>
    <mergeCell ref="M2390:N2390"/>
    <mergeCell ref="K2381:L2381"/>
    <mergeCell ref="M2381:N2381"/>
    <mergeCell ref="A2382:G2382"/>
    <mergeCell ref="I2382:J2382"/>
    <mergeCell ref="K2382:L2382"/>
    <mergeCell ref="M2382:N2382"/>
    <mergeCell ref="A2383:G2383"/>
    <mergeCell ref="I2383:J2383"/>
    <mergeCell ref="K2383:L2383"/>
    <mergeCell ref="M2383:N2383"/>
    <mergeCell ref="A2384:G2384"/>
    <mergeCell ref="I2384:J2384"/>
    <mergeCell ref="K2384:L2384"/>
    <mergeCell ref="M2384:N2384"/>
    <mergeCell ref="A2385:G2385"/>
    <mergeCell ref="I2385:J2385"/>
    <mergeCell ref="K2385:L2385"/>
    <mergeCell ref="M2385:N2385"/>
    <mergeCell ref="A1577:N1577"/>
    <mergeCell ref="A1578:G1578"/>
    <mergeCell ref="I1578:J1578"/>
    <mergeCell ref="M1578:N1578"/>
    <mergeCell ref="A1579:G1579"/>
    <mergeCell ref="M1579:N1579"/>
    <mergeCell ref="M1580:N1580"/>
    <mergeCell ref="A1580:G1580"/>
    <mergeCell ref="A1581:G1581"/>
    <mergeCell ref="A1582:G1582"/>
    <mergeCell ref="A1583:G1583"/>
    <mergeCell ref="A1568:N1568"/>
    <mergeCell ref="A1569:G1569"/>
    <mergeCell ref="I1569:J1569"/>
    <mergeCell ref="K1569:L1569"/>
    <mergeCell ref="M1569:N1569"/>
    <mergeCell ref="A1570:G1570"/>
    <mergeCell ref="A1571:G1571"/>
    <mergeCell ref="A1572:G1572"/>
    <mergeCell ref="I1572:J1572"/>
    <mergeCell ref="K1572:L1572"/>
    <mergeCell ref="M1572:N1572"/>
    <mergeCell ref="I1573:J1573"/>
    <mergeCell ref="K1573:L1573"/>
    <mergeCell ref="M1573:N1573"/>
    <mergeCell ref="A1573:G1573"/>
    <mergeCell ref="A1574:G1574"/>
    <mergeCell ref="I1574:J1574"/>
    <mergeCell ref="M1582:N1582"/>
    <mergeCell ref="I1583:J1583"/>
    <mergeCell ref="K1584:L1584"/>
    <mergeCell ref="M1584:N1584"/>
    <mergeCell ref="A1563:G1563"/>
    <mergeCell ref="I1563:J1563"/>
    <mergeCell ref="K1563:L1563"/>
    <mergeCell ref="M1563:N1563"/>
    <mergeCell ref="I1564:J1564"/>
    <mergeCell ref="K1564:L1564"/>
    <mergeCell ref="M1564:N1564"/>
    <mergeCell ref="A1564:G1564"/>
    <mergeCell ref="A1565:G1565"/>
    <mergeCell ref="I1565:J1565"/>
    <mergeCell ref="K1565:L1565"/>
    <mergeCell ref="M1565:N1565"/>
    <mergeCell ref="K1566:L1566"/>
    <mergeCell ref="M1566:N1566"/>
    <mergeCell ref="K1570:L1570"/>
    <mergeCell ref="M1570:N1570"/>
    <mergeCell ref="M1583:N1583"/>
    <mergeCell ref="I1570:J1570"/>
    <mergeCell ref="I1571:J1571"/>
    <mergeCell ref="K1571:L1571"/>
    <mergeCell ref="M1571:N1571"/>
    <mergeCell ref="K1574:L1574"/>
    <mergeCell ref="M1574:N1574"/>
    <mergeCell ref="K1575:L1575"/>
    <mergeCell ref="M1575:N1575"/>
    <mergeCell ref="I1579:J1579"/>
    <mergeCell ref="I1580:J1580"/>
    <mergeCell ref="I1581:J1581"/>
    <mergeCell ref="M1581:N1581"/>
    <mergeCell ref="I1582:J1582"/>
    <mergeCell ref="A1556:G1556"/>
    <mergeCell ref="I1556:J1556"/>
    <mergeCell ref="K1556:L1556"/>
    <mergeCell ref="M1556:N1556"/>
    <mergeCell ref="K1557:L1557"/>
    <mergeCell ref="M1557:N1557"/>
    <mergeCell ref="K1561:L1561"/>
    <mergeCell ref="M1561:N1561"/>
    <mergeCell ref="I1561:J1561"/>
    <mergeCell ref="I1562:J1562"/>
    <mergeCell ref="K1562:L1562"/>
    <mergeCell ref="M1562:N1562"/>
    <mergeCell ref="A1559:N1559"/>
    <mergeCell ref="A1560:G1560"/>
    <mergeCell ref="I1560:J1560"/>
    <mergeCell ref="K1560:L1560"/>
    <mergeCell ref="M1560:N1560"/>
    <mergeCell ref="A1561:G1561"/>
    <mergeCell ref="A1562:G1562"/>
    <mergeCell ref="A1554:G1554"/>
    <mergeCell ref="I1554:J1554"/>
    <mergeCell ref="K1554:L1554"/>
    <mergeCell ref="M1554:N1554"/>
    <mergeCell ref="M1555:N1555"/>
    <mergeCell ref="A1555:G1555"/>
    <mergeCell ref="I1555:J1555"/>
    <mergeCell ref="K1555:L1555"/>
    <mergeCell ref="K1553:L1553"/>
    <mergeCell ref="M1553:N1553"/>
    <mergeCell ref="A1546:N1547"/>
    <mergeCell ref="A1551:N1551"/>
    <mergeCell ref="A1552:G1552"/>
    <mergeCell ref="A1553:G1553"/>
    <mergeCell ref="K1552:L1552"/>
    <mergeCell ref="M1552:N1552"/>
    <mergeCell ref="I1552:J1552"/>
    <mergeCell ref="I1553:J1553"/>
    <mergeCell ref="M1543:N1543"/>
    <mergeCell ref="K1544:L1544"/>
    <mergeCell ref="M1544:N1544"/>
    <mergeCell ref="I1539:J1539"/>
    <mergeCell ref="I1540:J1540"/>
    <mergeCell ref="I1541:J1541"/>
    <mergeCell ref="M1541:N1541"/>
    <mergeCell ref="I1542:J1542"/>
    <mergeCell ref="M1542:N1542"/>
    <mergeCell ref="I1543:J1543"/>
    <mergeCell ref="M1539:N1539"/>
    <mergeCell ref="M1540:N1540"/>
    <mergeCell ref="I1530:J1530"/>
    <mergeCell ref="I1531:J1531"/>
    <mergeCell ref="K1531:L1531"/>
    <mergeCell ref="M1531:N1531"/>
    <mergeCell ref="A1528:N1528"/>
    <mergeCell ref="A1529:G1529"/>
    <mergeCell ref="I1529:J1529"/>
    <mergeCell ref="K1529:L1529"/>
    <mergeCell ref="M1529:N1529"/>
    <mergeCell ref="A1530:G1530"/>
    <mergeCell ref="A1531:G1531"/>
    <mergeCell ref="A1532:G1532"/>
    <mergeCell ref="I1532:J1532"/>
    <mergeCell ref="K1532:L1532"/>
    <mergeCell ref="M1532:N1532"/>
    <mergeCell ref="I1533:J1533"/>
    <mergeCell ref="K1533:L1533"/>
    <mergeCell ref="M1533:N1533"/>
    <mergeCell ref="A1533:G1533"/>
    <mergeCell ref="A1534:G1534"/>
    <mergeCell ref="A1539:G1539"/>
    <mergeCell ref="A1540:G1540"/>
    <mergeCell ref="A1541:G1541"/>
    <mergeCell ref="A1542:G1542"/>
    <mergeCell ref="A1543:G1543"/>
    <mergeCell ref="K1526:L1526"/>
    <mergeCell ref="K1520:L1520"/>
    <mergeCell ref="M1520:N1520"/>
    <mergeCell ref="I1520:J1520"/>
    <mergeCell ref="I1521:J1521"/>
    <mergeCell ref="K1521:L1521"/>
    <mergeCell ref="A1514:G1514"/>
    <mergeCell ref="I1514:J1514"/>
    <mergeCell ref="K1514:L1514"/>
    <mergeCell ref="M1514:N1514"/>
    <mergeCell ref="A1515:G1515"/>
    <mergeCell ref="A1516:G1516"/>
    <mergeCell ref="I1523:J1523"/>
    <mergeCell ref="K1523:L1523"/>
    <mergeCell ref="M1523:N1523"/>
    <mergeCell ref="K1525:L1525"/>
    <mergeCell ref="M1525:N1525"/>
    <mergeCell ref="I1534:J1534"/>
    <mergeCell ref="K1534:L1534"/>
    <mergeCell ref="M1534:N1534"/>
    <mergeCell ref="K1535:L1535"/>
    <mergeCell ref="M1535:N1535"/>
    <mergeCell ref="A1520:G1520"/>
    <mergeCell ref="A1521:G1521"/>
    <mergeCell ref="A1522:G1522"/>
    <mergeCell ref="I1522:J1522"/>
    <mergeCell ref="K1522:L1522"/>
    <mergeCell ref="A1509:N1509"/>
    <mergeCell ref="A1510:G1510"/>
    <mergeCell ref="K1510:L1510"/>
    <mergeCell ref="M1510:N1510"/>
    <mergeCell ref="A1511:G1511"/>
    <mergeCell ref="K1515:L1515"/>
    <mergeCell ref="M1515:N1515"/>
    <mergeCell ref="I1515:J1515"/>
    <mergeCell ref="I1516:J1516"/>
    <mergeCell ref="M1521:N1521"/>
    <mergeCell ref="K1516:L1516"/>
    <mergeCell ref="M1516:N1516"/>
    <mergeCell ref="K1517:L1517"/>
    <mergeCell ref="M1517:N1517"/>
    <mergeCell ref="A1519:N1519"/>
    <mergeCell ref="A1537:N1537"/>
    <mergeCell ref="A1538:G1538"/>
    <mergeCell ref="I1538:J1538"/>
    <mergeCell ref="M1538:N1538"/>
    <mergeCell ref="M1522:N1522"/>
    <mergeCell ref="M1526:N1526"/>
    <mergeCell ref="A1523:G1523"/>
    <mergeCell ref="A1524:G1524"/>
    <mergeCell ref="I1524:J1524"/>
    <mergeCell ref="K1524:L1524"/>
    <mergeCell ref="M1524:N1524"/>
    <mergeCell ref="A1525:G1525"/>
    <mergeCell ref="I1525:J1525"/>
    <mergeCell ref="K1530:L1530"/>
    <mergeCell ref="M1530:N1530"/>
    <mergeCell ref="A1492:G1492"/>
    <mergeCell ref="I1492:J1492"/>
    <mergeCell ref="A1498:G1498"/>
    <mergeCell ref="A1499:G1499"/>
    <mergeCell ref="I1499:J1499"/>
    <mergeCell ref="M1499:N1499"/>
    <mergeCell ref="A1500:G1500"/>
    <mergeCell ref="M1500:N1500"/>
    <mergeCell ref="M1501:N1501"/>
    <mergeCell ref="A1501:G1501"/>
    <mergeCell ref="A1512:G1512"/>
    <mergeCell ref="I1512:J1512"/>
    <mergeCell ref="K1512:L1512"/>
    <mergeCell ref="M1512:N1512"/>
    <mergeCell ref="I1513:J1513"/>
    <mergeCell ref="K1513:L1513"/>
    <mergeCell ref="M1513:N1513"/>
    <mergeCell ref="A1513:G1513"/>
    <mergeCell ref="I1497:J1497"/>
    <mergeCell ref="I1498:J1498"/>
    <mergeCell ref="A1495:N1495"/>
    <mergeCell ref="A1496:G1496"/>
    <mergeCell ref="I1496:J1496"/>
    <mergeCell ref="M1496:N1496"/>
    <mergeCell ref="A1497:G1497"/>
    <mergeCell ref="M1497:N1497"/>
    <mergeCell ref="M1498:N1498"/>
    <mergeCell ref="I1510:J1510"/>
    <mergeCell ref="I1511:J1511"/>
    <mergeCell ref="K1511:L1511"/>
    <mergeCell ref="M1511:N1511"/>
    <mergeCell ref="A1504:N1505"/>
    <mergeCell ref="M1481:N1481"/>
    <mergeCell ref="M1482:N1482"/>
    <mergeCell ref="I1489:J1489"/>
    <mergeCell ref="K1489:L1489"/>
    <mergeCell ref="M1489:N1489"/>
    <mergeCell ref="A1486:N1486"/>
    <mergeCell ref="A1487:G1487"/>
    <mergeCell ref="I1487:J1487"/>
    <mergeCell ref="K1487:L1487"/>
    <mergeCell ref="M1487:N1487"/>
    <mergeCell ref="A1488:G1488"/>
    <mergeCell ref="A1489:G1489"/>
    <mergeCell ref="A1490:G1490"/>
    <mergeCell ref="I1490:J1490"/>
    <mergeCell ref="K1490:L1490"/>
    <mergeCell ref="M1490:N1490"/>
    <mergeCell ref="I1491:J1491"/>
    <mergeCell ref="K1491:L1491"/>
    <mergeCell ref="M1491:N1491"/>
    <mergeCell ref="A1491:G1491"/>
    <mergeCell ref="K1484:L1484"/>
    <mergeCell ref="M1484:N1484"/>
    <mergeCell ref="K1488:L1488"/>
    <mergeCell ref="M1488:N1488"/>
    <mergeCell ref="I1488:J1488"/>
    <mergeCell ref="A1483:G1483"/>
    <mergeCell ref="I1483:J1483"/>
    <mergeCell ref="K1483:L1483"/>
    <mergeCell ref="M1483:N1483"/>
    <mergeCell ref="K1475:L1475"/>
    <mergeCell ref="M1475:N1475"/>
    <mergeCell ref="I1471:J1471"/>
    <mergeCell ref="I1472:J1472"/>
    <mergeCell ref="K1472:L1472"/>
    <mergeCell ref="M1472:N1472"/>
    <mergeCell ref="I1473:J1473"/>
    <mergeCell ref="K1473:L1473"/>
    <mergeCell ref="M1473:N1473"/>
    <mergeCell ref="I1474:J1474"/>
    <mergeCell ref="K1474:L1474"/>
    <mergeCell ref="M1474:N1474"/>
    <mergeCell ref="A1477:N1477"/>
    <mergeCell ref="I1478:J1478"/>
    <mergeCell ref="K1478:L1478"/>
    <mergeCell ref="M1478:N1478"/>
    <mergeCell ref="A1478:G1478"/>
    <mergeCell ref="A1479:G1479"/>
    <mergeCell ref="M1470:N1470"/>
    <mergeCell ref="K1471:L1471"/>
    <mergeCell ref="M1471:N1471"/>
    <mergeCell ref="I1447:J1447"/>
    <mergeCell ref="I1448:J1448"/>
    <mergeCell ref="K1448:L1448"/>
    <mergeCell ref="M1448:N1448"/>
    <mergeCell ref="A1468:N1468"/>
    <mergeCell ref="M1469:N1469"/>
    <mergeCell ref="A1469:G1469"/>
    <mergeCell ref="A1470:G1470"/>
    <mergeCell ref="A1471:G1471"/>
    <mergeCell ref="A1472:G1472"/>
    <mergeCell ref="A1473:G1473"/>
    <mergeCell ref="A1474:G1474"/>
    <mergeCell ref="A1482:G1482"/>
    <mergeCell ref="I1479:J1479"/>
    <mergeCell ref="K1479:L1479"/>
    <mergeCell ref="M1479:N1479"/>
    <mergeCell ref="A1480:G1480"/>
    <mergeCell ref="I1480:J1480"/>
    <mergeCell ref="I1482:J1482"/>
    <mergeCell ref="K1482:L1482"/>
    <mergeCell ref="K1480:L1480"/>
    <mergeCell ref="M1480:N1480"/>
    <mergeCell ref="A1481:G1481"/>
    <mergeCell ref="I1481:J1481"/>
    <mergeCell ref="K1481:L1481"/>
    <mergeCell ref="A1456:G1456"/>
    <mergeCell ref="M1456:N1456"/>
    <mergeCell ref="M1457:N1457"/>
    <mergeCell ref="A1457:G1457"/>
    <mergeCell ref="A1458:G1458"/>
    <mergeCell ref="A1459:G1459"/>
    <mergeCell ref="A1460:G1460"/>
    <mergeCell ref="A1463:N1464"/>
    <mergeCell ref="K1492:L1492"/>
    <mergeCell ref="M1492:N1492"/>
    <mergeCell ref="K1493:L1493"/>
    <mergeCell ref="M1493:N1493"/>
    <mergeCell ref="I1500:J1500"/>
    <mergeCell ref="I1501:J1501"/>
    <mergeCell ref="K1502:L1502"/>
    <mergeCell ref="M1502:N1502"/>
    <mergeCell ref="K1447:L1447"/>
    <mergeCell ref="M1447:N1447"/>
    <mergeCell ref="M1460:N1460"/>
    <mergeCell ref="K1461:L1461"/>
    <mergeCell ref="M1461:N1461"/>
    <mergeCell ref="I1456:J1456"/>
    <mergeCell ref="I1457:J1457"/>
    <mergeCell ref="I1458:J1458"/>
    <mergeCell ref="M1458:N1458"/>
    <mergeCell ref="I1459:J1459"/>
    <mergeCell ref="M1459:N1459"/>
    <mergeCell ref="I1460:J1460"/>
    <mergeCell ref="I1469:J1469"/>
    <mergeCell ref="K1469:L1469"/>
    <mergeCell ref="I1470:J1470"/>
    <mergeCell ref="K1470:L1470"/>
    <mergeCell ref="A1449:G1449"/>
    <mergeCell ref="I1449:J1449"/>
    <mergeCell ref="K1449:L1449"/>
    <mergeCell ref="M1449:N1449"/>
    <mergeCell ref="I1450:J1450"/>
    <mergeCell ref="K1450:L1450"/>
    <mergeCell ref="M1450:N1450"/>
    <mergeCell ref="A1450:G1450"/>
    <mergeCell ref="A1451:G1451"/>
    <mergeCell ref="I1451:J1451"/>
    <mergeCell ref="K1451:L1451"/>
    <mergeCell ref="M1451:N1451"/>
    <mergeCell ref="K1452:L1452"/>
    <mergeCell ref="M1452:N1452"/>
    <mergeCell ref="A1454:N1454"/>
    <mergeCell ref="A1455:G1455"/>
    <mergeCell ref="I1455:J1455"/>
    <mergeCell ref="M1455:N1455"/>
    <mergeCell ref="I1441:J1441"/>
    <mergeCell ref="K1441:L1441"/>
    <mergeCell ref="M1441:N1441"/>
    <mergeCell ref="A1441:G1441"/>
    <mergeCell ref="A1442:G1442"/>
    <mergeCell ref="I1442:J1442"/>
    <mergeCell ref="K1442:L1442"/>
    <mergeCell ref="M1442:N1442"/>
    <mergeCell ref="K1443:L1443"/>
    <mergeCell ref="M1443:N1443"/>
    <mergeCell ref="A1445:N1445"/>
    <mergeCell ref="A1446:G1446"/>
    <mergeCell ref="I1446:J1446"/>
    <mergeCell ref="K1446:L1446"/>
    <mergeCell ref="M1446:N1446"/>
    <mergeCell ref="A1447:G1447"/>
    <mergeCell ref="A1448:G1448"/>
    <mergeCell ref="K1438:L1438"/>
    <mergeCell ref="M1438:N1438"/>
    <mergeCell ref="I1438:J1438"/>
    <mergeCell ref="I1439:J1439"/>
    <mergeCell ref="K1439:L1439"/>
    <mergeCell ref="M1439:N1439"/>
    <mergeCell ref="A1436:N1436"/>
    <mergeCell ref="A1437:G1437"/>
    <mergeCell ref="I1437:J1437"/>
    <mergeCell ref="K1437:L1437"/>
    <mergeCell ref="M1437:N1437"/>
    <mergeCell ref="A1438:G1438"/>
    <mergeCell ref="A1439:G1439"/>
    <mergeCell ref="A1440:G1440"/>
    <mergeCell ref="I1440:J1440"/>
    <mergeCell ref="K1440:L1440"/>
    <mergeCell ref="M1440:N1440"/>
    <mergeCell ref="K1407:L1407"/>
    <mergeCell ref="M1407:N1407"/>
    <mergeCell ref="A1412:G1412"/>
    <mergeCell ref="A1413:G1413"/>
    <mergeCell ref="A1414:G1414"/>
    <mergeCell ref="A1415:G1415"/>
    <mergeCell ref="A1409:N1409"/>
    <mergeCell ref="A1410:G1410"/>
    <mergeCell ref="I1410:J1410"/>
    <mergeCell ref="M1410:N1410"/>
    <mergeCell ref="A1411:G1411"/>
    <mergeCell ref="M1411:N1411"/>
    <mergeCell ref="A1433:G1433"/>
    <mergeCell ref="I1433:J1433"/>
    <mergeCell ref="K1433:L1433"/>
    <mergeCell ref="M1433:N1433"/>
    <mergeCell ref="K1434:L1434"/>
    <mergeCell ref="M1434:N1434"/>
    <mergeCell ref="I1411:J1411"/>
    <mergeCell ref="I1412:J1412"/>
    <mergeCell ref="I1413:J1413"/>
    <mergeCell ref="M1413:N1413"/>
    <mergeCell ref="I1414:J1414"/>
    <mergeCell ref="M1414:N1414"/>
    <mergeCell ref="I1415:J1415"/>
    <mergeCell ref="K1424:L1424"/>
    <mergeCell ref="M1424:N1424"/>
    <mergeCell ref="I1424:J1424"/>
    <mergeCell ref="I1425:J1425"/>
    <mergeCell ref="K1425:L1425"/>
    <mergeCell ref="M1425:N1425"/>
    <mergeCell ref="M1415:N1415"/>
    <mergeCell ref="K1416:L1416"/>
    <mergeCell ref="M1416:N1416"/>
    <mergeCell ref="A1418:N1419"/>
    <mergeCell ref="A1423:N1423"/>
    <mergeCell ref="A1424:G1424"/>
    <mergeCell ref="A1425:G1425"/>
    <mergeCell ref="I1432:J1432"/>
    <mergeCell ref="K1432:L1432"/>
    <mergeCell ref="I1429:J1429"/>
    <mergeCell ref="I1430:J1430"/>
    <mergeCell ref="A1431:G1431"/>
    <mergeCell ref="I1431:J1431"/>
    <mergeCell ref="K1431:L1431"/>
    <mergeCell ref="M1431:N1431"/>
    <mergeCell ref="M1432:N1432"/>
    <mergeCell ref="A1426:G1426"/>
    <mergeCell ref="I1426:J1426"/>
    <mergeCell ref="K1426:L1426"/>
    <mergeCell ref="M1426:N1426"/>
    <mergeCell ref="I1427:J1427"/>
    <mergeCell ref="K1427:L1427"/>
    <mergeCell ref="M1427:N1427"/>
    <mergeCell ref="K1430:L1430"/>
    <mergeCell ref="M1430:N1430"/>
    <mergeCell ref="A1427:G1427"/>
    <mergeCell ref="A1428:G1428"/>
    <mergeCell ref="I1428:J1428"/>
    <mergeCell ref="K1428:L1428"/>
    <mergeCell ref="M1428:N1428"/>
    <mergeCell ref="A1429:G1429"/>
    <mergeCell ref="A1430:G1430"/>
    <mergeCell ref="K1429:L1429"/>
    <mergeCell ref="M1429:N1429"/>
    <mergeCell ref="A1432:G1432"/>
    <mergeCell ref="A1357:G1357"/>
    <mergeCell ref="A1358:G1358"/>
    <mergeCell ref="A1395:G1395"/>
    <mergeCell ref="I1395:J1395"/>
    <mergeCell ref="K1395:L1395"/>
    <mergeCell ref="M1395:N1395"/>
    <mergeCell ref="I1396:J1396"/>
    <mergeCell ref="K1396:L1396"/>
    <mergeCell ref="M1396:N1396"/>
    <mergeCell ref="A1396:G1396"/>
    <mergeCell ref="A1397:G1397"/>
    <mergeCell ref="I1397:J1397"/>
    <mergeCell ref="K1397:L1397"/>
    <mergeCell ref="M1397:N1397"/>
    <mergeCell ref="K1344:L1344"/>
    <mergeCell ref="M1344:N1344"/>
    <mergeCell ref="K1348:L1348"/>
    <mergeCell ref="M1348:N1348"/>
    <mergeCell ref="M1412:N1412"/>
    <mergeCell ref="M1398:N1398"/>
    <mergeCell ref="K1402:L1402"/>
    <mergeCell ref="M1402:N1402"/>
    <mergeCell ref="I1402:J1402"/>
    <mergeCell ref="I1403:J1403"/>
    <mergeCell ref="K1403:L1403"/>
    <mergeCell ref="M1403:N1403"/>
    <mergeCell ref="A1400:N1400"/>
    <mergeCell ref="A1401:G1401"/>
    <mergeCell ref="I1401:J1401"/>
    <mergeCell ref="K1401:L1401"/>
    <mergeCell ref="K1316:L1316"/>
    <mergeCell ref="M1316:N1316"/>
    <mergeCell ref="K1317:L1317"/>
    <mergeCell ref="M1317:N1317"/>
    <mergeCell ref="A1319:N1319"/>
    <mergeCell ref="I1320:J1320"/>
    <mergeCell ref="M1320:N1320"/>
    <mergeCell ref="A1320:G1320"/>
    <mergeCell ref="A1321:G1321"/>
    <mergeCell ref="I1321:J1321"/>
    <mergeCell ref="M1321:N1321"/>
    <mergeCell ref="A1322:G1322"/>
    <mergeCell ref="M1322:N1322"/>
    <mergeCell ref="A1323:G1323"/>
    <mergeCell ref="M1323:N1323"/>
    <mergeCell ref="I1335:J1335"/>
    <mergeCell ref="K1335:L1335"/>
    <mergeCell ref="A1328:N1329"/>
    <mergeCell ref="A1333:N1333"/>
    <mergeCell ref="A1334:G1334"/>
    <mergeCell ref="I1334:J1334"/>
    <mergeCell ref="K1334:L1334"/>
    <mergeCell ref="M1334:N1334"/>
    <mergeCell ref="M1335:N1335"/>
    <mergeCell ref="I1325:J1325"/>
    <mergeCell ref="I1405:J1405"/>
    <mergeCell ref="K1405:L1405"/>
    <mergeCell ref="M1405:N1405"/>
    <mergeCell ref="A1405:G1405"/>
    <mergeCell ref="A1406:G1406"/>
    <mergeCell ref="I1406:J1406"/>
    <mergeCell ref="K1406:L1406"/>
    <mergeCell ref="M1406:N1406"/>
    <mergeCell ref="A1404:G1404"/>
    <mergeCell ref="I1404:J1404"/>
    <mergeCell ref="K1404:L1404"/>
    <mergeCell ref="I1394:J1394"/>
    <mergeCell ref="K1394:L1394"/>
    <mergeCell ref="M1394:N1394"/>
    <mergeCell ref="A1391:N1391"/>
    <mergeCell ref="A1392:G1392"/>
    <mergeCell ref="I1392:J1392"/>
    <mergeCell ref="K1392:L1392"/>
    <mergeCell ref="M1392:N1392"/>
    <mergeCell ref="A1393:G1393"/>
    <mergeCell ref="A1394:G1394"/>
    <mergeCell ref="K1393:L1393"/>
    <mergeCell ref="M1393:N1393"/>
    <mergeCell ref="I1393:J1393"/>
    <mergeCell ref="K1398:L1398"/>
    <mergeCell ref="M1401:N1401"/>
    <mergeCell ref="A1402:G1402"/>
    <mergeCell ref="A1403:G1403"/>
    <mergeCell ref="M1404:N1404"/>
    <mergeCell ref="K1340:L1340"/>
    <mergeCell ref="M1340:N1340"/>
    <mergeCell ref="A1340:G1340"/>
    <mergeCell ref="A1341:G1341"/>
    <mergeCell ref="I1341:J1341"/>
    <mergeCell ref="K1341:L1341"/>
    <mergeCell ref="M1341:N1341"/>
    <mergeCell ref="A1342:G1342"/>
    <mergeCell ref="K1358:L1358"/>
    <mergeCell ref="M1358:N1358"/>
    <mergeCell ref="A1355:N1355"/>
    <mergeCell ref="A1356:G1356"/>
    <mergeCell ref="I1356:J1356"/>
    <mergeCell ref="K1356:L1356"/>
    <mergeCell ref="M1356:N1356"/>
    <mergeCell ref="M1350:N1350"/>
    <mergeCell ref="I1351:J1351"/>
    <mergeCell ref="K1351:L1351"/>
    <mergeCell ref="M1351:N1351"/>
    <mergeCell ref="A1351:G1351"/>
    <mergeCell ref="A1352:G1352"/>
    <mergeCell ref="I1352:J1352"/>
    <mergeCell ref="K1352:L1352"/>
    <mergeCell ref="M1352:N1352"/>
    <mergeCell ref="K1353:L1353"/>
    <mergeCell ref="M1353:N1353"/>
    <mergeCell ref="K1357:L1357"/>
    <mergeCell ref="M1381:N1381"/>
    <mergeCell ref="A1343:G1343"/>
    <mergeCell ref="I1337:J1337"/>
    <mergeCell ref="I1338:J1338"/>
    <mergeCell ref="K1338:L1338"/>
    <mergeCell ref="M1338:N1338"/>
    <mergeCell ref="A1335:G1335"/>
    <mergeCell ref="A1336:G1336"/>
    <mergeCell ref="I1336:J1336"/>
    <mergeCell ref="K1336:L1336"/>
    <mergeCell ref="M1336:N1336"/>
    <mergeCell ref="A1337:G1337"/>
    <mergeCell ref="A1338:G1338"/>
    <mergeCell ref="K1342:L1342"/>
    <mergeCell ref="M1342:N1342"/>
    <mergeCell ref="I1342:J1342"/>
    <mergeCell ref="I1343:J1343"/>
    <mergeCell ref="K1343:L1343"/>
    <mergeCell ref="M1343:N1343"/>
    <mergeCell ref="K1337:L1337"/>
    <mergeCell ref="M1337:N1337"/>
    <mergeCell ref="A1339:G1339"/>
    <mergeCell ref="I1339:J1339"/>
    <mergeCell ref="K1339:L1339"/>
    <mergeCell ref="M1339:N1339"/>
    <mergeCell ref="I1340:J1340"/>
    <mergeCell ref="I1360:J1360"/>
    <mergeCell ref="K1360:L1360"/>
    <mergeCell ref="I1357:J1357"/>
    <mergeCell ref="I1358:J1358"/>
    <mergeCell ref="A1359:G1359"/>
    <mergeCell ref="I1359:J1359"/>
    <mergeCell ref="K1272:L1272"/>
    <mergeCell ref="M1272:N1272"/>
    <mergeCell ref="I1268:J1268"/>
    <mergeCell ref="I1269:J1269"/>
    <mergeCell ref="K1269:L1269"/>
    <mergeCell ref="M1269:N1269"/>
    <mergeCell ref="I1270:J1270"/>
    <mergeCell ref="K1270:L1270"/>
    <mergeCell ref="M1270:N1270"/>
    <mergeCell ref="I1275:J1275"/>
    <mergeCell ref="I1303:J1303"/>
    <mergeCell ref="K1303:L1303"/>
    <mergeCell ref="I1304:J1304"/>
    <mergeCell ref="K1304:L1304"/>
    <mergeCell ref="M1304:N1304"/>
    <mergeCell ref="K1305:L1305"/>
    <mergeCell ref="M1305:N1305"/>
    <mergeCell ref="I1305:J1305"/>
    <mergeCell ref="I1298:J1298"/>
    <mergeCell ref="K1298:L1298"/>
    <mergeCell ref="K1299:L1299"/>
    <mergeCell ref="M1299:N1299"/>
    <mergeCell ref="K1290:L1290"/>
    <mergeCell ref="M1290:N1290"/>
    <mergeCell ref="A1274:N1274"/>
    <mergeCell ref="A1275:G1275"/>
    <mergeCell ref="M1275:N1275"/>
    <mergeCell ref="M1276:N1276"/>
    <mergeCell ref="M1292:N1292"/>
    <mergeCell ref="I1293:J1293"/>
    <mergeCell ref="K1293:L1293"/>
    <mergeCell ref="M1293:N1293"/>
    <mergeCell ref="A1266:G1266"/>
    <mergeCell ref="A1267:G1267"/>
    <mergeCell ref="A1268:G1268"/>
    <mergeCell ref="A1269:G1269"/>
    <mergeCell ref="A1270:G1270"/>
    <mergeCell ref="A1271:G1271"/>
    <mergeCell ref="I1262:J1262"/>
    <mergeCell ref="K1262:L1262"/>
    <mergeCell ref="M1262:N1262"/>
    <mergeCell ref="K1263:L1263"/>
    <mergeCell ref="M1263:N1263"/>
    <mergeCell ref="A1265:N1265"/>
    <mergeCell ref="M1266:N1266"/>
    <mergeCell ref="I1266:J1266"/>
    <mergeCell ref="K1266:L1266"/>
    <mergeCell ref="I1267:J1267"/>
    <mergeCell ref="K1267:L1267"/>
    <mergeCell ref="M1267:N1267"/>
    <mergeCell ref="K1268:L1268"/>
    <mergeCell ref="M1268:N1268"/>
    <mergeCell ref="I1271:J1271"/>
    <mergeCell ref="K1271:L1271"/>
    <mergeCell ref="M1271:N1271"/>
    <mergeCell ref="A1258:G1258"/>
    <mergeCell ref="A1259:G1259"/>
    <mergeCell ref="A1260:G1260"/>
    <mergeCell ref="A1261:G1261"/>
    <mergeCell ref="A1262:G1262"/>
    <mergeCell ref="A1252:G1252"/>
    <mergeCell ref="A1253:G1253"/>
    <mergeCell ref="I1253:J1253"/>
    <mergeCell ref="K1253:L1253"/>
    <mergeCell ref="M1253:N1253"/>
    <mergeCell ref="A1256:N1256"/>
    <mergeCell ref="M1257:N1257"/>
    <mergeCell ref="I1257:J1257"/>
    <mergeCell ref="K1257:L1257"/>
    <mergeCell ref="I1258:J1258"/>
    <mergeCell ref="K1258:L1258"/>
    <mergeCell ref="M1258:N1258"/>
    <mergeCell ref="K1259:L1259"/>
    <mergeCell ref="M1259:N1259"/>
    <mergeCell ref="I1259:J1259"/>
    <mergeCell ref="I1260:J1260"/>
    <mergeCell ref="K1260:L1260"/>
    <mergeCell ref="M1260:N1260"/>
    <mergeCell ref="I1261:J1261"/>
    <mergeCell ref="K1261:L1261"/>
    <mergeCell ref="M1261:N1261"/>
    <mergeCell ref="A1293:G1293"/>
    <mergeCell ref="A1294:G1294"/>
    <mergeCell ref="I1294:J1294"/>
    <mergeCell ref="K1294:L1294"/>
    <mergeCell ref="M1294:N1294"/>
    <mergeCell ref="A1295:G1295"/>
    <mergeCell ref="A1296:G1296"/>
    <mergeCell ref="I1306:J1306"/>
    <mergeCell ref="K1306:L1306"/>
    <mergeCell ref="M1306:N1306"/>
    <mergeCell ref="I1307:J1307"/>
    <mergeCell ref="K1307:L1307"/>
    <mergeCell ref="M1307:N1307"/>
    <mergeCell ref="I1311:J1311"/>
    <mergeCell ref="I1312:J1312"/>
    <mergeCell ref="K1312:L1312"/>
    <mergeCell ref="I1278:J1278"/>
    <mergeCell ref="I1279:J1279"/>
    <mergeCell ref="A1290:G1290"/>
    <mergeCell ref="A1291:G1291"/>
    <mergeCell ref="K1295:L1295"/>
    <mergeCell ref="M1295:N1295"/>
    <mergeCell ref="I1295:J1295"/>
    <mergeCell ref="I1296:J1296"/>
    <mergeCell ref="K1296:L1296"/>
    <mergeCell ref="M1296:N1296"/>
    <mergeCell ref="A1279:G1279"/>
    <mergeCell ref="A1280:G1280"/>
    <mergeCell ref="I1280:J1280"/>
    <mergeCell ref="M1280:N1280"/>
    <mergeCell ref="K1281:L1281"/>
    <mergeCell ref="M1281:N1281"/>
    <mergeCell ref="K1359:L1359"/>
    <mergeCell ref="M1359:N1359"/>
    <mergeCell ref="M1360:N1360"/>
    <mergeCell ref="I1348:J1348"/>
    <mergeCell ref="I1349:J1349"/>
    <mergeCell ref="K1349:L1349"/>
    <mergeCell ref="M1349:N1349"/>
    <mergeCell ref="A1346:N1346"/>
    <mergeCell ref="A1347:G1347"/>
    <mergeCell ref="I1347:J1347"/>
    <mergeCell ref="K1347:L1347"/>
    <mergeCell ref="M1347:N1347"/>
    <mergeCell ref="A1348:G1348"/>
    <mergeCell ref="A1349:G1349"/>
    <mergeCell ref="A1350:G1350"/>
    <mergeCell ref="I1350:J1350"/>
    <mergeCell ref="K1350:L1350"/>
    <mergeCell ref="I1382:J1382"/>
    <mergeCell ref="K1382:L1382"/>
    <mergeCell ref="M1382:N1382"/>
    <mergeCell ref="K1384:L1384"/>
    <mergeCell ref="M1384:N1384"/>
    <mergeCell ref="I1384:J1384"/>
    <mergeCell ref="I1385:J1385"/>
    <mergeCell ref="K1385:L1385"/>
    <mergeCell ref="M1385:N1385"/>
    <mergeCell ref="A1382:G1382"/>
    <mergeCell ref="A1383:G1383"/>
    <mergeCell ref="I1383:J1383"/>
    <mergeCell ref="K1383:L1383"/>
    <mergeCell ref="M1383:N1383"/>
    <mergeCell ref="A1384:G1384"/>
    <mergeCell ref="A1385:G1385"/>
    <mergeCell ref="A1388:G1388"/>
    <mergeCell ref="I1388:J1388"/>
    <mergeCell ref="K1388:L1388"/>
    <mergeCell ref="M1388:N1388"/>
    <mergeCell ref="I1387:J1387"/>
    <mergeCell ref="K1387:L1387"/>
    <mergeCell ref="M1387:N1387"/>
    <mergeCell ref="A1387:G1387"/>
    <mergeCell ref="K1389:L1389"/>
    <mergeCell ref="M1389:N1389"/>
    <mergeCell ref="A1361:G1361"/>
    <mergeCell ref="I1361:J1361"/>
    <mergeCell ref="K1361:L1361"/>
    <mergeCell ref="M1361:N1361"/>
    <mergeCell ref="K1362:L1362"/>
    <mergeCell ref="M1362:N1362"/>
    <mergeCell ref="A1367:G1367"/>
    <mergeCell ref="A1368:G1368"/>
    <mergeCell ref="A1369:G1369"/>
    <mergeCell ref="A1370:G1370"/>
    <mergeCell ref="A1364:N1364"/>
    <mergeCell ref="A1365:G1365"/>
    <mergeCell ref="I1365:J1365"/>
    <mergeCell ref="M1365:N1365"/>
    <mergeCell ref="A1366:G1366"/>
    <mergeCell ref="M1366:N1366"/>
    <mergeCell ref="M1367:N1367"/>
    <mergeCell ref="I1366:J1366"/>
    <mergeCell ref="I1367:J1367"/>
    <mergeCell ref="I1368:J1368"/>
    <mergeCell ref="M1368:N1368"/>
    <mergeCell ref="I1369:J1369"/>
    <mergeCell ref="M1369:N1369"/>
    <mergeCell ref="I1370:J1370"/>
    <mergeCell ref="K1379:L1379"/>
    <mergeCell ref="M1379:N1379"/>
    <mergeCell ref="A1386:G1386"/>
    <mergeCell ref="I1386:J1386"/>
    <mergeCell ref="K1386:L1386"/>
    <mergeCell ref="M1386:N1386"/>
    <mergeCell ref="I1379:J1379"/>
    <mergeCell ref="I1380:J1380"/>
    <mergeCell ref="K1380:L1380"/>
    <mergeCell ref="M1380:N1380"/>
    <mergeCell ref="M1370:N1370"/>
    <mergeCell ref="K1371:L1371"/>
    <mergeCell ref="M1371:N1371"/>
    <mergeCell ref="A1373:N1374"/>
    <mergeCell ref="A1378:N1378"/>
    <mergeCell ref="A1379:G1379"/>
    <mergeCell ref="A1380:G1380"/>
    <mergeCell ref="A1381:G1381"/>
    <mergeCell ref="I1381:J1381"/>
    <mergeCell ref="K1381:L1381"/>
    <mergeCell ref="K1297:L1297"/>
    <mergeCell ref="M1297:N1297"/>
    <mergeCell ref="M1298:N1298"/>
    <mergeCell ref="A1303:G1303"/>
    <mergeCell ref="A1304:G1304"/>
    <mergeCell ref="A1305:G1305"/>
    <mergeCell ref="A1306:G1306"/>
    <mergeCell ref="A1307:G1307"/>
    <mergeCell ref="A1298:G1298"/>
    <mergeCell ref="A1301:N1301"/>
    <mergeCell ref="A1302:G1302"/>
    <mergeCell ref="I1302:J1302"/>
    <mergeCell ref="K1302:L1302"/>
    <mergeCell ref="M1302:N1302"/>
    <mergeCell ref="M1303:N1303"/>
    <mergeCell ref="M1357:N1357"/>
    <mergeCell ref="A1360:G1360"/>
    <mergeCell ref="A1313:G1313"/>
    <mergeCell ref="A1283:N1284"/>
    <mergeCell ref="A1292:G1292"/>
    <mergeCell ref="I1292:J1292"/>
    <mergeCell ref="K1292:L1292"/>
    <mergeCell ref="I1290:J1290"/>
    <mergeCell ref="I1291:J1291"/>
    <mergeCell ref="K1291:L1291"/>
    <mergeCell ref="M1291:N1291"/>
    <mergeCell ref="A1288:N1288"/>
    <mergeCell ref="A1289:G1289"/>
    <mergeCell ref="I1289:J1289"/>
    <mergeCell ref="I1249:J1249"/>
    <mergeCell ref="K1249:L1249"/>
    <mergeCell ref="M1249:N1249"/>
    <mergeCell ref="A1245:G1245"/>
    <mergeCell ref="A1246:G1246"/>
    <mergeCell ref="A1247:G1247"/>
    <mergeCell ref="A1248:G1248"/>
    <mergeCell ref="A1249:G1249"/>
    <mergeCell ref="A1250:G1250"/>
    <mergeCell ref="A1251:G1251"/>
    <mergeCell ref="I1276:J1276"/>
    <mergeCell ref="A1276:G1276"/>
    <mergeCell ref="A1277:G1277"/>
    <mergeCell ref="I1277:J1277"/>
    <mergeCell ref="M1277:N1277"/>
    <mergeCell ref="A1278:G1278"/>
    <mergeCell ref="M1278:N1278"/>
    <mergeCell ref="M1279:N1279"/>
    <mergeCell ref="K1289:L1289"/>
    <mergeCell ref="M1289:N1289"/>
    <mergeCell ref="A1257:G1257"/>
    <mergeCell ref="I1313:J1313"/>
    <mergeCell ref="K1313:L1313"/>
    <mergeCell ref="M1313:N1313"/>
    <mergeCell ref="I1314:J1314"/>
    <mergeCell ref="K1314:L1314"/>
    <mergeCell ref="M1314:N1314"/>
    <mergeCell ref="A1314:G1314"/>
    <mergeCell ref="A1315:G1315"/>
    <mergeCell ref="I1315:J1315"/>
    <mergeCell ref="K1315:L1315"/>
    <mergeCell ref="M1315:N1315"/>
    <mergeCell ref="A1316:G1316"/>
    <mergeCell ref="I1316:J1316"/>
    <mergeCell ref="M1325:N1325"/>
    <mergeCell ref="K1326:L1326"/>
    <mergeCell ref="M1326:N1326"/>
    <mergeCell ref="A1297:G1297"/>
    <mergeCell ref="I1297:J1297"/>
    <mergeCell ref="M1312:N1312"/>
    <mergeCell ref="K1308:L1308"/>
    <mergeCell ref="M1308:N1308"/>
    <mergeCell ref="A1310:N1310"/>
    <mergeCell ref="A1311:G1311"/>
    <mergeCell ref="K1311:L1311"/>
    <mergeCell ref="M1311:N1311"/>
    <mergeCell ref="A1312:G1312"/>
    <mergeCell ref="I1322:J1322"/>
    <mergeCell ref="I1323:J1323"/>
    <mergeCell ref="A1324:G1324"/>
    <mergeCell ref="I1324:J1324"/>
    <mergeCell ref="M1324:N1324"/>
    <mergeCell ref="A1325:G1325"/>
    <mergeCell ref="A1238:N1239"/>
    <mergeCell ref="A1243:N1243"/>
    <mergeCell ref="A1244:G1244"/>
    <mergeCell ref="I1244:J1244"/>
    <mergeCell ref="K1244:L1244"/>
    <mergeCell ref="M1244:N1244"/>
    <mergeCell ref="M1245:N1245"/>
    <mergeCell ref="I1245:J1245"/>
    <mergeCell ref="K1245:L1245"/>
    <mergeCell ref="I1246:J1246"/>
    <mergeCell ref="K1246:L1246"/>
    <mergeCell ref="M1246:N1246"/>
    <mergeCell ref="K1247:L1247"/>
    <mergeCell ref="M1247:N1247"/>
    <mergeCell ref="I1247:J1247"/>
    <mergeCell ref="I1248:J1248"/>
    <mergeCell ref="K1248:L1248"/>
    <mergeCell ref="M1248:N1248"/>
    <mergeCell ref="A1228:G1228"/>
    <mergeCell ref="I1228:J1228"/>
    <mergeCell ref="K1228:L1228"/>
    <mergeCell ref="M1228:N1228"/>
    <mergeCell ref="K1229:L1229"/>
    <mergeCell ref="M1229:N1229"/>
    <mergeCell ref="K1252:L1252"/>
    <mergeCell ref="M1252:N1252"/>
    <mergeCell ref="K1254:L1254"/>
    <mergeCell ref="M1254:N1254"/>
    <mergeCell ref="I1250:J1250"/>
    <mergeCell ref="K1250:L1250"/>
    <mergeCell ref="M1250:N1250"/>
    <mergeCell ref="I1251:J1251"/>
    <mergeCell ref="K1251:L1251"/>
    <mergeCell ref="M1251:N1251"/>
    <mergeCell ref="I1252:J1252"/>
    <mergeCell ref="I1233:J1233"/>
    <mergeCell ref="I1234:J1234"/>
    <mergeCell ref="I1235:J1235"/>
    <mergeCell ref="M1235:N1235"/>
    <mergeCell ref="K1236:L1236"/>
    <mergeCell ref="M1236:N1236"/>
    <mergeCell ref="A1234:G1234"/>
    <mergeCell ref="A1235:G1235"/>
    <mergeCell ref="A1231:N1231"/>
    <mergeCell ref="A1232:G1232"/>
    <mergeCell ref="I1232:J1232"/>
    <mergeCell ref="M1232:N1232"/>
    <mergeCell ref="A1233:G1233"/>
    <mergeCell ref="M1233:N1233"/>
    <mergeCell ref="M1234:N1234"/>
    <mergeCell ref="A1213:N1213"/>
    <mergeCell ref="A1214:G1214"/>
    <mergeCell ref="I1214:J1214"/>
    <mergeCell ref="K1214:L1214"/>
    <mergeCell ref="M1214:N1214"/>
    <mergeCell ref="A1215:G1215"/>
    <mergeCell ref="A1216:G1216"/>
    <mergeCell ref="A1217:G1217"/>
    <mergeCell ref="I1217:J1217"/>
    <mergeCell ref="K1217:L1217"/>
    <mergeCell ref="M1217:N1217"/>
    <mergeCell ref="I1218:J1218"/>
    <mergeCell ref="K1218:L1218"/>
    <mergeCell ref="M1218:N1218"/>
    <mergeCell ref="A1218:G1218"/>
    <mergeCell ref="A1219:G1219"/>
    <mergeCell ref="I1219:J1219"/>
    <mergeCell ref="K1219:L1219"/>
    <mergeCell ref="M1219:N1219"/>
    <mergeCell ref="K1215:L1215"/>
    <mergeCell ref="M1215:N1215"/>
    <mergeCell ref="I1215:J1215"/>
    <mergeCell ref="I1216:J1216"/>
    <mergeCell ref="K1216:L1216"/>
    <mergeCell ref="M1216:N1216"/>
    <mergeCell ref="K1225:L1225"/>
    <mergeCell ref="M1225:N1225"/>
    <mergeCell ref="A1222:N1222"/>
    <mergeCell ref="A1223:G1223"/>
    <mergeCell ref="I1223:J1223"/>
    <mergeCell ref="K1223:L1223"/>
    <mergeCell ref="M1223:N1223"/>
    <mergeCell ref="A1224:G1224"/>
    <mergeCell ref="A1225:G1225"/>
    <mergeCell ref="I1227:J1227"/>
    <mergeCell ref="K1227:L1227"/>
    <mergeCell ref="I1224:J1224"/>
    <mergeCell ref="I1225:J1225"/>
    <mergeCell ref="A1226:G1226"/>
    <mergeCell ref="I1226:J1226"/>
    <mergeCell ref="K1226:L1226"/>
    <mergeCell ref="M1226:N1226"/>
    <mergeCell ref="M1227:N1227"/>
    <mergeCell ref="K1220:L1220"/>
    <mergeCell ref="M1220:N1220"/>
    <mergeCell ref="K1224:L1224"/>
    <mergeCell ref="M1224:N1224"/>
    <mergeCell ref="A1227:G1227"/>
    <mergeCell ref="K1210:L1210"/>
    <mergeCell ref="M1210:N1210"/>
    <mergeCell ref="K1211:L1211"/>
    <mergeCell ref="M1211:N1211"/>
    <mergeCell ref="A1208:G1208"/>
    <mergeCell ref="A1209:G1209"/>
    <mergeCell ref="I1209:J1209"/>
    <mergeCell ref="K1209:L1209"/>
    <mergeCell ref="M1209:N1209"/>
    <mergeCell ref="A1210:G1210"/>
    <mergeCell ref="I1210:J1210"/>
    <mergeCell ref="K1200:L1200"/>
    <mergeCell ref="M1200:N1200"/>
    <mergeCell ref="I1200:J1200"/>
    <mergeCell ref="I1201:J1201"/>
    <mergeCell ref="K1201:L1201"/>
    <mergeCell ref="M1201:N1201"/>
    <mergeCell ref="A1200:G1200"/>
    <mergeCell ref="A1201:G1201"/>
    <mergeCell ref="K1205:L1205"/>
    <mergeCell ref="M1205:N1205"/>
    <mergeCell ref="I1205:J1205"/>
    <mergeCell ref="I1206:J1206"/>
    <mergeCell ref="I1203:J1203"/>
    <mergeCell ref="K1203:L1203"/>
    <mergeCell ref="M1203:N1203"/>
    <mergeCell ref="A1203:G1203"/>
    <mergeCell ref="A1204:G1204"/>
    <mergeCell ref="I1204:J1204"/>
    <mergeCell ref="K1204:L1204"/>
    <mergeCell ref="M1204:N1204"/>
    <mergeCell ref="A1205:G1205"/>
    <mergeCell ref="A1206:G1206"/>
    <mergeCell ref="I1208:J1208"/>
    <mergeCell ref="K1208:L1208"/>
    <mergeCell ref="K1206:L1206"/>
    <mergeCell ref="M1206:N1206"/>
    <mergeCell ref="A1207:G1207"/>
    <mergeCell ref="I1207:J1207"/>
    <mergeCell ref="K1207:L1207"/>
    <mergeCell ref="M1207:N1207"/>
    <mergeCell ref="M1208:N1208"/>
    <mergeCell ref="K1164:L1164"/>
    <mergeCell ref="M1164:N1164"/>
    <mergeCell ref="K1177:L1177"/>
    <mergeCell ref="M1177:N1177"/>
    <mergeCell ref="M1190:N1190"/>
    <mergeCell ref="K1191:L1191"/>
    <mergeCell ref="M1191:N1191"/>
    <mergeCell ref="I1186:J1186"/>
    <mergeCell ref="I1187:J1187"/>
    <mergeCell ref="I1188:J1188"/>
    <mergeCell ref="M1188:N1188"/>
    <mergeCell ref="I1189:J1189"/>
    <mergeCell ref="M1189:N1189"/>
    <mergeCell ref="I1190:J1190"/>
    <mergeCell ref="A1193:N1194"/>
    <mergeCell ref="A1202:G1202"/>
    <mergeCell ref="I1202:J1202"/>
    <mergeCell ref="K1202:L1202"/>
    <mergeCell ref="M1202:N1202"/>
    <mergeCell ref="A1198:N1198"/>
    <mergeCell ref="A1199:G1199"/>
    <mergeCell ref="I1199:J1199"/>
    <mergeCell ref="K1199:L1199"/>
    <mergeCell ref="M1199:N1199"/>
    <mergeCell ref="I1136:J1136"/>
    <mergeCell ref="K1136:L1136"/>
    <mergeCell ref="M1136:N1136"/>
    <mergeCell ref="A1137:G1137"/>
    <mergeCell ref="I1137:J1137"/>
    <mergeCell ref="A1143:G1143"/>
    <mergeCell ref="A1144:G1144"/>
    <mergeCell ref="A1145:G1145"/>
    <mergeCell ref="A1146:G1146"/>
    <mergeCell ref="A1140:N1140"/>
    <mergeCell ref="A1141:G1141"/>
    <mergeCell ref="I1141:J1141"/>
    <mergeCell ref="M1141:N1141"/>
    <mergeCell ref="A1142:G1142"/>
    <mergeCell ref="M1142:N1142"/>
    <mergeCell ref="M1143:N1143"/>
    <mergeCell ref="I1142:J1142"/>
    <mergeCell ref="I1143:J1143"/>
    <mergeCell ref="I1144:J1144"/>
    <mergeCell ref="M1144:N1144"/>
    <mergeCell ref="I1145:J1145"/>
    <mergeCell ref="M1145:N1145"/>
    <mergeCell ref="I1146:J1146"/>
    <mergeCell ref="M1146:N1146"/>
    <mergeCell ref="A1185:G1185"/>
    <mergeCell ref="I1185:J1185"/>
    <mergeCell ref="M1185:N1185"/>
    <mergeCell ref="A1186:G1186"/>
    <mergeCell ref="M1186:N1186"/>
    <mergeCell ref="M1187:N1187"/>
    <mergeCell ref="A1187:G1187"/>
    <mergeCell ref="A1188:G1188"/>
    <mergeCell ref="A1189:G1189"/>
    <mergeCell ref="A1190:G1190"/>
    <mergeCell ref="I1177:J1177"/>
    <mergeCell ref="I1178:J1178"/>
    <mergeCell ref="K1178:L1178"/>
    <mergeCell ref="M1178:N1178"/>
    <mergeCell ref="A1175:N1175"/>
    <mergeCell ref="A1176:G1176"/>
    <mergeCell ref="I1176:J1176"/>
    <mergeCell ref="K1176:L1176"/>
    <mergeCell ref="M1176:N1176"/>
    <mergeCell ref="A1177:G1177"/>
    <mergeCell ref="A1178:G1178"/>
    <mergeCell ref="A1179:G1179"/>
    <mergeCell ref="I1179:J1179"/>
    <mergeCell ref="K1179:L1179"/>
    <mergeCell ref="M1179:N1179"/>
    <mergeCell ref="I1180:J1180"/>
    <mergeCell ref="K1180:L1180"/>
    <mergeCell ref="M1180:N1180"/>
    <mergeCell ref="A1180:G1180"/>
    <mergeCell ref="A1181:G1181"/>
    <mergeCell ref="I1181:J1181"/>
    <mergeCell ref="K1181:L1181"/>
    <mergeCell ref="A1166:N1166"/>
    <mergeCell ref="A1167:G1167"/>
    <mergeCell ref="I1167:J1167"/>
    <mergeCell ref="K1167:L1167"/>
    <mergeCell ref="M1167:N1167"/>
    <mergeCell ref="A1168:G1168"/>
    <mergeCell ref="M1168:N1168"/>
    <mergeCell ref="I1170:J1170"/>
    <mergeCell ref="K1170:L1170"/>
    <mergeCell ref="I1168:J1168"/>
    <mergeCell ref="K1168:L1168"/>
    <mergeCell ref="A1169:G1169"/>
    <mergeCell ref="I1169:J1169"/>
    <mergeCell ref="K1169:L1169"/>
    <mergeCell ref="M1169:N1169"/>
    <mergeCell ref="M1170:N1170"/>
    <mergeCell ref="A1184:N1184"/>
    <mergeCell ref="M1181:N1181"/>
    <mergeCell ref="K1182:L1182"/>
    <mergeCell ref="M1182:N1182"/>
    <mergeCell ref="K1172:L1172"/>
    <mergeCell ref="M1172:N1172"/>
    <mergeCell ref="K1173:L1173"/>
    <mergeCell ref="M1173:N1173"/>
    <mergeCell ref="A1170:G1170"/>
    <mergeCell ref="A1171:G1171"/>
    <mergeCell ref="I1171:J1171"/>
    <mergeCell ref="K1171:L1171"/>
    <mergeCell ref="M1171:N1171"/>
    <mergeCell ref="A1172:G1172"/>
    <mergeCell ref="I1172:J1172"/>
    <mergeCell ref="A1159:G1159"/>
    <mergeCell ref="I1159:J1159"/>
    <mergeCell ref="K1159:L1159"/>
    <mergeCell ref="M1159:N1159"/>
    <mergeCell ref="A1160:G1160"/>
    <mergeCell ref="A1161:G1161"/>
    <mergeCell ref="A1162:G1162"/>
    <mergeCell ref="I1162:J1162"/>
    <mergeCell ref="K1162:L1162"/>
    <mergeCell ref="M1162:N1162"/>
    <mergeCell ref="I1163:J1163"/>
    <mergeCell ref="K1163:L1163"/>
    <mergeCell ref="M1163:N1163"/>
    <mergeCell ref="A1163:G1163"/>
    <mergeCell ref="M1147:N1147"/>
    <mergeCell ref="A1149:N1150"/>
    <mergeCell ref="A1154:N1154"/>
    <mergeCell ref="A1155:G1155"/>
    <mergeCell ref="A1156:G1156"/>
    <mergeCell ref="K1160:L1160"/>
    <mergeCell ref="M1160:N1160"/>
    <mergeCell ref="I1160:J1160"/>
    <mergeCell ref="I1161:J1161"/>
    <mergeCell ref="K1161:L1161"/>
    <mergeCell ref="M1161:N1161"/>
    <mergeCell ref="K1147:L1147"/>
    <mergeCell ref="K1155:L1155"/>
    <mergeCell ref="M1155:N1155"/>
    <mergeCell ref="I1155:J1155"/>
    <mergeCell ref="I1156:J1156"/>
    <mergeCell ref="K1156:L1156"/>
    <mergeCell ref="M1156:N1156"/>
    <mergeCell ref="I1132:J1132"/>
    <mergeCell ref="I1133:J1133"/>
    <mergeCell ref="K1133:L1133"/>
    <mergeCell ref="M1133:N1133"/>
    <mergeCell ref="K1129:L1129"/>
    <mergeCell ref="M1129:N1129"/>
    <mergeCell ref="A1131:N1131"/>
    <mergeCell ref="A1132:G1132"/>
    <mergeCell ref="K1132:L1132"/>
    <mergeCell ref="M1132:N1132"/>
    <mergeCell ref="A1133:G1133"/>
    <mergeCell ref="A1157:G1157"/>
    <mergeCell ref="I1157:J1157"/>
    <mergeCell ref="K1157:L1157"/>
    <mergeCell ref="M1157:N1157"/>
    <mergeCell ref="I1158:J1158"/>
    <mergeCell ref="K1158:L1158"/>
    <mergeCell ref="M1158:N1158"/>
    <mergeCell ref="A1158:G1158"/>
    <mergeCell ref="A1134:G1134"/>
    <mergeCell ref="I1134:J1134"/>
    <mergeCell ref="K1134:L1134"/>
    <mergeCell ref="M1134:N1134"/>
    <mergeCell ref="I1135:J1135"/>
    <mergeCell ref="K1135:L1135"/>
    <mergeCell ref="M1135:N1135"/>
    <mergeCell ref="K1137:L1137"/>
    <mergeCell ref="M1137:N1137"/>
    <mergeCell ref="K1138:L1138"/>
    <mergeCell ref="M1138:N1138"/>
    <mergeCell ref="A1135:G1135"/>
    <mergeCell ref="A1136:G1136"/>
    <mergeCell ref="A1126:G1126"/>
    <mergeCell ref="A1127:G1127"/>
    <mergeCell ref="A1128:G1128"/>
    <mergeCell ref="M1120:N1120"/>
    <mergeCell ref="A1122:N1122"/>
    <mergeCell ref="A1123:G1123"/>
    <mergeCell ref="I1123:J1123"/>
    <mergeCell ref="K1123:L1123"/>
    <mergeCell ref="M1123:N1123"/>
    <mergeCell ref="M1124:N1124"/>
    <mergeCell ref="I1124:J1124"/>
    <mergeCell ref="K1124:L1124"/>
    <mergeCell ref="I1125:J1125"/>
    <mergeCell ref="K1125:L1125"/>
    <mergeCell ref="M1125:N1125"/>
    <mergeCell ref="K1126:L1126"/>
    <mergeCell ref="M1126:N1126"/>
    <mergeCell ref="I1126:J1126"/>
    <mergeCell ref="I1127:J1127"/>
    <mergeCell ref="K1127:L1127"/>
    <mergeCell ref="M1127:N1127"/>
    <mergeCell ref="I1128:J1128"/>
    <mergeCell ref="K1128:L1128"/>
    <mergeCell ref="M1128:N1128"/>
    <mergeCell ref="M1117:N1117"/>
    <mergeCell ref="A1113:G1113"/>
    <mergeCell ref="A1114:G1114"/>
    <mergeCell ref="A1115:G1115"/>
    <mergeCell ref="A1116:G1116"/>
    <mergeCell ref="A1117:G1117"/>
    <mergeCell ref="A1118:G1118"/>
    <mergeCell ref="A1119:G1119"/>
    <mergeCell ref="I1118:J1118"/>
    <mergeCell ref="K1118:L1118"/>
    <mergeCell ref="M1118:N1118"/>
    <mergeCell ref="I1119:J1119"/>
    <mergeCell ref="K1119:L1119"/>
    <mergeCell ref="M1119:N1119"/>
    <mergeCell ref="K1120:L1120"/>
    <mergeCell ref="A1124:G1124"/>
    <mergeCell ref="A1125:G1125"/>
    <mergeCell ref="I2124:J2124"/>
    <mergeCell ref="I2125:J2125"/>
    <mergeCell ref="K2126:L2126"/>
    <mergeCell ref="M2126:N2126"/>
    <mergeCell ref="A2125:G2125"/>
    <mergeCell ref="A1098:N1098"/>
    <mergeCell ref="A1099:G1099"/>
    <mergeCell ref="I1099:J1099"/>
    <mergeCell ref="M1099:N1099"/>
    <mergeCell ref="A1100:G1100"/>
    <mergeCell ref="M1100:N1100"/>
    <mergeCell ref="M1101:N1101"/>
    <mergeCell ref="A1101:G1101"/>
    <mergeCell ref="A1102:G1102"/>
    <mergeCell ref="A1103:G1103"/>
    <mergeCell ref="A1104:G1104"/>
    <mergeCell ref="A1107:N1108"/>
    <mergeCell ref="A1112:N1112"/>
    <mergeCell ref="M1113:N1113"/>
    <mergeCell ref="I1113:J1113"/>
    <mergeCell ref="K1113:L1113"/>
    <mergeCell ref="I1114:J1114"/>
    <mergeCell ref="K1114:L1114"/>
    <mergeCell ref="M1114:N1114"/>
    <mergeCell ref="K1115:L1115"/>
    <mergeCell ref="M1115:N1115"/>
    <mergeCell ref="I1115:J1115"/>
    <mergeCell ref="I1116:J1116"/>
    <mergeCell ref="K1116:L1116"/>
    <mergeCell ref="M1116:N1116"/>
    <mergeCell ref="I1117:J1117"/>
    <mergeCell ref="K1117:L1117"/>
    <mergeCell ref="M2111:N2111"/>
    <mergeCell ref="A2112:G2112"/>
    <mergeCell ref="A2113:G2113"/>
    <mergeCell ref="A2114:G2114"/>
    <mergeCell ref="I2114:J2114"/>
    <mergeCell ref="K2114:L2114"/>
    <mergeCell ref="M2114:N2114"/>
    <mergeCell ref="I2115:J2115"/>
    <mergeCell ref="K2115:L2115"/>
    <mergeCell ref="M2115:N2115"/>
    <mergeCell ref="A2115:G2115"/>
    <mergeCell ref="A2116:G2116"/>
    <mergeCell ref="I2116:J2116"/>
    <mergeCell ref="K2116:L2116"/>
    <mergeCell ref="M2116:N2116"/>
    <mergeCell ref="K2117:L2117"/>
    <mergeCell ref="M2117:N2117"/>
    <mergeCell ref="A2122:G2122"/>
    <mergeCell ref="A2123:G2123"/>
    <mergeCell ref="I2123:J2123"/>
    <mergeCell ref="M2123:N2123"/>
    <mergeCell ref="A2124:G2124"/>
    <mergeCell ref="M2124:N2124"/>
    <mergeCell ref="M2125:N2125"/>
    <mergeCell ref="A2107:G2107"/>
    <mergeCell ref="I2107:J2107"/>
    <mergeCell ref="K2107:L2107"/>
    <mergeCell ref="M2107:N2107"/>
    <mergeCell ref="K2108:L2108"/>
    <mergeCell ref="M2108:N2108"/>
    <mergeCell ref="I2121:J2121"/>
    <mergeCell ref="I2122:J2122"/>
    <mergeCell ref="A2119:N2119"/>
    <mergeCell ref="A2120:G2120"/>
    <mergeCell ref="I2120:J2120"/>
    <mergeCell ref="M2120:N2120"/>
    <mergeCell ref="A2121:G2121"/>
    <mergeCell ref="M2121:N2121"/>
    <mergeCell ref="M2122:N2122"/>
    <mergeCell ref="K2112:L2112"/>
    <mergeCell ref="M2112:N2112"/>
    <mergeCell ref="I2112:J2112"/>
    <mergeCell ref="I2113:J2113"/>
    <mergeCell ref="K2113:L2113"/>
    <mergeCell ref="M2113:N2113"/>
    <mergeCell ref="A2110:N2110"/>
    <mergeCell ref="A2111:G2111"/>
    <mergeCell ref="I2111:J2111"/>
    <mergeCell ref="K2111:L2111"/>
    <mergeCell ref="K2104:L2104"/>
    <mergeCell ref="M2104:N2104"/>
    <mergeCell ref="A2101:N2101"/>
    <mergeCell ref="A2102:G2102"/>
    <mergeCell ref="I2102:J2102"/>
    <mergeCell ref="K2102:L2102"/>
    <mergeCell ref="M2102:N2102"/>
    <mergeCell ref="A2103:G2103"/>
    <mergeCell ref="A2104:G2104"/>
    <mergeCell ref="I2106:J2106"/>
    <mergeCell ref="K2106:L2106"/>
    <mergeCell ref="I2103:J2103"/>
    <mergeCell ref="I2104:J2104"/>
    <mergeCell ref="A2105:G2105"/>
    <mergeCell ref="I2105:J2105"/>
    <mergeCell ref="K2105:L2105"/>
    <mergeCell ref="M2105:N2105"/>
    <mergeCell ref="M2106:N2106"/>
    <mergeCell ref="K2099:L2099"/>
    <mergeCell ref="M2099:N2099"/>
    <mergeCell ref="A2095:G2095"/>
    <mergeCell ref="A2096:G2096"/>
    <mergeCell ref="I2096:J2096"/>
    <mergeCell ref="K2096:L2096"/>
    <mergeCell ref="M2096:N2096"/>
    <mergeCell ref="A2097:G2097"/>
    <mergeCell ref="A2098:G2098"/>
    <mergeCell ref="K2103:L2103"/>
    <mergeCell ref="M2103:N2103"/>
    <mergeCell ref="A2106:G2106"/>
    <mergeCell ref="I2078:J2078"/>
    <mergeCell ref="M2078:N2078"/>
    <mergeCell ref="A2079:G2079"/>
    <mergeCell ref="M2079:N2079"/>
    <mergeCell ref="M2080:N2080"/>
    <mergeCell ref="I2079:J2079"/>
    <mergeCell ref="I2080:J2080"/>
    <mergeCell ref="I2081:J2081"/>
    <mergeCell ref="M2081:N2081"/>
    <mergeCell ref="I2082:J2082"/>
    <mergeCell ref="M2082:N2082"/>
    <mergeCell ref="I2083:J2083"/>
    <mergeCell ref="K2092:L2092"/>
    <mergeCell ref="M2092:N2092"/>
    <mergeCell ref="I2092:J2092"/>
    <mergeCell ref="I2093:J2093"/>
    <mergeCell ref="K2093:L2093"/>
    <mergeCell ref="M2093:N2093"/>
    <mergeCell ref="M2083:N2083"/>
    <mergeCell ref="K2084:L2084"/>
    <mergeCell ref="A2082:G2082"/>
    <mergeCell ref="A2083:G2083"/>
    <mergeCell ref="A2077:N2077"/>
    <mergeCell ref="A2078:G2078"/>
    <mergeCell ref="A2094:G2094"/>
    <mergeCell ref="I2094:J2094"/>
    <mergeCell ref="K2094:L2094"/>
    <mergeCell ref="M2094:N2094"/>
    <mergeCell ref="I2095:J2095"/>
    <mergeCell ref="K2095:L2095"/>
    <mergeCell ref="M2095:N2095"/>
    <mergeCell ref="K2097:L2097"/>
    <mergeCell ref="M2097:N2097"/>
    <mergeCell ref="I2097:J2097"/>
    <mergeCell ref="I2098:J2098"/>
    <mergeCell ref="K2098:L2098"/>
    <mergeCell ref="M2098:N2098"/>
    <mergeCell ref="M2084:N2084"/>
    <mergeCell ref="A2086:N2087"/>
    <mergeCell ref="A2091:N2091"/>
    <mergeCell ref="A2092:G2092"/>
    <mergeCell ref="A2093:G2093"/>
    <mergeCell ref="A2073:G2073"/>
    <mergeCell ref="A2074:G2074"/>
    <mergeCell ref="I2074:J2074"/>
    <mergeCell ref="K2074:L2074"/>
    <mergeCell ref="M2074:N2074"/>
    <mergeCell ref="K2075:L2075"/>
    <mergeCell ref="M2075:N2075"/>
    <mergeCell ref="A2080:G2080"/>
    <mergeCell ref="A2081:G2081"/>
    <mergeCell ref="K2071:L2071"/>
    <mergeCell ref="M2071:N2071"/>
    <mergeCell ref="A2068:N2068"/>
    <mergeCell ref="A2069:G2069"/>
    <mergeCell ref="I2069:J2069"/>
    <mergeCell ref="K2069:L2069"/>
    <mergeCell ref="M2069:N2069"/>
    <mergeCell ref="A2070:G2070"/>
    <mergeCell ref="A2071:G2071"/>
    <mergeCell ref="I2073:J2073"/>
    <mergeCell ref="K2073:L2073"/>
    <mergeCell ref="I2070:J2070"/>
    <mergeCell ref="I2071:J2071"/>
    <mergeCell ref="A2072:G2072"/>
    <mergeCell ref="I2072:J2072"/>
    <mergeCell ref="K2072:L2072"/>
    <mergeCell ref="M2072:N2072"/>
    <mergeCell ref="M2073:N2073"/>
    <mergeCell ref="A2063:G2063"/>
    <mergeCell ref="I2063:J2063"/>
    <mergeCell ref="K2063:L2063"/>
    <mergeCell ref="M2063:N2063"/>
    <mergeCell ref="I2064:J2064"/>
    <mergeCell ref="K2064:L2064"/>
    <mergeCell ref="M2064:N2064"/>
    <mergeCell ref="A2064:G2064"/>
    <mergeCell ref="K2061:L2061"/>
    <mergeCell ref="M2061:N2061"/>
    <mergeCell ref="A2065:G2065"/>
    <mergeCell ref="I2065:J2065"/>
    <mergeCell ref="K2065:L2065"/>
    <mergeCell ref="M2065:N2065"/>
    <mergeCell ref="K2066:L2066"/>
    <mergeCell ref="M2066:N2066"/>
    <mergeCell ref="K2070:L2070"/>
    <mergeCell ref="M2070:N2070"/>
    <mergeCell ref="I2062:J2062"/>
    <mergeCell ref="K2062:L2062"/>
    <mergeCell ref="M2062:N2062"/>
    <mergeCell ref="A2062:G2062"/>
    <mergeCell ref="M2035:N2035"/>
    <mergeCell ref="A2036:G2036"/>
    <mergeCell ref="A2037:G2037"/>
    <mergeCell ref="K2041:L2041"/>
    <mergeCell ref="M2041:N2041"/>
    <mergeCell ref="I2041:J2041"/>
    <mergeCell ref="I2042:J2042"/>
    <mergeCell ref="K2042:L2042"/>
    <mergeCell ref="M2042:N2042"/>
    <mergeCell ref="M2044:N2044"/>
    <mergeCell ref="A2044:G2044"/>
    <mergeCell ref="A2045:G2045"/>
    <mergeCell ref="I2045:J2045"/>
    <mergeCell ref="K2045:L2045"/>
    <mergeCell ref="M2045:N2045"/>
    <mergeCell ref="K2036:L2036"/>
    <mergeCell ref="M2036:N2036"/>
    <mergeCell ref="A2038:G2038"/>
    <mergeCell ref="I2038:J2038"/>
    <mergeCell ref="K2038:L2038"/>
    <mergeCell ref="M2038:N2038"/>
    <mergeCell ref="I2039:J2039"/>
    <mergeCell ref="K2039:L2039"/>
    <mergeCell ref="M2039:N2039"/>
    <mergeCell ref="A2039:G2039"/>
    <mergeCell ref="I2036:J2036"/>
    <mergeCell ref="I2037:J2037"/>
    <mergeCell ref="K2037:L2037"/>
    <mergeCell ref="M2037:N2037"/>
    <mergeCell ref="A2059:N2059"/>
    <mergeCell ref="A2060:G2060"/>
    <mergeCell ref="I2060:J2060"/>
    <mergeCell ref="K2060:L2060"/>
    <mergeCell ref="M2060:N2060"/>
    <mergeCell ref="A2061:G2061"/>
    <mergeCell ref="A2040:G2040"/>
    <mergeCell ref="I2040:J2040"/>
    <mergeCell ref="K2040:L2040"/>
    <mergeCell ref="M2040:N2040"/>
    <mergeCell ref="A2041:G2041"/>
    <mergeCell ref="A2042:G2042"/>
    <mergeCell ref="A2043:G2043"/>
    <mergeCell ref="I2061:J2061"/>
    <mergeCell ref="I2043:J2043"/>
    <mergeCell ref="K2043:L2043"/>
    <mergeCell ref="M2043:N2043"/>
    <mergeCell ref="I2044:J2044"/>
    <mergeCell ref="K2044:L2044"/>
    <mergeCell ref="A2048:G2048"/>
    <mergeCell ref="A2049:G2049"/>
    <mergeCell ref="I2049:J2049"/>
    <mergeCell ref="K2049:L2049"/>
    <mergeCell ref="K2055:L2055"/>
    <mergeCell ref="M2055:N2055"/>
    <mergeCell ref="I2055:J2055"/>
    <mergeCell ref="I2056:J2056"/>
    <mergeCell ref="K2056:L2056"/>
    <mergeCell ref="M2056:N2056"/>
    <mergeCell ref="A2047:G2047"/>
    <mergeCell ref="I2047:J2047"/>
    <mergeCell ref="K2047:L2047"/>
    <mergeCell ref="M2047:N2047"/>
    <mergeCell ref="M2048:N2048"/>
    <mergeCell ref="K2057:L2057"/>
    <mergeCell ref="M2057:N2057"/>
    <mergeCell ref="K2050:L2050"/>
    <mergeCell ref="M2050:N2050"/>
    <mergeCell ref="A2052:G2052"/>
    <mergeCell ref="I2052:J2052"/>
    <mergeCell ref="K2052:L2052"/>
    <mergeCell ref="M2052:N2052"/>
    <mergeCell ref="I2053:J2053"/>
    <mergeCell ref="K2053:L2053"/>
    <mergeCell ref="M2053:N2053"/>
    <mergeCell ref="A2053:G2053"/>
    <mergeCell ref="A2054:G2054"/>
    <mergeCell ref="I2054:J2054"/>
    <mergeCell ref="K2054:L2054"/>
    <mergeCell ref="M2054:N2054"/>
    <mergeCell ref="A2055:G2055"/>
    <mergeCell ref="A2056:G2056"/>
    <mergeCell ref="I2048:J2048"/>
    <mergeCell ref="K2048:L2048"/>
    <mergeCell ref="I2050:J2050"/>
    <mergeCell ref="I2051:J2051"/>
    <mergeCell ref="K2051:L2051"/>
    <mergeCell ref="M2051:N2051"/>
    <mergeCell ref="M2049:N2049"/>
    <mergeCell ref="A2050:G2050"/>
    <mergeCell ref="A2051:G2051"/>
    <mergeCell ref="I2034:J2034"/>
    <mergeCell ref="K2034:L2034"/>
    <mergeCell ref="I2031:J2031"/>
    <mergeCell ref="I2032:J2032"/>
    <mergeCell ref="A2033:G2033"/>
    <mergeCell ref="I2033:J2033"/>
    <mergeCell ref="K2033:L2033"/>
    <mergeCell ref="M2033:N2033"/>
    <mergeCell ref="M2034:N2034"/>
    <mergeCell ref="K2032:L2032"/>
    <mergeCell ref="M2032:N2032"/>
    <mergeCell ref="A2025:N2026"/>
    <mergeCell ref="A2030:N2030"/>
    <mergeCell ref="A2031:G2031"/>
    <mergeCell ref="A2032:G2032"/>
    <mergeCell ref="K2031:L2031"/>
    <mergeCell ref="M2031:N2031"/>
    <mergeCell ref="A2034:G2034"/>
    <mergeCell ref="A2046:G2046"/>
    <mergeCell ref="I2046:J2046"/>
    <mergeCell ref="K2046:L2046"/>
    <mergeCell ref="M2046:N2046"/>
    <mergeCell ref="A2035:G2035"/>
    <mergeCell ref="I2035:J2035"/>
    <mergeCell ref="K2035:L2035"/>
    <mergeCell ref="I2020:J2020"/>
    <mergeCell ref="M2020:N2020"/>
    <mergeCell ref="I2021:J2021"/>
    <mergeCell ref="M2021:N2021"/>
    <mergeCell ref="I2022:J2022"/>
    <mergeCell ref="K1987:L1987"/>
    <mergeCell ref="M1987:N1987"/>
    <mergeCell ref="A1989:G1989"/>
    <mergeCell ref="I1989:J1989"/>
    <mergeCell ref="K1989:L1989"/>
    <mergeCell ref="M1989:N1989"/>
    <mergeCell ref="I1990:J1990"/>
    <mergeCell ref="K1990:L1990"/>
    <mergeCell ref="M1990:N1990"/>
    <mergeCell ref="A1990:G1990"/>
    <mergeCell ref="A1991:G1991"/>
    <mergeCell ref="I1991:J1991"/>
    <mergeCell ref="K1991:L1991"/>
    <mergeCell ref="M1991:N1991"/>
    <mergeCell ref="A1992:G1992"/>
    <mergeCell ref="A1993:G1993"/>
    <mergeCell ref="A1994:G1994"/>
    <mergeCell ref="I1994:J1994"/>
    <mergeCell ref="K1994:L1994"/>
    <mergeCell ref="M1994:N1994"/>
    <mergeCell ref="I1995:J1995"/>
    <mergeCell ref="K1995:L1995"/>
    <mergeCell ref="A2003:G2003"/>
    <mergeCell ref="I2003:J2003"/>
    <mergeCell ref="K2003:L2003"/>
    <mergeCell ref="M2003:N2003"/>
    <mergeCell ref="A2004:G2004"/>
    <mergeCell ref="I2004:J2004"/>
    <mergeCell ref="I1987:J1987"/>
    <mergeCell ref="I1988:J1988"/>
    <mergeCell ref="K1988:L1988"/>
    <mergeCell ref="M1988:N1988"/>
    <mergeCell ref="A1981:N1982"/>
    <mergeCell ref="A1986:N1986"/>
    <mergeCell ref="A1987:G1987"/>
    <mergeCell ref="A1988:G1988"/>
    <mergeCell ref="K1992:L1992"/>
    <mergeCell ref="M1992:N1992"/>
    <mergeCell ref="I1992:J1992"/>
    <mergeCell ref="I1993:J1993"/>
    <mergeCell ref="K1993:L1993"/>
    <mergeCell ref="M1993:N1993"/>
    <mergeCell ref="K1996:L1996"/>
    <mergeCell ref="M1996:N1996"/>
    <mergeCell ref="M1995:N1995"/>
    <mergeCell ref="A1995:G1995"/>
    <mergeCell ref="K2023:L2023"/>
    <mergeCell ref="M2023:N2023"/>
    <mergeCell ref="A1998:N1998"/>
    <mergeCell ref="A1999:G1999"/>
    <mergeCell ref="I1999:J1999"/>
    <mergeCell ref="K1999:L1999"/>
    <mergeCell ref="M1999:N1999"/>
    <mergeCell ref="A2000:G2000"/>
    <mergeCell ref="M2000:N2000"/>
    <mergeCell ref="I2002:J2002"/>
    <mergeCell ref="K2002:L2002"/>
    <mergeCell ref="I2000:J2000"/>
    <mergeCell ref="K2000:L2000"/>
    <mergeCell ref="A2001:G2001"/>
    <mergeCell ref="I2001:J2001"/>
    <mergeCell ref="K2001:L2001"/>
    <mergeCell ref="M2001:N2001"/>
    <mergeCell ref="M2002:N2002"/>
    <mergeCell ref="A2016:N2016"/>
    <mergeCell ref="A2017:G2017"/>
    <mergeCell ref="I2017:J2017"/>
    <mergeCell ref="M2017:N2017"/>
    <mergeCell ref="A2018:G2018"/>
    <mergeCell ref="M2018:N2018"/>
    <mergeCell ref="M2019:N2019"/>
    <mergeCell ref="A2019:G2019"/>
    <mergeCell ref="A2020:G2020"/>
    <mergeCell ref="K2004:L2004"/>
    <mergeCell ref="M2004:N2004"/>
    <mergeCell ref="K2005:L2005"/>
    <mergeCell ref="M2005:N2005"/>
    <mergeCell ref="A2002:G2002"/>
    <mergeCell ref="A2021:G2021"/>
    <mergeCell ref="A2022:G2022"/>
    <mergeCell ref="I2009:J2009"/>
    <mergeCell ref="I2010:J2010"/>
    <mergeCell ref="K2010:L2010"/>
    <mergeCell ref="M2010:N2010"/>
    <mergeCell ref="A2007:N2007"/>
    <mergeCell ref="A2008:G2008"/>
    <mergeCell ref="I2008:J2008"/>
    <mergeCell ref="K2008:L2008"/>
    <mergeCell ref="M2008:N2008"/>
    <mergeCell ref="A2009:G2009"/>
    <mergeCell ref="A2010:G2010"/>
    <mergeCell ref="A2011:G2011"/>
    <mergeCell ref="I2011:J2011"/>
    <mergeCell ref="K2011:L2011"/>
    <mergeCell ref="M2011:N2011"/>
    <mergeCell ref="I2012:J2012"/>
    <mergeCell ref="K2012:L2012"/>
    <mergeCell ref="M2012:N2012"/>
    <mergeCell ref="A2012:G2012"/>
    <mergeCell ref="A2013:G2013"/>
    <mergeCell ref="I2013:J2013"/>
    <mergeCell ref="K2013:L2013"/>
    <mergeCell ref="M2013:N2013"/>
    <mergeCell ref="K2014:L2014"/>
    <mergeCell ref="M2014:N2014"/>
    <mergeCell ref="K2009:L2009"/>
    <mergeCell ref="M2009:N2009"/>
    <mergeCell ref="M2022:N2022"/>
    <mergeCell ref="I2018:J2018"/>
    <mergeCell ref="I2019:J2019"/>
    <mergeCell ref="K1951:L1951"/>
    <mergeCell ref="M1951:N1951"/>
    <mergeCell ref="A1951:G1951"/>
    <mergeCell ref="A1954:N1954"/>
    <mergeCell ref="A1955:G1955"/>
    <mergeCell ref="I1955:J1955"/>
    <mergeCell ref="K1955:L1955"/>
    <mergeCell ref="M1955:N1955"/>
    <mergeCell ref="A1956:G1956"/>
    <mergeCell ref="M1956:N1956"/>
    <mergeCell ref="I1958:J1958"/>
    <mergeCell ref="K1958:L1958"/>
    <mergeCell ref="I1956:J1956"/>
    <mergeCell ref="K1956:L1956"/>
    <mergeCell ref="A1957:G1957"/>
    <mergeCell ref="I1957:J1957"/>
    <mergeCell ref="K1957:L1957"/>
    <mergeCell ref="M1957:N1957"/>
    <mergeCell ref="M1958:N1958"/>
    <mergeCell ref="A1958:G1958"/>
    <mergeCell ref="A1928:G1928"/>
    <mergeCell ref="I1928:J1928"/>
    <mergeCell ref="K1928:L1928"/>
    <mergeCell ref="M1928:N1928"/>
    <mergeCell ref="A1929:G1929"/>
    <mergeCell ref="I1929:J1929"/>
    <mergeCell ref="M1933:N1933"/>
    <mergeCell ref="M1934:N1934"/>
    <mergeCell ref="M1936:N1936"/>
    <mergeCell ref="M1937:N1937"/>
    <mergeCell ref="M1938:N1938"/>
    <mergeCell ref="M1939:N1939"/>
    <mergeCell ref="I1934:J1934"/>
    <mergeCell ref="I1935:J1935"/>
    <mergeCell ref="I1936:J1936"/>
    <mergeCell ref="I1937:J1937"/>
    <mergeCell ref="I1938:J1938"/>
    <mergeCell ref="K1939:L1939"/>
    <mergeCell ref="K1930:L1930"/>
    <mergeCell ref="M1930:N1930"/>
    <mergeCell ref="A1932:N1932"/>
    <mergeCell ref="A1933:G1933"/>
    <mergeCell ref="I1933:J1933"/>
    <mergeCell ref="A1934:G1934"/>
    <mergeCell ref="M1935:N1935"/>
    <mergeCell ref="A1935:G1935"/>
    <mergeCell ref="A1936:G1936"/>
    <mergeCell ref="A1937:G1937"/>
    <mergeCell ref="A1938:G1938"/>
    <mergeCell ref="I1959:J1959"/>
    <mergeCell ref="K1959:L1959"/>
    <mergeCell ref="M1959:N1959"/>
    <mergeCell ref="A1960:G1960"/>
    <mergeCell ref="I1960:J1960"/>
    <mergeCell ref="M1978:N1978"/>
    <mergeCell ref="K1979:L1979"/>
    <mergeCell ref="M1979:N1979"/>
    <mergeCell ref="I1974:J1974"/>
    <mergeCell ref="I1975:J1975"/>
    <mergeCell ref="I1976:J1976"/>
    <mergeCell ref="M1976:N1976"/>
    <mergeCell ref="I1977:J1977"/>
    <mergeCell ref="M1977:N1977"/>
    <mergeCell ref="I1978:J1978"/>
    <mergeCell ref="K1965:L1965"/>
    <mergeCell ref="M1965:N1965"/>
    <mergeCell ref="K1960:L1960"/>
    <mergeCell ref="M1960:N1960"/>
    <mergeCell ref="K1961:L1961"/>
    <mergeCell ref="M1961:N1961"/>
    <mergeCell ref="A1959:G1959"/>
    <mergeCell ref="A1972:N1972"/>
    <mergeCell ref="A1973:G1973"/>
    <mergeCell ref="I1973:J1973"/>
    <mergeCell ref="M1973:N1973"/>
    <mergeCell ref="A1974:G1974"/>
    <mergeCell ref="M1974:N1974"/>
    <mergeCell ref="M1975:N1975"/>
    <mergeCell ref="A1975:G1975"/>
    <mergeCell ref="A1976:G1976"/>
    <mergeCell ref="A1977:G1977"/>
    <mergeCell ref="A1978:G1978"/>
    <mergeCell ref="I1965:J1965"/>
    <mergeCell ref="I1966:J1966"/>
    <mergeCell ref="K1966:L1966"/>
    <mergeCell ref="M1966:N1966"/>
    <mergeCell ref="A1963:N1963"/>
    <mergeCell ref="A1964:G1964"/>
    <mergeCell ref="I1964:J1964"/>
    <mergeCell ref="K1964:L1964"/>
    <mergeCell ref="M1964:N1964"/>
    <mergeCell ref="A1965:G1965"/>
    <mergeCell ref="A1966:G1966"/>
    <mergeCell ref="A1967:G1967"/>
    <mergeCell ref="I1967:J1967"/>
    <mergeCell ref="K1967:L1967"/>
    <mergeCell ref="M1967:N1967"/>
    <mergeCell ref="I1968:J1968"/>
    <mergeCell ref="K1968:L1968"/>
    <mergeCell ref="M1968:N1968"/>
    <mergeCell ref="A1968:G1968"/>
    <mergeCell ref="A1969:G1969"/>
    <mergeCell ref="I1969:J1969"/>
    <mergeCell ref="K1969:L1969"/>
    <mergeCell ref="M1969:N1969"/>
    <mergeCell ref="K1970:L1970"/>
    <mergeCell ref="M1970:N1970"/>
    <mergeCell ref="M1917:N1917"/>
    <mergeCell ref="K1918:L1918"/>
    <mergeCell ref="M1918:N1918"/>
    <mergeCell ref="M1919:N1919"/>
    <mergeCell ref="I1920:J1920"/>
    <mergeCell ref="K1920:L1920"/>
    <mergeCell ref="M1874:N1874"/>
    <mergeCell ref="I1874:J1874"/>
    <mergeCell ref="I1875:J1875"/>
    <mergeCell ref="K1912:L1912"/>
    <mergeCell ref="M1912:N1912"/>
    <mergeCell ref="I1949:J1949"/>
    <mergeCell ref="I1950:J1950"/>
    <mergeCell ref="K1950:L1950"/>
    <mergeCell ref="M1950:N1950"/>
    <mergeCell ref="K1952:L1952"/>
    <mergeCell ref="M1952:N1952"/>
    <mergeCell ref="I1947:J1947"/>
    <mergeCell ref="K1947:L1947"/>
    <mergeCell ref="I1948:J1948"/>
    <mergeCell ref="K1948:L1948"/>
    <mergeCell ref="M1948:N1948"/>
    <mergeCell ref="K1949:L1949"/>
    <mergeCell ref="M1949:N1949"/>
    <mergeCell ref="A1941:N1942"/>
    <mergeCell ref="A1946:N1946"/>
    <mergeCell ref="M1947:N1947"/>
    <mergeCell ref="A1947:G1947"/>
    <mergeCell ref="A1948:G1948"/>
    <mergeCell ref="A1949:G1949"/>
    <mergeCell ref="A1950:G1950"/>
    <mergeCell ref="I1951:J1951"/>
    <mergeCell ref="I1927:J1927"/>
    <mergeCell ref="K1927:L1927"/>
    <mergeCell ref="M1927:N1927"/>
    <mergeCell ref="A1927:G1927"/>
    <mergeCell ref="A1861:G1861"/>
    <mergeCell ref="I1861:J1861"/>
    <mergeCell ref="K1861:L1861"/>
    <mergeCell ref="M1861:N1861"/>
    <mergeCell ref="I1862:J1862"/>
    <mergeCell ref="K1862:L1862"/>
    <mergeCell ref="M1862:N1862"/>
    <mergeCell ref="K1864:L1864"/>
    <mergeCell ref="M1864:N1864"/>
    <mergeCell ref="I1864:J1864"/>
    <mergeCell ref="I1865:J1865"/>
    <mergeCell ref="K1865:L1865"/>
    <mergeCell ref="M1865:N1865"/>
    <mergeCell ref="K1868:L1868"/>
    <mergeCell ref="M1868:N1868"/>
    <mergeCell ref="A1862:G1862"/>
    <mergeCell ref="A1863:G1863"/>
    <mergeCell ref="I1863:J1863"/>
    <mergeCell ref="K1863:L1863"/>
    <mergeCell ref="M1863:N1863"/>
    <mergeCell ref="A1864:G1864"/>
    <mergeCell ref="A1865:G1865"/>
    <mergeCell ref="A1872:G1872"/>
    <mergeCell ref="A1873:G1873"/>
    <mergeCell ref="A1874:G1874"/>
    <mergeCell ref="A1875:G1875"/>
    <mergeCell ref="A1876:G1876"/>
    <mergeCell ref="I1893:J1893"/>
    <mergeCell ref="A1908:G1908"/>
    <mergeCell ref="A1909:G1909"/>
    <mergeCell ref="K1908:L1908"/>
    <mergeCell ref="M1908:N1908"/>
    <mergeCell ref="I1908:J1908"/>
    <mergeCell ref="I1909:J1909"/>
    <mergeCell ref="I1911:J1911"/>
    <mergeCell ref="K1911:L1911"/>
    <mergeCell ref="I1872:J1872"/>
    <mergeCell ref="K1872:L1872"/>
    <mergeCell ref="I1873:J1873"/>
    <mergeCell ref="A1926:G1926"/>
    <mergeCell ref="I1926:J1926"/>
    <mergeCell ref="K1926:L1926"/>
    <mergeCell ref="K1873:L1873"/>
    <mergeCell ref="M1873:N1873"/>
    <mergeCell ref="K1874:L1874"/>
    <mergeCell ref="M1926:N1926"/>
    <mergeCell ref="I1894:J1894"/>
    <mergeCell ref="K1895:L1895"/>
    <mergeCell ref="M1895:N1895"/>
    <mergeCell ref="A1905:G1905"/>
    <mergeCell ref="I1905:J1905"/>
    <mergeCell ref="K1905:L1905"/>
    <mergeCell ref="M1905:N1905"/>
    <mergeCell ref="A1891:G1891"/>
    <mergeCell ref="A1892:G1892"/>
    <mergeCell ref="I1892:J1892"/>
    <mergeCell ref="M1892:N1892"/>
    <mergeCell ref="A1893:G1893"/>
    <mergeCell ref="M1893:N1893"/>
    <mergeCell ref="M1894:N1894"/>
    <mergeCell ref="I1885:J1885"/>
    <mergeCell ref="I1890:J1890"/>
    <mergeCell ref="I1891:J1891"/>
    <mergeCell ref="A1888:N1888"/>
    <mergeCell ref="A1889:G1889"/>
    <mergeCell ref="I1889:J1889"/>
    <mergeCell ref="M1889:N1889"/>
    <mergeCell ref="A1890:G1890"/>
    <mergeCell ref="M1890:N1890"/>
    <mergeCell ref="M1891:N1891"/>
    <mergeCell ref="I1906:J1906"/>
    <mergeCell ref="K1906:L1906"/>
    <mergeCell ref="M1906:N1906"/>
    <mergeCell ref="A1906:G1906"/>
    <mergeCell ref="A1907:G1907"/>
    <mergeCell ref="I1907:J1907"/>
    <mergeCell ref="K1907:L1907"/>
    <mergeCell ref="M1907:N1907"/>
    <mergeCell ref="I1903:J1903"/>
    <mergeCell ref="I1904:J1904"/>
    <mergeCell ref="K1904:L1904"/>
    <mergeCell ref="M1904:N1904"/>
    <mergeCell ref="A1894:G1894"/>
    <mergeCell ref="A1897:N1898"/>
    <mergeCell ref="A1902:N1902"/>
    <mergeCell ref="A1903:G1903"/>
    <mergeCell ref="K1903:L1903"/>
    <mergeCell ref="M1903:N1903"/>
    <mergeCell ref="A1904:G1904"/>
    <mergeCell ref="I1918:J1918"/>
    <mergeCell ref="I1919:J1919"/>
    <mergeCell ref="K1919:L1919"/>
    <mergeCell ref="M1920:N1920"/>
    <mergeCell ref="I1924:J1924"/>
    <mergeCell ref="I1925:J1925"/>
    <mergeCell ref="K1929:L1929"/>
    <mergeCell ref="M1929:N1929"/>
    <mergeCell ref="A1866:G1866"/>
    <mergeCell ref="I1866:J1866"/>
    <mergeCell ref="K1866:L1866"/>
    <mergeCell ref="M1866:N1866"/>
    <mergeCell ref="I1867:J1867"/>
    <mergeCell ref="K1867:L1867"/>
    <mergeCell ref="M1867:N1867"/>
    <mergeCell ref="A1867:G1867"/>
    <mergeCell ref="A1870:N1870"/>
    <mergeCell ref="A1871:G1871"/>
    <mergeCell ref="I1871:J1871"/>
    <mergeCell ref="K1871:L1871"/>
    <mergeCell ref="M1871:N1871"/>
    <mergeCell ref="M1872:N1872"/>
    <mergeCell ref="K1885:L1885"/>
    <mergeCell ref="M1885:N1885"/>
    <mergeCell ref="K1886:L1886"/>
    <mergeCell ref="M1886:N1886"/>
    <mergeCell ref="A1883:G1883"/>
    <mergeCell ref="A1884:G1884"/>
    <mergeCell ref="I1884:J1884"/>
    <mergeCell ref="K1884:L1884"/>
    <mergeCell ref="M1884:N1884"/>
    <mergeCell ref="A1885:G1885"/>
    <mergeCell ref="K1925:L1925"/>
    <mergeCell ref="M1925:N1925"/>
    <mergeCell ref="K1921:L1921"/>
    <mergeCell ref="M1921:N1921"/>
    <mergeCell ref="A1923:N1923"/>
    <mergeCell ref="A1924:G1924"/>
    <mergeCell ref="K1924:L1924"/>
    <mergeCell ref="M1924:N1924"/>
    <mergeCell ref="A1925:G1925"/>
    <mergeCell ref="K1909:L1909"/>
    <mergeCell ref="M1909:N1909"/>
    <mergeCell ref="A1910:G1910"/>
    <mergeCell ref="I1910:J1910"/>
    <mergeCell ref="K1910:L1910"/>
    <mergeCell ref="M1910:N1910"/>
    <mergeCell ref="M1911:N1911"/>
    <mergeCell ref="A1916:G1916"/>
    <mergeCell ref="A1917:G1917"/>
    <mergeCell ref="A1918:G1918"/>
    <mergeCell ref="A1919:G1919"/>
    <mergeCell ref="A1920:G1920"/>
    <mergeCell ref="A1911:G1911"/>
    <mergeCell ref="A1914:N1914"/>
    <mergeCell ref="A1915:G1915"/>
    <mergeCell ref="I1915:J1915"/>
    <mergeCell ref="K1915:L1915"/>
    <mergeCell ref="M1915:N1915"/>
    <mergeCell ref="M1916:N1916"/>
    <mergeCell ref="I1916:J1916"/>
    <mergeCell ref="K1916:L1916"/>
    <mergeCell ref="I1917:J1917"/>
    <mergeCell ref="K1917:L1917"/>
    <mergeCell ref="K1881:L1881"/>
    <mergeCell ref="M1881:N1881"/>
    <mergeCell ref="K1877:L1877"/>
    <mergeCell ref="M1877:N1877"/>
    <mergeCell ref="A1879:N1879"/>
    <mergeCell ref="A1880:G1880"/>
    <mergeCell ref="K1880:L1880"/>
    <mergeCell ref="M1880:N1880"/>
    <mergeCell ref="A1881:G1881"/>
    <mergeCell ref="I1883:J1883"/>
    <mergeCell ref="K1883:L1883"/>
    <mergeCell ref="I1880:J1880"/>
    <mergeCell ref="I1881:J1881"/>
    <mergeCell ref="A1882:G1882"/>
    <mergeCell ref="I1882:J1882"/>
    <mergeCell ref="K1882:L1882"/>
    <mergeCell ref="M1882:N1882"/>
    <mergeCell ref="M1883:N1883"/>
    <mergeCell ref="K1859:L1859"/>
    <mergeCell ref="M1859:N1859"/>
    <mergeCell ref="I1859:J1859"/>
    <mergeCell ref="I1860:J1860"/>
    <mergeCell ref="K1860:L1860"/>
    <mergeCell ref="M1860:N1860"/>
    <mergeCell ref="M1850:N1850"/>
    <mergeCell ref="K1851:L1851"/>
    <mergeCell ref="M1851:N1851"/>
    <mergeCell ref="A1853:N1854"/>
    <mergeCell ref="A1858:N1858"/>
    <mergeCell ref="A1859:G1859"/>
    <mergeCell ref="A1860:G1860"/>
    <mergeCell ref="K1875:L1875"/>
    <mergeCell ref="M1875:N1875"/>
    <mergeCell ref="I1876:J1876"/>
    <mergeCell ref="K1876:L1876"/>
    <mergeCell ref="M1876:N1876"/>
    <mergeCell ref="A1840:G1840"/>
    <mergeCell ref="A1841:G1841"/>
    <mergeCell ref="I1841:J1841"/>
    <mergeCell ref="K1841:L1841"/>
    <mergeCell ref="M1841:N1841"/>
    <mergeCell ref="K1842:L1842"/>
    <mergeCell ref="M1842:N1842"/>
    <mergeCell ref="A1847:G1847"/>
    <mergeCell ref="A1848:G1848"/>
    <mergeCell ref="A1849:G1849"/>
    <mergeCell ref="A1850:G1850"/>
    <mergeCell ref="A1844:N1844"/>
    <mergeCell ref="A1845:G1845"/>
    <mergeCell ref="I1845:J1845"/>
    <mergeCell ref="M1845:N1845"/>
    <mergeCell ref="A1846:G1846"/>
    <mergeCell ref="M1846:N1846"/>
    <mergeCell ref="M1847:N1847"/>
    <mergeCell ref="I1846:J1846"/>
    <mergeCell ref="I1847:J1847"/>
    <mergeCell ref="I1848:J1848"/>
    <mergeCell ref="M1848:N1848"/>
    <mergeCell ref="I1849:J1849"/>
    <mergeCell ref="M1849:N1849"/>
    <mergeCell ref="I1850:J1850"/>
    <mergeCell ref="A1829:G1829"/>
    <mergeCell ref="A1830:G1830"/>
    <mergeCell ref="I1830:J1830"/>
    <mergeCell ref="K1830:L1830"/>
    <mergeCell ref="M1830:N1830"/>
    <mergeCell ref="I1831:J1831"/>
    <mergeCell ref="K1831:L1831"/>
    <mergeCell ref="M1831:N1831"/>
    <mergeCell ref="A1831:G1831"/>
    <mergeCell ref="A1832:G1832"/>
    <mergeCell ref="I1832:J1832"/>
    <mergeCell ref="K1832:L1832"/>
    <mergeCell ref="M1832:N1832"/>
    <mergeCell ref="K1833:L1833"/>
    <mergeCell ref="M1833:N1833"/>
    <mergeCell ref="K1837:L1837"/>
    <mergeCell ref="M1837:N1837"/>
    <mergeCell ref="K1828:L1828"/>
    <mergeCell ref="M1828:N1828"/>
    <mergeCell ref="I1816:J1816"/>
    <mergeCell ref="K1816:L1816"/>
    <mergeCell ref="K1838:L1838"/>
    <mergeCell ref="M1838:N1838"/>
    <mergeCell ref="A1835:N1835"/>
    <mergeCell ref="A1836:G1836"/>
    <mergeCell ref="I1836:J1836"/>
    <mergeCell ref="K1836:L1836"/>
    <mergeCell ref="M1836:N1836"/>
    <mergeCell ref="A1837:G1837"/>
    <mergeCell ref="A1838:G1838"/>
    <mergeCell ref="I1840:J1840"/>
    <mergeCell ref="K1840:L1840"/>
    <mergeCell ref="I1837:J1837"/>
    <mergeCell ref="I1838:J1838"/>
    <mergeCell ref="A1839:G1839"/>
    <mergeCell ref="I1839:J1839"/>
    <mergeCell ref="K1839:L1839"/>
    <mergeCell ref="M1839:N1839"/>
    <mergeCell ref="M1840:N1840"/>
    <mergeCell ref="I1828:J1828"/>
    <mergeCell ref="I1829:J1829"/>
    <mergeCell ref="K1829:L1829"/>
    <mergeCell ref="M1829:N1829"/>
    <mergeCell ref="A1826:N1826"/>
    <mergeCell ref="A1827:G1827"/>
    <mergeCell ref="I1827:J1827"/>
    <mergeCell ref="K1827:L1827"/>
    <mergeCell ref="M1827:N1827"/>
    <mergeCell ref="A1828:G1828"/>
    <mergeCell ref="A1820:G1820"/>
    <mergeCell ref="I1820:J1820"/>
    <mergeCell ref="K1820:L1820"/>
    <mergeCell ref="M1820:N1820"/>
    <mergeCell ref="I1821:J1821"/>
    <mergeCell ref="K1821:L1821"/>
    <mergeCell ref="M1821:N1821"/>
    <mergeCell ref="K1823:L1823"/>
    <mergeCell ref="M1823:N1823"/>
    <mergeCell ref="K1824:L1824"/>
    <mergeCell ref="M1824:N1824"/>
    <mergeCell ref="A1821:G1821"/>
    <mergeCell ref="A1822:G1822"/>
    <mergeCell ref="I1822:J1822"/>
    <mergeCell ref="K1822:L1822"/>
    <mergeCell ref="M1822:N1822"/>
    <mergeCell ref="A1823:G1823"/>
    <mergeCell ref="I1823:J1823"/>
    <mergeCell ref="A1777:G1777"/>
    <mergeCell ref="I1777:J1777"/>
    <mergeCell ref="K1788:L1788"/>
    <mergeCell ref="I1797:J1797"/>
    <mergeCell ref="K1797:L1797"/>
    <mergeCell ref="M1797:N1797"/>
    <mergeCell ref="K1798:L1798"/>
    <mergeCell ref="M1798:N1798"/>
    <mergeCell ref="A1800:N1800"/>
    <mergeCell ref="I1801:J1801"/>
    <mergeCell ref="M1801:N1801"/>
    <mergeCell ref="I1818:J1818"/>
    <mergeCell ref="I1819:J1819"/>
    <mergeCell ref="K1819:L1819"/>
    <mergeCell ref="M1819:N1819"/>
    <mergeCell ref="A1816:G1816"/>
    <mergeCell ref="A1817:G1817"/>
    <mergeCell ref="I1817:J1817"/>
    <mergeCell ref="K1817:L1817"/>
    <mergeCell ref="M1817:N1817"/>
    <mergeCell ref="A1818:G1818"/>
    <mergeCell ref="A1819:G1819"/>
    <mergeCell ref="K1818:L1818"/>
    <mergeCell ref="M1818:N1818"/>
    <mergeCell ref="A1815:G1815"/>
    <mergeCell ref="I1815:J1815"/>
    <mergeCell ref="K1815:L1815"/>
    <mergeCell ref="M1815:N1815"/>
    <mergeCell ref="M1816:N1816"/>
    <mergeCell ref="A1801:G1801"/>
    <mergeCell ref="M1804:N1804"/>
    <mergeCell ref="A1797:G1797"/>
    <mergeCell ref="A1784:G1784"/>
    <mergeCell ref="A1785:G1785"/>
    <mergeCell ref="A1786:G1786"/>
    <mergeCell ref="A1787:G1787"/>
    <mergeCell ref="A1788:G1788"/>
    <mergeCell ref="A1779:G1779"/>
    <mergeCell ref="A1782:N1782"/>
    <mergeCell ref="A1783:G1783"/>
    <mergeCell ref="I1783:J1783"/>
    <mergeCell ref="K1783:L1783"/>
    <mergeCell ref="M1783:N1783"/>
    <mergeCell ref="M1784:N1784"/>
    <mergeCell ref="I1784:J1784"/>
    <mergeCell ref="K1784:L1784"/>
    <mergeCell ref="I1785:J1785"/>
    <mergeCell ref="K1785:L1785"/>
    <mergeCell ref="M1785:N1785"/>
    <mergeCell ref="K1786:L1786"/>
    <mergeCell ref="I1795:J1795"/>
    <mergeCell ref="K1795:L1795"/>
    <mergeCell ref="M1795:N1795"/>
    <mergeCell ref="A1759:G1759"/>
    <mergeCell ref="A1760:G1760"/>
    <mergeCell ref="I1760:J1760"/>
    <mergeCell ref="M1760:N1760"/>
    <mergeCell ref="A1761:G1761"/>
    <mergeCell ref="M1786:N1786"/>
    <mergeCell ref="I1786:J1786"/>
    <mergeCell ref="I1787:J1787"/>
    <mergeCell ref="K1787:L1787"/>
    <mergeCell ref="M1787:N1787"/>
    <mergeCell ref="I1788:J1788"/>
    <mergeCell ref="A1809:N1810"/>
    <mergeCell ref="A1814:N1814"/>
    <mergeCell ref="M1806:N1806"/>
    <mergeCell ref="K1807:L1807"/>
    <mergeCell ref="M1807:N1807"/>
    <mergeCell ref="I1803:J1803"/>
    <mergeCell ref="I1804:J1804"/>
    <mergeCell ref="A1805:G1805"/>
    <mergeCell ref="I1805:J1805"/>
    <mergeCell ref="M1805:N1805"/>
    <mergeCell ref="A1806:G1806"/>
    <mergeCell ref="I1806:J1806"/>
    <mergeCell ref="A1802:G1802"/>
    <mergeCell ref="I1802:J1802"/>
    <mergeCell ref="M1802:N1802"/>
    <mergeCell ref="A1803:G1803"/>
    <mergeCell ref="M1803:N1803"/>
    <mergeCell ref="A1804:G1804"/>
    <mergeCell ref="I1758:J1758"/>
    <mergeCell ref="I1759:J1759"/>
    <mergeCell ref="A1756:N1756"/>
    <mergeCell ref="A1757:G1757"/>
    <mergeCell ref="I1757:J1757"/>
    <mergeCell ref="M1757:N1757"/>
    <mergeCell ref="A1758:G1758"/>
    <mergeCell ref="M1758:N1758"/>
    <mergeCell ref="M1759:N1759"/>
    <mergeCell ref="I1779:J1779"/>
    <mergeCell ref="K1779:L1779"/>
    <mergeCell ref="K1780:L1780"/>
    <mergeCell ref="M1780:N1780"/>
    <mergeCell ref="K1793:L1793"/>
    <mergeCell ref="M1793:N1793"/>
    <mergeCell ref="K1789:L1789"/>
    <mergeCell ref="M1789:N1789"/>
    <mergeCell ref="A1791:N1791"/>
    <mergeCell ref="A1792:G1792"/>
    <mergeCell ref="K1792:L1792"/>
    <mergeCell ref="M1792:N1792"/>
    <mergeCell ref="A1793:G1793"/>
    <mergeCell ref="I1761:J1761"/>
    <mergeCell ref="I1762:J1762"/>
    <mergeCell ref="K1763:L1763"/>
    <mergeCell ref="M1763:N1763"/>
    <mergeCell ref="A1773:G1773"/>
    <mergeCell ref="I1773:J1773"/>
    <mergeCell ref="K1773:L1773"/>
    <mergeCell ref="M1773:N1773"/>
    <mergeCell ref="I1774:J1774"/>
    <mergeCell ref="K1774:L1774"/>
    <mergeCell ref="K1750:L1750"/>
    <mergeCell ref="M1750:N1750"/>
    <mergeCell ref="M1751:N1751"/>
    <mergeCell ref="K1753:L1753"/>
    <mergeCell ref="M1753:N1753"/>
    <mergeCell ref="K1754:L1754"/>
    <mergeCell ref="M1754:N1754"/>
    <mergeCell ref="A1751:G1751"/>
    <mergeCell ref="A1752:G1752"/>
    <mergeCell ref="I1752:J1752"/>
    <mergeCell ref="K1752:L1752"/>
    <mergeCell ref="M1752:N1752"/>
    <mergeCell ref="A1753:G1753"/>
    <mergeCell ref="I1753:J1753"/>
    <mergeCell ref="M1749:N1749"/>
    <mergeCell ref="A1744:G1744"/>
    <mergeCell ref="I1744:J1744"/>
    <mergeCell ref="K1744:L1744"/>
    <mergeCell ref="M1744:N1744"/>
    <mergeCell ref="A1747:N1747"/>
    <mergeCell ref="A1748:G1748"/>
    <mergeCell ref="A1749:G1749"/>
    <mergeCell ref="I1751:J1751"/>
    <mergeCell ref="K1751:L1751"/>
    <mergeCell ref="I1748:J1748"/>
    <mergeCell ref="I1749:J1749"/>
    <mergeCell ref="A1750:G1750"/>
    <mergeCell ref="I1750:J1750"/>
    <mergeCell ref="I1771:J1771"/>
    <mergeCell ref="I1772:J1772"/>
    <mergeCell ref="K1772:L1772"/>
    <mergeCell ref="M1772:N1772"/>
    <mergeCell ref="A1762:G1762"/>
    <mergeCell ref="A1765:N1766"/>
    <mergeCell ref="A1770:N1770"/>
    <mergeCell ref="A1771:G1771"/>
    <mergeCell ref="K1771:L1771"/>
    <mergeCell ref="M1771:N1771"/>
    <mergeCell ref="A1772:G1772"/>
    <mergeCell ref="K1776:L1776"/>
    <mergeCell ref="M1776:N1776"/>
    <mergeCell ref="I1776:J1776"/>
    <mergeCell ref="A1794:G1794"/>
    <mergeCell ref="I1794:J1794"/>
    <mergeCell ref="K1794:L1794"/>
    <mergeCell ref="M1794:N1794"/>
    <mergeCell ref="I1775:J1775"/>
    <mergeCell ref="K1775:L1775"/>
    <mergeCell ref="M1775:N1775"/>
    <mergeCell ref="A1776:G1776"/>
    <mergeCell ref="M1788:N1788"/>
    <mergeCell ref="I1792:J1792"/>
    <mergeCell ref="I1793:J1793"/>
    <mergeCell ref="K1777:L1777"/>
    <mergeCell ref="M1777:N1777"/>
    <mergeCell ref="A1778:G1778"/>
    <mergeCell ref="I1778:J1778"/>
    <mergeCell ref="K1778:L1778"/>
    <mergeCell ref="M1778:N1778"/>
    <mergeCell ref="M1779:N1779"/>
    <mergeCell ref="A1795:G1795"/>
    <mergeCell ref="A1796:G1796"/>
    <mergeCell ref="I1796:J1796"/>
    <mergeCell ref="K1796:L1796"/>
    <mergeCell ref="M1796:N1796"/>
    <mergeCell ref="M1774:N1774"/>
    <mergeCell ref="A1774:G1774"/>
    <mergeCell ref="A1775:G1775"/>
    <mergeCell ref="K1739:L1739"/>
    <mergeCell ref="M1739:N1739"/>
    <mergeCell ref="I1740:J1740"/>
    <mergeCell ref="K1740:L1740"/>
    <mergeCell ref="M1740:N1740"/>
    <mergeCell ref="K1742:L1742"/>
    <mergeCell ref="M1742:N1742"/>
    <mergeCell ref="I1742:J1742"/>
    <mergeCell ref="I1743:J1743"/>
    <mergeCell ref="K1743:L1743"/>
    <mergeCell ref="M1743:N1743"/>
    <mergeCell ref="K1745:L1745"/>
    <mergeCell ref="M1745:N1745"/>
    <mergeCell ref="A1740:G1740"/>
    <mergeCell ref="A1741:G1741"/>
    <mergeCell ref="I1741:J1741"/>
    <mergeCell ref="K1741:L1741"/>
    <mergeCell ref="M1741:N1741"/>
    <mergeCell ref="A1742:G1742"/>
    <mergeCell ref="A1743:G1743"/>
    <mergeCell ref="K1748:L1748"/>
    <mergeCell ref="M1748:N1748"/>
    <mergeCell ref="M1761:N1761"/>
    <mergeCell ref="M1762:N1762"/>
    <mergeCell ref="I1724:J1724"/>
    <mergeCell ref="K1724:L1724"/>
    <mergeCell ref="M1724:N1724"/>
    <mergeCell ref="M1714:N1714"/>
    <mergeCell ref="A1730:G1730"/>
    <mergeCell ref="I1730:J1730"/>
    <mergeCell ref="K1730:L1730"/>
    <mergeCell ref="M1730:N1730"/>
    <mergeCell ref="I1731:J1731"/>
    <mergeCell ref="K1731:L1731"/>
    <mergeCell ref="M1731:N1731"/>
    <mergeCell ref="K1734:L1734"/>
    <mergeCell ref="M1734:N1734"/>
    <mergeCell ref="A1731:G1731"/>
    <mergeCell ref="A1732:G1732"/>
    <mergeCell ref="I1732:J1732"/>
    <mergeCell ref="K1732:L1732"/>
    <mergeCell ref="M1732:N1732"/>
    <mergeCell ref="A1733:G1733"/>
    <mergeCell ref="A1734:G1734"/>
    <mergeCell ref="A1725:G1725"/>
    <mergeCell ref="I1725:J1725"/>
    <mergeCell ref="K1725:L1725"/>
    <mergeCell ref="M1725:N1725"/>
    <mergeCell ref="A1724:G1724"/>
    <mergeCell ref="A1708:N1708"/>
    <mergeCell ref="A1709:G1709"/>
    <mergeCell ref="I1709:J1709"/>
    <mergeCell ref="M1709:N1709"/>
    <mergeCell ref="A1710:G1710"/>
    <mergeCell ref="M1710:N1710"/>
    <mergeCell ref="M1711:N1711"/>
    <mergeCell ref="I1710:J1710"/>
    <mergeCell ref="I1711:J1711"/>
    <mergeCell ref="I1712:J1712"/>
    <mergeCell ref="M1712:N1712"/>
    <mergeCell ref="I1713:J1713"/>
    <mergeCell ref="M1713:N1713"/>
    <mergeCell ref="I1714:J1714"/>
    <mergeCell ref="K1723:L1723"/>
    <mergeCell ref="M1723:N1723"/>
    <mergeCell ref="I1723:J1723"/>
    <mergeCell ref="K1715:L1715"/>
    <mergeCell ref="M1715:N1715"/>
    <mergeCell ref="A1717:N1718"/>
    <mergeCell ref="A1722:N1722"/>
    <mergeCell ref="A1723:G1723"/>
    <mergeCell ref="A1711:G1711"/>
    <mergeCell ref="A1712:G1712"/>
    <mergeCell ref="A1713:G1713"/>
    <mergeCell ref="A1714:G1714"/>
    <mergeCell ref="K1736:L1736"/>
    <mergeCell ref="M1736:N1736"/>
    <mergeCell ref="I1733:J1733"/>
    <mergeCell ref="I1734:J1734"/>
    <mergeCell ref="A1735:G1735"/>
    <mergeCell ref="I1735:J1735"/>
    <mergeCell ref="K1735:L1735"/>
    <mergeCell ref="M1735:N1735"/>
    <mergeCell ref="A1738:N1738"/>
    <mergeCell ref="K1749:L1749"/>
    <mergeCell ref="I1726:J1726"/>
    <mergeCell ref="K1726:L1726"/>
    <mergeCell ref="M1726:N1726"/>
    <mergeCell ref="K1728:L1728"/>
    <mergeCell ref="M1728:N1728"/>
    <mergeCell ref="I1728:J1728"/>
    <mergeCell ref="I1729:J1729"/>
    <mergeCell ref="K1729:L1729"/>
    <mergeCell ref="M1729:N1729"/>
    <mergeCell ref="A1726:G1726"/>
    <mergeCell ref="A1727:G1727"/>
    <mergeCell ref="I1727:J1727"/>
    <mergeCell ref="K1727:L1727"/>
    <mergeCell ref="M1727:N1727"/>
    <mergeCell ref="A1728:G1728"/>
    <mergeCell ref="A1729:G1729"/>
    <mergeCell ref="K1733:L1733"/>
    <mergeCell ref="M1733:N1733"/>
    <mergeCell ref="A1739:G1739"/>
    <mergeCell ref="I1739:J1739"/>
    <mergeCell ref="K1705:L1705"/>
    <mergeCell ref="M1705:N1705"/>
    <mergeCell ref="K1706:L1706"/>
    <mergeCell ref="M1706:N1706"/>
    <mergeCell ref="I1684:J1684"/>
    <mergeCell ref="I1685:J1685"/>
    <mergeCell ref="K1685:L1685"/>
    <mergeCell ref="M1685:N1685"/>
    <mergeCell ref="I1682:J1682"/>
    <mergeCell ref="K1682:L1682"/>
    <mergeCell ref="I1683:J1683"/>
    <mergeCell ref="K1683:L1683"/>
    <mergeCell ref="M1683:N1683"/>
    <mergeCell ref="K1684:L1684"/>
    <mergeCell ref="M1684:N1684"/>
    <mergeCell ref="A1682:G1682"/>
    <mergeCell ref="A1683:G1683"/>
    <mergeCell ref="A1684:G1684"/>
    <mergeCell ref="A1685:G1685"/>
    <mergeCell ref="I1686:J1686"/>
    <mergeCell ref="K1686:L1686"/>
    <mergeCell ref="M1686:N1686"/>
    <mergeCell ref="A1686:G1686"/>
    <mergeCell ref="A1687:G1687"/>
    <mergeCell ref="I1687:J1687"/>
    <mergeCell ref="K1687:L1687"/>
    <mergeCell ref="M1687:N1687"/>
    <mergeCell ref="K1688:L1688"/>
    <mergeCell ref="A1704:G1704"/>
    <mergeCell ref="M1688:N1688"/>
    <mergeCell ref="A1705:G1705"/>
    <mergeCell ref="I1705:J1705"/>
    <mergeCell ref="K1702:L1702"/>
    <mergeCell ref="M1702:N1702"/>
    <mergeCell ref="A1699:N1699"/>
    <mergeCell ref="A1700:G1700"/>
    <mergeCell ref="I1700:J1700"/>
    <mergeCell ref="K1700:L1700"/>
    <mergeCell ref="M1700:N1700"/>
    <mergeCell ref="A1701:G1701"/>
    <mergeCell ref="A1702:G1702"/>
    <mergeCell ref="A1692:G1692"/>
    <mergeCell ref="A1693:G1693"/>
    <mergeCell ref="A1694:G1694"/>
    <mergeCell ref="I1694:J1694"/>
    <mergeCell ref="K1694:L1694"/>
    <mergeCell ref="M1694:N1694"/>
    <mergeCell ref="I1695:J1695"/>
    <mergeCell ref="K1695:L1695"/>
    <mergeCell ref="M1695:N1695"/>
    <mergeCell ref="A1695:G1695"/>
    <mergeCell ref="A1696:G1696"/>
    <mergeCell ref="I1696:J1696"/>
    <mergeCell ref="K1696:L1696"/>
    <mergeCell ref="M1696:N1696"/>
    <mergeCell ref="M1669:N1669"/>
    <mergeCell ref="A1670:G1670"/>
    <mergeCell ref="M1670:N1670"/>
    <mergeCell ref="M1671:N1671"/>
    <mergeCell ref="A1662:G1662"/>
    <mergeCell ref="A1663:G1663"/>
    <mergeCell ref="A1671:G1671"/>
    <mergeCell ref="A1672:G1672"/>
    <mergeCell ref="I1672:J1672"/>
    <mergeCell ref="A1675:N1676"/>
    <mergeCell ref="A1680:N1680"/>
    <mergeCell ref="A1681:G1681"/>
    <mergeCell ref="I1681:J1681"/>
    <mergeCell ref="K1681:L1681"/>
    <mergeCell ref="M1681:N1681"/>
    <mergeCell ref="M1682:N1682"/>
    <mergeCell ref="K1692:L1692"/>
    <mergeCell ref="M1692:N1692"/>
    <mergeCell ref="A1658:G1658"/>
    <mergeCell ref="A1659:G1659"/>
    <mergeCell ref="A1660:G1660"/>
    <mergeCell ref="A1661:G1661"/>
    <mergeCell ref="I1654:J1654"/>
    <mergeCell ref="I1704:J1704"/>
    <mergeCell ref="K1704:L1704"/>
    <mergeCell ref="I1701:J1701"/>
    <mergeCell ref="I1702:J1702"/>
    <mergeCell ref="A1703:G1703"/>
    <mergeCell ref="I1703:J1703"/>
    <mergeCell ref="K1703:L1703"/>
    <mergeCell ref="M1703:N1703"/>
    <mergeCell ref="M1704:N1704"/>
    <mergeCell ref="I1692:J1692"/>
    <mergeCell ref="I1693:J1693"/>
    <mergeCell ref="K1693:L1693"/>
    <mergeCell ref="M1693:N1693"/>
    <mergeCell ref="A1690:N1690"/>
    <mergeCell ref="A1691:G1691"/>
    <mergeCell ref="I1691:J1691"/>
    <mergeCell ref="K1691:L1691"/>
    <mergeCell ref="M1691:N1691"/>
    <mergeCell ref="K1697:L1697"/>
    <mergeCell ref="M1697:N1697"/>
    <mergeCell ref="K1701:L1701"/>
    <mergeCell ref="M1701:N1701"/>
    <mergeCell ref="I1670:J1670"/>
    <mergeCell ref="I1671:J1671"/>
    <mergeCell ref="A1668:G1668"/>
    <mergeCell ref="A1669:G1669"/>
    <mergeCell ref="I1669:J1669"/>
    <mergeCell ref="I1658:J1658"/>
    <mergeCell ref="K1658:L1658"/>
    <mergeCell ref="I1659:J1659"/>
    <mergeCell ref="K1659:L1659"/>
    <mergeCell ref="M1659:N1659"/>
    <mergeCell ref="K1660:L1660"/>
    <mergeCell ref="M1660:N1660"/>
    <mergeCell ref="K1664:L1664"/>
    <mergeCell ref="M1664:N1664"/>
    <mergeCell ref="I1660:J1660"/>
    <mergeCell ref="I1661:J1661"/>
    <mergeCell ref="K1661:L1661"/>
    <mergeCell ref="M1661:N1661"/>
    <mergeCell ref="I1662:J1662"/>
    <mergeCell ref="K1662:L1662"/>
    <mergeCell ref="M1662:N1662"/>
    <mergeCell ref="M1650:N1650"/>
    <mergeCell ref="K1651:L1651"/>
    <mergeCell ref="M1651:N1651"/>
    <mergeCell ref="I1651:J1651"/>
    <mergeCell ref="I1652:J1652"/>
    <mergeCell ref="K1652:L1652"/>
    <mergeCell ref="M1652:N1652"/>
    <mergeCell ref="I1653:J1653"/>
    <mergeCell ref="K1653:L1653"/>
    <mergeCell ref="M1653:N1653"/>
    <mergeCell ref="K1654:L1654"/>
    <mergeCell ref="M1654:N1654"/>
    <mergeCell ref="K1655:L1655"/>
    <mergeCell ref="M1655:N1655"/>
    <mergeCell ref="A1657:N1657"/>
    <mergeCell ref="M1658:N1658"/>
    <mergeCell ref="M1638:N1638"/>
    <mergeCell ref="K1639:L1639"/>
    <mergeCell ref="M1639:N1639"/>
    <mergeCell ref="I1639:J1639"/>
    <mergeCell ref="I1640:J1640"/>
    <mergeCell ref="K1640:L1640"/>
    <mergeCell ref="M1640:N1640"/>
    <mergeCell ref="I1641:J1641"/>
    <mergeCell ref="K1641:L1641"/>
    <mergeCell ref="M1641:N1641"/>
    <mergeCell ref="A1637:G1637"/>
    <mergeCell ref="A1638:G1638"/>
    <mergeCell ref="A1639:G1639"/>
    <mergeCell ref="A1640:G1640"/>
    <mergeCell ref="A1641:G1641"/>
    <mergeCell ref="A1642:G1642"/>
    <mergeCell ref="A1643:G1643"/>
    <mergeCell ref="A1611:G1611"/>
    <mergeCell ref="I1611:J1611"/>
    <mergeCell ref="K1611:L1611"/>
    <mergeCell ref="M1611:N1611"/>
    <mergeCell ref="K1612:L1612"/>
    <mergeCell ref="M1612:N1612"/>
    <mergeCell ref="K1616:L1616"/>
    <mergeCell ref="M1616:N1616"/>
    <mergeCell ref="A1619:G1619"/>
    <mergeCell ref="A1620:G1620"/>
    <mergeCell ref="I1620:J1620"/>
    <mergeCell ref="K1620:L1620"/>
    <mergeCell ref="M1620:N1620"/>
    <mergeCell ref="K1621:L1621"/>
    <mergeCell ref="M1621:N1621"/>
    <mergeCell ref="K1644:L1644"/>
    <mergeCell ref="M1644:N1644"/>
    <mergeCell ref="I1642:J1642"/>
    <mergeCell ref="K1642:L1642"/>
    <mergeCell ref="M1642:N1642"/>
    <mergeCell ref="I1643:J1643"/>
    <mergeCell ref="K1643:L1643"/>
    <mergeCell ref="M1643:N1643"/>
    <mergeCell ref="I1644:J1644"/>
    <mergeCell ref="I1625:J1625"/>
    <mergeCell ref="K1617:L1617"/>
    <mergeCell ref="M1617:N1617"/>
    <mergeCell ref="A1614:N1614"/>
    <mergeCell ref="A1625:G1625"/>
    <mergeCell ref="M1625:N1625"/>
    <mergeCell ref="M1626:N1626"/>
    <mergeCell ref="A1630:N1631"/>
    <mergeCell ref="I1607:J1607"/>
    <mergeCell ref="I1608:J1608"/>
    <mergeCell ref="K1608:L1608"/>
    <mergeCell ref="M1608:N1608"/>
    <mergeCell ref="A1605:N1605"/>
    <mergeCell ref="A1606:G1606"/>
    <mergeCell ref="I1606:J1606"/>
    <mergeCell ref="K1606:L1606"/>
    <mergeCell ref="M1606:N1606"/>
    <mergeCell ref="A1607:G1607"/>
    <mergeCell ref="A1608:G1608"/>
    <mergeCell ref="A1609:G1609"/>
    <mergeCell ref="I1609:J1609"/>
    <mergeCell ref="K1609:L1609"/>
    <mergeCell ref="M1609:N1609"/>
    <mergeCell ref="I1610:J1610"/>
    <mergeCell ref="K1610:L1610"/>
    <mergeCell ref="M1610:N1610"/>
    <mergeCell ref="A1610:G1610"/>
    <mergeCell ref="K1607:L1607"/>
    <mergeCell ref="M1607:N1607"/>
    <mergeCell ref="K1628:L1628"/>
    <mergeCell ref="M1628:N1628"/>
    <mergeCell ref="A1626:G1626"/>
    <mergeCell ref="A1627:G1627"/>
    <mergeCell ref="A1623:N1623"/>
    <mergeCell ref="A1624:G1624"/>
    <mergeCell ref="I1624:J1624"/>
    <mergeCell ref="M1624:N1624"/>
    <mergeCell ref="M1672:N1672"/>
    <mergeCell ref="K1673:L1673"/>
    <mergeCell ref="M1673:N1673"/>
    <mergeCell ref="I1619:J1619"/>
    <mergeCell ref="K1619:L1619"/>
    <mergeCell ref="I1616:J1616"/>
    <mergeCell ref="I1617:J1617"/>
    <mergeCell ref="A1618:G1618"/>
    <mergeCell ref="I1618:J1618"/>
    <mergeCell ref="K1618:L1618"/>
    <mergeCell ref="M1618:N1618"/>
    <mergeCell ref="M1619:N1619"/>
    <mergeCell ref="K1646:L1646"/>
    <mergeCell ref="M1646:N1646"/>
    <mergeCell ref="A1635:N1635"/>
    <mergeCell ref="A1636:G1636"/>
    <mergeCell ref="I1636:J1636"/>
    <mergeCell ref="K1636:L1636"/>
    <mergeCell ref="M1636:N1636"/>
    <mergeCell ref="M1637:N1637"/>
    <mergeCell ref="I1637:J1637"/>
    <mergeCell ref="K1637:L1637"/>
    <mergeCell ref="I1638:J1638"/>
    <mergeCell ref="K1638:L1638"/>
    <mergeCell ref="A1615:G1615"/>
    <mergeCell ref="I1615:J1615"/>
    <mergeCell ref="K1615:L1615"/>
    <mergeCell ref="M1615:N1615"/>
    <mergeCell ref="A1616:G1616"/>
    <mergeCell ref="A1617:G1617"/>
    <mergeCell ref="I1667:J1667"/>
    <mergeCell ref="I1668:J1668"/>
    <mergeCell ref="I1663:J1663"/>
    <mergeCell ref="K1663:L1663"/>
    <mergeCell ref="M1663:N1663"/>
    <mergeCell ref="A1666:N1666"/>
    <mergeCell ref="A1667:G1667"/>
    <mergeCell ref="M1667:N1667"/>
    <mergeCell ref="M1668:N1668"/>
    <mergeCell ref="A1649:G1649"/>
    <mergeCell ref="A1650:G1650"/>
    <mergeCell ref="A1651:G1651"/>
    <mergeCell ref="A1652:G1652"/>
    <mergeCell ref="A1653:G1653"/>
    <mergeCell ref="A1654:G1654"/>
    <mergeCell ref="A1644:G1644"/>
    <mergeCell ref="A1645:G1645"/>
    <mergeCell ref="I1645:J1645"/>
    <mergeCell ref="K1645:L1645"/>
    <mergeCell ref="M1645:N1645"/>
    <mergeCell ref="A1648:N1648"/>
    <mergeCell ref="M1649:N1649"/>
    <mergeCell ref="I1649:J1649"/>
    <mergeCell ref="K1649:L1649"/>
    <mergeCell ref="I1650:J1650"/>
    <mergeCell ref="K1650:L1650"/>
    <mergeCell ref="A1586:N1587"/>
    <mergeCell ref="A1591:N1591"/>
    <mergeCell ref="K1602:L1602"/>
    <mergeCell ref="M1602:N1602"/>
    <mergeCell ref="K1603:L1603"/>
    <mergeCell ref="M1603:N1603"/>
    <mergeCell ref="A1600:G1600"/>
    <mergeCell ref="A1601:G1601"/>
    <mergeCell ref="I1601:J1601"/>
    <mergeCell ref="K1601:L1601"/>
    <mergeCell ref="M1601:N1601"/>
    <mergeCell ref="A1602:G1602"/>
    <mergeCell ref="I1602:J1602"/>
    <mergeCell ref="I1597:J1597"/>
    <mergeCell ref="I1598:J1598"/>
    <mergeCell ref="I1599:J1599"/>
    <mergeCell ref="K1599:L1599"/>
    <mergeCell ref="M1599:N1599"/>
    <mergeCell ref="M1600:N1600"/>
    <mergeCell ref="I1626:J1626"/>
    <mergeCell ref="I1627:J1627"/>
    <mergeCell ref="M1627:N1627"/>
    <mergeCell ref="A1592:G1592"/>
    <mergeCell ref="K1592:L1592"/>
    <mergeCell ref="M1592:N1592"/>
    <mergeCell ref="A1593:G1593"/>
    <mergeCell ref="K1597:L1597"/>
    <mergeCell ref="M1597:N1597"/>
    <mergeCell ref="I1600:J1600"/>
    <mergeCell ref="K1600:L1600"/>
    <mergeCell ref="K1598:L1598"/>
    <mergeCell ref="M1598:N1598"/>
    <mergeCell ref="A1599:G1599"/>
    <mergeCell ref="A1594:G1594"/>
    <mergeCell ref="I1594:J1594"/>
    <mergeCell ref="K1594:L1594"/>
    <mergeCell ref="M1594:N1594"/>
    <mergeCell ref="I1595:J1595"/>
    <mergeCell ref="K1595:L1595"/>
    <mergeCell ref="M1595:N1595"/>
    <mergeCell ref="A1595:G1595"/>
    <mergeCell ref="A1596:G1596"/>
    <mergeCell ref="I1596:J1596"/>
    <mergeCell ref="K1596:L1596"/>
    <mergeCell ref="M1596:N1596"/>
    <mergeCell ref="A1597:G1597"/>
    <mergeCell ref="A1598:G1598"/>
    <mergeCell ref="I1592:J1592"/>
    <mergeCell ref="I1593:J1593"/>
    <mergeCell ref="K1593:L1593"/>
    <mergeCell ref="M1593:N1593"/>
    <mergeCell ref="M1104:N1104"/>
    <mergeCell ref="K1105:L1105"/>
    <mergeCell ref="M1105:N1105"/>
    <mergeCell ref="I1100:J1100"/>
    <mergeCell ref="I1101:J1101"/>
    <mergeCell ref="I1102:J1102"/>
    <mergeCell ref="M1102:N1102"/>
    <mergeCell ref="I1103:J1103"/>
    <mergeCell ref="M1103:N1103"/>
    <mergeCell ref="I1104:J1104"/>
    <mergeCell ref="I1091:J1091"/>
    <mergeCell ref="I1092:J1092"/>
    <mergeCell ref="K1092:L1092"/>
    <mergeCell ref="M1092:N1092"/>
    <mergeCell ref="A1089:N1089"/>
    <mergeCell ref="A1090:G1090"/>
    <mergeCell ref="I1090:J1090"/>
    <mergeCell ref="K1090:L1090"/>
    <mergeCell ref="M1090:N1090"/>
    <mergeCell ref="A1091:G1091"/>
    <mergeCell ref="A1092:G1092"/>
    <mergeCell ref="A1093:G1093"/>
    <mergeCell ref="I1093:J1093"/>
    <mergeCell ref="K1093:L1093"/>
    <mergeCell ref="M1093:N1093"/>
    <mergeCell ref="I1094:J1094"/>
    <mergeCell ref="K1094:L1094"/>
    <mergeCell ref="M1094:N1094"/>
    <mergeCell ref="A1094:G1094"/>
    <mergeCell ref="K1096:L1096"/>
    <mergeCell ref="M1096:N1096"/>
    <mergeCell ref="A1042:G1042"/>
    <mergeCell ref="A1043:G1043"/>
    <mergeCell ref="A1044:G1044"/>
    <mergeCell ref="A1035:G1035"/>
    <mergeCell ref="A1038:N1038"/>
    <mergeCell ref="A1039:G1039"/>
    <mergeCell ref="I1039:J1039"/>
    <mergeCell ref="K1039:L1039"/>
    <mergeCell ref="M1039:N1039"/>
    <mergeCell ref="M1040:N1040"/>
    <mergeCell ref="I1061:J1061"/>
    <mergeCell ref="I1062:J1062"/>
    <mergeCell ref="K1063:L1063"/>
    <mergeCell ref="M1063:N1063"/>
    <mergeCell ref="A1073:G1073"/>
    <mergeCell ref="I1073:J1073"/>
    <mergeCell ref="K1073:L1073"/>
    <mergeCell ref="M1073:N1073"/>
    <mergeCell ref="K1045:L1045"/>
    <mergeCell ref="M1045:N1045"/>
    <mergeCell ref="A1047:N1047"/>
    <mergeCell ref="A1048:G1048"/>
    <mergeCell ref="K1048:L1048"/>
    <mergeCell ref="M1048:N1048"/>
    <mergeCell ref="A1049:G1049"/>
    <mergeCell ref="I1051:J1051"/>
    <mergeCell ref="K1051:L1051"/>
    <mergeCell ref="I1048:J1048"/>
    <mergeCell ref="I1049:J1049"/>
    <mergeCell ref="A1050:G1050"/>
    <mergeCell ref="I1050:J1050"/>
    <mergeCell ref="K1050:L1050"/>
    <mergeCell ref="K1081:L1081"/>
    <mergeCell ref="M1081:N1081"/>
    <mergeCell ref="I1081:J1081"/>
    <mergeCell ref="I1082:J1082"/>
    <mergeCell ref="K1082:L1082"/>
    <mergeCell ref="M1082:N1082"/>
    <mergeCell ref="K1077:L1077"/>
    <mergeCell ref="M1077:N1077"/>
    <mergeCell ref="K1078:L1078"/>
    <mergeCell ref="M1078:N1078"/>
    <mergeCell ref="A1080:N1080"/>
    <mergeCell ref="A1081:G1081"/>
    <mergeCell ref="A1082:G1082"/>
    <mergeCell ref="A1095:G1095"/>
    <mergeCell ref="I1095:J1095"/>
    <mergeCell ref="K1095:L1095"/>
    <mergeCell ref="M1095:N1095"/>
    <mergeCell ref="K1091:L1091"/>
    <mergeCell ref="M1091:N1091"/>
    <mergeCell ref="I1084:J1084"/>
    <mergeCell ref="K1084:L1084"/>
    <mergeCell ref="M1084:N1084"/>
    <mergeCell ref="K1086:L1086"/>
    <mergeCell ref="M1086:N1086"/>
    <mergeCell ref="K1087:L1087"/>
    <mergeCell ref="M1087:N1087"/>
    <mergeCell ref="A1084:G1084"/>
    <mergeCell ref="A1085:G1085"/>
    <mergeCell ref="I1085:J1085"/>
    <mergeCell ref="K1085:L1085"/>
    <mergeCell ref="M1085:N1085"/>
    <mergeCell ref="A1083:G1083"/>
    <mergeCell ref="I1077:J1077"/>
    <mergeCell ref="I1074:J1074"/>
    <mergeCell ref="K1074:L1074"/>
    <mergeCell ref="M1074:N1074"/>
    <mergeCell ref="A1074:G1074"/>
    <mergeCell ref="A1075:G1075"/>
    <mergeCell ref="I1075:J1075"/>
    <mergeCell ref="K1075:L1075"/>
    <mergeCell ref="M1075:N1075"/>
    <mergeCell ref="A1076:G1076"/>
    <mergeCell ref="A1077:G1077"/>
    <mergeCell ref="K1076:L1076"/>
    <mergeCell ref="M1076:N1076"/>
    <mergeCell ref="I1076:J1076"/>
    <mergeCell ref="A1051:G1051"/>
    <mergeCell ref="A1052:G1052"/>
    <mergeCell ref="M1061:N1061"/>
    <mergeCell ref="M1062:N1062"/>
    <mergeCell ref="I1071:J1071"/>
    <mergeCell ref="I1072:J1072"/>
    <mergeCell ref="K1072:L1072"/>
    <mergeCell ref="M1072:N1072"/>
    <mergeCell ref="A1062:G1062"/>
    <mergeCell ref="A1065:N1066"/>
    <mergeCell ref="A1070:N1070"/>
    <mergeCell ref="A1071:G1071"/>
    <mergeCell ref="K1071:L1071"/>
    <mergeCell ref="M1071:N1071"/>
    <mergeCell ref="A1072:G1072"/>
    <mergeCell ref="K1049:L1049"/>
    <mergeCell ref="M1049:N1049"/>
    <mergeCell ref="K1052:L1052"/>
    <mergeCell ref="M1052:N1052"/>
    <mergeCell ref="A1053:G1053"/>
    <mergeCell ref="I1053:J1053"/>
    <mergeCell ref="I1058:J1058"/>
    <mergeCell ref="I1059:J1059"/>
    <mergeCell ref="A1056:N1056"/>
    <mergeCell ref="A1057:G1057"/>
    <mergeCell ref="I1057:J1057"/>
    <mergeCell ref="M1057:N1057"/>
    <mergeCell ref="A1058:G1058"/>
    <mergeCell ref="M1058:N1058"/>
    <mergeCell ref="M1059:N1059"/>
    <mergeCell ref="K1053:L1053"/>
    <mergeCell ref="M1053:N1053"/>
    <mergeCell ref="K1054:L1054"/>
    <mergeCell ref="M1054:N1054"/>
    <mergeCell ref="M1050:N1050"/>
    <mergeCell ref="M1051:N1051"/>
    <mergeCell ref="M1044:N1044"/>
    <mergeCell ref="A1059:G1059"/>
    <mergeCell ref="A1060:G1060"/>
    <mergeCell ref="I1060:J1060"/>
    <mergeCell ref="M1060:N1060"/>
    <mergeCell ref="A1061:G1061"/>
    <mergeCell ref="A1086:G1086"/>
    <mergeCell ref="I1086:J1086"/>
    <mergeCell ref="M1020:N1020"/>
    <mergeCell ref="K1021:L1021"/>
    <mergeCell ref="M1021:N1021"/>
    <mergeCell ref="A1020:G1020"/>
    <mergeCell ref="I1020:J1020"/>
    <mergeCell ref="I1040:J1040"/>
    <mergeCell ref="K1040:L1040"/>
    <mergeCell ref="I1041:J1041"/>
    <mergeCell ref="K1041:L1041"/>
    <mergeCell ref="M1041:N1041"/>
    <mergeCell ref="K1042:L1042"/>
    <mergeCell ref="M1042:N1042"/>
    <mergeCell ref="I1042:J1042"/>
    <mergeCell ref="I1043:J1043"/>
    <mergeCell ref="K1043:L1043"/>
    <mergeCell ref="M1043:N1043"/>
    <mergeCell ref="I1044:J1044"/>
    <mergeCell ref="K1044:L1044"/>
    <mergeCell ref="I1032:J1032"/>
    <mergeCell ref="I1033:J1033"/>
    <mergeCell ref="K1033:L1033"/>
    <mergeCell ref="M1033:N1033"/>
    <mergeCell ref="K1036:L1036"/>
    <mergeCell ref="I1052:J1052"/>
    <mergeCell ref="A1008:G1008"/>
    <mergeCell ref="I1002:J1002"/>
    <mergeCell ref="K1002:L1002"/>
    <mergeCell ref="M1002:N1002"/>
    <mergeCell ref="I1006:J1006"/>
    <mergeCell ref="I1007:J1007"/>
    <mergeCell ref="A1018:G1018"/>
    <mergeCell ref="M1018:N1018"/>
    <mergeCell ref="A1010:G1010"/>
    <mergeCell ref="I1010:J1010"/>
    <mergeCell ref="K1010:L1010"/>
    <mergeCell ref="I1083:J1083"/>
    <mergeCell ref="K1083:L1083"/>
    <mergeCell ref="M1083:N1083"/>
    <mergeCell ref="A1033:G1033"/>
    <mergeCell ref="A1034:G1034"/>
    <mergeCell ref="I1034:J1034"/>
    <mergeCell ref="K1034:L1034"/>
    <mergeCell ref="M1034:N1034"/>
    <mergeCell ref="I1035:J1035"/>
    <mergeCell ref="K1035:L1035"/>
    <mergeCell ref="M1035:N1035"/>
    <mergeCell ref="A1040:G1040"/>
    <mergeCell ref="A1041:G1041"/>
    <mergeCell ref="K1032:L1032"/>
    <mergeCell ref="M1032:N1032"/>
    <mergeCell ref="A1011:G1011"/>
    <mergeCell ref="I1017:J1017"/>
    <mergeCell ref="I1018:J1018"/>
    <mergeCell ref="A1019:G1019"/>
    <mergeCell ref="I1019:J1019"/>
    <mergeCell ref="M1019:N1019"/>
    <mergeCell ref="K1007:L1007"/>
    <mergeCell ref="I975:J975"/>
    <mergeCell ref="I976:J976"/>
    <mergeCell ref="K977:L977"/>
    <mergeCell ref="M977:N977"/>
    <mergeCell ref="K1011:L1011"/>
    <mergeCell ref="M1011:N1011"/>
    <mergeCell ref="K1012:L1012"/>
    <mergeCell ref="M1012:N1012"/>
    <mergeCell ref="A1014:N1014"/>
    <mergeCell ref="I1015:J1015"/>
    <mergeCell ref="M1015:N1015"/>
    <mergeCell ref="A1015:G1015"/>
    <mergeCell ref="A1016:G1016"/>
    <mergeCell ref="I1016:J1016"/>
    <mergeCell ref="M1016:N1016"/>
    <mergeCell ref="A1017:G1017"/>
    <mergeCell ref="M1017:N1017"/>
    <mergeCell ref="A987:G987"/>
    <mergeCell ref="I987:J987"/>
    <mergeCell ref="K987:L987"/>
    <mergeCell ref="M987:N987"/>
    <mergeCell ref="I988:J988"/>
    <mergeCell ref="K988:L988"/>
    <mergeCell ref="M988:N988"/>
    <mergeCell ref="A988:G988"/>
    <mergeCell ref="A989:G989"/>
    <mergeCell ref="I989:J989"/>
    <mergeCell ref="K989:L989"/>
    <mergeCell ref="M989:N989"/>
    <mergeCell ref="A990:G990"/>
    <mergeCell ref="A991:G991"/>
    <mergeCell ref="K997:L997"/>
    <mergeCell ref="K999:L999"/>
    <mergeCell ref="M999:N999"/>
    <mergeCell ref="K1000:L1000"/>
    <mergeCell ref="M1000:N1000"/>
    <mergeCell ref="I1000:J1000"/>
    <mergeCell ref="M971:N971"/>
    <mergeCell ref="A972:G972"/>
    <mergeCell ref="M972:N972"/>
    <mergeCell ref="M973:N973"/>
    <mergeCell ref="M1036:N1036"/>
    <mergeCell ref="A1030:G1030"/>
    <mergeCell ref="A1031:G1031"/>
    <mergeCell ref="I1031:J1031"/>
    <mergeCell ref="K1031:L1031"/>
    <mergeCell ref="M1031:N1031"/>
    <mergeCell ref="A1032:G1032"/>
    <mergeCell ref="A973:G973"/>
    <mergeCell ref="A974:G974"/>
    <mergeCell ref="I974:J974"/>
    <mergeCell ref="M974:N974"/>
    <mergeCell ref="A975:G975"/>
    <mergeCell ref="M975:N975"/>
    <mergeCell ref="M976:N976"/>
    <mergeCell ref="I985:J985"/>
    <mergeCell ref="I986:J986"/>
    <mergeCell ref="K986:L986"/>
    <mergeCell ref="M986:N986"/>
    <mergeCell ref="A976:G976"/>
    <mergeCell ref="A979:N980"/>
    <mergeCell ref="A984:N984"/>
    <mergeCell ref="A985:G985"/>
    <mergeCell ref="I971:J971"/>
    <mergeCell ref="A958:G958"/>
    <mergeCell ref="M964:N964"/>
    <mergeCell ref="M965:N965"/>
    <mergeCell ref="K967:L967"/>
    <mergeCell ref="M967:N967"/>
    <mergeCell ref="I1011:J1011"/>
    <mergeCell ref="M1010:N1010"/>
    <mergeCell ref="K985:L985"/>
    <mergeCell ref="M985:N985"/>
    <mergeCell ref="A986:G986"/>
    <mergeCell ref="K990:L990"/>
    <mergeCell ref="M990:N990"/>
    <mergeCell ref="I990:J990"/>
    <mergeCell ref="I991:J991"/>
    <mergeCell ref="I993:J993"/>
    <mergeCell ref="K993:L993"/>
    <mergeCell ref="K994:L994"/>
    <mergeCell ref="M994:N994"/>
    <mergeCell ref="M1007:N1007"/>
    <mergeCell ref="K1003:L1003"/>
    <mergeCell ref="M1003:N1003"/>
    <mergeCell ref="A1005:N1005"/>
    <mergeCell ref="A1006:G1006"/>
    <mergeCell ref="K1006:L1006"/>
    <mergeCell ref="M1006:N1006"/>
    <mergeCell ref="A1007:G1007"/>
    <mergeCell ref="I1008:J1008"/>
    <mergeCell ref="K1008:L1008"/>
    <mergeCell ref="A996:N996"/>
    <mergeCell ref="A997:G997"/>
    <mergeCell ref="I997:J997"/>
    <mergeCell ref="A993:G993"/>
    <mergeCell ref="M997:N997"/>
    <mergeCell ref="M998:N998"/>
    <mergeCell ref="I998:J998"/>
    <mergeCell ref="K998:L998"/>
    <mergeCell ref="I999:J999"/>
    <mergeCell ref="I1001:J1001"/>
    <mergeCell ref="K1001:L1001"/>
    <mergeCell ref="M1001:N1001"/>
    <mergeCell ref="I958:J958"/>
    <mergeCell ref="K958:L958"/>
    <mergeCell ref="M958:N958"/>
    <mergeCell ref="K963:L963"/>
    <mergeCell ref="M963:N963"/>
    <mergeCell ref="K968:L968"/>
    <mergeCell ref="M968:N968"/>
    <mergeCell ref="A961:N961"/>
    <mergeCell ref="A962:G962"/>
    <mergeCell ref="K962:L962"/>
    <mergeCell ref="M962:N962"/>
    <mergeCell ref="A963:G963"/>
    <mergeCell ref="I965:J965"/>
    <mergeCell ref="K965:L965"/>
    <mergeCell ref="I962:J962"/>
    <mergeCell ref="I963:J963"/>
    <mergeCell ref="A964:G964"/>
    <mergeCell ref="I964:J964"/>
    <mergeCell ref="K964:L964"/>
    <mergeCell ref="I972:J972"/>
    <mergeCell ref="I973:J973"/>
    <mergeCell ref="A970:N970"/>
    <mergeCell ref="A971:G971"/>
    <mergeCell ref="K956:L956"/>
    <mergeCell ref="M956:N956"/>
    <mergeCell ref="I956:J956"/>
    <mergeCell ref="I957:J957"/>
    <mergeCell ref="K957:L957"/>
    <mergeCell ref="M957:N957"/>
    <mergeCell ref="M1008:N1008"/>
    <mergeCell ref="I1009:J1009"/>
    <mergeCell ref="K1009:L1009"/>
    <mergeCell ref="M1009:N1009"/>
    <mergeCell ref="A1009:G1009"/>
    <mergeCell ref="I1030:J1030"/>
    <mergeCell ref="K1030:L1030"/>
    <mergeCell ref="A1023:N1024"/>
    <mergeCell ref="A1028:N1028"/>
    <mergeCell ref="A1029:G1029"/>
    <mergeCell ref="I1029:J1029"/>
    <mergeCell ref="K1029:L1029"/>
    <mergeCell ref="M1029:N1029"/>
    <mergeCell ref="M1030:N1030"/>
    <mergeCell ref="K991:L991"/>
    <mergeCell ref="M991:N991"/>
    <mergeCell ref="A992:G992"/>
    <mergeCell ref="I992:J992"/>
    <mergeCell ref="K992:L992"/>
    <mergeCell ref="M992:N992"/>
    <mergeCell ref="M993:N993"/>
    <mergeCell ref="A998:G998"/>
    <mergeCell ref="A999:G999"/>
    <mergeCell ref="A1000:G1000"/>
    <mergeCell ref="A1001:G1001"/>
    <mergeCell ref="A1002:G1002"/>
    <mergeCell ref="K941:L941"/>
    <mergeCell ref="M941:N941"/>
    <mergeCell ref="I941:J941"/>
    <mergeCell ref="I942:J942"/>
    <mergeCell ref="K942:L942"/>
    <mergeCell ref="M942:N942"/>
    <mergeCell ref="A935:N936"/>
    <mergeCell ref="A940:N940"/>
    <mergeCell ref="A941:G941"/>
    <mergeCell ref="A942:G942"/>
    <mergeCell ref="A943:G943"/>
    <mergeCell ref="I943:J943"/>
    <mergeCell ref="K943:L943"/>
    <mergeCell ref="A946:G946"/>
    <mergeCell ref="A947:G947"/>
    <mergeCell ref="A954:G954"/>
    <mergeCell ref="A955:G955"/>
    <mergeCell ref="A948:G948"/>
    <mergeCell ref="I948:J948"/>
    <mergeCell ref="K948:L948"/>
    <mergeCell ref="M948:N948"/>
    <mergeCell ref="I949:J949"/>
    <mergeCell ref="K949:L949"/>
    <mergeCell ref="A952:N952"/>
    <mergeCell ref="A953:G953"/>
    <mergeCell ref="I953:J953"/>
    <mergeCell ref="K953:L953"/>
    <mergeCell ref="M953:N953"/>
    <mergeCell ref="M954:N954"/>
    <mergeCell ref="I954:J954"/>
    <mergeCell ref="K954:L954"/>
    <mergeCell ref="I955:J955"/>
    <mergeCell ref="M966:N966"/>
    <mergeCell ref="A967:G967"/>
    <mergeCell ref="I967:J967"/>
    <mergeCell ref="M943:N943"/>
    <mergeCell ref="I944:J944"/>
    <mergeCell ref="K944:L944"/>
    <mergeCell ref="M944:N944"/>
    <mergeCell ref="K946:L946"/>
    <mergeCell ref="M946:N946"/>
    <mergeCell ref="I946:J946"/>
    <mergeCell ref="I947:J947"/>
    <mergeCell ref="K947:L947"/>
    <mergeCell ref="M947:N947"/>
    <mergeCell ref="K950:L950"/>
    <mergeCell ref="M950:N950"/>
    <mergeCell ref="A944:G944"/>
    <mergeCell ref="A945:G945"/>
    <mergeCell ref="I945:J945"/>
    <mergeCell ref="K945:L945"/>
    <mergeCell ref="M945:N945"/>
    <mergeCell ref="M949:N949"/>
    <mergeCell ref="A949:G949"/>
    <mergeCell ref="A965:G965"/>
    <mergeCell ref="A966:G966"/>
    <mergeCell ref="I966:J966"/>
    <mergeCell ref="K966:L966"/>
    <mergeCell ref="A956:G956"/>
    <mergeCell ref="A957:G957"/>
    <mergeCell ref="K959:L959"/>
    <mergeCell ref="M959:N959"/>
    <mergeCell ref="K955:L955"/>
    <mergeCell ref="M955:N955"/>
    <mergeCell ref="A898:G898"/>
    <mergeCell ref="A899:G899"/>
    <mergeCell ref="I899:J899"/>
    <mergeCell ref="K899:L899"/>
    <mergeCell ref="M899:N899"/>
    <mergeCell ref="A900:G900"/>
    <mergeCell ref="A901:G901"/>
    <mergeCell ref="A902:G902"/>
    <mergeCell ref="I902:J902"/>
    <mergeCell ref="K902:L902"/>
    <mergeCell ref="M902:N902"/>
    <mergeCell ref="A917:N917"/>
    <mergeCell ref="M909:N909"/>
    <mergeCell ref="K909:L909"/>
    <mergeCell ref="M911:N911"/>
    <mergeCell ref="K911:L911"/>
    <mergeCell ref="M910:N910"/>
    <mergeCell ref="K910:L910"/>
    <mergeCell ref="I912:J912"/>
    <mergeCell ref="I909:J909"/>
    <mergeCell ref="I911:J911"/>
    <mergeCell ref="I910:J910"/>
    <mergeCell ref="A912:G912"/>
    <mergeCell ref="A911:G911"/>
    <mergeCell ref="A910:G910"/>
    <mergeCell ref="A909:G909"/>
    <mergeCell ref="A908:N908"/>
    <mergeCell ref="K912:L912"/>
    <mergeCell ref="M912:N912"/>
    <mergeCell ref="I913:J913"/>
    <mergeCell ref="K913:L913"/>
    <mergeCell ref="M913:N913"/>
    <mergeCell ref="A913:G913"/>
    <mergeCell ref="A914:G914"/>
    <mergeCell ref="I914:J914"/>
    <mergeCell ref="K914:L914"/>
    <mergeCell ref="M914:N914"/>
    <mergeCell ref="K915:L915"/>
    <mergeCell ref="M915:N915"/>
    <mergeCell ref="K919:L919"/>
    <mergeCell ref="M919:N919"/>
    <mergeCell ref="A922:G922"/>
    <mergeCell ref="A877:G877"/>
    <mergeCell ref="A878:G878"/>
    <mergeCell ref="I878:J878"/>
    <mergeCell ref="K878:L878"/>
    <mergeCell ref="M878:N878"/>
    <mergeCell ref="I879:J879"/>
    <mergeCell ref="K879:L879"/>
    <mergeCell ref="M879:N879"/>
    <mergeCell ref="I886:J886"/>
    <mergeCell ref="I887:J887"/>
    <mergeCell ref="I888:J888"/>
    <mergeCell ref="M888:N888"/>
    <mergeCell ref="K889:L889"/>
    <mergeCell ref="M889:N889"/>
    <mergeCell ref="A887:G887"/>
    <mergeCell ref="A888:G888"/>
    <mergeCell ref="K900:L900"/>
    <mergeCell ref="A882:N882"/>
    <mergeCell ref="A883:G883"/>
    <mergeCell ref="I883:J883"/>
    <mergeCell ref="M883:N883"/>
    <mergeCell ref="I884:J884"/>
    <mergeCell ref="M884:N884"/>
    <mergeCell ref="A884:G884"/>
    <mergeCell ref="A885:G885"/>
    <mergeCell ref="I885:J885"/>
    <mergeCell ref="M885:N885"/>
    <mergeCell ref="A886:G886"/>
    <mergeCell ref="M886:N886"/>
    <mergeCell ref="M887:N887"/>
    <mergeCell ref="I876:J876"/>
    <mergeCell ref="I877:J877"/>
    <mergeCell ref="K877:L877"/>
    <mergeCell ref="M877:N877"/>
    <mergeCell ref="K880:L880"/>
    <mergeCell ref="M880:N880"/>
    <mergeCell ref="A876:G876"/>
    <mergeCell ref="A869:G869"/>
    <mergeCell ref="I869:J869"/>
    <mergeCell ref="K869:L869"/>
    <mergeCell ref="M869:N869"/>
    <mergeCell ref="I870:J870"/>
    <mergeCell ref="K870:L870"/>
    <mergeCell ref="M870:N870"/>
    <mergeCell ref="A870:G870"/>
    <mergeCell ref="A871:G871"/>
    <mergeCell ref="I871:J871"/>
    <mergeCell ref="K871:L871"/>
    <mergeCell ref="M871:N871"/>
    <mergeCell ref="K872:L872"/>
    <mergeCell ref="M872:N872"/>
    <mergeCell ref="K876:L876"/>
    <mergeCell ref="M876:N876"/>
    <mergeCell ref="A879:G879"/>
    <mergeCell ref="A874:N874"/>
    <mergeCell ref="A875:G875"/>
    <mergeCell ref="I875:J875"/>
    <mergeCell ref="K875:L875"/>
    <mergeCell ref="M875:N875"/>
    <mergeCell ref="K862:L862"/>
    <mergeCell ref="M862:N862"/>
    <mergeCell ref="K863:L863"/>
    <mergeCell ref="M863:N863"/>
    <mergeCell ref="A860:G860"/>
    <mergeCell ref="A861:G861"/>
    <mergeCell ref="I861:J861"/>
    <mergeCell ref="K861:L861"/>
    <mergeCell ref="M861:N861"/>
    <mergeCell ref="A862:G862"/>
    <mergeCell ref="I862:J862"/>
    <mergeCell ref="K867:L867"/>
    <mergeCell ref="M867:N867"/>
    <mergeCell ref="I867:J867"/>
    <mergeCell ref="I868:J868"/>
    <mergeCell ref="K868:L868"/>
    <mergeCell ref="M868:N868"/>
    <mergeCell ref="A865:N865"/>
    <mergeCell ref="A866:G866"/>
    <mergeCell ref="I866:J866"/>
    <mergeCell ref="K866:L866"/>
    <mergeCell ref="M866:N866"/>
    <mergeCell ref="A867:G867"/>
    <mergeCell ref="A868:G868"/>
    <mergeCell ref="I857:J857"/>
    <mergeCell ref="I858:J858"/>
    <mergeCell ref="K858:L858"/>
    <mergeCell ref="M858:N858"/>
    <mergeCell ref="A848:G848"/>
    <mergeCell ref="A851:N852"/>
    <mergeCell ref="A856:N856"/>
    <mergeCell ref="A857:G857"/>
    <mergeCell ref="K857:L857"/>
    <mergeCell ref="M857:N857"/>
    <mergeCell ref="A858:G858"/>
    <mergeCell ref="A859:G859"/>
    <mergeCell ref="I859:J859"/>
    <mergeCell ref="K859:L859"/>
    <mergeCell ref="M859:N859"/>
    <mergeCell ref="I860:J860"/>
    <mergeCell ref="K860:L860"/>
    <mergeCell ref="M860:N860"/>
    <mergeCell ref="M828:N828"/>
    <mergeCell ref="I828:J828"/>
    <mergeCell ref="I829:J829"/>
    <mergeCell ref="K829:L829"/>
    <mergeCell ref="M829:N829"/>
    <mergeCell ref="I830:J830"/>
    <mergeCell ref="K830:L830"/>
    <mergeCell ref="M830:N830"/>
    <mergeCell ref="K835:L835"/>
    <mergeCell ref="M835:N835"/>
    <mergeCell ref="K831:L831"/>
    <mergeCell ref="I847:J847"/>
    <mergeCell ref="I848:J848"/>
    <mergeCell ref="K849:L849"/>
    <mergeCell ref="M849:N849"/>
    <mergeCell ref="A845:G845"/>
    <mergeCell ref="A846:G846"/>
    <mergeCell ref="I846:J846"/>
    <mergeCell ref="M846:N846"/>
    <mergeCell ref="A847:G847"/>
    <mergeCell ref="M847:N847"/>
    <mergeCell ref="M848:N848"/>
    <mergeCell ref="I844:J844"/>
    <mergeCell ref="I845:J845"/>
    <mergeCell ref="A842:N842"/>
    <mergeCell ref="A843:G843"/>
    <mergeCell ref="I843:J843"/>
    <mergeCell ref="M843:N843"/>
    <mergeCell ref="A844:G844"/>
    <mergeCell ref="M844:N844"/>
    <mergeCell ref="M845:N845"/>
    <mergeCell ref="K828:L828"/>
    <mergeCell ref="A815:G815"/>
    <mergeCell ref="I815:J815"/>
    <mergeCell ref="K815:L815"/>
    <mergeCell ref="M815:N815"/>
    <mergeCell ref="I816:J816"/>
    <mergeCell ref="K816:L816"/>
    <mergeCell ref="M816:N816"/>
    <mergeCell ref="K818:L818"/>
    <mergeCell ref="M818:N818"/>
    <mergeCell ref="I818:J818"/>
    <mergeCell ref="I819:J819"/>
    <mergeCell ref="K819:L819"/>
    <mergeCell ref="M819:N819"/>
    <mergeCell ref="K822:L822"/>
    <mergeCell ref="M822:N822"/>
    <mergeCell ref="A816:G816"/>
    <mergeCell ref="A817:G817"/>
    <mergeCell ref="I817:J817"/>
    <mergeCell ref="K817:L817"/>
    <mergeCell ref="M817:N817"/>
    <mergeCell ref="A818:G818"/>
    <mergeCell ref="A819:G819"/>
    <mergeCell ref="A826:G826"/>
    <mergeCell ref="K813:L813"/>
    <mergeCell ref="M813:N813"/>
    <mergeCell ref="I813:J813"/>
    <mergeCell ref="I814:J814"/>
    <mergeCell ref="K814:L814"/>
    <mergeCell ref="M814:N814"/>
    <mergeCell ref="M804:N804"/>
    <mergeCell ref="K805:L805"/>
    <mergeCell ref="M805:N805"/>
    <mergeCell ref="A807:N808"/>
    <mergeCell ref="A812:N812"/>
    <mergeCell ref="K839:L839"/>
    <mergeCell ref="M839:N839"/>
    <mergeCell ref="K840:L840"/>
    <mergeCell ref="M840:N840"/>
    <mergeCell ref="A837:G837"/>
    <mergeCell ref="A838:G838"/>
    <mergeCell ref="I838:J838"/>
    <mergeCell ref="K838:L838"/>
    <mergeCell ref="M838:N838"/>
    <mergeCell ref="A839:G839"/>
    <mergeCell ref="I839:J839"/>
    <mergeCell ref="A827:G827"/>
    <mergeCell ref="A828:G828"/>
    <mergeCell ref="A829:G829"/>
    <mergeCell ref="A830:G830"/>
    <mergeCell ref="I826:J826"/>
    <mergeCell ref="K826:L826"/>
    <mergeCell ref="I827:J827"/>
    <mergeCell ref="K827:L827"/>
    <mergeCell ref="M827:N827"/>
    <mergeCell ref="K795:L795"/>
    <mergeCell ref="M795:N795"/>
    <mergeCell ref="K796:L796"/>
    <mergeCell ref="M796:N796"/>
    <mergeCell ref="A801:G801"/>
    <mergeCell ref="A802:G802"/>
    <mergeCell ref="A803:G803"/>
    <mergeCell ref="A804:G804"/>
    <mergeCell ref="A798:N798"/>
    <mergeCell ref="A799:G799"/>
    <mergeCell ref="I799:J799"/>
    <mergeCell ref="M799:N799"/>
    <mergeCell ref="A800:G800"/>
    <mergeCell ref="M800:N800"/>
    <mergeCell ref="M801:N801"/>
    <mergeCell ref="I800:J800"/>
    <mergeCell ref="I801:J801"/>
    <mergeCell ref="I802:J802"/>
    <mergeCell ref="M802:N802"/>
    <mergeCell ref="I803:J803"/>
    <mergeCell ref="M803:N803"/>
    <mergeCell ref="I804:J804"/>
    <mergeCell ref="A794:G794"/>
    <mergeCell ref="M831:N831"/>
    <mergeCell ref="A833:N833"/>
    <mergeCell ref="A834:G834"/>
    <mergeCell ref="K834:L834"/>
    <mergeCell ref="M834:N834"/>
    <mergeCell ref="A835:G835"/>
    <mergeCell ref="I837:J837"/>
    <mergeCell ref="K837:L837"/>
    <mergeCell ref="I834:J834"/>
    <mergeCell ref="I835:J835"/>
    <mergeCell ref="A836:G836"/>
    <mergeCell ref="I836:J836"/>
    <mergeCell ref="K836:L836"/>
    <mergeCell ref="M836:N836"/>
    <mergeCell ref="M837:N837"/>
    <mergeCell ref="A820:G820"/>
    <mergeCell ref="I820:J820"/>
    <mergeCell ref="K820:L820"/>
    <mergeCell ref="M820:N820"/>
    <mergeCell ref="I821:J821"/>
    <mergeCell ref="K821:L821"/>
    <mergeCell ref="M821:N821"/>
    <mergeCell ref="A821:G821"/>
    <mergeCell ref="A824:N824"/>
    <mergeCell ref="A825:G825"/>
    <mergeCell ref="I825:J825"/>
    <mergeCell ref="K825:L825"/>
    <mergeCell ref="M825:N825"/>
    <mergeCell ref="M826:N826"/>
    <mergeCell ref="A795:G795"/>
    <mergeCell ref="I795:J795"/>
    <mergeCell ref="A783:G783"/>
    <mergeCell ref="A784:G784"/>
    <mergeCell ref="I784:J784"/>
    <mergeCell ref="K784:L784"/>
    <mergeCell ref="M784:N784"/>
    <mergeCell ref="I785:J785"/>
    <mergeCell ref="K785:L785"/>
    <mergeCell ref="M785:N785"/>
    <mergeCell ref="A785:G785"/>
    <mergeCell ref="A786:G786"/>
    <mergeCell ref="I786:J786"/>
    <mergeCell ref="K786:L786"/>
    <mergeCell ref="M786:N786"/>
    <mergeCell ref="K787:L787"/>
    <mergeCell ref="M787:N787"/>
    <mergeCell ref="K791:L791"/>
    <mergeCell ref="M791:N791"/>
    <mergeCell ref="K717:L717"/>
    <mergeCell ref="M717:N717"/>
    <mergeCell ref="A813:G813"/>
    <mergeCell ref="A814:G814"/>
    <mergeCell ref="K792:L792"/>
    <mergeCell ref="M792:N792"/>
    <mergeCell ref="A789:N789"/>
    <mergeCell ref="A790:G790"/>
    <mergeCell ref="I790:J790"/>
    <mergeCell ref="K790:L790"/>
    <mergeCell ref="M790:N790"/>
    <mergeCell ref="A791:G791"/>
    <mergeCell ref="A792:G792"/>
    <mergeCell ref="I794:J794"/>
    <mergeCell ref="K794:L794"/>
    <mergeCell ref="I791:J791"/>
    <mergeCell ref="I792:J792"/>
    <mergeCell ref="A793:G793"/>
    <mergeCell ref="I793:J793"/>
    <mergeCell ref="K793:L793"/>
    <mergeCell ref="M793:N793"/>
    <mergeCell ref="M794:N794"/>
    <mergeCell ref="I782:J782"/>
    <mergeCell ref="I783:J783"/>
    <mergeCell ref="K783:L783"/>
    <mergeCell ref="M783:N783"/>
    <mergeCell ref="A780:N780"/>
    <mergeCell ref="A781:G781"/>
    <mergeCell ref="I781:J781"/>
    <mergeCell ref="K781:L781"/>
    <mergeCell ref="M781:N781"/>
    <mergeCell ref="A782:G782"/>
    <mergeCell ref="A706:G706"/>
    <mergeCell ref="A707:G707"/>
    <mergeCell ref="I707:J707"/>
    <mergeCell ref="K707:L707"/>
    <mergeCell ref="M707:N707"/>
    <mergeCell ref="K708:L708"/>
    <mergeCell ref="M708:N708"/>
    <mergeCell ref="A713:G713"/>
    <mergeCell ref="A714:G714"/>
    <mergeCell ref="A715:G715"/>
    <mergeCell ref="A716:G716"/>
    <mergeCell ref="A710:N710"/>
    <mergeCell ref="A711:G711"/>
    <mergeCell ref="I711:J711"/>
    <mergeCell ref="M711:N711"/>
    <mergeCell ref="A712:G712"/>
    <mergeCell ref="M712:N712"/>
    <mergeCell ref="M713:N713"/>
    <mergeCell ref="I712:J712"/>
    <mergeCell ref="I713:J713"/>
    <mergeCell ref="I714:J714"/>
    <mergeCell ref="M714:N714"/>
    <mergeCell ref="I715:J715"/>
    <mergeCell ref="M715:N715"/>
    <mergeCell ref="I716:J716"/>
    <mergeCell ref="M716:N716"/>
    <mergeCell ref="A695:G695"/>
    <mergeCell ref="A696:G696"/>
    <mergeCell ref="I696:J696"/>
    <mergeCell ref="K696:L696"/>
    <mergeCell ref="M696:N696"/>
    <mergeCell ref="I697:J697"/>
    <mergeCell ref="K697:L697"/>
    <mergeCell ref="M697:N697"/>
    <mergeCell ref="A697:G697"/>
    <mergeCell ref="A698:G698"/>
    <mergeCell ref="I698:J698"/>
    <mergeCell ref="K698:L698"/>
    <mergeCell ref="M698:N698"/>
    <mergeCell ref="K699:L699"/>
    <mergeCell ref="M699:N699"/>
    <mergeCell ref="K703:L703"/>
    <mergeCell ref="M703:N703"/>
    <mergeCell ref="K690:L690"/>
    <mergeCell ref="M690:N690"/>
    <mergeCell ref="K694:L694"/>
    <mergeCell ref="M694:N694"/>
    <mergeCell ref="K704:L704"/>
    <mergeCell ref="M704:N704"/>
    <mergeCell ref="A701:N701"/>
    <mergeCell ref="A702:G702"/>
    <mergeCell ref="I702:J702"/>
    <mergeCell ref="K702:L702"/>
    <mergeCell ref="M702:N702"/>
    <mergeCell ref="A703:G703"/>
    <mergeCell ref="A704:G704"/>
    <mergeCell ref="I706:J706"/>
    <mergeCell ref="K706:L706"/>
    <mergeCell ref="I703:J703"/>
    <mergeCell ref="I704:J704"/>
    <mergeCell ref="A705:G705"/>
    <mergeCell ref="I705:J705"/>
    <mergeCell ref="K705:L705"/>
    <mergeCell ref="M705:N705"/>
    <mergeCell ref="M706:N706"/>
    <mergeCell ref="I694:J694"/>
    <mergeCell ref="I695:J695"/>
    <mergeCell ref="K695:L695"/>
    <mergeCell ref="M695:N695"/>
    <mergeCell ref="A692:N692"/>
    <mergeCell ref="A693:G693"/>
    <mergeCell ref="I693:J693"/>
    <mergeCell ref="K693:L693"/>
    <mergeCell ref="M693:N693"/>
    <mergeCell ref="A694:G694"/>
    <mergeCell ref="I686:J686"/>
    <mergeCell ref="K686:L686"/>
    <mergeCell ref="M686:N686"/>
    <mergeCell ref="A686:G686"/>
    <mergeCell ref="A687:G687"/>
    <mergeCell ref="I687:J687"/>
    <mergeCell ref="K687:L687"/>
    <mergeCell ref="M687:N687"/>
    <mergeCell ref="A688:G688"/>
    <mergeCell ref="A689:G689"/>
    <mergeCell ref="I683:J683"/>
    <mergeCell ref="I684:J684"/>
    <mergeCell ref="K684:L684"/>
    <mergeCell ref="M684:N684"/>
    <mergeCell ref="A677:N678"/>
    <mergeCell ref="A682:N682"/>
    <mergeCell ref="A683:G683"/>
    <mergeCell ref="A684:G684"/>
    <mergeCell ref="K688:L688"/>
    <mergeCell ref="M688:N688"/>
    <mergeCell ref="I688:J688"/>
    <mergeCell ref="I689:J689"/>
    <mergeCell ref="K689:L689"/>
    <mergeCell ref="M689:N689"/>
    <mergeCell ref="I673:J673"/>
    <mergeCell ref="I674:J674"/>
    <mergeCell ref="K675:L675"/>
    <mergeCell ref="M675:N675"/>
    <mergeCell ref="A671:G671"/>
    <mergeCell ref="A672:G672"/>
    <mergeCell ref="I672:J672"/>
    <mergeCell ref="M672:N672"/>
    <mergeCell ref="A673:G673"/>
    <mergeCell ref="M673:N673"/>
    <mergeCell ref="M674:N674"/>
    <mergeCell ref="A674:G674"/>
    <mergeCell ref="K683:L683"/>
    <mergeCell ref="M683:N683"/>
    <mergeCell ref="A685:G685"/>
    <mergeCell ref="I685:J685"/>
    <mergeCell ref="K685:L685"/>
    <mergeCell ref="M685:N685"/>
    <mergeCell ref="I775:J775"/>
    <mergeCell ref="K775:L775"/>
    <mergeCell ref="M775:N775"/>
    <mergeCell ref="K777:L777"/>
    <mergeCell ref="M777:N777"/>
    <mergeCell ref="K778:L778"/>
    <mergeCell ref="M778:N778"/>
    <mergeCell ref="A775:G775"/>
    <mergeCell ref="A776:G776"/>
    <mergeCell ref="I776:J776"/>
    <mergeCell ref="K776:L776"/>
    <mergeCell ref="M776:N776"/>
    <mergeCell ref="A777:G777"/>
    <mergeCell ref="I777:J777"/>
    <mergeCell ref="K782:L782"/>
    <mergeCell ref="M782:N782"/>
    <mergeCell ref="A659:N659"/>
    <mergeCell ref="A660:G660"/>
    <mergeCell ref="I660:J660"/>
    <mergeCell ref="K660:L660"/>
    <mergeCell ref="M660:N660"/>
    <mergeCell ref="A661:G661"/>
    <mergeCell ref="A662:G662"/>
    <mergeCell ref="A663:G663"/>
    <mergeCell ref="I663:J663"/>
    <mergeCell ref="K663:L663"/>
    <mergeCell ref="M663:N663"/>
    <mergeCell ref="I664:J664"/>
    <mergeCell ref="K664:L664"/>
    <mergeCell ref="M664:N664"/>
    <mergeCell ref="A664:G664"/>
    <mergeCell ref="A665:G665"/>
    <mergeCell ref="K772:L772"/>
    <mergeCell ref="M772:N772"/>
    <mergeCell ref="I772:J772"/>
    <mergeCell ref="I773:J773"/>
    <mergeCell ref="K773:L773"/>
    <mergeCell ref="M773:N773"/>
    <mergeCell ref="A770:G770"/>
    <mergeCell ref="A771:G771"/>
    <mergeCell ref="I771:J771"/>
    <mergeCell ref="K771:L771"/>
    <mergeCell ref="M771:N771"/>
    <mergeCell ref="A772:G772"/>
    <mergeCell ref="A773:G773"/>
    <mergeCell ref="A774:G774"/>
    <mergeCell ref="I774:J774"/>
    <mergeCell ref="K774:L774"/>
    <mergeCell ref="M774:N774"/>
    <mergeCell ref="I770:J770"/>
    <mergeCell ref="K770:L770"/>
    <mergeCell ref="A763:N764"/>
    <mergeCell ref="A768:N768"/>
    <mergeCell ref="A769:G769"/>
    <mergeCell ref="I769:J769"/>
    <mergeCell ref="K769:L769"/>
    <mergeCell ref="M769:N769"/>
    <mergeCell ref="M770:N770"/>
    <mergeCell ref="K731:L731"/>
    <mergeCell ref="M731:N731"/>
    <mergeCell ref="A732:G732"/>
    <mergeCell ref="I732:J732"/>
    <mergeCell ref="K732:L732"/>
    <mergeCell ref="M732:N732"/>
    <mergeCell ref="M733:N733"/>
    <mergeCell ref="A738:G738"/>
    <mergeCell ref="A739:G739"/>
    <mergeCell ref="A740:G740"/>
    <mergeCell ref="A741:G741"/>
    <mergeCell ref="A742:G742"/>
    <mergeCell ref="A733:G733"/>
    <mergeCell ref="A736:N736"/>
    <mergeCell ref="A737:G737"/>
    <mergeCell ref="I737:J737"/>
    <mergeCell ref="K737:L737"/>
    <mergeCell ref="M737:N737"/>
    <mergeCell ref="M738:N738"/>
    <mergeCell ref="I738:J738"/>
    <mergeCell ref="K738:L738"/>
    <mergeCell ref="I739:J739"/>
    <mergeCell ref="K739:L739"/>
    <mergeCell ref="A756:G756"/>
    <mergeCell ref="I756:J756"/>
    <mergeCell ref="M756:N756"/>
    <mergeCell ref="A757:G757"/>
    <mergeCell ref="M757:N757"/>
    <mergeCell ref="A758:G758"/>
    <mergeCell ref="M758:N758"/>
    <mergeCell ref="M760:N760"/>
    <mergeCell ref="K761:L761"/>
    <mergeCell ref="M761:N761"/>
    <mergeCell ref="I757:J757"/>
    <mergeCell ref="I758:J758"/>
    <mergeCell ref="A759:G759"/>
    <mergeCell ref="I759:J759"/>
    <mergeCell ref="M759:N759"/>
    <mergeCell ref="A760:G760"/>
    <mergeCell ref="I760:J760"/>
    <mergeCell ref="A754:N754"/>
    <mergeCell ref="I755:J755"/>
    <mergeCell ref="M755:N755"/>
    <mergeCell ref="A755:G755"/>
    <mergeCell ref="A727:G727"/>
    <mergeCell ref="I727:J727"/>
    <mergeCell ref="K727:L727"/>
    <mergeCell ref="M727:N727"/>
    <mergeCell ref="I728:J728"/>
    <mergeCell ref="K728:L728"/>
    <mergeCell ref="M728:N728"/>
    <mergeCell ref="A728:G728"/>
    <mergeCell ref="A729:G729"/>
    <mergeCell ref="I729:J729"/>
    <mergeCell ref="K729:L729"/>
    <mergeCell ref="M729:N729"/>
    <mergeCell ref="A730:G730"/>
    <mergeCell ref="A731:G731"/>
    <mergeCell ref="M739:N739"/>
    <mergeCell ref="K740:L740"/>
    <mergeCell ref="M740:N740"/>
    <mergeCell ref="I740:J740"/>
    <mergeCell ref="I741:J741"/>
    <mergeCell ref="K741:L741"/>
    <mergeCell ref="M741:N741"/>
    <mergeCell ref="I742:J742"/>
    <mergeCell ref="K742:L742"/>
    <mergeCell ref="M742:N742"/>
    <mergeCell ref="I746:J746"/>
    <mergeCell ref="I747:J747"/>
    <mergeCell ref="I733:J733"/>
    <mergeCell ref="K733:L733"/>
    <mergeCell ref="A748:G748"/>
    <mergeCell ref="I748:J748"/>
    <mergeCell ref="K748:L748"/>
    <mergeCell ref="M748:N748"/>
    <mergeCell ref="I749:J749"/>
    <mergeCell ref="K749:L749"/>
    <mergeCell ref="M749:N749"/>
    <mergeCell ref="A749:G749"/>
    <mergeCell ref="M746:N746"/>
    <mergeCell ref="A747:G747"/>
    <mergeCell ref="K734:L734"/>
    <mergeCell ref="A750:G750"/>
    <mergeCell ref="I750:J750"/>
    <mergeCell ref="K750:L750"/>
    <mergeCell ref="M750:N750"/>
    <mergeCell ref="A751:G751"/>
    <mergeCell ref="I751:J751"/>
    <mergeCell ref="K751:L751"/>
    <mergeCell ref="M751:N751"/>
    <mergeCell ref="K752:L752"/>
    <mergeCell ref="M752:N752"/>
    <mergeCell ref="I725:J725"/>
    <mergeCell ref="I726:J726"/>
    <mergeCell ref="K726:L726"/>
    <mergeCell ref="M726:N726"/>
    <mergeCell ref="A719:N720"/>
    <mergeCell ref="A724:N724"/>
    <mergeCell ref="A725:G725"/>
    <mergeCell ref="K725:L725"/>
    <mergeCell ref="M725:N725"/>
    <mergeCell ref="A726:G726"/>
    <mergeCell ref="K730:L730"/>
    <mergeCell ref="M730:N730"/>
    <mergeCell ref="I730:J730"/>
    <mergeCell ref="I731:J731"/>
    <mergeCell ref="M734:N734"/>
    <mergeCell ref="K747:L747"/>
    <mergeCell ref="M747:N747"/>
    <mergeCell ref="K743:L743"/>
    <mergeCell ref="M743:N743"/>
    <mergeCell ref="A745:N745"/>
    <mergeCell ref="A746:G746"/>
    <mergeCell ref="K746:L746"/>
    <mergeCell ref="K633:L633"/>
    <mergeCell ref="M633:N633"/>
    <mergeCell ref="K657:L657"/>
    <mergeCell ref="M657:N657"/>
    <mergeCell ref="I670:J670"/>
    <mergeCell ref="I671:J671"/>
    <mergeCell ref="A668:N668"/>
    <mergeCell ref="A669:G669"/>
    <mergeCell ref="I669:J669"/>
    <mergeCell ref="M669:N669"/>
    <mergeCell ref="A670:G670"/>
    <mergeCell ref="M670:N670"/>
    <mergeCell ref="M671:N671"/>
    <mergeCell ref="K661:L661"/>
    <mergeCell ref="M661:N661"/>
    <mergeCell ref="I661:J661"/>
    <mergeCell ref="I662:J662"/>
    <mergeCell ref="K662:L662"/>
    <mergeCell ref="M662:N662"/>
    <mergeCell ref="I665:J665"/>
    <mergeCell ref="K665:L665"/>
    <mergeCell ref="M665:N665"/>
    <mergeCell ref="K666:L666"/>
    <mergeCell ref="M666:N666"/>
    <mergeCell ref="A652:G652"/>
    <mergeCell ref="A653:G653"/>
    <mergeCell ref="A654:G654"/>
    <mergeCell ref="A655:G655"/>
    <mergeCell ref="A656:G656"/>
    <mergeCell ref="M648:N648"/>
    <mergeCell ref="A650:N650"/>
    <mergeCell ref="A651:G651"/>
    <mergeCell ref="A622:G622"/>
    <mergeCell ref="A623:G623"/>
    <mergeCell ref="I623:J623"/>
    <mergeCell ref="K623:L623"/>
    <mergeCell ref="M623:N623"/>
    <mergeCell ref="K624:L624"/>
    <mergeCell ref="M624:N624"/>
    <mergeCell ref="A629:G629"/>
    <mergeCell ref="A630:G630"/>
    <mergeCell ref="A631:G631"/>
    <mergeCell ref="A632:G632"/>
    <mergeCell ref="A626:N626"/>
    <mergeCell ref="A627:G627"/>
    <mergeCell ref="I627:J627"/>
    <mergeCell ref="M627:N627"/>
    <mergeCell ref="A628:G628"/>
    <mergeCell ref="M628:N628"/>
    <mergeCell ref="M629:N629"/>
    <mergeCell ref="I628:J628"/>
    <mergeCell ref="I629:J629"/>
    <mergeCell ref="I630:J630"/>
    <mergeCell ref="M630:N630"/>
    <mergeCell ref="I631:J631"/>
    <mergeCell ref="M631:N631"/>
    <mergeCell ref="I632:J632"/>
    <mergeCell ref="M632:N632"/>
    <mergeCell ref="K591:L591"/>
    <mergeCell ref="M591:N591"/>
    <mergeCell ref="K620:L620"/>
    <mergeCell ref="M620:N620"/>
    <mergeCell ref="A617:N617"/>
    <mergeCell ref="A618:G618"/>
    <mergeCell ref="I618:J618"/>
    <mergeCell ref="K618:L618"/>
    <mergeCell ref="M618:N618"/>
    <mergeCell ref="A619:G619"/>
    <mergeCell ref="A620:G620"/>
    <mergeCell ref="I622:J622"/>
    <mergeCell ref="K622:L622"/>
    <mergeCell ref="I619:J619"/>
    <mergeCell ref="I620:J620"/>
    <mergeCell ref="A621:G621"/>
    <mergeCell ref="I621:J621"/>
    <mergeCell ref="K621:L621"/>
    <mergeCell ref="M621:N621"/>
    <mergeCell ref="M622:N622"/>
    <mergeCell ref="I610:J610"/>
    <mergeCell ref="I611:J611"/>
    <mergeCell ref="K611:L611"/>
    <mergeCell ref="M611:N611"/>
    <mergeCell ref="A608:N608"/>
    <mergeCell ref="A609:G609"/>
    <mergeCell ref="I609:J609"/>
    <mergeCell ref="K609:L609"/>
    <mergeCell ref="M609:N609"/>
    <mergeCell ref="A610:G610"/>
    <mergeCell ref="A611:G611"/>
    <mergeCell ref="A612:G612"/>
    <mergeCell ref="A589:G589"/>
    <mergeCell ref="M589:N589"/>
    <mergeCell ref="A581:G581"/>
    <mergeCell ref="I581:J581"/>
    <mergeCell ref="K581:L581"/>
    <mergeCell ref="M581:N581"/>
    <mergeCell ref="K573:L573"/>
    <mergeCell ref="M573:N573"/>
    <mergeCell ref="I586:J586"/>
    <mergeCell ref="I587:J587"/>
    <mergeCell ref="A584:N584"/>
    <mergeCell ref="A585:G585"/>
    <mergeCell ref="I585:J585"/>
    <mergeCell ref="M585:N585"/>
    <mergeCell ref="A586:G586"/>
    <mergeCell ref="M586:N586"/>
    <mergeCell ref="M590:N590"/>
    <mergeCell ref="A590:G590"/>
    <mergeCell ref="I589:J589"/>
    <mergeCell ref="I590:J590"/>
    <mergeCell ref="M587:N587"/>
    <mergeCell ref="K577:L577"/>
    <mergeCell ref="M577:N577"/>
    <mergeCell ref="I577:J577"/>
    <mergeCell ref="I578:J578"/>
    <mergeCell ref="K578:L578"/>
    <mergeCell ref="M578:N578"/>
    <mergeCell ref="A575:N575"/>
    <mergeCell ref="A576:G576"/>
    <mergeCell ref="I576:J576"/>
    <mergeCell ref="K576:L576"/>
    <mergeCell ref="M576:N576"/>
    <mergeCell ref="K557:L557"/>
    <mergeCell ref="M557:N557"/>
    <mergeCell ref="I557:J557"/>
    <mergeCell ref="I558:J558"/>
    <mergeCell ref="K558:L558"/>
    <mergeCell ref="M558:N558"/>
    <mergeCell ref="M548:N548"/>
    <mergeCell ref="K549:L549"/>
    <mergeCell ref="M549:N549"/>
    <mergeCell ref="A551:N552"/>
    <mergeCell ref="A556:N556"/>
    <mergeCell ref="A557:G557"/>
    <mergeCell ref="A558:G558"/>
    <mergeCell ref="A588:G588"/>
    <mergeCell ref="I588:J588"/>
    <mergeCell ref="M588:N588"/>
    <mergeCell ref="A539:G539"/>
    <mergeCell ref="I539:J539"/>
    <mergeCell ref="K539:L539"/>
    <mergeCell ref="M539:N539"/>
    <mergeCell ref="K540:L540"/>
    <mergeCell ref="M540:N540"/>
    <mergeCell ref="A545:G545"/>
    <mergeCell ref="A546:G546"/>
    <mergeCell ref="A547:G547"/>
    <mergeCell ref="A548:G548"/>
    <mergeCell ref="A542:N542"/>
    <mergeCell ref="A543:G543"/>
    <mergeCell ref="I543:J543"/>
    <mergeCell ref="M543:N543"/>
    <mergeCell ref="A544:G544"/>
    <mergeCell ref="M544:N544"/>
    <mergeCell ref="M545:N545"/>
    <mergeCell ref="I544:J544"/>
    <mergeCell ref="I545:J545"/>
    <mergeCell ref="I546:J546"/>
    <mergeCell ref="M546:N546"/>
    <mergeCell ref="I547:J547"/>
    <mergeCell ref="M547:N547"/>
    <mergeCell ref="I548:J548"/>
    <mergeCell ref="I535:J535"/>
    <mergeCell ref="I536:J536"/>
    <mergeCell ref="A537:G537"/>
    <mergeCell ref="I537:J537"/>
    <mergeCell ref="K537:L537"/>
    <mergeCell ref="M537:N537"/>
    <mergeCell ref="M538:N538"/>
    <mergeCell ref="I526:J526"/>
    <mergeCell ref="I527:J527"/>
    <mergeCell ref="K527:L527"/>
    <mergeCell ref="M527:N527"/>
    <mergeCell ref="A538:G538"/>
    <mergeCell ref="I538:J538"/>
    <mergeCell ref="K538:L538"/>
    <mergeCell ref="A524:N524"/>
    <mergeCell ref="A525:G525"/>
    <mergeCell ref="I525:J525"/>
    <mergeCell ref="K525:L525"/>
    <mergeCell ref="M525:N525"/>
    <mergeCell ref="A526:G526"/>
    <mergeCell ref="A527:G527"/>
    <mergeCell ref="A528:G528"/>
    <mergeCell ref="I528:J528"/>
    <mergeCell ref="K528:L528"/>
    <mergeCell ref="M528:N528"/>
    <mergeCell ref="I529:J529"/>
    <mergeCell ref="K529:L529"/>
    <mergeCell ref="M529:N529"/>
    <mergeCell ref="A529:G529"/>
    <mergeCell ref="A530:G530"/>
    <mergeCell ref="I530:J530"/>
    <mergeCell ref="K530:L530"/>
    <mergeCell ref="M530:N530"/>
    <mergeCell ref="A509:N510"/>
    <mergeCell ref="A514:N514"/>
    <mergeCell ref="A515:G515"/>
    <mergeCell ref="A516:G516"/>
    <mergeCell ref="K520:L520"/>
    <mergeCell ref="M520:N520"/>
    <mergeCell ref="I520:J520"/>
    <mergeCell ref="I521:J521"/>
    <mergeCell ref="K521:L521"/>
    <mergeCell ref="M521:N521"/>
    <mergeCell ref="K522:L522"/>
    <mergeCell ref="M522:N522"/>
    <mergeCell ref="K526:L526"/>
    <mergeCell ref="M526:N526"/>
    <mergeCell ref="K536:L536"/>
    <mergeCell ref="M536:N536"/>
    <mergeCell ref="A533:N533"/>
    <mergeCell ref="A534:G534"/>
    <mergeCell ref="I534:J534"/>
    <mergeCell ref="K534:L534"/>
    <mergeCell ref="M534:N534"/>
    <mergeCell ref="A535:G535"/>
    <mergeCell ref="A536:G536"/>
    <mergeCell ref="K531:L531"/>
    <mergeCell ref="M531:N531"/>
    <mergeCell ref="K535:L535"/>
    <mergeCell ref="M535:N535"/>
    <mergeCell ref="K515:L515"/>
    <mergeCell ref="M515:N515"/>
    <mergeCell ref="A517:G517"/>
    <mergeCell ref="I517:J517"/>
    <mergeCell ref="K517:L517"/>
    <mergeCell ref="M517:N517"/>
    <mergeCell ref="I518:J518"/>
    <mergeCell ref="K518:L518"/>
    <mergeCell ref="M518:N518"/>
    <mergeCell ref="A518:G518"/>
    <mergeCell ref="A519:G519"/>
    <mergeCell ref="I519:J519"/>
    <mergeCell ref="K519:L519"/>
    <mergeCell ref="M519:N519"/>
    <mergeCell ref="A520:G520"/>
    <mergeCell ref="A521:G521"/>
    <mergeCell ref="I515:J515"/>
    <mergeCell ref="I516:J516"/>
    <mergeCell ref="K516:L516"/>
    <mergeCell ref="M516:N516"/>
    <mergeCell ref="A497:G497"/>
    <mergeCell ref="I497:J497"/>
    <mergeCell ref="K497:L497"/>
    <mergeCell ref="M497:N497"/>
    <mergeCell ref="K498:L498"/>
    <mergeCell ref="M498:N498"/>
    <mergeCell ref="M506:N506"/>
    <mergeCell ref="K507:L507"/>
    <mergeCell ref="M507:N507"/>
    <mergeCell ref="I502:J502"/>
    <mergeCell ref="I503:J503"/>
    <mergeCell ref="I504:J504"/>
    <mergeCell ref="M504:N504"/>
    <mergeCell ref="I505:J505"/>
    <mergeCell ref="M505:N505"/>
    <mergeCell ref="I506:J506"/>
    <mergeCell ref="A500:N500"/>
    <mergeCell ref="K485:L485"/>
    <mergeCell ref="M485:N485"/>
    <mergeCell ref="M478:N478"/>
    <mergeCell ref="A501:G501"/>
    <mergeCell ref="I501:J501"/>
    <mergeCell ref="M501:N501"/>
    <mergeCell ref="A502:G502"/>
    <mergeCell ref="M502:N502"/>
    <mergeCell ref="M503:N503"/>
    <mergeCell ref="A503:G503"/>
    <mergeCell ref="A504:G504"/>
    <mergeCell ref="A505:G505"/>
    <mergeCell ref="A506:G506"/>
    <mergeCell ref="I494:J494"/>
    <mergeCell ref="K494:L494"/>
    <mergeCell ref="M494:N494"/>
    <mergeCell ref="A491:N491"/>
    <mergeCell ref="A492:G492"/>
    <mergeCell ref="I492:J492"/>
    <mergeCell ref="K492:L492"/>
    <mergeCell ref="M492:N492"/>
    <mergeCell ref="A493:G493"/>
    <mergeCell ref="A494:G494"/>
    <mergeCell ref="A495:G495"/>
    <mergeCell ref="I495:J495"/>
    <mergeCell ref="K495:L495"/>
    <mergeCell ref="M495:N495"/>
    <mergeCell ref="I496:J496"/>
    <mergeCell ref="K496:L496"/>
    <mergeCell ref="M496:N496"/>
    <mergeCell ref="A496:G496"/>
    <mergeCell ref="A479:G479"/>
    <mergeCell ref="K423:L423"/>
    <mergeCell ref="M423:N423"/>
    <mergeCell ref="I423:J423"/>
    <mergeCell ref="I424:J424"/>
    <mergeCell ref="K489:L489"/>
    <mergeCell ref="M489:N489"/>
    <mergeCell ref="A486:G486"/>
    <mergeCell ref="A487:G487"/>
    <mergeCell ref="I487:J487"/>
    <mergeCell ref="K487:L487"/>
    <mergeCell ref="M487:N487"/>
    <mergeCell ref="A488:G488"/>
    <mergeCell ref="I488:J488"/>
    <mergeCell ref="K493:L493"/>
    <mergeCell ref="M493:N493"/>
    <mergeCell ref="A475:G475"/>
    <mergeCell ref="I475:J475"/>
    <mergeCell ref="K475:L475"/>
    <mergeCell ref="M475:N475"/>
    <mergeCell ref="I476:J476"/>
    <mergeCell ref="K476:L476"/>
    <mergeCell ref="M476:N476"/>
    <mergeCell ref="K479:L479"/>
    <mergeCell ref="M479:N479"/>
    <mergeCell ref="A476:G476"/>
    <mergeCell ref="I493:J493"/>
    <mergeCell ref="M480:N480"/>
    <mergeCell ref="A482:N482"/>
    <mergeCell ref="A483:G483"/>
    <mergeCell ref="A484:G484"/>
    <mergeCell ref="A485:G485"/>
    <mergeCell ref="I485:J485"/>
    <mergeCell ref="I414:J414"/>
    <mergeCell ref="M414:N414"/>
    <mergeCell ref="A424:G424"/>
    <mergeCell ref="A430:G430"/>
    <mergeCell ref="M459:N459"/>
    <mergeCell ref="A460:G460"/>
    <mergeCell ref="M460:N460"/>
    <mergeCell ref="M461:N461"/>
    <mergeCell ref="I486:J486"/>
    <mergeCell ref="K486:L486"/>
    <mergeCell ref="M486:N486"/>
    <mergeCell ref="K488:L488"/>
    <mergeCell ref="M488:N488"/>
    <mergeCell ref="K415:L415"/>
    <mergeCell ref="M415:N415"/>
    <mergeCell ref="A417:N418"/>
    <mergeCell ref="A422:N422"/>
    <mergeCell ref="A423:G423"/>
    <mergeCell ref="I452:J452"/>
    <mergeCell ref="K452:L452"/>
    <mergeCell ref="M452:N452"/>
    <mergeCell ref="A449:N449"/>
    <mergeCell ref="A450:G450"/>
    <mergeCell ref="I450:J450"/>
    <mergeCell ref="K450:L450"/>
    <mergeCell ref="M450:N450"/>
    <mergeCell ref="A451:G451"/>
    <mergeCell ref="A452:G452"/>
    <mergeCell ref="A453:G453"/>
    <mergeCell ref="I453:J453"/>
    <mergeCell ref="K453:L453"/>
    <mergeCell ref="M453:N453"/>
    <mergeCell ref="A405:G405"/>
    <mergeCell ref="I405:J405"/>
    <mergeCell ref="K405:L405"/>
    <mergeCell ref="M405:N405"/>
    <mergeCell ref="K424:L424"/>
    <mergeCell ref="M424:N424"/>
    <mergeCell ref="I437:J437"/>
    <mergeCell ref="K437:L437"/>
    <mergeCell ref="M437:N437"/>
    <mergeCell ref="K438:L438"/>
    <mergeCell ref="M438:N438"/>
    <mergeCell ref="K442:L442"/>
    <mergeCell ref="M442:N442"/>
    <mergeCell ref="K406:L406"/>
    <mergeCell ref="M406:N406"/>
    <mergeCell ref="A411:G411"/>
    <mergeCell ref="A412:G412"/>
    <mergeCell ref="A413:G413"/>
    <mergeCell ref="A414:G414"/>
    <mergeCell ref="A408:N408"/>
    <mergeCell ref="A409:G409"/>
    <mergeCell ref="I409:J409"/>
    <mergeCell ref="M409:N409"/>
    <mergeCell ref="A410:G410"/>
    <mergeCell ref="M410:N410"/>
    <mergeCell ref="M411:N411"/>
    <mergeCell ref="I410:J410"/>
    <mergeCell ref="I411:J411"/>
    <mergeCell ref="I412:J412"/>
    <mergeCell ref="M412:N412"/>
    <mergeCell ref="I413:J413"/>
    <mergeCell ref="M413:N413"/>
    <mergeCell ref="I460:J460"/>
    <mergeCell ref="I461:J461"/>
    <mergeCell ref="I462:J462"/>
    <mergeCell ref="M462:N462"/>
    <mergeCell ref="I463:J463"/>
    <mergeCell ref="M463:N463"/>
    <mergeCell ref="I464:J464"/>
    <mergeCell ref="K473:L473"/>
    <mergeCell ref="M473:N473"/>
    <mergeCell ref="I473:J473"/>
    <mergeCell ref="I474:J474"/>
    <mergeCell ref="K474:L474"/>
    <mergeCell ref="M474:N474"/>
    <mergeCell ref="M464:N464"/>
    <mergeCell ref="K465:L465"/>
    <mergeCell ref="M465:N465"/>
    <mergeCell ref="A467:N468"/>
    <mergeCell ref="A472:N472"/>
    <mergeCell ref="A473:G473"/>
    <mergeCell ref="A474:G474"/>
    <mergeCell ref="K478:L478"/>
    <mergeCell ref="I404:J404"/>
    <mergeCell ref="K404:L404"/>
    <mergeCell ref="I401:J401"/>
    <mergeCell ref="I402:J402"/>
    <mergeCell ref="A403:G403"/>
    <mergeCell ref="I403:J403"/>
    <mergeCell ref="K403:L403"/>
    <mergeCell ref="M403:N403"/>
    <mergeCell ref="M404:N404"/>
    <mergeCell ref="I392:J392"/>
    <mergeCell ref="I393:J393"/>
    <mergeCell ref="K393:L393"/>
    <mergeCell ref="M393:N393"/>
    <mergeCell ref="A390:N390"/>
    <mergeCell ref="A391:G391"/>
    <mergeCell ref="I391:J391"/>
    <mergeCell ref="K391:L391"/>
    <mergeCell ref="M391:N391"/>
    <mergeCell ref="A392:G392"/>
    <mergeCell ref="A393:G393"/>
    <mergeCell ref="A394:G394"/>
    <mergeCell ref="I394:J394"/>
    <mergeCell ref="K394:L394"/>
    <mergeCell ref="M394:N394"/>
    <mergeCell ref="I395:J395"/>
    <mergeCell ref="K395:L395"/>
    <mergeCell ref="M395:N395"/>
    <mergeCell ref="A395:G395"/>
    <mergeCell ref="A396:G396"/>
    <mergeCell ref="I396:J396"/>
    <mergeCell ref="K396:L396"/>
    <mergeCell ref="A404:G404"/>
    <mergeCell ref="I386:J386"/>
    <mergeCell ref="K386:L386"/>
    <mergeCell ref="M386:N386"/>
    <mergeCell ref="A386:G386"/>
    <mergeCell ref="A387:G387"/>
    <mergeCell ref="I387:J387"/>
    <mergeCell ref="K387:L387"/>
    <mergeCell ref="M387:N387"/>
    <mergeCell ref="K388:L388"/>
    <mergeCell ref="M388:N388"/>
    <mergeCell ref="K392:L392"/>
    <mergeCell ref="M392:N392"/>
    <mergeCell ref="K402:L402"/>
    <mergeCell ref="M402:N402"/>
    <mergeCell ref="A399:N399"/>
    <mergeCell ref="A400:G400"/>
    <mergeCell ref="I400:J400"/>
    <mergeCell ref="K400:L400"/>
    <mergeCell ref="M400:N400"/>
    <mergeCell ref="A401:G401"/>
    <mergeCell ref="A402:G402"/>
    <mergeCell ref="M396:N396"/>
    <mergeCell ref="K397:L397"/>
    <mergeCell ref="M397:N397"/>
    <mergeCell ref="K401:L401"/>
    <mergeCell ref="M401:N401"/>
    <mergeCell ref="K383:L383"/>
    <mergeCell ref="M383:N383"/>
    <mergeCell ref="I383:J383"/>
    <mergeCell ref="I384:J384"/>
    <mergeCell ref="K384:L384"/>
    <mergeCell ref="M384:N384"/>
    <mergeCell ref="A381:N381"/>
    <mergeCell ref="A382:G382"/>
    <mergeCell ref="I382:J382"/>
    <mergeCell ref="K382:L382"/>
    <mergeCell ref="M382:N382"/>
    <mergeCell ref="A383:G383"/>
    <mergeCell ref="A384:G384"/>
    <mergeCell ref="A385:G385"/>
    <mergeCell ref="I385:J385"/>
    <mergeCell ref="K385:L385"/>
    <mergeCell ref="M385:N385"/>
    <mergeCell ref="A601:G601"/>
    <mergeCell ref="I601:J601"/>
    <mergeCell ref="K601:L601"/>
    <mergeCell ref="M601:N601"/>
    <mergeCell ref="K433:L433"/>
    <mergeCell ref="M433:N433"/>
    <mergeCell ref="A436:G436"/>
    <mergeCell ref="A437:G437"/>
    <mergeCell ref="I603:J603"/>
    <mergeCell ref="K603:L603"/>
    <mergeCell ref="M603:N603"/>
    <mergeCell ref="A604:G604"/>
    <mergeCell ref="A605:G605"/>
    <mergeCell ref="I599:J599"/>
    <mergeCell ref="I600:J600"/>
    <mergeCell ref="K600:L600"/>
    <mergeCell ref="M600:N600"/>
    <mergeCell ref="A593:N594"/>
    <mergeCell ref="I454:J454"/>
    <mergeCell ref="K454:L454"/>
    <mergeCell ref="M454:N454"/>
    <mergeCell ref="K483:L483"/>
    <mergeCell ref="M483:N483"/>
    <mergeCell ref="I483:J483"/>
    <mergeCell ref="I484:J484"/>
    <mergeCell ref="K484:L484"/>
    <mergeCell ref="M484:N484"/>
    <mergeCell ref="I478:J478"/>
    <mergeCell ref="I479:J479"/>
    <mergeCell ref="K480:L480"/>
    <mergeCell ref="A477:G477"/>
    <mergeCell ref="I477:J477"/>
    <mergeCell ref="A431:G431"/>
    <mergeCell ref="A432:G432"/>
    <mergeCell ref="I432:J432"/>
    <mergeCell ref="K432:L432"/>
    <mergeCell ref="M432:N432"/>
    <mergeCell ref="A433:G433"/>
    <mergeCell ref="A434:G434"/>
    <mergeCell ref="A444:G444"/>
    <mergeCell ref="I444:J444"/>
    <mergeCell ref="I442:J442"/>
    <mergeCell ref="I443:J443"/>
    <mergeCell ref="K443:L443"/>
    <mergeCell ref="M443:N443"/>
    <mergeCell ref="A440:N440"/>
    <mergeCell ref="A441:G441"/>
    <mergeCell ref="I441:J441"/>
    <mergeCell ref="K441:L441"/>
    <mergeCell ref="M441:N441"/>
    <mergeCell ref="A442:G442"/>
    <mergeCell ref="A443:G443"/>
    <mergeCell ref="I436:J436"/>
    <mergeCell ref="K436:L436"/>
    <mergeCell ref="I433:J433"/>
    <mergeCell ref="I434:J434"/>
    <mergeCell ref="A435:G435"/>
    <mergeCell ref="I435:J435"/>
    <mergeCell ref="K435:L435"/>
    <mergeCell ref="M435:N435"/>
    <mergeCell ref="M436:N436"/>
    <mergeCell ref="A425:G425"/>
    <mergeCell ref="I425:J425"/>
    <mergeCell ref="K425:L425"/>
    <mergeCell ref="M425:N425"/>
    <mergeCell ref="I426:J426"/>
    <mergeCell ref="K426:L426"/>
    <mergeCell ref="M426:N426"/>
    <mergeCell ref="K428:L428"/>
    <mergeCell ref="M428:N428"/>
    <mergeCell ref="I428:J428"/>
    <mergeCell ref="I429:J429"/>
    <mergeCell ref="K429:L429"/>
    <mergeCell ref="M429:N429"/>
    <mergeCell ref="A426:G426"/>
    <mergeCell ref="A427:G427"/>
    <mergeCell ref="I427:J427"/>
    <mergeCell ref="K427:L427"/>
    <mergeCell ref="M427:N427"/>
    <mergeCell ref="A428:G428"/>
    <mergeCell ref="A429:G429"/>
    <mergeCell ref="I430:J430"/>
    <mergeCell ref="K430:L430"/>
    <mergeCell ref="M430:N430"/>
    <mergeCell ref="I431:J431"/>
    <mergeCell ref="K431:L431"/>
    <mergeCell ref="M431:N431"/>
    <mergeCell ref="K434:L434"/>
    <mergeCell ref="K648:L648"/>
    <mergeCell ref="I651:J651"/>
    <mergeCell ref="K651:L651"/>
    <mergeCell ref="M651:N651"/>
    <mergeCell ref="M652:N652"/>
    <mergeCell ref="I652:J652"/>
    <mergeCell ref="K652:L652"/>
    <mergeCell ref="I653:J653"/>
    <mergeCell ref="K653:L653"/>
    <mergeCell ref="M653:N653"/>
    <mergeCell ref="K643:L643"/>
    <mergeCell ref="M643:N643"/>
    <mergeCell ref="I643:J643"/>
    <mergeCell ref="I644:J644"/>
    <mergeCell ref="K644:L644"/>
    <mergeCell ref="M644:N644"/>
    <mergeCell ref="K606:L606"/>
    <mergeCell ref="M606:N606"/>
    <mergeCell ref="K610:L610"/>
    <mergeCell ref="M563:N563"/>
    <mergeCell ref="K582:L582"/>
    <mergeCell ref="M582:N582"/>
    <mergeCell ref="M434:N434"/>
    <mergeCell ref="K599:L599"/>
    <mergeCell ref="M599:N599"/>
    <mergeCell ref="K654:L654"/>
    <mergeCell ref="M654:N654"/>
    <mergeCell ref="I654:J654"/>
    <mergeCell ref="I655:J655"/>
    <mergeCell ref="K655:L655"/>
    <mergeCell ref="M655:N655"/>
    <mergeCell ref="I656:J656"/>
    <mergeCell ref="K656:L656"/>
    <mergeCell ref="M656:N656"/>
    <mergeCell ref="M610:N610"/>
    <mergeCell ref="I645:J645"/>
    <mergeCell ref="K645:L645"/>
    <mergeCell ref="M645:N645"/>
    <mergeCell ref="A641:G641"/>
    <mergeCell ref="A642:G642"/>
    <mergeCell ref="A643:G643"/>
    <mergeCell ref="A644:G644"/>
    <mergeCell ref="A645:G645"/>
    <mergeCell ref="A646:G646"/>
    <mergeCell ref="A647:G647"/>
    <mergeCell ref="I646:J646"/>
    <mergeCell ref="K646:L646"/>
    <mergeCell ref="M646:N646"/>
    <mergeCell ref="I647:J647"/>
    <mergeCell ref="K647:L647"/>
    <mergeCell ref="M647:N647"/>
    <mergeCell ref="I612:J612"/>
    <mergeCell ref="K612:L612"/>
    <mergeCell ref="M612:N612"/>
    <mergeCell ref="I613:J613"/>
    <mergeCell ref="K613:L613"/>
    <mergeCell ref="M613:N613"/>
    <mergeCell ref="A613:G613"/>
    <mergeCell ref="A614:G614"/>
    <mergeCell ref="I614:J614"/>
    <mergeCell ref="K614:L614"/>
    <mergeCell ref="M614:N614"/>
    <mergeCell ref="K615:L615"/>
    <mergeCell ref="M615:N615"/>
    <mergeCell ref="K619:L619"/>
    <mergeCell ref="M619:N619"/>
    <mergeCell ref="K455:L455"/>
    <mergeCell ref="A635:N636"/>
    <mergeCell ref="A640:N640"/>
    <mergeCell ref="M641:N641"/>
    <mergeCell ref="I641:J641"/>
    <mergeCell ref="K641:L641"/>
    <mergeCell ref="I642:J642"/>
    <mergeCell ref="K642:L642"/>
    <mergeCell ref="M642:N642"/>
    <mergeCell ref="A598:N598"/>
    <mergeCell ref="A599:G599"/>
    <mergeCell ref="A600:G600"/>
    <mergeCell ref="K604:L604"/>
    <mergeCell ref="M604:N604"/>
    <mergeCell ref="I604:J604"/>
    <mergeCell ref="I605:J605"/>
    <mergeCell ref="K605:L605"/>
    <mergeCell ref="M605:N605"/>
    <mergeCell ref="I602:J602"/>
    <mergeCell ref="K602:L602"/>
    <mergeCell ref="M602:N602"/>
    <mergeCell ref="A602:G602"/>
    <mergeCell ref="A603:G603"/>
    <mergeCell ref="A579:G579"/>
    <mergeCell ref="I579:J579"/>
    <mergeCell ref="K579:L579"/>
    <mergeCell ref="M579:N579"/>
    <mergeCell ref="I580:J580"/>
    <mergeCell ref="K580:L580"/>
    <mergeCell ref="M580:N580"/>
    <mergeCell ref="A580:G580"/>
    <mergeCell ref="M568:N568"/>
    <mergeCell ref="A571:G571"/>
    <mergeCell ref="K444:L444"/>
    <mergeCell ref="M444:N444"/>
    <mergeCell ref="I445:J445"/>
    <mergeCell ref="K445:L445"/>
    <mergeCell ref="M445:N445"/>
    <mergeCell ref="A445:G445"/>
    <mergeCell ref="A446:G446"/>
    <mergeCell ref="I446:J446"/>
    <mergeCell ref="K446:L446"/>
    <mergeCell ref="M446:N446"/>
    <mergeCell ref="K447:L447"/>
    <mergeCell ref="M447:N447"/>
    <mergeCell ref="A572:G572"/>
    <mergeCell ref="I572:J572"/>
    <mergeCell ref="K572:L572"/>
    <mergeCell ref="M572:N572"/>
    <mergeCell ref="A454:G454"/>
    <mergeCell ref="A455:G455"/>
    <mergeCell ref="I455:J455"/>
    <mergeCell ref="K477:L477"/>
    <mergeCell ref="M477:N477"/>
    <mergeCell ref="A478:G478"/>
    <mergeCell ref="A369:G369"/>
    <mergeCell ref="A370:G370"/>
    <mergeCell ref="I370:J370"/>
    <mergeCell ref="M370:N370"/>
    <mergeCell ref="A371:G371"/>
    <mergeCell ref="M455:N455"/>
    <mergeCell ref="K456:L456"/>
    <mergeCell ref="M456:N456"/>
    <mergeCell ref="A461:G461"/>
    <mergeCell ref="A462:G462"/>
    <mergeCell ref="A463:G463"/>
    <mergeCell ref="A464:G464"/>
    <mergeCell ref="A458:N458"/>
    <mergeCell ref="A459:G459"/>
    <mergeCell ref="I459:J459"/>
    <mergeCell ref="I571:J571"/>
    <mergeCell ref="K571:L571"/>
    <mergeCell ref="I568:J568"/>
    <mergeCell ref="I569:J569"/>
    <mergeCell ref="A570:G570"/>
    <mergeCell ref="I570:J570"/>
    <mergeCell ref="K570:L570"/>
    <mergeCell ref="M570:N570"/>
    <mergeCell ref="M571:N571"/>
    <mergeCell ref="A559:G559"/>
    <mergeCell ref="I559:J559"/>
    <mergeCell ref="K559:L559"/>
    <mergeCell ref="M559:N559"/>
    <mergeCell ref="I560:J560"/>
    <mergeCell ref="K560:L560"/>
    <mergeCell ref="M560:N560"/>
    <mergeCell ref="K562:L562"/>
    <mergeCell ref="K365:L365"/>
    <mergeCell ref="M365:N365"/>
    <mergeCell ref="I361:J361"/>
    <mergeCell ref="I362:J362"/>
    <mergeCell ref="K362:L362"/>
    <mergeCell ref="M362:N362"/>
    <mergeCell ref="I363:J363"/>
    <mergeCell ref="K363:L363"/>
    <mergeCell ref="M363:N363"/>
    <mergeCell ref="I368:J368"/>
    <mergeCell ref="I369:J369"/>
    <mergeCell ref="I364:J364"/>
    <mergeCell ref="K364:L364"/>
    <mergeCell ref="M364:N364"/>
    <mergeCell ref="M369:N369"/>
    <mergeCell ref="I371:J371"/>
    <mergeCell ref="I372:J372"/>
    <mergeCell ref="M371:N371"/>
    <mergeCell ref="M372:N372"/>
    <mergeCell ref="A587:G587"/>
    <mergeCell ref="A373:G373"/>
    <mergeCell ref="I373:J373"/>
    <mergeCell ref="M373:N373"/>
    <mergeCell ref="K374:L374"/>
    <mergeCell ref="M374:N374"/>
    <mergeCell ref="A376:N377"/>
    <mergeCell ref="K569:L569"/>
    <mergeCell ref="M569:N569"/>
    <mergeCell ref="A566:N566"/>
    <mergeCell ref="A567:G567"/>
    <mergeCell ref="I567:J567"/>
    <mergeCell ref="K567:L567"/>
    <mergeCell ref="M567:N567"/>
    <mergeCell ref="A568:G568"/>
    <mergeCell ref="A569:G569"/>
    <mergeCell ref="K564:L564"/>
    <mergeCell ref="M564:N564"/>
    <mergeCell ref="A560:G560"/>
    <mergeCell ref="A561:G561"/>
    <mergeCell ref="I561:J561"/>
    <mergeCell ref="K561:L561"/>
    <mergeCell ref="M561:N561"/>
    <mergeCell ref="A562:G562"/>
    <mergeCell ref="A563:G563"/>
    <mergeCell ref="K568:L568"/>
    <mergeCell ref="M562:N562"/>
    <mergeCell ref="I562:J562"/>
    <mergeCell ref="I563:J563"/>
    <mergeCell ref="K563:L563"/>
    <mergeCell ref="A577:G577"/>
    <mergeCell ref="A578:G578"/>
    <mergeCell ref="A360:G360"/>
    <mergeCell ref="A361:G361"/>
    <mergeCell ref="A362:G362"/>
    <mergeCell ref="A363:G363"/>
    <mergeCell ref="A364:G364"/>
    <mergeCell ref="I355:J355"/>
    <mergeCell ref="K355:L355"/>
    <mergeCell ref="M355:N355"/>
    <mergeCell ref="K356:L356"/>
    <mergeCell ref="M356:N356"/>
    <mergeCell ref="A358:N358"/>
    <mergeCell ref="M359:N359"/>
    <mergeCell ref="I359:J359"/>
    <mergeCell ref="K359:L359"/>
    <mergeCell ref="I360:J360"/>
    <mergeCell ref="K360:L360"/>
    <mergeCell ref="M360:N360"/>
    <mergeCell ref="K361:L361"/>
    <mergeCell ref="M361:N361"/>
    <mergeCell ref="I345:J345"/>
    <mergeCell ref="K451:L451"/>
    <mergeCell ref="M451:N451"/>
    <mergeCell ref="I451:J451"/>
    <mergeCell ref="A350:G350"/>
    <mergeCell ref="A351:G351"/>
    <mergeCell ref="A352:G352"/>
    <mergeCell ref="A353:G353"/>
    <mergeCell ref="A354:G354"/>
    <mergeCell ref="A355:G355"/>
    <mergeCell ref="I346:J346"/>
    <mergeCell ref="K346:L346"/>
    <mergeCell ref="M346:N346"/>
    <mergeCell ref="K347:L347"/>
    <mergeCell ref="M347:N347"/>
    <mergeCell ref="A349:N349"/>
    <mergeCell ref="M350:N350"/>
    <mergeCell ref="I350:J350"/>
    <mergeCell ref="K350:L350"/>
    <mergeCell ref="I351:J351"/>
    <mergeCell ref="K351:L351"/>
    <mergeCell ref="M351:N351"/>
    <mergeCell ref="K352:L352"/>
    <mergeCell ref="M352:N352"/>
    <mergeCell ref="I352:J352"/>
    <mergeCell ref="I353:J353"/>
    <mergeCell ref="K353:L353"/>
    <mergeCell ref="M353:N353"/>
    <mergeCell ref="I354:J354"/>
    <mergeCell ref="K354:L354"/>
    <mergeCell ref="M354:N354"/>
    <mergeCell ref="A359:G359"/>
    <mergeCell ref="A372:G372"/>
    <mergeCell ref="I338:J338"/>
    <mergeCell ref="K338:L338"/>
    <mergeCell ref="I339:J339"/>
    <mergeCell ref="K339:L339"/>
    <mergeCell ref="M339:N339"/>
    <mergeCell ref="K340:L340"/>
    <mergeCell ref="M340:N340"/>
    <mergeCell ref="I340:J340"/>
    <mergeCell ref="I341:J341"/>
    <mergeCell ref="K341:L341"/>
    <mergeCell ref="M341:N341"/>
    <mergeCell ref="I342:J342"/>
    <mergeCell ref="K342:L342"/>
    <mergeCell ref="M342:N342"/>
    <mergeCell ref="M338:N338"/>
    <mergeCell ref="A345:G345"/>
    <mergeCell ref="A346:G346"/>
    <mergeCell ref="A338:G338"/>
    <mergeCell ref="A339:G339"/>
    <mergeCell ref="A340:G340"/>
    <mergeCell ref="A341:G341"/>
    <mergeCell ref="A343:G343"/>
    <mergeCell ref="A344:G344"/>
    <mergeCell ref="K345:L345"/>
    <mergeCell ref="M345:N345"/>
    <mergeCell ref="I343:J343"/>
    <mergeCell ref="K343:L343"/>
    <mergeCell ref="M343:N343"/>
    <mergeCell ref="I344:J344"/>
    <mergeCell ref="K344:L344"/>
    <mergeCell ref="M344:N344"/>
    <mergeCell ref="A317:G317"/>
    <mergeCell ref="A318:G318"/>
    <mergeCell ref="I318:J318"/>
    <mergeCell ref="K318:L318"/>
    <mergeCell ref="M318:N318"/>
    <mergeCell ref="I319:J319"/>
    <mergeCell ref="K319:L319"/>
    <mergeCell ref="M319:N319"/>
    <mergeCell ref="A319:G319"/>
    <mergeCell ref="A320:G320"/>
    <mergeCell ref="I320:J320"/>
    <mergeCell ref="K320:L320"/>
    <mergeCell ref="M320:N320"/>
    <mergeCell ref="K321:L321"/>
    <mergeCell ref="M321:N321"/>
    <mergeCell ref="A367:N367"/>
    <mergeCell ref="A368:G368"/>
    <mergeCell ref="M368:N368"/>
    <mergeCell ref="A323:N323"/>
    <mergeCell ref="A324:G324"/>
    <mergeCell ref="I324:J324"/>
    <mergeCell ref="M324:N324"/>
    <mergeCell ref="A325:G325"/>
    <mergeCell ref="M325:N325"/>
    <mergeCell ref="M326:N326"/>
    <mergeCell ref="A326:G326"/>
    <mergeCell ref="A327:G327"/>
    <mergeCell ref="A328:G328"/>
    <mergeCell ref="A329:G329"/>
    <mergeCell ref="A332:N333"/>
    <mergeCell ref="A337:N337"/>
    <mergeCell ref="A342:G342"/>
    <mergeCell ref="I310:J310"/>
    <mergeCell ref="K310:L310"/>
    <mergeCell ref="M310:N310"/>
    <mergeCell ref="A310:G310"/>
    <mergeCell ref="A311:G311"/>
    <mergeCell ref="I311:J311"/>
    <mergeCell ref="K311:L311"/>
    <mergeCell ref="M311:N311"/>
    <mergeCell ref="K312:L312"/>
    <mergeCell ref="M312:N312"/>
    <mergeCell ref="K316:L316"/>
    <mergeCell ref="M316:N316"/>
    <mergeCell ref="M329:N329"/>
    <mergeCell ref="K330:L330"/>
    <mergeCell ref="M330:N330"/>
    <mergeCell ref="I325:J325"/>
    <mergeCell ref="I326:J326"/>
    <mergeCell ref="I327:J327"/>
    <mergeCell ref="M327:N327"/>
    <mergeCell ref="I328:J328"/>
    <mergeCell ref="M328:N328"/>
    <mergeCell ref="I329:J329"/>
    <mergeCell ref="I316:J316"/>
    <mergeCell ref="I317:J317"/>
    <mergeCell ref="K317:L317"/>
    <mergeCell ref="M317:N317"/>
    <mergeCell ref="A314:N314"/>
    <mergeCell ref="A315:G315"/>
    <mergeCell ref="I315:J315"/>
    <mergeCell ref="K315:L315"/>
    <mergeCell ref="M315:N315"/>
    <mergeCell ref="A316:G316"/>
    <mergeCell ref="K307:L307"/>
    <mergeCell ref="M307:N307"/>
    <mergeCell ref="I307:J307"/>
    <mergeCell ref="I308:J308"/>
    <mergeCell ref="K308:L308"/>
    <mergeCell ref="M308:N308"/>
    <mergeCell ref="A305:N305"/>
    <mergeCell ref="A306:G306"/>
    <mergeCell ref="I306:J306"/>
    <mergeCell ref="K306:L306"/>
    <mergeCell ref="M306:N306"/>
    <mergeCell ref="A307:G307"/>
    <mergeCell ref="A308:G308"/>
    <mergeCell ref="A309:G309"/>
    <mergeCell ref="I309:J309"/>
    <mergeCell ref="K309:L309"/>
    <mergeCell ref="M309:N309"/>
    <mergeCell ref="A299:G299"/>
    <mergeCell ref="I299:J299"/>
    <mergeCell ref="K299:L299"/>
    <mergeCell ref="M299:N299"/>
    <mergeCell ref="I300:J300"/>
    <mergeCell ref="K300:L300"/>
    <mergeCell ref="M300:N300"/>
    <mergeCell ref="K302:L302"/>
    <mergeCell ref="M302:N302"/>
    <mergeCell ref="K303:L303"/>
    <mergeCell ref="M303:N303"/>
    <mergeCell ref="A300:G300"/>
    <mergeCell ref="A301:G301"/>
    <mergeCell ref="I301:J301"/>
    <mergeCell ref="K301:L301"/>
    <mergeCell ref="M301:N301"/>
    <mergeCell ref="A302:G302"/>
    <mergeCell ref="I302:J302"/>
    <mergeCell ref="I287:J287"/>
    <mergeCell ref="I288:J288"/>
    <mergeCell ref="K289:L289"/>
    <mergeCell ref="M289:N289"/>
    <mergeCell ref="A285:G285"/>
    <mergeCell ref="A286:G286"/>
    <mergeCell ref="I286:J286"/>
    <mergeCell ref="M286:N286"/>
    <mergeCell ref="A287:G287"/>
    <mergeCell ref="M287:N287"/>
    <mergeCell ref="M288:N288"/>
    <mergeCell ref="I297:J297"/>
    <mergeCell ref="I298:J298"/>
    <mergeCell ref="K298:L298"/>
    <mergeCell ref="M298:N298"/>
    <mergeCell ref="A288:G288"/>
    <mergeCell ref="A291:N292"/>
    <mergeCell ref="A296:N296"/>
    <mergeCell ref="A297:G297"/>
    <mergeCell ref="K297:L297"/>
    <mergeCell ref="M297:N297"/>
    <mergeCell ref="A298:G298"/>
    <mergeCell ref="A279:G279"/>
    <mergeCell ref="I279:J279"/>
    <mergeCell ref="K279:L279"/>
    <mergeCell ref="M279:N279"/>
    <mergeCell ref="K280:L280"/>
    <mergeCell ref="M280:N280"/>
    <mergeCell ref="I284:J284"/>
    <mergeCell ref="I285:J285"/>
    <mergeCell ref="A282:N282"/>
    <mergeCell ref="A283:G283"/>
    <mergeCell ref="I283:J283"/>
    <mergeCell ref="M283:N283"/>
    <mergeCell ref="A284:G284"/>
    <mergeCell ref="M284:N284"/>
    <mergeCell ref="M285:N285"/>
    <mergeCell ref="A268:G268"/>
    <mergeCell ref="I268:J268"/>
    <mergeCell ref="K268:L268"/>
    <mergeCell ref="M268:N268"/>
    <mergeCell ref="I269:J269"/>
    <mergeCell ref="K269:L269"/>
    <mergeCell ref="M269:N269"/>
    <mergeCell ref="A269:G269"/>
    <mergeCell ref="A270:G270"/>
    <mergeCell ref="I270:J270"/>
    <mergeCell ref="K270:L270"/>
    <mergeCell ref="M270:N270"/>
    <mergeCell ref="K271:L271"/>
    <mergeCell ref="M271:N271"/>
    <mergeCell ref="K275:L275"/>
    <mergeCell ref="M275:N275"/>
    <mergeCell ref="I275:J275"/>
    <mergeCell ref="I267:J267"/>
    <mergeCell ref="K267:L267"/>
    <mergeCell ref="M267:N267"/>
    <mergeCell ref="A264:N264"/>
    <mergeCell ref="A265:G265"/>
    <mergeCell ref="I265:J265"/>
    <mergeCell ref="K265:L265"/>
    <mergeCell ref="M265:N265"/>
    <mergeCell ref="A266:G266"/>
    <mergeCell ref="A267:G267"/>
    <mergeCell ref="A277:G277"/>
    <mergeCell ref="I277:J277"/>
    <mergeCell ref="K277:L277"/>
    <mergeCell ref="M277:N277"/>
    <mergeCell ref="I278:J278"/>
    <mergeCell ref="K278:L278"/>
    <mergeCell ref="M278:N278"/>
    <mergeCell ref="A278:G278"/>
    <mergeCell ref="I276:J276"/>
    <mergeCell ref="K276:L276"/>
    <mergeCell ref="M276:N276"/>
    <mergeCell ref="A273:N273"/>
    <mergeCell ref="A274:G274"/>
    <mergeCell ref="I274:J274"/>
    <mergeCell ref="K274:L274"/>
    <mergeCell ref="M274:N274"/>
    <mergeCell ref="A275:G275"/>
    <mergeCell ref="A276:G276"/>
    <mergeCell ref="I259:J259"/>
    <mergeCell ref="K259:L259"/>
    <mergeCell ref="M259:N259"/>
    <mergeCell ref="K261:L261"/>
    <mergeCell ref="M261:N261"/>
    <mergeCell ref="K262:L262"/>
    <mergeCell ref="M262:N262"/>
    <mergeCell ref="A259:G259"/>
    <mergeCell ref="A260:G260"/>
    <mergeCell ref="I260:J260"/>
    <mergeCell ref="K260:L260"/>
    <mergeCell ref="M260:N260"/>
    <mergeCell ref="A261:G261"/>
    <mergeCell ref="I261:J261"/>
    <mergeCell ref="K266:L266"/>
    <mergeCell ref="M266:N266"/>
    <mergeCell ref="I266:J266"/>
    <mergeCell ref="K256:L256"/>
    <mergeCell ref="M256:N256"/>
    <mergeCell ref="I256:J256"/>
    <mergeCell ref="I257:J257"/>
    <mergeCell ref="K257:L257"/>
    <mergeCell ref="M257:N257"/>
    <mergeCell ref="M247:N247"/>
    <mergeCell ref="K248:L248"/>
    <mergeCell ref="M248:N248"/>
    <mergeCell ref="A250:N251"/>
    <mergeCell ref="A255:N255"/>
    <mergeCell ref="A256:G256"/>
    <mergeCell ref="A257:G257"/>
    <mergeCell ref="A258:G258"/>
    <mergeCell ref="I258:J258"/>
    <mergeCell ref="K258:L258"/>
    <mergeCell ref="M258:N258"/>
    <mergeCell ref="A238:G238"/>
    <mergeCell ref="I238:J238"/>
    <mergeCell ref="K238:L238"/>
    <mergeCell ref="M238:N238"/>
    <mergeCell ref="K239:L239"/>
    <mergeCell ref="M239:N239"/>
    <mergeCell ref="A244:G244"/>
    <mergeCell ref="A245:G245"/>
    <mergeCell ref="A246:G246"/>
    <mergeCell ref="A247:G247"/>
    <mergeCell ref="A241:N241"/>
    <mergeCell ref="A242:G242"/>
    <mergeCell ref="I242:J242"/>
    <mergeCell ref="M242:N242"/>
    <mergeCell ref="A243:G243"/>
    <mergeCell ref="M243:N243"/>
    <mergeCell ref="M244:N244"/>
    <mergeCell ref="I243:J243"/>
    <mergeCell ref="I244:J244"/>
    <mergeCell ref="I245:J245"/>
    <mergeCell ref="M245:N245"/>
    <mergeCell ref="I246:J246"/>
    <mergeCell ref="M246:N246"/>
    <mergeCell ref="I247:J247"/>
    <mergeCell ref="A236:G236"/>
    <mergeCell ref="I236:J236"/>
    <mergeCell ref="K236:L236"/>
    <mergeCell ref="M236:N236"/>
    <mergeCell ref="M237:N237"/>
    <mergeCell ref="I225:J225"/>
    <mergeCell ref="I226:J226"/>
    <mergeCell ref="K226:L226"/>
    <mergeCell ref="M226:N226"/>
    <mergeCell ref="A223:N223"/>
    <mergeCell ref="A224:G224"/>
    <mergeCell ref="I224:J224"/>
    <mergeCell ref="K224:L224"/>
    <mergeCell ref="M224:N224"/>
    <mergeCell ref="A225:G225"/>
    <mergeCell ref="A226:G226"/>
    <mergeCell ref="A227:G227"/>
    <mergeCell ref="I227:J227"/>
    <mergeCell ref="K227:L227"/>
    <mergeCell ref="M227:N227"/>
    <mergeCell ref="I228:J228"/>
    <mergeCell ref="K228:L228"/>
    <mergeCell ref="M228:N228"/>
    <mergeCell ref="A228:G228"/>
    <mergeCell ref="A229:G229"/>
    <mergeCell ref="I229:J229"/>
    <mergeCell ref="K229:L229"/>
    <mergeCell ref="M229:N229"/>
    <mergeCell ref="A237:G237"/>
    <mergeCell ref="I237:J237"/>
    <mergeCell ref="K237:L237"/>
    <mergeCell ref="K225:L225"/>
    <mergeCell ref="K219:L219"/>
    <mergeCell ref="M219:N219"/>
    <mergeCell ref="I219:J219"/>
    <mergeCell ref="I220:J220"/>
    <mergeCell ref="K220:L220"/>
    <mergeCell ref="M220:N220"/>
    <mergeCell ref="K221:L221"/>
    <mergeCell ref="M221:N221"/>
    <mergeCell ref="M225:N225"/>
    <mergeCell ref="K235:L235"/>
    <mergeCell ref="M235:N235"/>
    <mergeCell ref="A232:N232"/>
    <mergeCell ref="A233:G233"/>
    <mergeCell ref="I233:J233"/>
    <mergeCell ref="K233:L233"/>
    <mergeCell ref="M233:N233"/>
    <mergeCell ref="A234:G234"/>
    <mergeCell ref="A235:G235"/>
    <mergeCell ref="K230:L230"/>
    <mergeCell ref="M230:N230"/>
    <mergeCell ref="K234:L234"/>
    <mergeCell ref="M234:N234"/>
    <mergeCell ref="A219:G219"/>
    <mergeCell ref="A220:G220"/>
    <mergeCell ref="I234:J234"/>
    <mergeCell ref="I235:J235"/>
    <mergeCell ref="K214:L214"/>
    <mergeCell ref="M214:N214"/>
    <mergeCell ref="I214:J214"/>
    <mergeCell ref="A201:G201"/>
    <mergeCell ref="M201:N201"/>
    <mergeCell ref="M202:N202"/>
    <mergeCell ref="I201:J201"/>
    <mergeCell ref="I215:J215"/>
    <mergeCell ref="K215:L215"/>
    <mergeCell ref="M215:N215"/>
    <mergeCell ref="M205:N205"/>
    <mergeCell ref="K206:L206"/>
    <mergeCell ref="M206:N206"/>
    <mergeCell ref="A208:N209"/>
    <mergeCell ref="A213:N213"/>
    <mergeCell ref="A214:G214"/>
    <mergeCell ref="A215:G215"/>
    <mergeCell ref="A187:G187"/>
    <mergeCell ref="M179:N179"/>
    <mergeCell ref="A181:N181"/>
    <mergeCell ref="A182:G182"/>
    <mergeCell ref="I182:J182"/>
    <mergeCell ref="K182:L182"/>
    <mergeCell ref="M196:N196"/>
    <mergeCell ref="K197:L197"/>
    <mergeCell ref="M197:N197"/>
    <mergeCell ref="A194:G194"/>
    <mergeCell ref="A195:G195"/>
    <mergeCell ref="I195:J195"/>
    <mergeCell ref="K195:L195"/>
    <mergeCell ref="M195:N195"/>
    <mergeCell ref="A196:G196"/>
    <mergeCell ref="I196:J196"/>
    <mergeCell ref="I191:J191"/>
    <mergeCell ref="I192:J192"/>
    <mergeCell ref="K192:L192"/>
    <mergeCell ref="M192:N192"/>
    <mergeCell ref="K188:L188"/>
    <mergeCell ref="M188:N188"/>
    <mergeCell ref="A190:N190"/>
    <mergeCell ref="A191:G191"/>
    <mergeCell ref="K191:L191"/>
    <mergeCell ref="M191:N191"/>
    <mergeCell ref="M182:N182"/>
    <mergeCell ref="M183:N183"/>
    <mergeCell ref="I183:J183"/>
    <mergeCell ref="K183:L183"/>
    <mergeCell ref="I184:J184"/>
    <mergeCell ref="K184:L184"/>
    <mergeCell ref="A216:G216"/>
    <mergeCell ref="I216:J216"/>
    <mergeCell ref="K216:L216"/>
    <mergeCell ref="M216:N216"/>
    <mergeCell ref="I217:J217"/>
    <mergeCell ref="K217:L217"/>
    <mergeCell ref="M217:N217"/>
    <mergeCell ref="A217:G217"/>
    <mergeCell ref="A218:G218"/>
    <mergeCell ref="I218:J218"/>
    <mergeCell ref="K218:L218"/>
    <mergeCell ref="M218:N218"/>
    <mergeCell ref="M174:N174"/>
    <mergeCell ref="I174:J174"/>
    <mergeCell ref="I175:J175"/>
    <mergeCell ref="K175:L175"/>
    <mergeCell ref="M175:N175"/>
    <mergeCell ref="I176:J176"/>
    <mergeCell ref="K176:L176"/>
    <mergeCell ref="M176:N176"/>
    <mergeCell ref="M186:N186"/>
    <mergeCell ref="I187:J187"/>
    <mergeCell ref="K187:L187"/>
    <mergeCell ref="M187:N187"/>
    <mergeCell ref="A176:G176"/>
    <mergeCell ref="A177:G177"/>
    <mergeCell ref="A178:G178"/>
    <mergeCell ref="I177:J177"/>
    <mergeCell ref="K177:L177"/>
    <mergeCell ref="M177:N177"/>
    <mergeCell ref="I178:J178"/>
    <mergeCell ref="K178:L178"/>
    <mergeCell ref="I121:J121"/>
    <mergeCell ref="K122:L122"/>
    <mergeCell ref="M122:N122"/>
    <mergeCell ref="A192:G192"/>
    <mergeCell ref="I202:J202"/>
    <mergeCell ref="A202:G202"/>
    <mergeCell ref="A203:G203"/>
    <mergeCell ref="A204:G204"/>
    <mergeCell ref="A205:G205"/>
    <mergeCell ref="A199:N199"/>
    <mergeCell ref="A200:G200"/>
    <mergeCell ref="I200:J200"/>
    <mergeCell ref="M200:N200"/>
    <mergeCell ref="A193:G193"/>
    <mergeCell ref="I193:J193"/>
    <mergeCell ref="K193:L193"/>
    <mergeCell ref="M193:N193"/>
    <mergeCell ref="I194:J194"/>
    <mergeCell ref="K194:L194"/>
    <mergeCell ref="M194:N194"/>
    <mergeCell ref="K196:L196"/>
    <mergeCell ref="I203:J203"/>
    <mergeCell ref="M203:N203"/>
    <mergeCell ref="I204:J204"/>
    <mergeCell ref="M204:N204"/>
    <mergeCell ref="I205:J205"/>
    <mergeCell ref="M178:N178"/>
    <mergeCell ref="K179:L179"/>
    <mergeCell ref="A183:G183"/>
    <mergeCell ref="A184:G184"/>
    <mergeCell ref="A185:G185"/>
    <mergeCell ref="A186:G186"/>
    <mergeCell ref="K140:L140"/>
    <mergeCell ref="M140:N140"/>
    <mergeCell ref="I140:J140"/>
    <mergeCell ref="I141:J141"/>
    <mergeCell ref="K146:L146"/>
    <mergeCell ref="M146:N146"/>
    <mergeCell ref="A143:G143"/>
    <mergeCell ref="A144:G144"/>
    <mergeCell ref="I144:J144"/>
    <mergeCell ref="K144:L144"/>
    <mergeCell ref="M144:N144"/>
    <mergeCell ref="A145:G145"/>
    <mergeCell ref="I145:J145"/>
    <mergeCell ref="A118:G118"/>
    <mergeCell ref="A119:G119"/>
    <mergeCell ref="I119:J119"/>
    <mergeCell ref="M119:N119"/>
    <mergeCell ref="A120:G120"/>
    <mergeCell ref="M120:N120"/>
    <mergeCell ref="M121:N121"/>
    <mergeCell ref="I130:J130"/>
    <mergeCell ref="I131:J131"/>
    <mergeCell ref="K131:L131"/>
    <mergeCell ref="M131:N131"/>
    <mergeCell ref="A121:G121"/>
    <mergeCell ref="A124:N125"/>
    <mergeCell ref="A129:N129"/>
    <mergeCell ref="A130:G130"/>
    <mergeCell ref="K130:L130"/>
    <mergeCell ref="M130:N130"/>
    <mergeCell ref="A131:G131"/>
    <mergeCell ref="I120:J120"/>
    <mergeCell ref="A132:G132"/>
    <mergeCell ref="I132:J132"/>
    <mergeCell ref="K132:L132"/>
    <mergeCell ref="M132:N132"/>
    <mergeCell ref="I133:J133"/>
    <mergeCell ref="K133:L133"/>
    <mergeCell ref="M133:N133"/>
    <mergeCell ref="A133:G133"/>
    <mergeCell ref="A134:G134"/>
    <mergeCell ref="I134:J134"/>
    <mergeCell ref="K134:L134"/>
    <mergeCell ref="M134:N134"/>
    <mergeCell ref="A135:G135"/>
    <mergeCell ref="A136:G136"/>
    <mergeCell ref="K135:L135"/>
    <mergeCell ref="M135:N135"/>
    <mergeCell ref="I135:J135"/>
    <mergeCell ref="M184:N184"/>
    <mergeCell ref="K185:L185"/>
    <mergeCell ref="M185:N185"/>
    <mergeCell ref="I185:J185"/>
    <mergeCell ref="I186:J186"/>
    <mergeCell ref="K186:L186"/>
    <mergeCell ref="K141:L141"/>
    <mergeCell ref="M141:N141"/>
    <mergeCell ref="K136:L136"/>
    <mergeCell ref="M136:N136"/>
    <mergeCell ref="K137:L137"/>
    <mergeCell ref="M137:N137"/>
    <mergeCell ref="A139:N139"/>
    <mergeCell ref="A140:G140"/>
    <mergeCell ref="A141:G141"/>
    <mergeCell ref="A142:G142"/>
    <mergeCell ref="I142:J142"/>
    <mergeCell ref="K142:L142"/>
    <mergeCell ref="M142:N142"/>
    <mergeCell ref="I136:J136"/>
    <mergeCell ref="A175:G175"/>
    <mergeCell ref="I143:J143"/>
    <mergeCell ref="K143:L143"/>
    <mergeCell ref="M143:N143"/>
    <mergeCell ref="K145:L145"/>
    <mergeCell ref="M145:N145"/>
    <mergeCell ref="K150:L150"/>
    <mergeCell ref="M150:N150"/>
    <mergeCell ref="M163:N163"/>
    <mergeCell ref="A157:N157"/>
    <mergeCell ref="A158:G158"/>
    <mergeCell ref="I158:J158"/>
    <mergeCell ref="M158:N158"/>
    <mergeCell ref="A159:G159"/>
    <mergeCell ref="A152:G152"/>
    <mergeCell ref="I152:J152"/>
    <mergeCell ref="K152:L152"/>
    <mergeCell ref="M152:N152"/>
    <mergeCell ref="I153:J153"/>
    <mergeCell ref="K153:L153"/>
    <mergeCell ref="M153:N153"/>
    <mergeCell ref="A153:G153"/>
    <mergeCell ref="A154:G154"/>
    <mergeCell ref="I154:J154"/>
    <mergeCell ref="K154:L154"/>
    <mergeCell ref="M154:N154"/>
    <mergeCell ref="K155:L155"/>
    <mergeCell ref="M155:N155"/>
    <mergeCell ref="I150:J150"/>
    <mergeCell ref="I151:J151"/>
    <mergeCell ref="K151:L151"/>
    <mergeCell ref="M151:N151"/>
    <mergeCell ref="A150:G150"/>
    <mergeCell ref="A151:G151"/>
    <mergeCell ref="A148:N148"/>
    <mergeCell ref="A149:G149"/>
    <mergeCell ref="I149:J149"/>
    <mergeCell ref="K149:L149"/>
    <mergeCell ref="M149:N149"/>
    <mergeCell ref="A172:G172"/>
    <mergeCell ref="A173:G173"/>
    <mergeCell ref="A174:G174"/>
    <mergeCell ref="M159:N159"/>
    <mergeCell ref="M160:N160"/>
    <mergeCell ref="A160:G160"/>
    <mergeCell ref="A161:G161"/>
    <mergeCell ref="A162:G162"/>
    <mergeCell ref="A163:G163"/>
    <mergeCell ref="A166:N167"/>
    <mergeCell ref="A171:N171"/>
    <mergeCell ref="M172:N172"/>
    <mergeCell ref="I172:J172"/>
    <mergeCell ref="K172:L172"/>
    <mergeCell ref="I173:J173"/>
    <mergeCell ref="K173:L173"/>
    <mergeCell ref="M173:N173"/>
    <mergeCell ref="K174:L174"/>
    <mergeCell ref="K164:L164"/>
    <mergeCell ref="M164:N164"/>
    <mergeCell ref="I159:J159"/>
    <mergeCell ref="I160:J160"/>
    <mergeCell ref="I161:J161"/>
    <mergeCell ref="M161:N161"/>
    <mergeCell ref="I162:J162"/>
    <mergeCell ref="M162:N162"/>
    <mergeCell ref="I163:J163"/>
    <mergeCell ref="A112:G112"/>
    <mergeCell ref="I112:J112"/>
    <mergeCell ref="K112:L112"/>
    <mergeCell ref="M112:N112"/>
    <mergeCell ref="K113:L113"/>
    <mergeCell ref="M113:N113"/>
    <mergeCell ref="I117:J117"/>
    <mergeCell ref="I118:J118"/>
    <mergeCell ref="A115:N115"/>
    <mergeCell ref="A116:G116"/>
    <mergeCell ref="I116:J116"/>
    <mergeCell ref="M116:N116"/>
    <mergeCell ref="A117:G117"/>
    <mergeCell ref="M117:N117"/>
    <mergeCell ref="M118:N118"/>
    <mergeCell ref="A101:G101"/>
    <mergeCell ref="I101:J101"/>
    <mergeCell ref="K101:L101"/>
    <mergeCell ref="M101:N101"/>
    <mergeCell ref="I102:J102"/>
    <mergeCell ref="K102:L102"/>
    <mergeCell ref="M102:N102"/>
    <mergeCell ref="A102:G102"/>
    <mergeCell ref="A103:G103"/>
    <mergeCell ref="I103:J103"/>
    <mergeCell ref="K103:L103"/>
    <mergeCell ref="M103:N103"/>
    <mergeCell ref="K104:L104"/>
    <mergeCell ref="M104:N104"/>
    <mergeCell ref="K108:L108"/>
    <mergeCell ref="M108:N108"/>
    <mergeCell ref="I108:J108"/>
    <mergeCell ref="I100:J100"/>
    <mergeCell ref="K100:L100"/>
    <mergeCell ref="M100:N100"/>
    <mergeCell ref="A97:N97"/>
    <mergeCell ref="A98:G98"/>
    <mergeCell ref="I98:J98"/>
    <mergeCell ref="K98:L98"/>
    <mergeCell ref="M98:N98"/>
    <mergeCell ref="A99:G99"/>
    <mergeCell ref="A100:G100"/>
    <mergeCell ref="A110:G110"/>
    <mergeCell ref="I110:J110"/>
    <mergeCell ref="K110:L110"/>
    <mergeCell ref="M110:N110"/>
    <mergeCell ref="I111:J111"/>
    <mergeCell ref="K111:L111"/>
    <mergeCell ref="M111:N111"/>
    <mergeCell ref="A111:G111"/>
    <mergeCell ref="I109:J109"/>
    <mergeCell ref="K109:L109"/>
    <mergeCell ref="M109:N109"/>
    <mergeCell ref="A106:N106"/>
    <mergeCell ref="A107:G107"/>
    <mergeCell ref="I107:J107"/>
    <mergeCell ref="K107:L107"/>
    <mergeCell ref="M107:N107"/>
    <mergeCell ref="A108:G108"/>
    <mergeCell ref="A109:G109"/>
    <mergeCell ref="I92:J92"/>
    <mergeCell ref="K92:L92"/>
    <mergeCell ref="M92:N92"/>
    <mergeCell ref="K94:L94"/>
    <mergeCell ref="M94:N94"/>
    <mergeCell ref="K95:L95"/>
    <mergeCell ref="M95:N95"/>
    <mergeCell ref="A92:G92"/>
    <mergeCell ref="A93:G93"/>
    <mergeCell ref="I93:J93"/>
    <mergeCell ref="K93:L93"/>
    <mergeCell ref="M93:N93"/>
    <mergeCell ref="A94:G94"/>
    <mergeCell ref="I94:J94"/>
    <mergeCell ref="K99:L99"/>
    <mergeCell ref="M99:N99"/>
    <mergeCell ref="I99:J99"/>
    <mergeCell ref="K89:L89"/>
    <mergeCell ref="M89:N89"/>
    <mergeCell ref="I89:J89"/>
    <mergeCell ref="I90:J90"/>
    <mergeCell ref="K90:L90"/>
    <mergeCell ref="M90:N90"/>
    <mergeCell ref="M80:N80"/>
    <mergeCell ref="K81:L81"/>
    <mergeCell ref="M81:N81"/>
    <mergeCell ref="A83:N84"/>
    <mergeCell ref="A88:N88"/>
    <mergeCell ref="A89:G89"/>
    <mergeCell ref="A90:G90"/>
    <mergeCell ref="A91:G91"/>
    <mergeCell ref="I91:J91"/>
    <mergeCell ref="K91:L91"/>
    <mergeCell ref="M91:N91"/>
    <mergeCell ref="A71:G71"/>
    <mergeCell ref="I71:J71"/>
    <mergeCell ref="K71:L71"/>
    <mergeCell ref="M71:N71"/>
    <mergeCell ref="K72:L72"/>
    <mergeCell ref="M72:N72"/>
    <mergeCell ref="A77:G77"/>
    <mergeCell ref="A78:G78"/>
    <mergeCell ref="A79:G79"/>
    <mergeCell ref="A80:G80"/>
    <mergeCell ref="A74:N74"/>
    <mergeCell ref="A75:G75"/>
    <mergeCell ref="I75:J75"/>
    <mergeCell ref="M75:N75"/>
    <mergeCell ref="A76:G76"/>
    <mergeCell ref="M76:N76"/>
    <mergeCell ref="M77:N77"/>
    <mergeCell ref="I76:J76"/>
    <mergeCell ref="I77:J77"/>
    <mergeCell ref="I78:J78"/>
    <mergeCell ref="M78:N78"/>
    <mergeCell ref="I79:J79"/>
    <mergeCell ref="M79:N79"/>
    <mergeCell ref="I80:J80"/>
    <mergeCell ref="A69:G69"/>
    <mergeCell ref="I69:J69"/>
    <mergeCell ref="K69:L69"/>
    <mergeCell ref="M69:N69"/>
    <mergeCell ref="M70:N70"/>
    <mergeCell ref="I58:J58"/>
    <mergeCell ref="I59:J59"/>
    <mergeCell ref="K59:L59"/>
    <mergeCell ref="M59:N59"/>
    <mergeCell ref="A56:N56"/>
    <mergeCell ref="A57:G57"/>
    <mergeCell ref="I57:J57"/>
    <mergeCell ref="K57:L57"/>
    <mergeCell ref="M57:N57"/>
    <mergeCell ref="A58:G58"/>
    <mergeCell ref="A59:G59"/>
    <mergeCell ref="A60:G60"/>
    <mergeCell ref="I60:J60"/>
    <mergeCell ref="K60:L60"/>
    <mergeCell ref="M60:N60"/>
    <mergeCell ref="I61:J61"/>
    <mergeCell ref="K61:L61"/>
    <mergeCell ref="M61:N61"/>
    <mergeCell ref="A61:G61"/>
    <mergeCell ref="A62:G62"/>
    <mergeCell ref="I62:J62"/>
    <mergeCell ref="K62:L62"/>
    <mergeCell ref="M62:N62"/>
    <mergeCell ref="A70:G70"/>
    <mergeCell ref="I70:J70"/>
    <mergeCell ref="K70:L70"/>
    <mergeCell ref="K58:L58"/>
    <mergeCell ref="M58:N58"/>
    <mergeCell ref="K68:L68"/>
    <mergeCell ref="M68:N68"/>
    <mergeCell ref="A65:N65"/>
    <mergeCell ref="A66:G66"/>
    <mergeCell ref="I66:J66"/>
    <mergeCell ref="K66:L66"/>
    <mergeCell ref="M66:N66"/>
    <mergeCell ref="A67:G67"/>
    <mergeCell ref="A68:G68"/>
    <mergeCell ref="K63:L63"/>
    <mergeCell ref="M63:N63"/>
    <mergeCell ref="K67:L67"/>
    <mergeCell ref="M67:N67"/>
    <mergeCell ref="K53:L53"/>
    <mergeCell ref="M53:N53"/>
    <mergeCell ref="K54:L54"/>
    <mergeCell ref="M54:N54"/>
    <mergeCell ref="I67:J67"/>
    <mergeCell ref="I68:J68"/>
    <mergeCell ref="A52:G52"/>
    <mergeCell ref="I52:J52"/>
    <mergeCell ref="K52:L52"/>
    <mergeCell ref="M52:N52"/>
    <mergeCell ref="A53:G53"/>
    <mergeCell ref="I53:J53"/>
    <mergeCell ref="A28:G28"/>
    <mergeCell ref="I28:J28"/>
    <mergeCell ref="K28:L28"/>
    <mergeCell ref="M28:N28"/>
    <mergeCell ref="I29:J29"/>
    <mergeCell ref="K29:L29"/>
    <mergeCell ref="M29:N29"/>
    <mergeCell ref="A29:G29"/>
    <mergeCell ref="A30:G30"/>
    <mergeCell ref="I30:J30"/>
    <mergeCell ref="K30:L30"/>
    <mergeCell ref="M30:N30"/>
    <mergeCell ref="K31:L31"/>
    <mergeCell ref="M31:N31"/>
    <mergeCell ref="A36:G36"/>
    <mergeCell ref="A37:G37"/>
    <mergeCell ref="A38:G38"/>
    <mergeCell ref="A39:G39"/>
    <mergeCell ref="A33:N33"/>
    <mergeCell ref="A34:G34"/>
    <mergeCell ref="I34:J34"/>
    <mergeCell ref="K49:L49"/>
    <mergeCell ref="M49:N49"/>
    <mergeCell ref="M39:N39"/>
    <mergeCell ref="K40:L40"/>
    <mergeCell ref="M34:N34"/>
    <mergeCell ref="M40:N40"/>
    <mergeCell ref="A42:N43"/>
    <mergeCell ref="A47:N47"/>
    <mergeCell ref="A48:G48"/>
    <mergeCell ref="A49:G49"/>
    <mergeCell ref="I51:J51"/>
    <mergeCell ref="K51:L51"/>
    <mergeCell ref="I48:J48"/>
    <mergeCell ref="I49:J49"/>
    <mergeCell ref="A50:G50"/>
    <mergeCell ref="I50:J50"/>
    <mergeCell ref="K50:L50"/>
    <mergeCell ref="M50:N50"/>
    <mergeCell ref="M51:N51"/>
    <mergeCell ref="K21:L21"/>
    <mergeCell ref="M21:N21"/>
    <mergeCell ref="K22:L22"/>
    <mergeCell ref="M22:N22"/>
    <mergeCell ref="A51:G51"/>
    <mergeCell ref="A35:G35"/>
    <mergeCell ref="M35:N35"/>
    <mergeCell ref="M36:N36"/>
    <mergeCell ref="I35:J35"/>
    <mergeCell ref="I36:J36"/>
    <mergeCell ref="I37:J37"/>
    <mergeCell ref="M37:N37"/>
    <mergeCell ref="I38:J38"/>
    <mergeCell ref="M38:N38"/>
    <mergeCell ref="I39:J39"/>
    <mergeCell ref="K48:L48"/>
    <mergeCell ref="M48:N48"/>
    <mergeCell ref="A20:G20"/>
    <mergeCell ref="I20:J20"/>
    <mergeCell ref="K20:L20"/>
    <mergeCell ref="M20:N20"/>
    <mergeCell ref="A21:G21"/>
    <mergeCell ref="I21:J21"/>
    <mergeCell ref="K26:L26"/>
    <mergeCell ref="M26:N26"/>
    <mergeCell ref="I26:J26"/>
    <mergeCell ref="I27:J27"/>
    <mergeCell ref="K27:L27"/>
    <mergeCell ref="M27:N27"/>
    <mergeCell ref="A24:N24"/>
    <mergeCell ref="A25:G25"/>
    <mergeCell ref="I25:J25"/>
    <mergeCell ref="K25:L25"/>
    <mergeCell ref="M25:N25"/>
    <mergeCell ref="A26:G26"/>
    <mergeCell ref="A27:G27"/>
    <mergeCell ref="I16:J16"/>
    <mergeCell ref="I17:J17"/>
    <mergeCell ref="K17:L17"/>
    <mergeCell ref="M17:N17"/>
    <mergeCell ref="K13:L13"/>
    <mergeCell ref="M13:N13"/>
    <mergeCell ref="A15:N15"/>
    <mergeCell ref="A16:G16"/>
    <mergeCell ref="K16:L16"/>
    <mergeCell ref="M16:N16"/>
    <mergeCell ref="A17:G17"/>
    <mergeCell ref="A18:G18"/>
    <mergeCell ref="I18:J18"/>
    <mergeCell ref="K18:L18"/>
    <mergeCell ref="M18:N18"/>
    <mergeCell ref="I19:J19"/>
    <mergeCell ref="K19:L19"/>
    <mergeCell ref="M19:N19"/>
    <mergeCell ref="A19:G19"/>
    <mergeCell ref="A8:G8"/>
    <mergeCell ref="A9:G9"/>
    <mergeCell ref="A10:G10"/>
    <mergeCell ref="A11:G11"/>
    <mergeCell ref="A12:G12"/>
    <mergeCell ref="A1:N2"/>
    <mergeCell ref="A6:N6"/>
    <mergeCell ref="A7:G7"/>
    <mergeCell ref="I7:J7"/>
    <mergeCell ref="K7:L7"/>
    <mergeCell ref="M7:N7"/>
    <mergeCell ref="M8:N8"/>
    <mergeCell ref="I8:J8"/>
    <mergeCell ref="K8:L8"/>
    <mergeCell ref="I9:J9"/>
    <mergeCell ref="K9:L9"/>
    <mergeCell ref="M9:N9"/>
    <mergeCell ref="K10:L10"/>
    <mergeCell ref="M10:N10"/>
    <mergeCell ref="I10:J10"/>
    <mergeCell ref="I11:J11"/>
    <mergeCell ref="K11:L11"/>
    <mergeCell ref="M11:N11"/>
    <mergeCell ref="I12:J12"/>
    <mergeCell ref="K12:L12"/>
    <mergeCell ref="M12:N12"/>
    <mergeCell ref="M921:N921"/>
    <mergeCell ref="K921:L921"/>
    <mergeCell ref="K922:L922"/>
    <mergeCell ref="M918:N918"/>
    <mergeCell ref="K918:L918"/>
    <mergeCell ref="M920:N920"/>
    <mergeCell ref="K920:L920"/>
    <mergeCell ref="I923:J923"/>
    <mergeCell ref="I921:J921"/>
    <mergeCell ref="I920:J920"/>
    <mergeCell ref="I919:J919"/>
    <mergeCell ref="I922:J922"/>
    <mergeCell ref="I918:J918"/>
    <mergeCell ref="A923:G923"/>
    <mergeCell ref="A921:G921"/>
    <mergeCell ref="A920:G920"/>
    <mergeCell ref="A919:G919"/>
    <mergeCell ref="A918:G918"/>
    <mergeCell ref="A905:G905"/>
    <mergeCell ref="A904:G904"/>
    <mergeCell ref="A903:G903"/>
    <mergeCell ref="A897:G897"/>
    <mergeCell ref="A896:N896"/>
    <mergeCell ref="A891:N892"/>
    <mergeCell ref="K933:L933"/>
    <mergeCell ref="M933:N933"/>
    <mergeCell ref="M932:N932"/>
    <mergeCell ref="M931:N931"/>
    <mergeCell ref="M930:N930"/>
    <mergeCell ref="M929:N929"/>
    <mergeCell ref="M928:N928"/>
    <mergeCell ref="M927:N927"/>
    <mergeCell ref="I932:J932"/>
    <mergeCell ref="I931:J931"/>
    <mergeCell ref="I930:J930"/>
    <mergeCell ref="I929:J929"/>
    <mergeCell ref="I928:J928"/>
    <mergeCell ref="I927:J927"/>
    <mergeCell ref="A928:G928"/>
    <mergeCell ref="A927:G927"/>
    <mergeCell ref="A932:G932"/>
    <mergeCell ref="A931:G931"/>
    <mergeCell ref="A930:G930"/>
    <mergeCell ref="A929:G929"/>
    <mergeCell ref="A926:N926"/>
    <mergeCell ref="M924:N924"/>
    <mergeCell ref="K924:L924"/>
    <mergeCell ref="M923:N923"/>
    <mergeCell ref="K923:L923"/>
    <mergeCell ref="M922:N922"/>
    <mergeCell ref="M904:N904"/>
    <mergeCell ref="K904:L904"/>
    <mergeCell ref="M906:N906"/>
    <mergeCell ref="K906:L906"/>
    <mergeCell ref="M905:N905"/>
    <mergeCell ref="K905:L905"/>
    <mergeCell ref="M903:N903"/>
    <mergeCell ref="K903:L903"/>
    <mergeCell ref="M898:N898"/>
    <mergeCell ref="M897:N897"/>
    <mergeCell ref="K897:L897"/>
    <mergeCell ref="K898:L898"/>
    <mergeCell ref="I905:J905"/>
    <mergeCell ref="I904:J904"/>
    <mergeCell ref="I903:J903"/>
    <mergeCell ref="I897:J897"/>
    <mergeCell ref="I898:J898"/>
    <mergeCell ref="M900:N900"/>
    <mergeCell ref="I900:J900"/>
    <mergeCell ref="I901:J901"/>
    <mergeCell ref="K901:L901"/>
    <mergeCell ref="M901:N901"/>
    <mergeCell ref="A2128:N2129"/>
    <mergeCell ref="A2133:N2133"/>
    <mergeCell ref="A2134:G2134"/>
    <mergeCell ref="I2134:J2134"/>
    <mergeCell ref="K2134:L2134"/>
    <mergeCell ref="M2134:N2134"/>
    <mergeCell ref="A2135:G2135"/>
    <mergeCell ref="I2135:J2135"/>
    <mergeCell ref="K2135:L2135"/>
    <mergeCell ref="M2135:N2135"/>
    <mergeCell ref="A2136:G2136"/>
    <mergeCell ref="I2136:J2136"/>
    <mergeCell ref="K2136:L2136"/>
    <mergeCell ref="M2136:N2136"/>
    <mergeCell ref="A2137:G2137"/>
    <mergeCell ref="I2137:J2137"/>
    <mergeCell ref="K2137:L2137"/>
    <mergeCell ref="M2137:N2137"/>
    <mergeCell ref="A2138:G2138"/>
    <mergeCell ref="I2138:J2138"/>
    <mergeCell ref="K2138:L2138"/>
    <mergeCell ref="M2138:N2138"/>
    <mergeCell ref="A2139:G2139"/>
    <mergeCell ref="I2139:J2139"/>
    <mergeCell ref="K2139:L2139"/>
    <mergeCell ref="M2139:N2139"/>
    <mergeCell ref="A2140:G2140"/>
    <mergeCell ref="I2140:J2140"/>
    <mergeCell ref="K2140:L2140"/>
    <mergeCell ref="M2140:N2140"/>
    <mergeCell ref="K2141:L2141"/>
    <mergeCell ref="M2141:N2141"/>
    <mergeCell ref="A2143:N2143"/>
    <mergeCell ref="A2144:G2144"/>
    <mergeCell ref="I2144:J2144"/>
    <mergeCell ref="K2144:L2144"/>
    <mergeCell ref="M2144:N2144"/>
    <mergeCell ref="A2145:G2145"/>
    <mergeCell ref="I2145:J2145"/>
    <mergeCell ref="K2145:L2145"/>
    <mergeCell ref="M2145:N2145"/>
    <mergeCell ref="A2146:G2146"/>
    <mergeCell ref="I2146:J2146"/>
    <mergeCell ref="K2146:L2146"/>
    <mergeCell ref="M2146:N2146"/>
    <mergeCell ref="A2147:G2147"/>
    <mergeCell ref="I2147:J2147"/>
    <mergeCell ref="K2147:L2147"/>
    <mergeCell ref="M2147:N2147"/>
    <mergeCell ref="A2148:G2148"/>
    <mergeCell ref="I2148:J2148"/>
    <mergeCell ref="K2148:L2148"/>
    <mergeCell ref="M2148:N2148"/>
    <mergeCell ref="A2149:G2149"/>
    <mergeCell ref="I2149:J2149"/>
    <mergeCell ref="K2149:L2149"/>
    <mergeCell ref="M2149:N2149"/>
    <mergeCell ref="K2150:L2150"/>
    <mergeCell ref="M2150:N2150"/>
    <mergeCell ref="A2152:N2152"/>
    <mergeCell ref="A2153:G2153"/>
    <mergeCell ref="I2153:J2153"/>
    <mergeCell ref="K2153:L2153"/>
    <mergeCell ref="M2153:N2153"/>
    <mergeCell ref="A2154:G2154"/>
    <mergeCell ref="I2154:J2154"/>
    <mergeCell ref="K2154:L2154"/>
    <mergeCell ref="M2154:N2154"/>
    <mergeCell ref="A2155:G2155"/>
    <mergeCell ref="I2155:J2155"/>
    <mergeCell ref="K2155:L2155"/>
    <mergeCell ref="M2155:N2155"/>
    <mergeCell ref="A2156:G2156"/>
    <mergeCell ref="I2156:J2156"/>
    <mergeCell ref="K2156:L2156"/>
    <mergeCell ref="M2156:N2156"/>
    <mergeCell ref="A2157:G2157"/>
    <mergeCell ref="I2157:J2157"/>
    <mergeCell ref="K2157:L2157"/>
    <mergeCell ref="M2157:N2157"/>
    <mergeCell ref="A2158:G2158"/>
    <mergeCell ref="I2158:J2158"/>
    <mergeCell ref="K2158:L2158"/>
    <mergeCell ref="M2158:N2158"/>
    <mergeCell ref="K2159:L2159"/>
    <mergeCell ref="M2159:N2159"/>
    <mergeCell ref="A2161:N2161"/>
    <mergeCell ref="A2162:G2162"/>
    <mergeCell ref="I2162:J2162"/>
    <mergeCell ref="M2162:N2162"/>
    <mergeCell ref="A2163:G2163"/>
    <mergeCell ref="I2163:J2163"/>
    <mergeCell ref="M2163:N2163"/>
    <mergeCell ref="A2164:G2164"/>
    <mergeCell ref="I2164:J2164"/>
    <mergeCell ref="M2164:N2164"/>
    <mergeCell ref="A2165:G2165"/>
    <mergeCell ref="I2165:J2165"/>
    <mergeCell ref="M2165:N2165"/>
    <mergeCell ref="A2166:G2166"/>
    <mergeCell ref="I2166:J2166"/>
    <mergeCell ref="M2166:N2166"/>
    <mergeCell ref="A2167:G2167"/>
    <mergeCell ref="I2167:J2167"/>
    <mergeCell ref="M2167:N2167"/>
    <mergeCell ref="K2168:L2168"/>
    <mergeCell ref="M2168:N2168"/>
    <mergeCell ref="A2170:N2171"/>
    <mergeCell ref="A2175:N2175"/>
    <mergeCell ref="A2176:G2176"/>
    <mergeCell ref="I2176:J2176"/>
    <mergeCell ref="K2176:L2176"/>
    <mergeCell ref="M2176:N2176"/>
    <mergeCell ref="A2177:G2177"/>
    <mergeCell ref="I2177:J2177"/>
    <mergeCell ref="K2177:L2177"/>
    <mergeCell ref="M2177:N2177"/>
    <mergeCell ref="A2178:G2178"/>
    <mergeCell ref="I2178:J2178"/>
    <mergeCell ref="K2178:L2178"/>
    <mergeCell ref="M2178:N2178"/>
    <mergeCell ref="A2179:G2179"/>
    <mergeCell ref="I2179:J2179"/>
    <mergeCell ref="K2179:L2179"/>
    <mergeCell ref="M2179:N2179"/>
    <mergeCell ref="A2180:G2180"/>
    <mergeCell ref="I2180:J2180"/>
    <mergeCell ref="K2180:L2180"/>
    <mergeCell ref="M2180:N2180"/>
    <mergeCell ref="A2181:G2181"/>
    <mergeCell ref="I2181:J2181"/>
    <mergeCell ref="K2181:L2181"/>
    <mergeCell ref="M2181:N2181"/>
    <mergeCell ref="A2182:G2182"/>
    <mergeCell ref="I2182:J2182"/>
    <mergeCell ref="K2182:L2182"/>
    <mergeCell ref="M2182:N2182"/>
    <mergeCell ref="K2183:L2183"/>
    <mergeCell ref="M2183:N2183"/>
    <mergeCell ref="A2185:N2185"/>
    <mergeCell ref="A2186:G2186"/>
    <mergeCell ref="I2186:J2186"/>
    <mergeCell ref="K2186:L2186"/>
    <mergeCell ref="M2186:N2186"/>
    <mergeCell ref="A2187:G2187"/>
    <mergeCell ref="I2187:J2187"/>
    <mergeCell ref="K2187:L2187"/>
    <mergeCell ref="M2187:N2187"/>
    <mergeCell ref="A2188:G2188"/>
    <mergeCell ref="I2188:J2188"/>
    <mergeCell ref="K2188:L2188"/>
    <mergeCell ref="M2188:N2188"/>
    <mergeCell ref="A2189:G2189"/>
    <mergeCell ref="I2189:J2189"/>
    <mergeCell ref="K2189:L2189"/>
    <mergeCell ref="M2189:N2189"/>
    <mergeCell ref="A2190:G2190"/>
    <mergeCell ref="I2190:J2190"/>
    <mergeCell ref="K2190:L2190"/>
    <mergeCell ref="M2190:N2190"/>
    <mergeCell ref="K2191:L2191"/>
    <mergeCell ref="M2191:N2191"/>
    <mergeCell ref="A2193:N2193"/>
    <mergeCell ref="A2194:G2194"/>
    <mergeCell ref="I2194:J2194"/>
    <mergeCell ref="K2194:L2194"/>
    <mergeCell ref="M2194:N2194"/>
    <mergeCell ref="A2195:G2195"/>
    <mergeCell ref="I2195:J2195"/>
    <mergeCell ref="K2195:L2195"/>
    <mergeCell ref="M2195:N2195"/>
    <mergeCell ref="A2196:G2196"/>
    <mergeCell ref="I2196:J2196"/>
    <mergeCell ref="K2196:L2196"/>
    <mergeCell ref="M2196:N2196"/>
    <mergeCell ref="A2197:G2197"/>
    <mergeCell ref="I2197:J2197"/>
    <mergeCell ref="K2197:L2197"/>
    <mergeCell ref="M2197:N2197"/>
    <mergeCell ref="A2198:G2198"/>
    <mergeCell ref="I2198:J2198"/>
    <mergeCell ref="K2198:L2198"/>
    <mergeCell ref="M2198:N2198"/>
    <mergeCell ref="A2199:G2199"/>
    <mergeCell ref="I2199:J2199"/>
    <mergeCell ref="K2199:L2199"/>
    <mergeCell ref="M2199:N2199"/>
    <mergeCell ref="K2200:L2200"/>
    <mergeCell ref="M2200:N2200"/>
    <mergeCell ref="A2202:N2202"/>
    <mergeCell ref="A2203:G2203"/>
    <mergeCell ref="I2203:J2203"/>
    <mergeCell ref="M2203:N2203"/>
    <mergeCell ref="A2204:G2204"/>
    <mergeCell ref="I2204:J2204"/>
    <mergeCell ref="M2204:N2204"/>
    <mergeCell ref="A2205:G2205"/>
    <mergeCell ref="I2205:J2205"/>
    <mergeCell ref="M2205:N2205"/>
    <mergeCell ref="A2206:G2206"/>
    <mergeCell ref="I2206:J2206"/>
    <mergeCell ref="M2206:N2206"/>
    <mergeCell ref="A2207:G2207"/>
    <mergeCell ref="I2207:J2207"/>
    <mergeCell ref="M2207:N2207"/>
    <mergeCell ref="A2208:G2208"/>
    <mergeCell ref="I2208:J2208"/>
    <mergeCell ref="M2208:N2208"/>
    <mergeCell ref="K2209:L2209"/>
    <mergeCell ref="M2209:N2209"/>
    <mergeCell ref="A2211:N2212"/>
    <mergeCell ref="A2216:N2216"/>
    <mergeCell ref="A2217:G2217"/>
    <mergeCell ref="I2217:J2217"/>
    <mergeCell ref="K2217:L2217"/>
    <mergeCell ref="M2217:N2217"/>
    <mergeCell ref="A2218:G2218"/>
    <mergeCell ref="I2218:J2218"/>
    <mergeCell ref="K2218:L2218"/>
    <mergeCell ref="M2218:N2218"/>
    <mergeCell ref="A2219:G2219"/>
    <mergeCell ref="I2219:J2219"/>
    <mergeCell ref="K2219:L2219"/>
    <mergeCell ref="M2219:N2219"/>
    <mergeCell ref="A2220:G2220"/>
    <mergeCell ref="I2220:J2220"/>
    <mergeCell ref="K2220:L2220"/>
    <mergeCell ref="M2220:N2220"/>
    <mergeCell ref="A2221:G2221"/>
    <mergeCell ref="I2221:J2221"/>
    <mergeCell ref="K2221:L2221"/>
    <mergeCell ref="M2221:N2221"/>
    <mergeCell ref="A2222:G2222"/>
    <mergeCell ref="I2222:J2222"/>
    <mergeCell ref="K2222:L2222"/>
    <mergeCell ref="M2222:N2222"/>
    <mergeCell ref="A2223:G2223"/>
    <mergeCell ref="I2223:J2223"/>
    <mergeCell ref="K2223:L2223"/>
    <mergeCell ref="M2223:N2223"/>
    <mergeCell ref="K2224:L2224"/>
    <mergeCell ref="M2224:N2224"/>
    <mergeCell ref="A2226:N2226"/>
    <mergeCell ref="A2227:G2227"/>
    <mergeCell ref="I2227:J2227"/>
    <mergeCell ref="K2227:L2227"/>
    <mergeCell ref="M2227:N2227"/>
    <mergeCell ref="A2228:G2228"/>
    <mergeCell ref="I2228:J2228"/>
    <mergeCell ref="K2228:L2228"/>
    <mergeCell ref="M2228:N2228"/>
    <mergeCell ref="A2229:G2229"/>
    <mergeCell ref="I2229:J2229"/>
    <mergeCell ref="K2229:L2229"/>
    <mergeCell ref="M2229:N2229"/>
    <mergeCell ref="A2230:G2230"/>
    <mergeCell ref="I2230:J2230"/>
    <mergeCell ref="K2230:L2230"/>
    <mergeCell ref="M2230:N2230"/>
    <mergeCell ref="A2231:G2231"/>
    <mergeCell ref="I2231:J2231"/>
    <mergeCell ref="K2231:L2231"/>
    <mergeCell ref="M2231:N2231"/>
    <mergeCell ref="K2232:L2232"/>
    <mergeCell ref="M2232:N2232"/>
    <mergeCell ref="A2234:N2234"/>
    <mergeCell ref="A2235:G2235"/>
    <mergeCell ref="I2235:J2235"/>
    <mergeCell ref="K2235:L2235"/>
    <mergeCell ref="M2235:N2235"/>
    <mergeCell ref="A2236:G2236"/>
    <mergeCell ref="I2236:J2236"/>
    <mergeCell ref="K2236:L2236"/>
    <mergeCell ref="M2236:N2236"/>
    <mergeCell ref="A2237:G2237"/>
    <mergeCell ref="I2237:J2237"/>
    <mergeCell ref="K2237:L2237"/>
    <mergeCell ref="M2237:N2237"/>
    <mergeCell ref="A2238:G2238"/>
    <mergeCell ref="I2238:J2238"/>
    <mergeCell ref="K2238:L2238"/>
    <mergeCell ref="M2238:N2238"/>
    <mergeCell ref="A2246:G2246"/>
    <mergeCell ref="I2246:J2246"/>
    <mergeCell ref="M2246:N2246"/>
    <mergeCell ref="A2247:G2247"/>
    <mergeCell ref="I2247:J2247"/>
    <mergeCell ref="M2247:N2247"/>
    <mergeCell ref="A2248:G2248"/>
    <mergeCell ref="I2248:J2248"/>
    <mergeCell ref="M2248:N2248"/>
    <mergeCell ref="A2249:G2249"/>
    <mergeCell ref="I2249:J2249"/>
    <mergeCell ref="M2249:N2249"/>
    <mergeCell ref="K2250:L2250"/>
    <mergeCell ref="M2250:N2250"/>
    <mergeCell ref="A2239:G2239"/>
    <mergeCell ref="I2239:J2239"/>
    <mergeCell ref="K2239:L2239"/>
    <mergeCell ref="M2239:N2239"/>
    <mergeCell ref="A2240:G2240"/>
    <mergeCell ref="I2240:J2240"/>
    <mergeCell ref="K2240:L2240"/>
    <mergeCell ref="M2240:N2240"/>
    <mergeCell ref="K2241:L2241"/>
    <mergeCell ref="M2241:N2241"/>
    <mergeCell ref="A2243:N2243"/>
    <mergeCell ref="A2244:G2244"/>
    <mergeCell ref="I2244:J2244"/>
    <mergeCell ref="M2244:N2244"/>
    <mergeCell ref="A2245:G2245"/>
    <mergeCell ref="I2245:J2245"/>
    <mergeCell ref="M2245:N2245"/>
    <mergeCell ref="A2252:N2253"/>
    <mergeCell ref="A2257:N2257"/>
    <mergeCell ref="A2258:G2258"/>
    <mergeCell ref="I2258:J2258"/>
    <mergeCell ref="K2258:L2258"/>
    <mergeCell ref="M2258:N2258"/>
    <mergeCell ref="A2259:G2259"/>
    <mergeCell ref="I2259:J2259"/>
    <mergeCell ref="K2259:L2259"/>
    <mergeCell ref="M2259:N2259"/>
    <mergeCell ref="A2260:G2260"/>
    <mergeCell ref="I2260:J2260"/>
    <mergeCell ref="K2260:L2260"/>
    <mergeCell ref="M2260:N2260"/>
    <mergeCell ref="A2261:G2261"/>
    <mergeCell ref="I2261:J2261"/>
    <mergeCell ref="K2261:L2261"/>
    <mergeCell ref="M2261:N2261"/>
    <mergeCell ref="A2262:G2262"/>
    <mergeCell ref="I2262:J2262"/>
    <mergeCell ref="K2262:L2262"/>
    <mergeCell ref="M2262:N2262"/>
    <mergeCell ref="A2263:G2263"/>
    <mergeCell ref="I2263:J2263"/>
    <mergeCell ref="K2263:L2263"/>
    <mergeCell ref="M2263:N2263"/>
    <mergeCell ref="A2264:G2264"/>
    <mergeCell ref="I2264:J2264"/>
    <mergeCell ref="K2264:L2264"/>
    <mergeCell ref="M2264:N2264"/>
    <mergeCell ref="A2265:G2265"/>
    <mergeCell ref="I2265:J2265"/>
    <mergeCell ref="K2265:L2265"/>
    <mergeCell ref="M2265:N2265"/>
    <mergeCell ref="A2266:G2266"/>
    <mergeCell ref="I2266:J2266"/>
    <mergeCell ref="K2266:L2266"/>
    <mergeCell ref="M2266:N2266"/>
    <mergeCell ref="K2267:L2267"/>
    <mergeCell ref="M2267:N2267"/>
    <mergeCell ref="A2269:N2269"/>
    <mergeCell ref="A2270:G2270"/>
    <mergeCell ref="I2270:J2270"/>
    <mergeCell ref="K2270:L2270"/>
    <mergeCell ref="M2270:N2270"/>
    <mergeCell ref="A2271:G2271"/>
    <mergeCell ref="I2271:J2271"/>
    <mergeCell ref="K2271:L2271"/>
    <mergeCell ref="M2271:N2271"/>
    <mergeCell ref="A2272:G2272"/>
    <mergeCell ref="I2272:J2272"/>
    <mergeCell ref="K2272:L2272"/>
    <mergeCell ref="M2272:N2272"/>
    <mergeCell ref="A2273:G2273"/>
    <mergeCell ref="I2273:J2273"/>
    <mergeCell ref="K2273:L2273"/>
    <mergeCell ref="M2273:N2273"/>
    <mergeCell ref="A2274:G2274"/>
    <mergeCell ref="I2274:J2274"/>
    <mergeCell ref="K2274:L2274"/>
    <mergeCell ref="M2274:N2274"/>
    <mergeCell ref="A2275:G2275"/>
    <mergeCell ref="I2275:J2275"/>
    <mergeCell ref="K2275:L2275"/>
    <mergeCell ref="M2275:N2275"/>
    <mergeCell ref="A2276:G2276"/>
    <mergeCell ref="I2276:J2276"/>
    <mergeCell ref="K2276:L2276"/>
    <mergeCell ref="M2276:N2276"/>
    <mergeCell ref="A2277:G2277"/>
    <mergeCell ref="I2277:J2277"/>
    <mergeCell ref="K2277:L2277"/>
    <mergeCell ref="M2277:N2277"/>
    <mergeCell ref="A2278:G2278"/>
    <mergeCell ref="I2278:J2278"/>
    <mergeCell ref="K2278:L2278"/>
    <mergeCell ref="M2278:N2278"/>
    <mergeCell ref="A2279:G2279"/>
    <mergeCell ref="I2279:J2279"/>
    <mergeCell ref="K2279:L2279"/>
    <mergeCell ref="M2279:N2279"/>
    <mergeCell ref="A2280:G2280"/>
    <mergeCell ref="I2280:J2280"/>
    <mergeCell ref="K2280:L2280"/>
    <mergeCell ref="M2280:N2280"/>
    <mergeCell ref="A2281:G2281"/>
    <mergeCell ref="I2281:J2281"/>
    <mergeCell ref="K2281:L2281"/>
    <mergeCell ref="M2281:N2281"/>
    <mergeCell ref="A2282:G2282"/>
    <mergeCell ref="I2282:J2282"/>
    <mergeCell ref="K2282:L2282"/>
    <mergeCell ref="M2282:N2282"/>
    <mergeCell ref="A2283:G2283"/>
    <mergeCell ref="I2283:J2283"/>
    <mergeCell ref="K2283:L2283"/>
    <mergeCell ref="M2283:N2283"/>
    <mergeCell ref="A2284:G2284"/>
    <mergeCell ref="I2284:J2284"/>
    <mergeCell ref="K2284:L2284"/>
    <mergeCell ref="M2284:N2284"/>
    <mergeCell ref="A2285:G2285"/>
    <mergeCell ref="I2285:J2285"/>
    <mergeCell ref="K2285:L2285"/>
    <mergeCell ref="M2285:N2285"/>
    <mergeCell ref="A2286:G2286"/>
    <mergeCell ref="I2286:J2286"/>
    <mergeCell ref="K2286:L2286"/>
    <mergeCell ref="M2286:N2286"/>
    <mergeCell ref="A2287:G2287"/>
    <mergeCell ref="I2287:J2287"/>
    <mergeCell ref="K2287:L2287"/>
    <mergeCell ref="M2287:N2287"/>
    <mergeCell ref="A2288:G2288"/>
    <mergeCell ref="I2288:J2288"/>
    <mergeCell ref="K2288:L2288"/>
    <mergeCell ref="M2288:N2288"/>
    <mergeCell ref="A2289:G2289"/>
    <mergeCell ref="I2289:J2289"/>
    <mergeCell ref="K2289:L2289"/>
    <mergeCell ref="M2289:N2289"/>
    <mergeCell ref="A2290:G2290"/>
    <mergeCell ref="I2290:J2290"/>
    <mergeCell ref="K2290:L2290"/>
    <mergeCell ref="M2290:N2290"/>
    <mergeCell ref="A2291:G2291"/>
    <mergeCell ref="I2291:J2291"/>
    <mergeCell ref="K2291:L2291"/>
    <mergeCell ref="M2291:N2291"/>
    <mergeCell ref="A2292:G2292"/>
    <mergeCell ref="I2292:J2292"/>
    <mergeCell ref="K2292:L2292"/>
    <mergeCell ref="M2292:N2292"/>
    <mergeCell ref="A2293:G2293"/>
    <mergeCell ref="I2293:J2293"/>
    <mergeCell ref="K2293:L2293"/>
    <mergeCell ref="M2293:N2293"/>
    <mergeCell ref="A2294:G2294"/>
    <mergeCell ref="I2294:J2294"/>
    <mergeCell ref="K2294:L2294"/>
    <mergeCell ref="M2294:N2294"/>
    <mergeCell ref="A2295:G2295"/>
    <mergeCell ref="I2295:J2295"/>
    <mergeCell ref="K2295:L2295"/>
    <mergeCell ref="M2295:N2295"/>
    <mergeCell ref="K2296:L2296"/>
    <mergeCell ref="M2296:N2296"/>
    <mergeCell ref="A2298:N2298"/>
    <mergeCell ref="A2299:G2299"/>
    <mergeCell ref="I2299:J2299"/>
    <mergeCell ref="K2299:L2299"/>
    <mergeCell ref="M2299:N2299"/>
    <mergeCell ref="A2300:G2300"/>
    <mergeCell ref="I2300:J2300"/>
    <mergeCell ref="K2300:L2300"/>
    <mergeCell ref="M2300:N2300"/>
    <mergeCell ref="A2301:G2301"/>
    <mergeCell ref="I2301:J2301"/>
    <mergeCell ref="K2301:L2301"/>
    <mergeCell ref="M2301:N2301"/>
    <mergeCell ref="A2302:G2302"/>
    <mergeCell ref="I2302:J2302"/>
    <mergeCell ref="K2302:L2302"/>
    <mergeCell ref="M2302:N2302"/>
    <mergeCell ref="A2303:G2303"/>
    <mergeCell ref="I2303:J2303"/>
    <mergeCell ref="K2303:L2303"/>
    <mergeCell ref="M2303:N2303"/>
    <mergeCell ref="K2304:L2304"/>
    <mergeCell ref="M2304:N2304"/>
    <mergeCell ref="A2306:N2306"/>
    <mergeCell ref="A2307:G2307"/>
    <mergeCell ref="I2307:J2307"/>
    <mergeCell ref="M2307:N2307"/>
    <mergeCell ref="A2308:G2308"/>
    <mergeCell ref="I2308:J2308"/>
    <mergeCell ref="M2308:N2308"/>
    <mergeCell ref="A2309:G2309"/>
    <mergeCell ref="I2309:J2309"/>
    <mergeCell ref="M2309:N2309"/>
    <mergeCell ref="A2310:G2310"/>
    <mergeCell ref="I2310:J2310"/>
    <mergeCell ref="M2310:N2310"/>
    <mergeCell ref="A2311:G2311"/>
    <mergeCell ref="I2311:J2311"/>
    <mergeCell ref="M2311:N2311"/>
    <mergeCell ref="A2312:G2312"/>
    <mergeCell ref="I2312:J2312"/>
    <mergeCell ref="M2312:N2312"/>
    <mergeCell ref="K2313:L2313"/>
    <mergeCell ref="M2313:N2313"/>
    <mergeCell ref="A2315:N2316"/>
    <mergeCell ref="A2320:N2320"/>
    <mergeCell ref="A2321:G2321"/>
    <mergeCell ref="I2321:J2321"/>
    <mergeCell ref="K2321:L2321"/>
    <mergeCell ref="M2321:N2321"/>
    <mergeCell ref="A2322:G2322"/>
    <mergeCell ref="I2322:J2322"/>
    <mergeCell ref="K2322:L2322"/>
    <mergeCell ref="M2322:N2322"/>
    <mergeCell ref="A2323:G2323"/>
    <mergeCell ref="I2323:J2323"/>
    <mergeCell ref="K2323:L2323"/>
    <mergeCell ref="M2323:N2323"/>
    <mergeCell ref="A2324:G2324"/>
    <mergeCell ref="I2324:J2324"/>
    <mergeCell ref="K2324:L2324"/>
    <mergeCell ref="M2324:N2324"/>
    <mergeCell ref="A2325:G2325"/>
    <mergeCell ref="I2325:J2325"/>
    <mergeCell ref="K2325:L2325"/>
    <mergeCell ref="M2325:N2325"/>
    <mergeCell ref="A2326:G2326"/>
    <mergeCell ref="I2326:J2326"/>
    <mergeCell ref="K2326:L2326"/>
    <mergeCell ref="M2326:N2326"/>
    <mergeCell ref="A2327:G2327"/>
    <mergeCell ref="I2327:J2327"/>
    <mergeCell ref="K2327:L2327"/>
    <mergeCell ref="M2327:N2327"/>
    <mergeCell ref="A2328:G2328"/>
    <mergeCell ref="I2328:J2328"/>
    <mergeCell ref="K2328:L2328"/>
    <mergeCell ref="M2328:N2328"/>
    <mergeCell ref="A2329:G2329"/>
    <mergeCell ref="I2329:J2329"/>
    <mergeCell ref="K2329:L2329"/>
    <mergeCell ref="M2329:N2329"/>
    <mergeCell ref="A2330:G2330"/>
    <mergeCell ref="I2330:J2330"/>
    <mergeCell ref="K2330:L2330"/>
    <mergeCell ref="M2330:N2330"/>
    <mergeCell ref="A2331:G2331"/>
    <mergeCell ref="I2331:J2331"/>
    <mergeCell ref="K2331:L2331"/>
    <mergeCell ref="M2331:N2331"/>
    <mergeCell ref="A2332:G2332"/>
    <mergeCell ref="I2332:J2332"/>
    <mergeCell ref="K2332:L2332"/>
    <mergeCell ref="M2332:N2332"/>
    <mergeCell ref="A2333:G2333"/>
    <mergeCell ref="I2333:J2333"/>
    <mergeCell ref="K2333:L2333"/>
    <mergeCell ref="M2333:N2333"/>
    <mergeCell ref="A2334:G2334"/>
    <mergeCell ref="I2334:J2334"/>
    <mergeCell ref="K2334:L2334"/>
    <mergeCell ref="M2334:N2334"/>
    <mergeCell ref="A2335:G2335"/>
    <mergeCell ref="I2335:J2335"/>
    <mergeCell ref="K2335:L2335"/>
    <mergeCell ref="M2335:N2335"/>
    <mergeCell ref="A2336:G2336"/>
    <mergeCell ref="I2336:J2336"/>
    <mergeCell ref="K2336:L2336"/>
    <mergeCell ref="M2336:N2336"/>
    <mergeCell ref="A2337:G2337"/>
    <mergeCell ref="I2337:J2337"/>
    <mergeCell ref="K2337:L2337"/>
    <mergeCell ref="M2337:N2337"/>
    <mergeCell ref="A2338:G2338"/>
    <mergeCell ref="I2338:J2338"/>
    <mergeCell ref="K2338:L2338"/>
    <mergeCell ref="M2338:N2338"/>
    <mergeCell ref="A2339:G2339"/>
    <mergeCell ref="I2339:J2339"/>
    <mergeCell ref="K2339:L2339"/>
    <mergeCell ref="M2339:N2339"/>
    <mergeCell ref="A2340:G2340"/>
    <mergeCell ref="I2340:J2340"/>
    <mergeCell ref="K2340:L2340"/>
    <mergeCell ref="M2340:N2340"/>
    <mergeCell ref="A2341:G2341"/>
    <mergeCell ref="I2341:J2341"/>
    <mergeCell ref="K2341:L2341"/>
    <mergeCell ref="M2341:N2341"/>
    <mergeCell ref="A2342:G2342"/>
    <mergeCell ref="I2342:J2342"/>
    <mergeCell ref="K2342:L2342"/>
    <mergeCell ref="M2342:N2342"/>
    <mergeCell ref="A2343:G2343"/>
    <mergeCell ref="I2343:J2343"/>
    <mergeCell ref="K2343:L2343"/>
    <mergeCell ref="M2343:N2343"/>
    <mergeCell ref="A2344:G2344"/>
    <mergeCell ref="I2344:J2344"/>
    <mergeCell ref="K2344:L2344"/>
    <mergeCell ref="M2344:N2344"/>
    <mergeCell ref="A2345:G2345"/>
    <mergeCell ref="I2345:J2345"/>
    <mergeCell ref="K2345:L2345"/>
    <mergeCell ref="M2345:N2345"/>
    <mergeCell ref="K2346:L2346"/>
    <mergeCell ref="M2346:N2346"/>
    <mergeCell ref="A2348:N2348"/>
    <mergeCell ref="A2349:G2349"/>
    <mergeCell ref="I2349:J2349"/>
    <mergeCell ref="K2349:L2349"/>
    <mergeCell ref="M2349:N2349"/>
    <mergeCell ref="A2350:G2350"/>
    <mergeCell ref="I2350:J2350"/>
    <mergeCell ref="K2350:L2350"/>
    <mergeCell ref="M2350:N2350"/>
    <mergeCell ref="A2351:G2351"/>
    <mergeCell ref="I2351:J2351"/>
    <mergeCell ref="K2351:L2351"/>
    <mergeCell ref="M2351:N2351"/>
    <mergeCell ref="A2352:G2352"/>
    <mergeCell ref="I2352:J2352"/>
    <mergeCell ref="K2352:L2352"/>
    <mergeCell ref="M2352:N2352"/>
    <mergeCell ref="A2353:G2353"/>
    <mergeCell ref="I2353:J2353"/>
    <mergeCell ref="K2353:L2353"/>
    <mergeCell ref="M2353:N2353"/>
    <mergeCell ref="A2354:G2354"/>
    <mergeCell ref="I2354:J2354"/>
    <mergeCell ref="K2354:L2354"/>
    <mergeCell ref="M2354:N2354"/>
    <mergeCell ref="K2355:L2355"/>
    <mergeCell ref="M2355:N2355"/>
    <mergeCell ref="A2357:N2357"/>
    <mergeCell ref="A2358:G2358"/>
    <mergeCell ref="I2358:J2358"/>
    <mergeCell ref="K2358:L2358"/>
    <mergeCell ref="M2358:N2358"/>
    <mergeCell ref="A2359:G2359"/>
    <mergeCell ref="I2359:J2359"/>
    <mergeCell ref="K2359:L2359"/>
    <mergeCell ref="M2359:N2359"/>
    <mergeCell ref="A2360:G2360"/>
    <mergeCell ref="I2360:J2360"/>
    <mergeCell ref="K2360:L2360"/>
    <mergeCell ref="M2360:N2360"/>
    <mergeCell ref="A2361:G2361"/>
    <mergeCell ref="I2361:J2361"/>
    <mergeCell ref="K2361:L2361"/>
    <mergeCell ref="M2361:N2361"/>
    <mergeCell ref="A2369:G2369"/>
    <mergeCell ref="I2369:J2369"/>
    <mergeCell ref="M2369:N2369"/>
    <mergeCell ref="A2370:G2370"/>
    <mergeCell ref="I2370:J2370"/>
    <mergeCell ref="M2370:N2370"/>
    <mergeCell ref="J2543:N2543"/>
    <mergeCell ref="J2544:N2544"/>
    <mergeCell ref="J2545:N2545"/>
    <mergeCell ref="A2371:G2371"/>
    <mergeCell ref="I2371:J2371"/>
    <mergeCell ref="M2371:N2371"/>
    <mergeCell ref="A2372:G2372"/>
    <mergeCell ref="I2372:J2372"/>
    <mergeCell ref="M2372:N2372"/>
    <mergeCell ref="K2373:L2373"/>
    <mergeCell ref="M2373:N2373"/>
    <mergeCell ref="A2362:G2362"/>
    <mergeCell ref="I2362:J2362"/>
    <mergeCell ref="K2362:L2362"/>
    <mergeCell ref="M2362:N2362"/>
    <mergeCell ref="A2363:G2363"/>
    <mergeCell ref="I2363:J2363"/>
    <mergeCell ref="K2363:L2363"/>
    <mergeCell ref="M2363:N2363"/>
    <mergeCell ref="K2364:L2364"/>
    <mergeCell ref="M2364:N2364"/>
    <mergeCell ref="A2366:N2366"/>
    <mergeCell ref="A2367:G2367"/>
    <mergeCell ref="I2367:J2367"/>
    <mergeCell ref="M2367:N2367"/>
    <mergeCell ref="A2368:G2368"/>
    <mergeCell ref="I2368:J2368"/>
    <mergeCell ref="M2368:N2368"/>
    <mergeCell ref="A2375:N2376"/>
    <mergeCell ref="A2380:N2380"/>
    <mergeCell ref="A2381:G2381"/>
    <mergeCell ref="I2381:J2381"/>
  </mergeCells>
  <dataValidations disablePrompts="1" count="11">
    <dataValidation type="list" allowBlank="1" showErrorMessage="1" sqref="A1724:A1735 A1988" xr:uid="{00000000-0002-0000-0B00-000000000000}">
      <formula1>$C$6:$C$592</formula1>
    </dataValidation>
    <dataValidation type="list" allowBlank="1" showErrorMessage="1" sqref="A1249:A1253 A1429:A1433 A1384:A1388 A1339:A1343 A1294:A1298 A343:A346" xr:uid="{00000000-0002-0000-0B00-000001000000}">
      <formula1>C$8:C$508</formula1>
    </dataValidation>
    <dataValidation type="list" allowBlank="1" showErrorMessage="1" sqref="A2094:A2098 A2047:A2056 A2042:A2043 A1989:A1995 A1908:A1910 A1906 A1904 A1864:A1866 A1862 A1860 A1820:A1822 A1818 A1816 A1776:A1778 A1774 A339:A342 A2508:A2511 A1425:A1428 A1381:A1383 A1335:A1338 A1290:A1293 A1245:A1248 A1596:A1602 A1156:A1163 A1114 A1073:A1077 A1030 A990:A992 A986:A988 A946:A948 A942:A944 A898:A905 A818:A820 A814:A816 A774:A776 A770:A772 A730:A732 A728 A726 A685:A689 A642:A647 A1685:A1687 A2342:A2345 A2402:A2405 A2455:A2458 A1593:A1594 A1200:A1201 A1203:A1210" xr:uid="{00000000-0002-0000-0B00-000002000000}">
      <formula1>$C$6:$C$508</formula1>
    </dataValidation>
    <dataValidation type="list" allowBlank="1" showErrorMessage="1" sqref="A603" xr:uid="{00000000-0002-0000-0B00-000003000000}">
      <formula1>$C$6:$C$184</formula1>
    </dataValidation>
    <dataValidation type="list" allowBlank="1" showErrorMessage="1" sqref="A1394:A1395 A1439:A1440" xr:uid="{00000000-0002-0000-0B00-000004000000}">
      <formula1>$C$6:$C$107</formula1>
    </dataValidation>
    <dataValidation type="list" allowBlank="1" showErrorMessage="1" sqref="A12 A53 A94 A136 A178 A220 A261 A302 A387 A437 A479 A521 A563 A862 A1516 A1556 A1951" xr:uid="{00000000-0002-0000-0B00-000005000000}">
      <formula1>C$7:C$99</formula1>
    </dataValidation>
    <dataValidation type="list" allowBlank="1" showErrorMessage="1" sqref="A58:A62 A99:A103 A141:A145 A183:A187 A225:A229 A266:A270 A307:A311 A351:A355 A392:A396 A442:A446 A484:A488 A526 A528:A530 A568:A572 A610 A613:A614 A652:A656 A694:A698 A738:A742 A782:A786 A826:A830 A867:A871 A910:A914 A954:A958 A998:A1002 A1040:A1044 A1082:A1086 A1124:A1128 A1168:A1172 A1215:A1219 A1258:A1262 A1303:A1307 A1348:A1352 A1393 A1396:A1397 A1438 A1441:A1442 A1479:A1483 A1522:A1525 A1561:A1565 A1607:A1611 A1650:A1654 A1692:A1696 A1740:A1744 A1784:A1788 A1828:A1832 A1872:A1876 A1916:A1920 A1956:A1960 A2000:A2004 A2061:A2065 A2103:A2107 A2350:A2354 A2410:A2414 A2463:A2467 A2516:A2520" xr:uid="{00000000-0002-0000-0B00-000006000000}">
      <formula1>$C$6:$C$106</formula1>
    </dataValidation>
    <dataValidation type="list" allowBlank="1" showErrorMessage="1" sqref="A527" xr:uid="{00000000-0002-0000-0B00-000007000000}">
      <formula1>#REF!</formula1>
    </dataValidation>
    <dataValidation type="list" allowBlank="1" showErrorMessage="1" sqref="A76:A80 A117:A121 A159:A163 A201:A205 A243:A247 A284:A288 A325:A329 A369:A373 A410:A414 A460:A464 A502:A506 A544:A548 A586:A590 A628:A632 A670:A674 A712:A716 A756:A760 A800:A804 A844:A848 A884:A888 A928:A932 A972:A976 A1016:A1020 A1058:A1062 A1100:A1104 A1142:A1146 A1187:A1190 A1233:A1235 A1276:A1280 A1321:A1325 A1366:A1370 A1411:A1415 A1456:A1460 A1497:A1501 A1539:A1543 A1579:A1583 A1625:A1627 A1668:A1672 A1710:A1714 A1758:A1762 A1802:A1806 A1846:A1850 A1890:A1894 A1934:A1938 A1974:A1978 A2018:A2022 A2079:A2083 A2121:A2125 A2163:A2167 A2204:A2208 A2308 A2246:A2249 A2369:A2372 A2429:A2432 A2482:A2485 A2535:A2538" xr:uid="{00000000-0002-0000-0B00-000008000000}">
      <formula1>$A$23:$A$68</formula1>
    </dataValidation>
    <dataValidation type="list" allowBlank="1" showErrorMessage="1" sqref="A2135 A2177" xr:uid="{00000000-0002-0000-0B00-000009000000}">
      <formula1>$C$6:$C$117</formula1>
    </dataValidation>
    <dataValidation type="list" allowBlank="1" showErrorMessage="1" sqref="A2136:A2140 A2178:A2182" xr:uid="{00000000-0002-0000-0B00-00000A000000}">
      <formula1>$C$6:$C$330</formula1>
    </dataValidation>
  </dataValidations>
  <printOptions horizontalCentered="1"/>
  <pageMargins left="0.78740157480314965" right="0.39370078740157483" top="0.78740157480314965" bottom="0.78740157480314965" header="0" footer="0"/>
  <pageSetup scale="65" orientation="landscape" r:id="rId1"/>
  <rowBreaks count="50" manualBreakCount="50">
    <brk id="41" max="16383" man="1"/>
    <brk id="82" max="16383" man="1"/>
    <brk id="123" max="16383" man="1"/>
    <brk id="165" max="16383" man="1"/>
    <brk id="207" max="16383" man="1"/>
    <brk id="249" max="16383" man="1"/>
    <brk id="290" max="16383" man="1"/>
    <brk id="331" max="16383" man="1"/>
    <brk id="375" max="16383" man="1"/>
    <brk id="416" max="16383" man="1"/>
    <brk id="466" max="16383" man="1"/>
    <brk id="508" max="16383" man="1"/>
    <brk id="550" max="16383" man="1"/>
    <brk id="592" max="16383" man="1"/>
    <brk id="634" max="16383" man="1"/>
    <brk id="676" max="16383" man="1"/>
    <brk id="718" max="16383" man="1"/>
    <brk id="762" max="16383" man="1"/>
    <brk id="806" max="16383" man="1"/>
    <brk id="850" max="16383" man="1"/>
    <brk id="890" max="16383" man="1"/>
    <brk id="934" max="16383" man="1"/>
    <brk id="978" max="16383" man="1"/>
    <brk id="1022" max="16383" man="1"/>
    <brk id="1064" max="16383" man="1"/>
    <brk id="1106" max="16383" man="1"/>
    <brk id="1148" max="16383" man="1"/>
    <brk id="1192" max="16383" man="1"/>
    <brk id="1237" max="16383" man="1"/>
    <brk id="1282" max="16383" man="1"/>
    <brk id="1327" max="16383" man="1"/>
    <brk id="1372" max="16383" man="1"/>
    <brk id="1417" max="16383" man="1"/>
    <brk id="1462" max="16383" man="1"/>
    <brk id="1503" max="16383" man="1"/>
    <brk id="1545" max="16383" man="1"/>
    <brk id="1585" max="16383" man="1"/>
    <brk id="1629" max="16383" man="1"/>
    <brk id="1674" max="16383" man="1"/>
    <brk id="1716" max="16383" man="1"/>
    <brk id="1764" max="16383" man="1"/>
    <brk id="1808" max="16383" man="1"/>
    <brk id="1852" max="16383" man="1"/>
    <brk id="1896" max="16383" man="1"/>
    <brk id="1940" max="16383" man="1"/>
    <brk id="1980" max="16383" man="1"/>
    <brk id="2024" max="16383" man="1"/>
    <brk id="2085" max="16383" man="1"/>
    <brk id="2319" max="13" man="1"/>
    <brk id="2376" max="13" man="1"/>
  </rowBreaks>
  <drawing r:id="rId2"/>
  <extLst>
    <ext xmlns:x14="http://schemas.microsoft.com/office/spreadsheetml/2009/9/main" uri="{CCE6A557-97BC-4b89-ADB6-D9C93CAAB3DF}">
      <x14:dataValidations xmlns:xm="http://schemas.microsoft.com/office/excel/2006/main" disablePrompts="1" count="12">
        <x14:dataValidation type="list" allowBlank="1" showErrorMessage="1" xr:uid="{00000000-0002-0000-0B00-00000B000000}">
          <x14:formula1>
            <xm:f>'12'!$A$23:$A$68</xm:f>
          </x14:formula1>
          <xm:sqref>A35:A39 A2245:G2245 A1186:G1186 A2368:G2368 A2428:G2428 A2481:G2481 A2534:G2534</xm:sqref>
        </x14:dataValidation>
        <x14:dataValidation type="list" allowBlank="1" showErrorMessage="1" xr:uid="{00000000-0002-0000-0B00-00000C000000}">
          <x14:formula1>
            <xm:f>'13'!$C$6:$C$36</xm:f>
          </x14:formula1>
          <xm:sqref>A8:A11 A49:A52 A1911 A1907 A1905 A1867 A1863 A1861 A1823 A1819 A1817 A1779 A1775 A1773 A1645 A1553:A1554 A1511:A1515 A1470:A1473 A1115:A1119 A1031:A1035 A993 A989 A949 A945 A858:A861 A821 A817 A777 A773 A733 A729 A727 A604:A605 A601:A602 A559:A562 A516:A520 A474:A478 A424:A436 A383:A386 A298:A301 A257:A260 A215:A219 A173:A177 A131:A135 A90:A93 A1948:A1949</xm:sqref>
        </x14:dataValidation>
        <x14:dataValidation type="list" allowBlank="1" showErrorMessage="1" xr:uid="{00000000-0002-0000-0B00-00000D000000}">
          <x14:formula1>
            <xm:f>'13'!$C$6:$C$93</xm:f>
          </x14:formula1>
          <xm:sqref>A600 A2044:A2046 A1772 A1637:A1644 A2093 A1380 A1072 A684</xm:sqref>
        </x14:dataValidation>
        <x14:dataValidation type="list" allowBlank="1" showErrorMessage="1" xr:uid="{00000000-0002-0000-0B00-00000E000000}">
          <x14:formula1>
            <xm:f>'13'!$C$6:$C$1157</xm:f>
          </x14:formula1>
          <xm:sqref>A2218:G2223</xm:sqref>
        </x14:dataValidation>
        <x14:dataValidation type="list" allowBlank="1" showErrorMessage="1" xr:uid="{00000000-0002-0000-0B00-00000F000000}">
          <x14:formula1>
            <xm:f>'13'!$C$6:$C$347</xm:f>
          </x14:formula1>
          <xm:sqref>A1950:G1950</xm:sqref>
        </x14:dataValidation>
        <x14:dataValidation type="list" allowBlank="1" showErrorMessage="1" xr:uid="{00000000-0002-0000-0B00-000010000000}">
          <x14:formula1>
            <xm:f>'13'!$C$6:$C$579</xm:f>
          </x14:formula1>
          <xm:sqref>A1682:G1684</xm:sqref>
        </x14:dataValidation>
        <x14:dataValidation type="list" allowBlank="1" showErrorMessage="1" xr:uid="{00000000-0002-0000-0B00-000011000000}">
          <x14:formula1>
            <xm:f>'13'!$C$6:$C$687</xm:f>
          </x14:formula1>
          <xm:sqref>A558:G558</xm:sqref>
        </x14:dataValidation>
        <x14:dataValidation type="list" allowBlank="1" showErrorMessage="1" xr:uid="{00000000-0002-0000-0B00-000012000000}">
          <x14:formula1>
            <xm:f>'13'!$C$6:$C$5067</xm:f>
          </x14:formula1>
          <xm:sqref>A2331:G2341 A2391:G2401 A2452:G2454 A2505:G2507</xm:sqref>
        </x14:dataValidation>
        <x14:dataValidation type="list" allowBlank="1" showErrorMessage="1" xr:uid="{00000000-0002-0000-0B00-000013000000}">
          <x14:formula1>
            <xm:f>'13'!$C$6:$C$507</xm:f>
          </x14:formula1>
          <xm:sqref>A1595:G1595 A1202:G1202</xm:sqref>
        </x14:dataValidation>
        <x14:dataValidation type="list" allowBlank="1" showErrorMessage="1" xr:uid="{00000000-0002-0000-0B00-000014000000}">
          <x14:formula1>
            <xm:f>'14'!$C$6:$C$22</xm:f>
          </x14:formula1>
          <xm:sqref>A17:A21 A1521:G1521 A611:A612</xm:sqref>
        </x14:dataValidation>
        <x14:dataValidation type="list" allowBlank="1" showInputMessage="1" showErrorMessage="1" xr:uid="{00000000-0002-0000-0B00-000015000000}">
          <x14:formula1>
            <xm:f>'14'!$C$6:$C$22</xm:f>
          </x14:formula1>
          <xm:sqref>A2229:G2230</xm:sqref>
        </x14:dataValidation>
        <x14:dataValidation type="list" allowBlank="1" showErrorMessage="1" xr:uid="{00000000-0002-0000-0B00-000016000000}">
          <x14:formula1>
            <xm:f>'13'!C$6:C$36</xm:f>
          </x14:formula1>
          <xm:sqref>A1474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2"/>
  <dimension ref="A1:U869"/>
  <sheetViews>
    <sheetView view="pageBreakPreview" topLeftCell="A78" zoomScale="115" zoomScaleNormal="100" zoomScaleSheetLayoutView="115" workbookViewId="0">
      <selection activeCell="C67" sqref="C67:H67"/>
    </sheetView>
  </sheetViews>
  <sheetFormatPr baseColWidth="10" defaultColWidth="12.7109375" defaultRowHeight="15" customHeight="1" x14ac:dyDescent="0.2"/>
  <cols>
    <col min="1" max="1" width="10.42578125" customWidth="1"/>
    <col min="2" max="2" width="11.5703125" bestFit="1" customWidth="1"/>
    <col min="3" max="7" width="10.42578125" customWidth="1"/>
    <col min="8" max="8" width="14.42578125" customWidth="1"/>
    <col min="9" max="14" width="10.42578125" customWidth="1"/>
    <col min="15" max="21" width="12.42578125" customWidth="1"/>
  </cols>
  <sheetData>
    <row r="1" spans="1:21" ht="12.75" customHeight="1" x14ac:dyDescent="0.2">
      <c r="A1" s="840" t="str">
        <f>+Indice!$A$1</f>
        <v>CONSTRUCCIÓN DEL SISTEMA DE ACUEDUCTO IDOLOS, EL TIGRE, MUNICIPIO DE ISNOS – DEPARTAMENTO DEL HUILA – FASE I.</v>
      </c>
      <c r="B1" s="841"/>
      <c r="C1" s="841"/>
      <c r="D1" s="841"/>
      <c r="E1" s="841"/>
      <c r="F1" s="841"/>
      <c r="G1" s="841"/>
      <c r="H1" s="841"/>
      <c r="I1" s="841"/>
      <c r="J1" s="841"/>
      <c r="K1" s="841"/>
      <c r="L1" s="842"/>
      <c r="M1" s="470" t="s">
        <v>0</v>
      </c>
      <c r="N1" s="416"/>
    </row>
    <row r="2" spans="1:21" ht="12.75" customHeight="1" x14ac:dyDescent="0.2">
      <c r="A2" s="843"/>
      <c r="B2" s="844"/>
      <c r="C2" s="844"/>
      <c r="D2" s="844"/>
      <c r="E2" s="844"/>
      <c r="F2" s="844"/>
      <c r="G2" s="844"/>
      <c r="H2" s="844"/>
      <c r="I2" s="844"/>
      <c r="J2" s="844"/>
      <c r="K2" s="844"/>
      <c r="L2" s="845"/>
      <c r="M2" s="839">
        <f>Indice!$I$2</f>
        <v>45972</v>
      </c>
      <c r="N2" s="411"/>
    </row>
    <row r="3" spans="1:21" ht="12.75" customHeight="1" x14ac:dyDescent="0.2">
      <c r="A3" s="846"/>
      <c r="B3" s="847"/>
      <c r="C3" s="847"/>
      <c r="D3" s="847"/>
      <c r="E3" s="847"/>
      <c r="F3" s="847"/>
      <c r="G3" s="847"/>
      <c r="H3" s="847"/>
      <c r="I3" s="847"/>
      <c r="J3" s="847"/>
      <c r="K3" s="847"/>
      <c r="L3" s="848"/>
      <c r="M3" s="412"/>
      <c r="N3" s="414"/>
    </row>
    <row r="4" spans="1:21" ht="12.75" customHeight="1" x14ac:dyDescent="0.2">
      <c r="C4" s="77">
        <v>1</v>
      </c>
      <c r="D4" s="77">
        <v>2</v>
      </c>
      <c r="E4" s="77">
        <v>3</v>
      </c>
      <c r="F4" s="77">
        <v>4</v>
      </c>
      <c r="G4" s="77">
        <v>5</v>
      </c>
      <c r="H4" s="77">
        <v>6</v>
      </c>
      <c r="I4" s="77">
        <v>7</v>
      </c>
      <c r="J4" s="77">
        <v>8</v>
      </c>
      <c r="K4" s="77">
        <v>9</v>
      </c>
      <c r="L4" s="77">
        <v>10</v>
      </c>
      <c r="M4" s="77">
        <v>11</v>
      </c>
      <c r="N4" s="77">
        <v>12</v>
      </c>
    </row>
    <row r="5" spans="1:21" ht="12.75" customHeight="1" x14ac:dyDescent="0.2">
      <c r="A5" s="50" t="s">
        <v>555</v>
      </c>
      <c r="B5" s="50" t="s">
        <v>0</v>
      </c>
      <c r="C5" s="855" t="s">
        <v>402</v>
      </c>
      <c r="D5" s="428"/>
      <c r="E5" s="428"/>
      <c r="F5" s="428"/>
      <c r="G5" s="428"/>
      <c r="H5" s="856"/>
      <c r="I5" s="50" t="s">
        <v>40</v>
      </c>
      <c r="J5" s="857" t="s">
        <v>617</v>
      </c>
      <c r="K5" s="483"/>
      <c r="L5" s="858" t="s">
        <v>1103</v>
      </c>
      <c r="M5" s="483"/>
      <c r="N5" s="50" t="s">
        <v>618</v>
      </c>
    </row>
    <row r="6" spans="1:21" ht="12.75" customHeight="1" x14ac:dyDescent="0.2">
      <c r="A6" s="231" t="s">
        <v>1846</v>
      </c>
      <c r="B6" s="128">
        <v>45539</v>
      </c>
      <c r="C6" s="832" t="s">
        <v>406</v>
      </c>
      <c r="D6" s="833"/>
      <c r="E6" s="833"/>
      <c r="F6" s="833"/>
      <c r="G6" s="833"/>
      <c r="H6" s="834"/>
      <c r="I6" s="12" t="s">
        <v>240</v>
      </c>
      <c r="J6" s="808">
        <f>+(36900*1.19)/12</f>
        <v>3659.25</v>
      </c>
      <c r="K6" s="809"/>
      <c r="L6" s="819" t="s">
        <v>1107</v>
      </c>
      <c r="M6" s="814"/>
      <c r="N6" s="12">
        <v>0.43</v>
      </c>
      <c r="O6" s="78"/>
      <c r="P6" s="78"/>
      <c r="Q6" s="78"/>
      <c r="R6" s="78"/>
      <c r="S6" s="78"/>
      <c r="T6" s="78"/>
      <c r="U6" s="78"/>
    </row>
    <row r="7" spans="1:21" ht="12.75" customHeight="1" x14ac:dyDescent="0.2">
      <c r="A7" s="231" t="s">
        <v>620</v>
      </c>
      <c r="B7" s="128">
        <v>45527</v>
      </c>
      <c r="C7" s="832" t="s">
        <v>407</v>
      </c>
      <c r="D7" s="833"/>
      <c r="E7" s="833"/>
      <c r="F7" s="833"/>
      <c r="G7" s="833"/>
      <c r="H7" s="834"/>
      <c r="I7" s="12" t="s">
        <v>532</v>
      </c>
      <c r="J7" s="808">
        <f>112900*1.19</f>
        <v>134351</v>
      </c>
      <c r="K7" s="809"/>
      <c r="L7" s="819" t="s">
        <v>1107</v>
      </c>
      <c r="M7" s="814"/>
      <c r="N7" s="12">
        <v>3.8</v>
      </c>
      <c r="O7" s="78"/>
      <c r="P7" s="78"/>
      <c r="Q7" s="78"/>
      <c r="R7" s="78"/>
      <c r="S7" s="78"/>
      <c r="T7" s="78"/>
      <c r="U7" s="78"/>
    </row>
    <row r="8" spans="1:21" ht="12.75" customHeight="1" x14ac:dyDescent="0.2">
      <c r="A8" s="231" t="s">
        <v>621</v>
      </c>
      <c r="B8" s="128">
        <v>45527</v>
      </c>
      <c r="C8" s="835" t="s">
        <v>408</v>
      </c>
      <c r="D8" s="836"/>
      <c r="E8" s="836"/>
      <c r="F8" s="836"/>
      <c r="G8" s="836"/>
      <c r="H8" s="837"/>
      <c r="I8" s="12" t="s">
        <v>623</v>
      </c>
      <c r="J8" s="808">
        <f>4900*1.19</f>
        <v>5831</v>
      </c>
      <c r="K8" s="809"/>
      <c r="L8" s="808" t="s">
        <v>1109</v>
      </c>
      <c r="M8" s="809"/>
      <c r="N8" s="12">
        <v>0.5</v>
      </c>
      <c r="O8" s="78"/>
      <c r="P8" s="78"/>
      <c r="Q8" s="78"/>
      <c r="R8" s="78"/>
      <c r="S8" s="78"/>
      <c r="T8" s="78"/>
      <c r="U8" s="78"/>
    </row>
    <row r="9" spans="1:21" ht="12.75" customHeight="1" x14ac:dyDescent="0.2">
      <c r="A9" s="231" t="s">
        <v>622</v>
      </c>
      <c r="B9" s="128">
        <v>45528</v>
      </c>
      <c r="C9" s="832" t="s">
        <v>409</v>
      </c>
      <c r="D9" s="833"/>
      <c r="E9" s="833"/>
      <c r="F9" s="833"/>
      <c r="G9" s="833"/>
      <c r="H9" s="834"/>
      <c r="I9" s="12" t="s">
        <v>625</v>
      </c>
      <c r="J9" s="808">
        <f>(59900*1.19)/500</f>
        <v>142.56200000000001</v>
      </c>
      <c r="K9" s="809"/>
      <c r="L9" s="819" t="s">
        <v>1107</v>
      </c>
      <c r="M9" s="814"/>
      <c r="N9" s="12"/>
      <c r="O9" s="78"/>
      <c r="P9" s="78"/>
      <c r="Q9" s="78"/>
      <c r="R9" s="78"/>
      <c r="S9" s="78"/>
      <c r="T9" s="78"/>
      <c r="U9" s="78"/>
    </row>
    <row r="10" spans="1:21" ht="12.75" customHeight="1" x14ac:dyDescent="0.2">
      <c r="A10" s="231" t="s">
        <v>624</v>
      </c>
      <c r="B10" s="128">
        <v>45528</v>
      </c>
      <c r="C10" s="832" t="s">
        <v>419</v>
      </c>
      <c r="D10" s="833"/>
      <c r="E10" s="833"/>
      <c r="F10" s="833"/>
      <c r="G10" s="833"/>
      <c r="H10" s="834"/>
      <c r="I10" s="12" t="s">
        <v>625</v>
      </c>
      <c r="J10" s="808">
        <f>+(15900*1.19)/100</f>
        <v>189.21</v>
      </c>
      <c r="K10" s="809"/>
      <c r="L10" s="819" t="s">
        <v>1107</v>
      </c>
      <c r="M10" s="814"/>
      <c r="N10" s="12">
        <v>6.2E-4</v>
      </c>
      <c r="R10" s="78"/>
      <c r="S10" s="78"/>
      <c r="T10" s="78"/>
      <c r="U10" s="78"/>
    </row>
    <row r="11" spans="1:21" ht="12.75" customHeight="1" x14ac:dyDescent="0.2">
      <c r="A11" s="231" t="s">
        <v>626</v>
      </c>
      <c r="B11" s="128">
        <v>45527</v>
      </c>
      <c r="C11" s="832" t="s">
        <v>431</v>
      </c>
      <c r="D11" s="833"/>
      <c r="E11" s="833"/>
      <c r="F11" s="833"/>
      <c r="G11" s="833"/>
      <c r="H11" s="834"/>
      <c r="I11" s="12" t="s">
        <v>24</v>
      </c>
      <c r="J11" s="808">
        <f>+(32000*1.19)/50</f>
        <v>761.6</v>
      </c>
      <c r="K11" s="809"/>
      <c r="L11" s="819" t="s">
        <v>1107</v>
      </c>
      <c r="M11" s="814"/>
      <c r="N11" s="12">
        <v>1</v>
      </c>
      <c r="R11" s="78"/>
      <c r="S11" s="78"/>
      <c r="T11" s="78"/>
      <c r="U11" s="78"/>
    </row>
    <row r="12" spans="1:21" ht="12.75" customHeight="1" x14ac:dyDescent="0.2">
      <c r="A12" s="231" t="s">
        <v>627</v>
      </c>
      <c r="B12" s="128">
        <v>45363</v>
      </c>
      <c r="C12" s="832" t="s">
        <v>432</v>
      </c>
      <c r="D12" s="833"/>
      <c r="E12" s="833"/>
      <c r="F12" s="833"/>
      <c r="G12" s="833"/>
      <c r="H12" s="834"/>
      <c r="I12" s="12" t="s">
        <v>531</v>
      </c>
      <c r="J12" s="808">
        <v>65450</v>
      </c>
      <c r="K12" s="809"/>
      <c r="L12" s="813" t="s">
        <v>1482</v>
      </c>
      <c r="M12" s="831"/>
      <c r="N12" s="12">
        <v>1608</v>
      </c>
      <c r="R12" s="78"/>
      <c r="S12" s="78"/>
      <c r="T12" s="78"/>
      <c r="U12" s="78"/>
    </row>
    <row r="13" spans="1:21" ht="12.75" customHeight="1" x14ac:dyDescent="0.2">
      <c r="A13" s="231" t="s">
        <v>628</v>
      </c>
      <c r="B13" s="128">
        <v>45363</v>
      </c>
      <c r="C13" s="832" t="s">
        <v>433</v>
      </c>
      <c r="D13" s="833"/>
      <c r="E13" s="833"/>
      <c r="F13" s="833"/>
      <c r="G13" s="833"/>
      <c r="H13" s="834"/>
      <c r="I13" s="107" t="s">
        <v>531</v>
      </c>
      <c r="J13" s="808">
        <v>113050</v>
      </c>
      <c r="K13" s="809"/>
      <c r="L13" s="813" t="s">
        <v>1482</v>
      </c>
      <c r="M13" s="831"/>
      <c r="N13" s="12">
        <v>1455</v>
      </c>
      <c r="O13" s="78"/>
      <c r="P13" s="78"/>
      <c r="Q13" s="78"/>
      <c r="R13" s="78"/>
      <c r="S13" s="78"/>
      <c r="T13" s="78"/>
      <c r="U13" s="78"/>
    </row>
    <row r="14" spans="1:21" ht="12.75" customHeight="1" x14ac:dyDescent="0.2">
      <c r="A14" s="231" t="s">
        <v>629</v>
      </c>
      <c r="B14" s="128">
        <v>45032</v>
      </c>
      <c r="C14" s="849" t="s">
        <v>434</v>
      </c>
      <c r="D14" s="850"/>
      <c r="E14" s="850"/>
      <c r="F14" s="850"/>
      <c r="G14" s="850"/>
      <c r="H14" s="851"/>
      <c r="I14" s="12" t="s">
        <v>631</v>
      </c>
      <c r="J14" s="808">
        <v>20</v>
      </c>
      <c r="K14" s="809"/>
      <c r="L14" s="808" t="s">
        <v>1110</v>
      </c>
      <c r="M14" s="809"/>
      <c r="N14" s="12">
        <v>1</v>
      </c>
      <c r="O14" s="78"/>
      <c r="P14" s="78"/>
      <c r="Q14" s="78"/>
      <c r="R14" s="78"/>
      <c r="S14" s="78"/>
      <c r="T14" s="78"/>
      <c r="U14" s="78"/>
    </row>
    <row r="15" spans="1:21" ht="12.75" customHeight="1" x14ac:dyDescent="0.2">
      <c r="A15" s="231" t="s">
        <v>630</v>
      </c>
      <c r="B15" s="128">
        <v>45539</v>
      </c>
      <c r="C15" s="832" t="s">
        <v>446</v>
      </c>
      <c r="D15" s="833"/>
      <c r="E15" s="833"/>
      <c r="F15" s="833"/>
      <c r="G15" s="833"/>
      <c r="H15" s="834"/>
      <c r="I15" s="12" t="s">
        <v>24</v>
      </c>
      <c r="J15" s="808">
        <f>+(21300*1.19)/6</f>
        <v>4224.5</v>
      </c>
      <c r="K15" s="809"/>
      <c r="L15" s="813" t="s">
        <v>1107</v>
      </c>
      <c r="M15" s="831"/>
      <c r="N15" s="12">
        <v>1</v>
      </c>
      <c r="O15" s="78"/>
      <c r="P15" s="78"/>
      <c r="Q15" s="117"/>
      <c r="R15" s="78"/>
      <c r="S15" s="78"/>
      <c r="T15" s="78"/>
      <c r="U15" s="78"/>
    </row>
    <row r="16" spans="1:21" ht="12.75" customHeight="1" x14ac:dyDescent="0.2">
      <c r="A16" s="231" t="s">
        <v>632</v>
      </c>
      <c r="B16" s="128">
        <v>45539</v>
      </c>
      <c r="C16" s="832" t="s">
        <v>447</v>
      </c>
      <c r="D16" s="833"/>
      <c r="E16" s="833"/>
      <c r="F16" s="833"/>
      <c r="G16" s="833"/>
      <c r="H16" s="834"/>
      <c r="I16" s="12" t="s">
        <v>24</v>
      </c>
      <c r="J16" s="808">
        <f>+(135000*1.19)/25</f>
        <v>6426</v>
      </c>
      <c r="K16" s="809"/>
      <c r="L16" s="813" t="s">
        <v>1107</v>
      </c>
      <c r="M16" s="831"/>
      <c r="N16" s="12">
        <v>1</v>
      </c>
      <c r="O16" s="78"/>
      <c r="P16" s="78"/>
      <c r="Q16" s="78"/>
      <c r="R16" s="78"/>
      <c r="S16" s="78"/>
      <c r="T16" s="78"/>
      <c r="U16" s="78"/>
    </row>
    <row r="17" spans="1:21" ht="12.75" customHeight="1" x14ac:dyDescent="0.2">
      <c r="A17" s="231" t="s">
        <v>633</v>
      </c>
      <c r="B17" s="128">
        <v>45033</v>
      </c>
      <c r="C17" s="852" t="s">
        <v>451</v>
      </c>
      <c r="D17" s="853"/>
      <c r="E17" s="853"/>
      <c r="F17" s="853"/>
      <c r="G17" s="853"/>
      <c r="H17" s="854"/>
      <c r="I17" s="12" t="s">
        <v>531</v>
      </c>
      <c r="J17" s="808">
        <f>+'11'!$F$335</f>
        <v>642178.26956777973</v>
      </c>
      <c r="K17" s="809"/>
      <c r="L17" s="808" t="s">
        <v>1110</v>
      </c>
      <c r="M17" s="809"/>
      <c r="N17" s="12"/>
      <c r="R17" s="78"/>
      <c r="S17" s="78"/>
      <c r="T17" s="78"/>
      <c r="U17" s="78"/>
    </row>
    <row r="18" spans="1:21" ht="12.75" customHeight="1" x14ac:dyDescent="0.2">
      <c r="A18" s="231" t="s">
        <v>634</v>
      </c>
      <c r="B18" s="128">
        <v>45541</v>
      </c>
      <c r="C18" s="835" t="s">
        <v>440</v>
      </c>
      <c r="D18" s="836"/>
      <c r="E18" s="836"/>
      <c r="F18" s="836"/>
      <c r="G18" s="836"/>
      <c r="H18" s="837"/>
      <c r="I18" s="12" t="s">
        <v>636</v>
      </c>
      <c r="J18" s="808">
        <f>1000*1.19</f>
        <v>1190</v>
      </c>
      <c r="K18" s="809"/>
      <c r="L18" s="808" t="s">
        <v>1117</v>
      </c>
      <c r="M18" s="809"/>
      <c r="N18" s="12">
        <v>41.1</v>
      </c>
      <c r="R18" s="78"/>
      <c r="S18" s="78"/>
      <c r="T18" s="78"/>
      <c r="U18" s="78"/>
    </row>
    <row r="19" spans="1:21" ht="12.75" customHeight="1" x14ac:dyDescent="0.2">
      <c r="A19" s="231" t="s">
        <v>635</v>
      </c>
      <c r="B19" s="311">
        <v>45033</v>
      </c>
      <c r="C19" s="835" t="s">
        <v>452</v>
      </c>
      <c r="D19" s="836"/>
      <c r="E19" s="836"/>
      <c r="F19" s="836"/>
      <c r="G19" s="836"/>
      <c r="H19" s="837"/>
      <c r="I19" s="12" t="s">
        <v>531</v>
      </c>
      <c r="J19" s="808">
        <v>418293</v>
      </c>
      <c r="K19" s="809"/>
      <c r="L19" s="808" t="s">
        <v>1110</v>
      </c>
      <c r="M19" s="809"/>
      <c r="N19" s="12"/>
      <c r="R19" s="78"/>
      <c r="S19" s="78"/>
      <c r="T19" s="78"/>
      <c r="U19" s="78"/>
    </row>
    <row r="20" spans="1:21" ht="12.75" customHeight="1" x14ac:dyDescent="0.2">
      <c r="A20" s="231" t="s">
        <v>637</v>
      </c>
      <c r="B20" s="128">
        <v>45542</v>
      </c>
      <c r="C20" s="832" t="s">
        <v>453</v>
      </c>
      <c r="D20" s="833"/>
      <c r="E20" s="833"/>
      <c r="F20" s="833"/>
      <c r="G20" s="833"/>
      <c r="H20" s="834"/>
      <c r="I20" s="12" t="s">
        <v>636</v>
      </c>
      <c r="J20" s="808">
        <f>14650*1.19</f>
        <v>17433.5</v>
      </c>
      <c r="K20" s="809"/>
      <c r="L20" s="819" t="s">
        <v>1107</v>
      </c>
      <c r="M20" s="814"/>
      <c r="N20" s="12"/>
      <c r="R20" s="78"/>
      <c r="S20" s="78"/>
      <c r="T20" s="78"/>
      <c r="U20" s="78"/>
    </row>
    <row r="21" spans="1:21" ht="12.75" customHeight="1" x14ac:dyDescent="0.2">
      <c r="A21" s="231" t="s">
        <v>638</v>
      </c>
      <c r="B21" s="128">
        <v>45062</v>
      </c>
      <c r="C21" s="832" t="s">
        <v>457</v>
      </c>
      <c r="D21" s="833"/>
      <c r="E21" s="833"/>
      <c r="F21" s="833"/>
      <c r="G21" s="833"/>
      <c r="H21" s="834"/>
      <c r="I21" s="12" t="s">
        <v>24</v>
      </c>
      <c r="J21" s="838">
        <f>27900*1.19</f>
        <v>33201</v>
      </c>
      <c r="K21" s="416"/>
      <c r="L21" s="819" t="s">
        <v>1107</v>
      </c>
      <c r="M21" s="814"/>
      <c r="N21" s="12">
        <v>1</v>
      </c>
      <c r="R21" s="78"/>
      <c r="S21" s="78"/>
      <c r="T21" s="78"/>
      <c r="U21" s="78"/>
    </row>
    <row r="22" spans="1:21" ht="12.75" customHeight="1" x14ac:dyDescent="0.2">
      <c r="A22" s="231" t="s">
        <v>639</v>
      </c>
      <c r="B22" s="128">
        <v>45532</v>
      </c>
      <c r="C22" s="832" t="s">
        <v>458</v>
      </c>
      <c r="D22" s="833"/>
      <c r="E22" s="833"/>
      <c r="F22" s="833"/>
      <c r="G22" s="833"/>
      <c r="H22" s="834"/>
      <c r="I22" s="12" t="s">
        <v>625</v>
      </c>
      <c r="J22" s="808">
        <f>+(198900*1.19)/6</f>
        <v>39448.5</v>
      </c>
      <c r="K22" s="809"/>
      <c r="L22" s="819" t="s">
        <v>1107</v>
      </c>
      <c r="M22" s="814"/>
      <c r="N22" s="12"/>
      <c r="R22" s="78"/>
      <c r="S22" s="78"/>
      <c r="T22" s="78"/>
      <c r="U22" s="78"/>
    </row>
    <row r="23" spans="1:21" ht="12.75" customHeight="1" x14ac:dyDescent="0.2">
      <c r="A23" s="231" t="s">
        <v>640</v>
      </c>
      <c r="B23" s="128">
        <v>45532</v>
      </c>
      <c r="C23" s="832" t="s">
        <v>459</v>
      </c>
      <c r="D23" s="833"/>
      <c r="E23" s="833"/>
      <c r="F23" s="833"/>
      <c r="G23" s="833"/>
      <c r="H23" s="834"/>
      <c r="I23" s="12" t="s">
        <v>532</v>
      </c>
      <c r="J23" s="808">
        <f>65900*1.19</f>
        <v>78421</v>
      </c>
      <c r="K23" s="809"/>
      <c r="L23" s="819" t="s">
        <v>1107</v>
      </c>
      <c r="M23" s="814"/>
      <c r="N23" s="12">
        <v>3.8</v>
      </c>
      <c r="R23" s="78"/>
      <c r="S23" s="78"/>
      <c r="T23" s="78"/>
      <c r="U23" s="78"/>
    </row>
    <row r="24" spans="1:21" ht="12.75" customHeight="1" x14ac:dyDescent="0.2">
      <c r="A24" s="231" t="s">
        <v>641</v>
      </c>
      <c r="B24" s="128">
        <v>45532</v>
      </c>
      <c r="C24" s="832" t="s">
        <v>460</v>
      </c>
      <c r="D24" s="833"/>
      <c r="E24" s="833"/>
      <c r="F24" s="833"/>
      <c r="G24" s="833"/>
      <c r="H24" s="834"/>
      <c r="I24" s="12" t="s">
        <v>240</v>
      </c>
      <c r="J24" s="808">
        <f>1300*1.19</f>
        <v>1547</v>
      </c>
      <c r="K24" s="809"/>
      <c r="L24" s="813" t="s">
        <v>1107</v>
      </c>
      <c r="M24" s="814"/>
      <c r="N24" s="12"/>
      <c r="O24" s="78"/>
      <c r="P24" s="78"/>
      <c r="Q24" s="78"/>
      <c r="R24" s="78"/>
      <c r="S24" s="78"/>
      <c r="T24" s="78"/>
      <c r="U24" s="78"/>
    </row>
    <row r="25" spans="1:21" ht="12.75" customHeight="1" x14ac:dyDescent="0.2">
      <c r="A25" s="231" t="s">
        <v>642</v>
      </c>
      <c r="B25" s="128">
        <v>45037</v>
      </c>
      <c r="C25" s="832" t="s">
        <v>461</v>
      </c>
      <c r="D25" s="833"/>
      <c r="E25" s="833"/>
      <c r="F25" s="833"/>
      <c r="G25" s="833"/>
      <c r="H25" s="834"/>
      <c r="I25" s="12" t="s">
        <v>531</v>
      </c>
      <c r="J25" s="808">
        <v>461000</v>
      </c>
      <c r="K25" s="809"/>
      <c r="L25" s="823" t="s">
        <v>1877</v>
      </c>
      <c r="M25" s="814"/>
      <c r="N25" s="12"/>
      <c r="O25" s="78"/>
      <c r="P25" s="78"/>
      <c r="Q25" s="78"/>
      <c r="R25" s="78"/>
      <c r="S25" s="78"/>
      <c r="T25" s="78"/>
      <c r="U25" s="78"/>
    </row>
    <row r="26" spans="1:21" ht="12.75" customHeight="1" x14ac:dyDescent="0.2">
      <c r="A26" s="231" t="s">
        <v>643</v>
      </c>
      <c r="B26" s="128">
        <v>45527</v>
      </c>
      <c r="C26" s="835" t="s">
        <v>454</v>
      </c>
      <c r="D26" s="836"/>
      <c r="E26" s="836"/>
      <c r="F26" s="836"/>
      <c r="G26" s="836"/>
      <c r="H26" s="837"/>
      <c r="I26" s="12" t="s">
        <v>625</v>
      </c>
      <c r="J26" s="808">
        <f>68600/6</f>
        <v>11433.333333333334</v>
      </c>
      <c r="K26" s="809"/>
      <c r="L26" s="808" t="s">
        <v>1109</v>
      </c>
      <c r="M26" s="809"/>
      <c r="N26" s="12"/>
      <c r="O26" s="78"/>
      <c r="P26" s="78"/>
      <c r="Q26" s="78"/>
      <c r="R26" s="78"/>
      <c r="S26" s="78"/>
      <c r="T26" s="78"/>
      <c r="U26" s="78"/>
    </row>
    <row r="27" spans="1:21" ht="12.75" customHeight="1" x14ac:dyDescent="0.2">
      <c r="A27" s="231" t="s">
        <v>644</v>
      </c>
      <c r="B27" s="128">
        <v>45527</v>
      </c>
      <c r="C27" s="835" t="s">
        <v>455</v>
      </c>
      <c r="D27" s="836"/>
      <c r="E27" s="836"/>
      <c r="F27" s="836"/>
      <c r="G27" s="836"/>
      <c r="H27" s="837"/>
      <c r="I27" s="12" t="s">
        <v>240</v>
      </c>
      <c r="J27" s="808">
        <f>27900*1.19</f>
        <v>33201</v>
      </c>
      <c r="K27" s="809"/>
      <c r="L27" s="808" t="s">
        <v>1109</v>
      </c>
      <c r="M27" s="809"/>
      <c r="N27" s="12"/>
      <c r="O27" s="78"/>
      <c r="P27" s="78"/>
      <c r="Q27" s="78"/>
      <c r="R27" s="78"/>
      <c r="S27" s="78"/>
      <c r="T27" s="78"/>
      <c r="U27" s="78"/>
    </row>
    <row r="28" spans="1:21" ht="12.75" customHeight="1" x14ac:dyDescent="0.2">
      <c r="A28" s="231" t="s">
        <v>645</v>
      </c>
      <c r="B28" s="128">
        <v>45527</v>
      </c>
      <c r="C28" s="832" t="s">
        <v>456</v>
      </c>
      <c r="D28" s="833"/>
      <c r="E28" s="833"/>
      <c r="F28" s="833"/>
      <c r="G28" s="833"/>
      <c r="H28" s="834"/>
      <c r="I28" s="12" t="s">
        <v>625</v>
      </c>
      <c r="J28" s="808">
        <f>+(325900*1.19)/500</f>
        <v>775.64200000000005</v>
      </c>
      <c r="K28" s="809"/>
      <c r="L28" s="813" t="s">
        <v>1107</v>
      </c>
      <c r="M28" s="814"/>
      <c r="N28" s="12"/>
      <c r="O28" s="78"/>
      <c r="P28" s="78"/>
      <c r="Q28" s="78"/>
      <c r="R28" s="78"/>
      <c r="S28" s="78"/>
      <c r="T28" s="78"/>
      <c r="U28" s="78"/>
    </row>
    <row r="29" spans="1:21" ht="12.75" customHeight="1" x14ac:dyDescent="0.2">
      <c r="A29" s="231" t="s">
        <v>646</v>
      </c>
      <c r="B29" s="128">
        <v>45527</v>
      </c>
      <c r="C29" s="832" t="s">
        <v>536</v>
      </c>
      <c r="D29" s="833"/>
      <c r="E29" s="833"/>
      <c r="F29" s="833"/>
      <c r="G29" s="833"/>
      <c r="H29" s="834"/>
      <c r="I29" s="12" t="s">
        <v>532</v>
      </c>
      <c r="J29" s="808">
        <v>150369</v>
      </c>
      <c r="K29" s="809"/>
      <c r="L29" s="813" t="s">
        <v>1108</v>
      </c>
      <c r="M29" s="814"/>
      <c r="N29" s="12"/>
      <c r="O29" s="78"/>
      <c r="P29" s="78"/>
      <c r="Q29" s="78"/>
      <c r="R29" s="78"/>
      <c r="S29" s="78"/>
      <c r="T29" s="78"/>
      <c r="U29" s="78"/>
    </row>
    <row r="30" spans="1:21" ht="12.75" customHeight="1" x14ac:dyDescent="0.2">
      <c r="A30" s="231" t="s">
        <v>647</v>
      </c>
      <c r="B30" s="128">
        <v>45527</v>
      </c>
      <c r="C30" s="835" t="s">
        <v>424</v>
      </c>
      <c r="D30" s="836"/>
      <c r="E30" s="836"/>
      <c r="F30" s="836"/>
      <c r="G30" s="836"/>
      <c r="H30" s="837"/>
      <c r="I30" s="12" t="s">
        <v>240</v>
      </c>
      <c r="J30" s="808">
        <f>18000*1.19</f>
        <v>21420</v>
      </c>
      <c r="K30" s="809"/>
      <c r="L30" s="808" t="s">
        <v>1109</v>
      </c>
      <c r="M30" s="809"/>
      <c r="N30" s="12"/>
      <c r="O30" s="78"/>
      <c r="P30" s="78"/>
      <c r="Q30" s="78"/>
      <c r="R30" s="78"/>
      <c r="S30" s="78"/>
      <c r="T30" s="78"/>
      <c r="U30" s="78"/>
    </row>
    <row r="31" spans="1:21" ht="12.75" customHeight="1" x14ac:dyDescent="0.2">
      <c r="A31" s="231" t="s">
        <v>648</v>
      </c>
      <c r="B31" s="128">
        <v>45527</v>
      </c>
      <c r="C31" s="835" t="s">
        <v>422</v>
      </c>
      <c r="D31" s="836"/>
      <c r="E31" s="836"/>
      <c r="F31" s="836"/>
      <c r="G31" s="836"/>
      <c r="H31" s="837"/>
      <c r="I31" s="12" t="s">
        <v>240</v>
      </c>
      <c r="J31" s="808">
        <f>17000*1.19</f>
        <v>20230</v>
      </c>
      <c r="K31" s="809"/>
      <c r="L31" s="808" t="s">
        <v>1109</v>
      </c>
      <c r="M31" s="809"/>
      <c r="N31" s="12">
        <v>0.52410000000000001</v>
      </c>
      <c r="O31" s="78"/>
      <c r="P31" s="78"/>
      <c r="Q31" s="78"/>
      <c r="R31" s="78"/>
      <c r="S31" s="78"/>
      <c r="T31" s="78"/>
      <c r="U31" s="78"/>
    </row>
    <row r="32" spans="1:21" ht="12.75" customHeight="1" x14ac:dyDescent="0.2">
      <c r="A32" s="231" t="s">
        <v>649</v>
      </c>
      <c r="B32" s="128">
        <v>45527</v>
      </c>
      <c r="C32" s="832" t="s">
        <v>423</v>
      </c>
      <c r="D32" s="833"/>
      <c r="E32" s="833"/>
      <c r="F32" s="833"/>
      <c r="G32" s="833"/>
      <c r="H32" s="834"/>
      <c r="I32" s="12" t="s">
        <v>651</v>
      </c>
      <c r="J32" s="808">
        <f>4800*1.19</f>
        <v>5712</v>
      </c>
      <c r="K32" s="809"/>
      <c r="L32" s="813" t="s">
        <v>1107</v>
      </c>
      <c r="M32" s="814"/>
      <c r="N32" s="12">
        <v>0.5</v>
      </c>
      <c r="O32" s="78"/>
      <c r="P32" s="78"/>
      <c r="Q32" s="78"/>
      <c r="R32" s="78"/>
      <c r="S32" s="78"/>
      <c r="T32" s="78"/>
      <c r="U32" s="78"/>
    </row>
    <row r="33" spans="1:21" ht="12.75" customHeight="1" x14ac:dyDescent="0.2">
      <c r="A33" s="231" t="s">
        <v>650</v>
      </c>
      <c r="B33" s="128">
        <v>45527</v>
      </c>
      <c r="C33" s="832" t="s">
        <v>537</v>
      </c>
      <c r="D33" s="833"/>
      <c r="E33" s="833"/>
      <c r="F33" s="833"/>
      <c r="G33" s="833"/>
      <c r="H33" s="834"/>
      <c r="I33" s="12" t="s">
        <v>532</v>
      </c>
      <c r="J33" s="808">
        <v>72505</v>
      </c>
      <c r="K33" s="809"/>
      <c r="L33" s="813" t="s">
        <v>1108</v>
      </c>
      <c r="M33" s="814"/>
      <c r="N33" s="12">
        <v>3.8</v>
      </c>
      <c r="O33" s="78"/>
      <c r="P33" s="78"/>
      <c r="Q33" s="78"/>
      <c r="R33" s="78"/>
      <c r="S33" s="78"/>
      <c r="T33" s="78"/>
      <c r="U33" s="78"/>
    </row>
    <row r="34" spans="1:21" ht="12.75" customHeight="1" x14ac:dyDescent="0.2">
      <c r="A34" s="231" t="s">
        <v>1847</v>
      </c>
      <c r="B34" s="128">
        <v>45540</v>
      </c>
      <c r="C34" s="832" t="s">
        <v>464</v>
      </c>
      <c r="D34" s="833"/>
      <c r="E34" s="833"/>
      <c r="F34" s="833"/>
      <c r="G34" s="833"/>
      <c r="H34" s="834"/>
      <c r="I34" s="12" t="s">
        <v>531</v>
      </c>
      <c r="J34" s="808">
        <v>29750</v>
      </c>
      <c r="K34" s="809"/>
      <c r="L34" s="813" t="s">
        <v>1482</v>
      </c>
      <c r="M34" s="814"/>
      <c r="N34" s="12">
        <v>1650</v>
      </c>
      <c r="R34" s="78"/>
      <c r="S34" s="78"/>
      <c r="T34" s="78"/>
      <c r="U34" s="78"/>
    </row>
    <row r="35" spans="1:21" ht="12.75" customHeight="1" x14ac:dyDescent="0.2">
      <c r="A35" s="231" t="s">
        <v>652</v>
      </c>
      <c r="B35" s="128">
        <v>45532</v>
      </c>
      <c r="C35" s="835" t="s">
        <v>471</v>
      </c>
      <c r="D35" s="836"/>
      <c r="E35" s="836"/>
      <c r="F35" s="836"/>
      <c r="G35" s="836"/>
      <c r="H35" s="837"/>
      <c r="I35" s="12" t="s">
        <v>24</v>
      </c>
      <c r="J35" s="808">
        <f>23000*1.19</f>
        <v>27370</v>
      </c>
      <c r="K35" s="809"/>
      <c r="L35" s="808" t="s">
        <v>1113</v>
      </c>
      <c r="M35" s="809"/>
      <c r="N35" s="12">
        <v>1</v>
      </c>
      <c r="O35" s="78"/>
      <c r="P35" s="78"/>
      <c r="Q35" s="78"/>
      <c r="R35" s="78"/>
      <c r="S35" s="78"/>
      <c r="T35" s="78"/>
      <c r="U35" s="78"/>
    </row>
    <row r="36" spans="1:21" ht="12.75" customHeight="1" x14ac:dyDescent="0.2">
      <c r="A36" s="231" t="s">
        <v>653</v>
      </c>
      <c r="B36" s="128">
        <v>45527</v>
      </c>
      <c r="C36" s="832" t="s">
        <v>480</v>
      </c>
      <c r="D36" s="833"/>
      <c r="E36" s="833"/>
      <c r="F36" s="833"/>
      <c r="G36" s="833"/>
      <c r="H36" s="834"/>
      <c r="I36" s="12" t="s">
        <v>532</v>
      </c>
      <c r="J36" s="808">
        <f>47900*1.19*4</f>
        <v>228004</v>
      </c>
      <c r="K36" s="809"/>
      <c r="L36" s="813" t="s">
        <v>1107</v>
      </c>
      <c r="M36" s="814"/>
      <c r="N36" s="12">
        <v>3.8</v>
      </c>
      <c r="O36" s="78"/>
      <c r="P36" s="78"/>
      <c r="Q36" s="78"/>
      <c r="R36" s="78"/>
      <c r="S36" s="78"/>
      <c r="T36" s="78"/>
      <c r="U36" s="78"/>
    </row>
    <row r="37" spans="1:21" ht="12.75" customHeight="1" x14ac:dyDescent="0.2">
      <c r="A37" s="231" t="s">
        <v>1848</v>
      </c>
      <c r="B37" s="128">
        <v>45043</v>
      </c>
      <c r="C37" s="832" t="s">
        <v>484</v>
      </c>
      <c r="D37" s="833"/>
      <c r="E37" s="833"/>
      <c r="F37" s="833"/>
      <c r="G37" s="833"/>
      <c r="H37" s="834"/>
      <c r="I37" s="12" t="s">
        <v>240</v>
      </c>
      <c r="J37" s="808">
        <f>340000*1.19</f>
        <v>404600</v>
      </c>
      <c r="K37" s="809"/>
      <c r="L37" s="823" t="s">
        <v>1112</v>
      </c>
      <c r="M37" s="814"/>
      <c r="N37" s="12"/>
      <c r="O37" s="78"/>
      <c r="P37" s="78"/>
      <c r="Q37" s="78"/>
      <c r="R37" s="78"/>
      <c r="S37" s="78"/>
      <c r="T37" s="78"/>
      <c r="U37" s="78"/>
    </row>
    <row r="38" spans="1:21" ht="12.75" customHeight="1" x14ac:dyDescent="0.2">
      <c r="A38" s="231" t="s">
        <v>1849</v>
      </c>
      <c r="B38" s="128">
        <v>45046</v>
      </c>
      <c r="C38" s="832" t="s">
        <v>487</v>
      </c>
      <c r="D38" s="833"/>
      <c r="E38" s="833"/>
      <c r="F38" s="833"/>
      <c r="G38" s="833"/>
      <c r="H38" s="834"/>
      <c r="I38" s="12" t="s">
        <v>240</v>
      </c>
      <c r="J38" s="808">
        <f>+(40900+34100+19050+18000)/4</f>
        <v>28012.5</v>
      </c>
      <c r="K38" s="809"/>
      <c r="L38" s="808"/>
      <c r="M38" s="809"/>
      <c r="N38" s="12">
        <v>0.5</v>
      </c>
      <c r="O38" s="78"/>
      <c r="P38" s="78"/>
      <c r="Q38" s="78"/>
      <c r="R38" s="78"/>
      <c r="S38" s="78"/>
      <c r="T38" s="78"/>
      <c r="U38" s="78"/>
    </row>
    <row r="39" spans="1:21" ht="12.75" customHeight="1" x14ac:dyDescent="0.2">
      <c r="A39" s="231" t="s">
        <v>1850</v>
      </c>
      <c r="B39" s="128">
        <v>45512</v>
      </c>
      <c r="C39" s="832" t="s">
        <v>517</v>
      </c>
      <c r="D39" s="833"/>
      <c r="E39" s="833"/>
      <c r="F39" s="833"/>
      <c r="G39" s="833"/>
      <c r="H39" s="834"/>
      <c r="I39" s="12" t="s">
        <v>240</v>
      </c>
      <c r="J39" s="808">
        <f>150000*1.19</f>
        <v>178500</v>
      </c>
      <c r="K39" s="809"/>
      <c r="L39" s="823" t="s">
        <v>1112</v>
      </c>
      <c r="M39" s="814"/>
      <c r="N39" s="12"/>
      <c r="O39" s="78"/>
      <c r="P39" s="78"/>
      <c r="Q39" s="78"/>
      <c r="R39" s="78"/>
      <c r="S39" s="78"/>
      <c r="T39" s="78"/>
      <c r="U39" s="78"/>
    </row>
    <row r="40" spans="1:21" ht="12.75" customHeight="1" x14ac:dyDescent="0.2">
      <c r="A40" s="231" t="s">
        <v>1851</v>
      </c>
      <c r="B40" s="128">
        <v>45512</v>
      </c>
      <c r="C40" s="832" t="s">
        <v>518</v>
      </c>
      <c r="D40" s="833"/>
      <c r="E40" s="833"/>
      <c r="F40" s="833"/>
      <c r="G40" s="833"/>
      <c r="H40" s="834"/>
      <c r="I40" s="12" t="s">
        <v>240</v>
      </c>
      <c r="J40" s="808">
        <f>101000*1.19</f>
        <v>120190</v>
      </c>
      <c r="K40" s="809"/>
      <c r="L40" s="823" t="s">
        <v>1112</v>
      </c>
      <c r="M40" s="814"/>
      <c r="N40" s="12"/>
      <c r="O40" s="78"/>
      <c r="P40" s="78"/>
      <c r="Q40" s="78"/>
      <c r="R40" s="78"/>
      <c r="S40" s="78"/>
      <c r="T40" s="78"/>
      <c r="U40" s="78"/>
    </row>
    <row r="41" spans="1:21" ht="12.75" customHeight="1" x14ac:dyDescent="0.2">
      <c r="A41" s="231" t="s">
        <v>654</v>
      </c>
      <c r="B41" s="128">
        <v>45513</v>
      </c>
      <c r="C41" s="832" t="s">
        <v>535</v>
      </c>
      <c r="D41" s="833"/>
      <c r="E41" s="833"/>
      <c r="F41" s="833"/>
      <c r="G41" s="833"/>
      <c r="H41" s="834"/>
      <c r="I41" s="12" t="s">
        <v>625</v>
      </c>
      <c r="J41" s="859">
        <f>389886/6</f>
        <v>64981</v>
      </c>
      <c r="K41" s="860"/>
      <c r="L41" s="813" t="s">
        <v>1108</v>
      </c>
      <c r="M41" s="831"/>
      <c r="N41" s="12"/>
      <c r="R41" s="78"/>
      <c r="S41" s="78"/>
      <c r="T41" s="78"/>
      <c r="U41" s="78"/>
    </row>
    <row r="42" spans="1:21" ht="12.75" customHeight="1" x14ac:dyDescent="0.2">
      <c r="A42" s="231" t="s">
        <v>1852</v>
      </c>
      <c r="B42" s="128">
        <v>45541</v>
      </c>
      <c r="C42" s="832" t="s">
        <v>485</v>
      </c>
      <c r="D42" s="833"/>
      <c r="E42" s="833"/>
      <c r="F42" s="833"/>
      <c r="G42" s="833"/>
      <c r="H42" s="834"/>
      <c r="I42" s="12" t="s">
        <v>240</v>
      </c>
      <c r="J42" s="808">
        <f>2870000*1.19</f>
        <v>3415300</v>
      </c>
      <c r="K42" s="809"/>
      <c r="L42" s="819" t="s">
        <v>1111</v>
      </c>
      <c r="M42" s="814"/>
      <c r="N42" s="12"/>
      <c r="R42" s="78"/>
      <c r="S42" s="78"/>
      <c r="T42" s="78"/>
      <c r="U42" s="78"/>
    </row>
    <row r="43" spans="1:21" ht="12.75" customHeight="1" x14ac:dyDescent="0.2">
      <c r="A43" s="231" t="s">
        <v>1853</v>
      </c>
      <c r="B43" s="128">
        <v>45541</v>
      </c>
      <c r="C43" s="832" t="s">
        <v>486</v>
      </c>
      <c r="D43" s="833"/>
      <c r="E43" s="833"/>
      <c r="F43" s="833"/>
      <c r="G43" s="833"/>
      <c r="H43" s="834"/>
      <c r="I43" s="12" t="s">
        <v>240</v>
      </c>
      <c r="J43" s="808">
        <f>3441000*1.19</f>
        <v>4094790</v>
      </c>
      <c r="K43" s="809"/>
      <c r="L43" s="819" t="s">
        <v>1111</v>
      </c>
      <c r="M43" s="814"/>
      <c r="N43" s="12"/>
      <c r="O43" s="78"/>
      <c r="P43" s="78"/>
      <c r="Q43" s="78"/>
      <c r="R43" s="78"/>
      <c r="S43" s="78"/>
      <c r="T43" s="78"/>
      <c r="U43" s="78"/>
    </row>
    <row r="44" spans="1:21" ht="12.75" customHeight="1" x14ac:dyDescent="0.2">
      <c r="A44" s="231" t="s">
        <v>1854</v>
      </c>
      <c r="B44" s="128">
        <v>45541</v>
      </c>
      <c r="C44" s="826" t="s">
        <v>489</v>
      </c>
      <c r="D44" s="827"/>
      <c r="E44" s="827"/>
      <c r="F44" s="827"/>
      <c r="G44" s="827"/>
      <c r="H44" s="828"/>
      <c r="I44" s="12" t="s">
        <v>240</v>
      </c>
      <c r="J44" s="808">
        <f>4590000*1.19</f>
        <v>5462100</v>
      </c>
      <c r="K44" s="809"/>
      <c r="L44" s="819" t="s">
        <v>1111</v>
      </c>
      <c r="M44" s="814"/>
      <c r="N44" s="12"/>
      <c r="O44" s="78"/>
      <c r="P44" s="78"/>
      <c r="Q44" s="78"/>
      <c r="R44" s="78"/>
      <c r="S44" s="78"/>
      <c r="T44" s="78"/>
      <c r="U44" s="78"/>
    </row>
    <row r="45" spans="1:21" ht="12.75" customHeight="1" x14ac:dyDescent="0.2">
      <c r="A45" s="231" t="s">
        <v>655</v>
      </c>
      <c r="B45" s="128">
        <v>45527</v>
      </c>
      <c r="C45" s="835" t="s">
        <v>491</v>
      </c>
      <c r="D45" s="836"/>
      <c r="E45" s="836"/>
      <c r="F45" s="836"/>
      <c r="G45" s="836"/>
      <c r="H45" s="837"/>
      <c r="I45" s="12" t="s">
        <v>240</v>
      </c>
      <c r="J45" s="808">
        <v>3200</v>
      </c>
      <c r="K45" s="809"/>
      <c r="L45" s="808" t="s">
        <v>1109</v>
      </c>
      <c r="M45" s="809"/>
      <c r="N45" s="12"/>
      <c r="O45" s="78"/>
      <c r="P45" s="78"/>
      <c r="Q45" s="78"/>
      <c r="R45" s="78"/>
      <c r="S45" s="78"/>
      <c r="T45" s="78"/>
      <c r="U45" s="78"/>
    </row>
    <row r="46" spans="1:21" ht="12.75" customHeight="1" x14ac:dyDescent="0.2">
      <c r="A46" s="231" t="s">
        <v>1855</v>
      </c>
      <c r="B46" s="128">
        <v>45541</v>
      </c>
      <c r="C46" s="835" t="s">
        <v>492</v>
      </c>
      <c r="D46" s="836"/>
      <c r="E46" s="836"/>
      <c r="F46" s="836"/>
      <c r="G46" s="836"/>
      <c r="H46" s="837"/>
      <c r="I46" s="12" t="s">
        <v>240</v>
      </c>
      <c r="J46" s="808">
        <v>1000</v>
      </c>
      <c r="K46" s="809"/>
      <c r="L46" s="808" t="s">
        <v>1116</v>
      </c>
      <c r="M46" s="809"/>
      <c r="N46" s="12"/>
      <c r="O46" s="78"/>
      <c r="P46" s="78"/>
      <c r="Q46" s="78"/>
      <c r="R46" s="78"/>
      <c r="S46" s="78"/>
      <c r="T46" s="78"/>
      <c r="U46" s="78"/>
    </row>
    <row r="47" spans="1:21" ht="12.75" customHeight="1" x14ac:dyDescent="0.2">
      <c r="A47" s="231" t="s">
        <v>1856</v>
      </c>
      <c r="B47" s="128">
        <v>45047</v>
      </c>
      <c r="C47" s="835" t="s">
        <v>493</v>
      </c>
      <c r="D47" s="836"/>
      <c r="E47" s="836"/>
      <c r="F47" s="836"/>
      <c r="G47" s="836"/>
      <c r="H47" s="837"/>
      <c r="I47" s="12" t="s">
        <v>240</v>
      </c>
      <c r="J47" s="808">
        <v>132.03</v>
      </c>
      <c r="K47" s="809"/>
      <c r="L47" s="808"/>
      <c r="M47" s="809"/>
      <c r="N47" s="12"/>
      <c r="O47" s="78"/>
      <c r="P47" s="78"/>
      <c r="Q47" s="78"/>
      <c r="R47" s="78"/>
      <c r="S47" s="78"/>
      <c r="T47" s="78"/>
      <c r="U47" s="78"/>
    </row>
    <row r="48" spans="1:21" ht="12.75" customHeight="1" x14ac:dyDescent="0.2">
      <c r="A48" s="231" t="s">
        <v>1857</v>
      </c>
      <c r="B48" s="128">
        <v>45047</v>
      </c>
      <c r="C48" s="835" t="s">
        <v>494</v>
      </c>
      <c r="D48" s="836"/>
      <c r="E48" s="836"/>
      <c r="F48" s="836"/>
      <c r="G48" s="836"/>
      <c r="H48" s="837"/>
      <c r="I48" s="12" t="s">
        <v>625</v>
      </c>
      <c r="J48" s="808">
        <f>65000/6</f>
        <v>10833.333333333334</v>
      </c>
      <c r="K48" s="809"/>
      <c r="L48" s="808" t="s">
        <v>1109</v>
      </c>
      <c r="M48" s="809"/>
      <c r="N48" s="12"/>
      <c r="O48" s="78"/>
      <c r="P48" s="78"/>
      <c r="Q48" s="78"/>
      <c r="R48" s="78"/>
      <c r="S48" s="78"/>
      <c r="T48" s="78"/>
      <c r="U48" s="78"/>
    </row>
    <row r="49" spans="1:21" ht="12.75" customHeight="1" x14ac:dyDescent="0.2">
      <c r="A49" s="231" t="s">
        <v>1858</v>
      </c>
      <c r="B49" s="128">
        <v>45047</v>
      </c>
      <c r="C49" s="835" t="s">
        <v>495</v>
      </c>
      <c r="D49" s="836"/>
      <c r="E49" s="836"/>
      <c r="F49" s="836"/>
      <c r="G49" s="836"/>
      <c r="H49" s="837"/>
      <c r="I49" s="12" t="s">
        <v>240</v>
      </c>
      <c r="J49" s="808">
        <v>422.48</v>
      </c>
      <c r="K49" s="809"/>
      <c r="L49" s="808"/>
      <c r="M49" s="809"/>
      <c r="N49" s="12"/>
      <c r="O49" s="78"/>
      <c r="P49" s="78"/>
      <c r="Q49" s="78"/>
      <c r="R49" s="78"/>
      <c r="S49" s="78"/>
      <c r="T49" s="78"/>
      <c r="U49" s="78"/>
    </row>
    <row r="50" spans="1:21" ht="12.75" customHeight="1" x14ac:dyDescent="0.2">
      <c r="A50" s="231" t="s">
        <v>1859</v>
      </c>
      <c r="B50" s="128">
        <v>45047</v>
      </c>
      <c r="C50" s="835" t="s">
        <v>496</v>
      </c>
      <c r="D50" s="836"/>
      <c r="E50" s="836"/>
      <c r="F50" s="836"/>
      <c r="G50" s="836"/>
      <c r="H50" s="837"/>
      <c r="I50" s="12" t="s">
        <v>240</v>
      </c>
      <c r="J50" s="808">
        <v>485.85</v>
      </c>
      <c r="K50" s="809"/>
      <c r="L50" s="808"/>
      <c r="M50" s="809"/>
      <c r="N50" s="12"/>
      <c r="O50" s="78"/>
      <c r="P50" s="78"/>
      <c r="Q50" s="78"/>
      <c r="R50" s="78"/>
      <c r="S50" s="78"/>
      <c r="T50" s="78"/>
      <c r="U50" s="78"/>
    </row>
    <row r="51" spans="1:21" ht="12.75" customHeight="1" x14ac:dyDescent="0.2">
      <c r="A51" s="231" t="s">
        <v>1860</v>
      </c>
      <c r="B51" s="128">
        <v>45513</v>
      </c>
      <c r="C51" s="832" t="s">
        <v>516</v>
      </c>
      <c r="D51" s="833"/>
      <c r="E51" s="833"/>
      <c r="F51" s="833"/>
      <c r="G51" s="833"/>
      <c r="H51" s="834"/>
      <c r="I51" s="12" t="s">
        <v>240</v>
      </c>
      <c r="J51" s="808">
        <v>174706</v>
      </c>
      <c r="K51" s="809"/>
      <c r="L51" s="819" t="s">
        <v>1108</v>
      </c>
      <c r="M51" s="814"/>
      <c r="N51" s="12"/>
      <c r="O51" s="78"/>
      <c r="P51" s="78"/>
      <c r="Q51" s="78"/>
      <c r="R51" s="78"/>
      <c r="S51" s="78"/>
      <c r="T51" s="78"/>
      <c r="U51" s="78"/>
    </row>
    <row r="52" spans="1:21" ht="12.75" customHeight="1" x14ac:dyDescent="0.2">
      <c r="A52" s="231" t="s">
        <v>1861</v>
      </c>
      <c r="B52" s="128">
        <v>45048</v>
      </c>
      <c r="C52" s="835" t="s">
        <v>505</v>
      </c>
      <c r="D52" s="836"/>
      <c r="E52" s="836"/>
      <c r="F52" s="836"/>
      <c r="G52" s="836"/>
      <c r="H52" s="837"/>
      <c r="I52" s="12" t="s">
        <v>531</v>
      </c>
      <c r="J52" s="808">
        <f>+'11'!$F$1331</f>
        <v>779466.77586727508</v>
      </c>
      <c r="K52" s="809"/>
      <c r="L52" s="808" t="s">
        <v>1110</v>
      </c>
      <c r="M52" s="809"/>
      <c r="N52" s="12"/>
      <c r="O52" s="78"/>
      <c r="P52" s="78"/>
      <c r="Q52" s="78"/>
      <c r="R52" s="78"/>
      <c r="S52" s="78"/>
      <c r="T52" s="78"/>
      <c r="U52" s="78"/>
    </row>
    <row r="53" spans="1:21" ht="12.75" customHeight="1" x14ac:dyDescent="0.2">
      <c r="A53" s="231" t="s">
        <v>1862</v>
      </c>
      <c r="B53" s="128">
        <v>45048</v>
      </c>
      <c r="C53" s="832" t="s">
        <v>503</v>
      </c>
      <c r="D53" s="833"/>
      <c r="E53" s="833"/>
      <c r="F53" s="833"/>
      <c r="G53" s="833"/>
      <c r="H53" s="834"/>
      <c r="I53" s="12" t="s">
        <v>240</v>
      </c>
      <c r="J53" s="808">
        <f>+(535000+510000+850000)/3</f>
        <v>631666.66666666663</v>
      </c>
      <c r="K53" s="809"/>
      <c r="L53" s="808"/>
      <c r="M53" s="809"/>
      <c r="N53" s="12"/>
      <c r="O53" s="78"/>
      <c r="P53" s="78"/>
      <c r="Q53" s="78"/>
      <c r="R53" s="78"/>
      <c r="S53" s="78"/>
      <c r="T53" s="78"/>
      <c r="U53" s="78"/>
    </row>
    <row r="54" spans="1:21" ht="12.75" customHeight="1" x14ac:dyDescent="0.2">
      <c r="A54" s="231" t="s">
        <v>1863</v>
      </c>
      <c r="B54" s="129">
        <v>45541</v>
      </c>
      <c r="C54" s="826" t="s">
        <v>497</v>
      </c>
      <c r="D54" s="827"/>
      <c r="E54" s="827"/>
      <c r="F54" s="827"/>
      <c r="G54" s="827"/>
      <c r="H54" s="828"/>
      <c r="I54" s="12" t="s">
        <v>240</v>
      </c>
      <c r="J54" s="808">
        <f>2550000*1.19</f>
        <v>3034500</v>
      </c>
      <c r="K54" s="809"/>
      <c r="L54" s="819" t="s">
        <v>1111</v>
      </c>
      <c r="M54" s="814"/>
      <c r="N54" s="12"/>
      <c r="O54" s="78"/>
      <c r="P54" s="78"/>
      <c r="Q54" s="78"/>
      <c r="R54" s="78"/>
      <c r="S54" s="78"/>
      <c r="T54" s="78"/>
      <c r="U54" s="78"/>
    </row>
    <row r="55" spans="1:21" ht="12.75" customHeight="1" x14ac:dyDescent="0.2">
      <c r="A55" s="231" t="s">
        <v>1864</v>
      </c>
      <c r="B55" s="129">
        <v>45541</v>
      </c>
      <c r="C55" s="832" t="s">
        <v>498</v>
      </c>
      <c r="D55" s="833"/>
      <c r="E55" s="833"/>
      <c r="F55" s="833"/>
      <c r="G55" s="833"/>
      <c r="H55" s="834"/>
      <c r="I55" s="12" t="s">
        <v>240</v>
      </c>
      <c r="J55" s="808">
        <f>760000*1.19</f>
        <v>904400</v>
      </c>
      <c r="K55" s="809"/>
      <c r="L55" s="819" t="s">
        <v>1111</v>
      </c>
      <c r="M55" s="814"/>
      <c r="N55" s="12">
        <v>16</v>
      </c>
      <c r="O55" s="78"/>
      <c r="P55" s="78"/>
      <c r="Q55" s="78"/>
      <c r="R55" s="78"/>
      <c r="S55" s="78"/>
      <c r="T55" s="78"/>
      <c r="U55" s="78"/>
    </row>
    <row r="56" spans="1:21" ht="12.75" customHeight="1" x14ac:dyDescent="0.2">
      <c r="A56" s="231" t="s">
        <v>656</v>
      </c>
      <c r="B56" s="129">
        <v>45541</v>
      </c>
      <c r="C56" s="832" t="s">
        <v>499</v>
      </c>
      <c r="D56" s="833"/>
      <c r="E56" s="833"/>
      <c r="F56" s="833"/>
      <c r="G56" s="833"/>
      <c r="H56" s="834"/>
      <c r="I56" s="12" t="s">
        <v>240</v>
      </c>
      <c r="J56" s="808">
        <f>990000*1.19</f>
        <v>1178100</v>
      </c>
      <c r="K56" s="809"/>
      <c r="L56" s="819" t="s">
        <v>1111</v>
      </c>
      <c r="M56" s="814"/>
      <c r="N56" s="12"/>
      <c r="O56" s="78"/>
      <c r="P56" s="78"/>
      <c r="Q56" s="78"/>
      <c r="R56" s="78"/>
      <c r="S56" s="78"/>
      <c r="T56" s="78"/>
      <c r="U56" s="78"/>
    </row>
    <row r="57" spans="1:21" ht="12.75" customHeight="1" x14ac:dyDescent="0.2">
      <c r="A57" s="231" t="s">
        <v>657</v>
      </c>
      <c r="B57" s="128">
        <v>45100</v>
      </c>
      <c r="C57" s="832" t="s">
        <v>501</v>
      </c>
      <c r="D57" s="833"/>
      <c r="E57" s="833"/>
      <c r="F57" s="833"/>
      <c r="G57" s="833"/>
      <c r="H57" s="834"/>
      <c r="I57" s="12" t="s">
        <v>240</v>
      </c>
      <c r="J57" s="808">
        <f>520000*1.19</f>
        <v>618800</v>
      </c>
      <c r="K57" s="809"/>
      <c r="L57" s="819" t="s">
        <v>1112</v>
      </c>
      <c r="M57" s="814"/>
      <c r="N57" s="12">
        <v>44.38</v>
      </c>
      <c r="O57" s="78"/>
      <c r="P57" s="78"/>
      <c r="Q57" s="78"/>
      <c r="R57" s="78"/>
      <c r="S57" s="78"/>
      <c r="T57" s="78"/>
      <c r="U57" s="78"/>
    </row>
    <row r="58" spans="1:21" ht="12.75" customHeight="1" x14ac:dyDescent="0.2">
      <c r="A58" s="231" t="s">
        <v>1865</v>
      </c>
      <c r="B58" s="129">
        <v>45541</v>
      </c>
      <c r="C58" s="832" t="s">
        <v>502</v>
      </c>
      <c r="D58" s="833"/>
      <c r="E58" s="833"/>
      <c r="F58" s="833"/>
      <c r="G58" s="833"/>
      <c r="H58" s="834"/>
      <c r="I58" s="12" t="s">
        <v>240</v>
      </c>
      <c r="J58" s="808">
        <f>2552000*1.19</f>
        <v>3036880</v>
      </c>
      <c r="K58" s="809"/>
      <c r="L58" s="819" t="s">
        <v>1111</v>
      </c>
      <c r="M58" s="814"/>
      <c r="N58" s="12">
        <v>13</v>
      </c>
      <c r="O58" s="78"/>
      <c r="P58" s="78"/>
      <c r="Q58" s="78"/>
      <c r="R58" s="78"/>
      <c r="S58" s="78"/>
      <c r="T58" s="78"/>
      <c r="U58" s="78"/>
    </row>
    <row r="59" spans="1:21" ht="12.75" customHeight="1" x14ac:dyDescent="0.2">
      <c r="A59" s="231" t="s">
        <v>658</v>
      </c>
      <c r="B59" s="128">
        <v>45541</v>
      </c>
      <c r="C59" s="832" t="s">
        <v>512</v>
      </c>
      <c r="D59" s="833"/>
      <c r="E59" s="833"/>
      <c r="F59" s="833"/>
      <c r="G59" s="833"/>
      <c r="H59" s="834"/>
      <c r="I59" s="12" t="s">
        <v>240</v>
      </c>
      <c r="J59" s="808">
        <f>1000*1.19</f>
        <v>1190</v>
      </c>
      <c r="K59" s="809"/>
      <c r="L59" s="819" t="s">
        <v>1114</v>
      </c>
      <c r="M59" s="814"/>
      <c r="N59" s="12">
        <v>30</v>
      </c>
      <c r="O59" s="78"/>
      <c r="P59" s="78"/>
      <c r="Q59" s="78"/>
      <c r="R59" s="78"/>
      <c r="S59" s="78"/>
      <c r="T59" s="78"/>
      <c r="U59" s="78"/>
    </row>
    <row r="60" spans="1:21" ht="12.75" customHeight="1" x14ac:dyDescent="0.2">
      <c r="A60" s="231" t="s">
        <v>1866</v>
      </c>
      <c r="B60" s="128">
        <v>45539</v>
      </c>
      <c r="C60" s="832" t="s">
        <v>511</v>
      </c>
      <c r="D60" s="833"/>
      <c r="E60" s="833"/>
      <c r="F60" s="833"/>
      <c r="G60" s="833"/>
      <c r="H60" s="834"/>
      <c r="I60" s="12" t="s">
        <v>24</v>
      </c>
      <c r="J60" s="808">
        <f>24245*1.19</f>
        <v>28851.55</v>
      </c>
      <c r="K60" s="809"/>
      <c r="L60" s="813" t="s">
        <v>1107</v>
      </c>
      <c r="M60" s="831"/>
      <c r="N60" s="12">
        <v>1</v>
      </c>
      <c r="R60" s="78"/>
      <c r="S60" s="78"/>
      <c r="T60" s="78"/>
      <c r="U60" s="78"/>
    </row>
    <row r="61" spans="1:21" ht="12.75" customHeight="1" x14ac:dyDescent="0.2">
      <c r="A61" s="231" t="s">
        <v>1867</v>
      </c>
      <c r="B61" s="128">
        <v>45527</v>
      </c>
      <c r="C61" s="835" t="s">
        <v>513</v>
      </c>
      <c r="D61" s="836"/>
      <c r="E61" s="836"/>
      <c r="F61" s="836"/>
      <c r="G61" s="836"/>
      <c r="H61" s="837"/>
      <c r="I61" s="12" t="s">
        <v>240</v>
      </c>
      <c r="J61" s="808">
        <v>8000</v>
      </c>
      <c r="K61" s="809"/>
      <c r="L61" s="808" t="s">
        <v>1109</v>
      </c>
      <c r="M61" s="809"/>
      <c r="N61" s="12">
        <v>2.21</v>
      </c>
      <c r="R61" s="78"/>
      <c r="S61" s="78"/>
      <c r="T61" s="78"/>
      <c r="U61" s="78"/>
    </row>
    <row r="62" spans="1:21" ht="12.75" customHeight="1" x14ac:dyDescent="0.2">
      <c r="A62" s="231" t="s">
        <v>1868</v>
      </c>
      <c r="B62" s="128">
        <v>45050</v>
      </c>
      <c r="C62" s="832" t="s">
        <v>682</v>
      </c>
      <c r="D62" s="833"/>
      <c r="E62" s="833"/>
      <c r="F62" s="833"/>
      <c r="G62" s="833"/>
      <c r="H62" s="834"/>
      <c r="I62" s="12" t="s">
        <v>240</v>
      </c>
      <c r="J62" s="808">
        <f>220000*1.19</f>
        <v>261800</v>
      </c>
      <c r="K62" s="809"/>
      <c r="L62" s="813" t="s">
        <v>1112</v>
      </c>
      <c r="M62" s="831"/>
      <c r="N62" s="12">
        <v>22.63</v>
      </c>
      <c r="R62" s="78"/>
      <c r="S62" s="78"/>
      <c r="T62" s="78"/>
      <c r="U62" s="78"/>
    </row>
    <row r="63" spans="1:21" ht="12.75" customHeight="1" x14ac:dyDescent="0.2">
      <c r="A63" s="231" t="s">
        <v>659</v>
      </c>
      <c r="B63" s="128">
        <v>45532</v>
      </c>
      <c r="C63" s="832" t="s">
        <v>507</v>
      </c>
      <c r="D63" s="833"/>
      <c r="E63" s="833"/>
      <c r="F63" s="833"/>
      <c r="G63" s="833"/>
      <c r="H63" s="834"/>
      <c r="I63" s="12" t="s">
        <v>240</v>
      </c>
      <c r="J63" s="808">
        <f>15900*1.19</f>
        <v>18921</v>
      </c>
      <c r="K63" s="809"/>
      <c r="L63" s="813" t="s">
        <v>1107</v>
      </c>
      <c r="M63" s="831"/>
      <c r="N63" s="12"/>
      <c r="O63" s="78"/>
      <c r="P63" s="78"/>
      <c r="Q63" s="78"/>
      <c r="R63" s="78"/>
      <c r="S63" s="78"/>
      <c r="T63" s="78"/>
      <c r="U63" s="78"/>
    </row>
    <row r="64" spans="1:21" ht="12.75" customHeight="1" x14ac:dyDescent="0.2">
      <c r="A64" s="231" t="s">
        <v>1869</v>
      </c>
      <c r="B64" s="128">
        <v>45541</v>
      </c>
      <c r="C64" s="832" t="s">
        <v>508</v>
      </c>
      <c r="D64" s="833"/>
      <c r="E64" s="833"/>
      <c r="F64" s="833"/>
      <c r="G64" s="833"/>
      <c r="H64" s="834"/>
      <c r="I64" s="12" t="s">
        <v>240</v>
      </c>
      <c r="J64" s="808">
        <f>18900*1.19</f>
        <v>22491</v>
      </c>
      <c r="K64" s="809"/>
      <c r="L64" s="813" t="s">
        <v>1107</v>
      </c>
      <c r="M64" s="831"/>
      <c r="N64" s="12"/>
      <c r="O64" s="78"/>
      <c r="P64" s="78"/>
      <c r="Q64" s="78"/>
      <c r="R64" s="78"/>
      <c r="S64" s="78"/>
      <c r="T64" s="78"/>
      <c r="U64" s="78"/>
    </row>
    <row r="65" spans="1:21" ht="12.75" customHeight="1" x14ac:dyDescent="0.2">
      <c r="A65" s="231" t="s">
        <v>660</v>
      </c>
      <c r="B65" s="128">
        <v>45527</v>
      </c>
      <c r="C65" s="835" t="s">
        <v>506</v>
      </c>
      <c r="D65" s="836"/>
      <c r="E65" s="836"/>
      <c r="F65" s="836"/>
      <c r="G65" s="836"/>
      <c r="H65" s="837"/>
      <c r="I65" s="12" t="s">
        <v>532</v>
      </c>
      <c r="J65" s="808">
        <f>25000*1.19</f>
        <v>29750</v>
      </c>
      <c r="K65" s="809"/>
      <c r="L65" s="808" t="s">
        <v>1109</v>
      </c>
      <c r="M65" s="809"/>
      <c r="N65" s="12"/>
      <c r="O65" s="78"/>
      <c r="P65" s="78"/>
      <c r="Q65" s="78"/>
      <c r="R65" s="78"/>
      <c r="S65" s="78"/>
      <c r="T65" s="78"/>
      <c r="U65" s="78"/>
    </row>
    <row r="66" spans="1:21" ht="12.75" customHeight="1" x14ac:dyDescent="0.2">
      <c r="A66" s="231" t="s">
        <v>661</v>
      </c>
      <c r="B66" s="128">
        <v>45540</v>
      </c>
      <c r="C66" s="832" t="s">
        <v>515</v>
      </c>
      <c r="D66" s="833"/>
      <c r="E66" s="833"/>
      <c r="F66" s="833"/>
      <c r="G66" s="833"/>
      <c r="H66" s="834"/>
      <c r="I66" s="12" t="s">
        <v>531</v>
      </c>
      <c r="J66" s="808">
        <v>113050</v>
      </c>
      <c r="K66" s="809"/>
      <c r="L66" s="813" t="s">
        <v>1482</v>
      </c>
      <c r="M66" s="814"/>
      <c r="N66" s="12"/>
      <c r="O66" s="78"/>
      <c r="P66" s="78"/>
      <c r="Q66" s="78"/>
      <c r="R66" s="78"/>
      <c r="S66" s="78"/>
      <c r="T66" s="78"/>
      <c r="U66" s="78"/>
    </row>
    <row r="67" spans="1:21" ht="12.75" customHeight="1" x14ac:dyDescent="0.2">
      <c r="A67" s="231" t="s">
        <v>662</v>
      </c>
      <c r="B67" s="128">
        <v>45541</v>
      </c>
      <c r="C67" s="826" t="s">
        <v>550</v>
      </c>
      <c r="D67" s="827"/>
      <c r="E67" s="827"/>
      <c r="F67" s="827"/>
      <c r="G67" s="827"/>
      <c r="H67" s="828"/>
      <c r="I67" s="12" t="s">
        <v>240</v>
      </c>
      <c r="J67" s="808">
        <f>4200000*1.19</f>
        <v>4998000</v>
      </c>
      <c r="K67" s="809"/>
      <c r="L67" s="813" t="s">
        <v>1585</v>
      </c>
      <c r="M67" s="814"/>
      <c r="N67" s="12"/>
      <c r="O67" s="78"/>
      <c r="P67" s="78"/>
      <c r="Q67" s="78"/>
      <c r="R67" s="78"/>
      <c r="S67" s="78"/>
      <c r="T67" s="78"/>
      <c r="U67" s="78"/>
    </row>
    <row r="68" spans="1:21" ht="12.75" customHeight="1" x14ac:dyDescent="0.2">
      <c r="A68" s="231" t="s">
        <v>663</v>
      </c>
      <c r="B68" s="128">
        <v>45541</v>
      </c>
      <c r="C68" s="832" t="s">
        <v>690</v>
      </c>
      <c r="D68" s="833"/>
      <c r="E68" s="833"/>
      <c r="F68" s="833"/>
      <c r="G68" s="833"/>
      <c r="H68" s="834"/>
      <c r="I68" s="12" t="s">
        <v>22</v>
      </c>
      <c r="J68" s="829">
        <f>+'11'!$F$2255</f>
        <v>2206.6944848867188</v>
      </c>
      <c r="K68" s="830"/>
      <c r="L68" s="819" t="s">
        <v>1110</v>
      </c>
      <c r="M68" s="814"/>
      <c r="N68" s="12"/>
      <c r="O68" s="78"/>
      <c r="P68" s="78"/>
      <c r="Q68" s="78"/>
      <c r="R68" s="78"/>
      <c r="S68" s="78"/>
      <c r="T68" s="78"/>
      <c r="U68" s="78"/>
    </row>
    <row r="69" spans="1:21" ht="54" customHeight="1" x14ac:dyDescent="0.2">
      <c r="A69" s="231" t="s">
        <v>664</v>
      </c>
      <c r="B69" s="129">
        <v>45057</v>
      </c>
      <c r="C69" s="810" t="s">
        <v>476</v>
      </c>
      <c r="D69" s="811"/>
      <c r="E69" s="811"/>
      <c r="F69" s="811"/>
      <c r="G69" s="811"/>
      <c r="H69" s="812"/>
      <c r="I69" s="12" t="s">
        <v>240</v>
      </c>
      <c r="J69" s="806">
        <v>91630</v>
      </c>
      <c r="K69" s="807"/>
      <c r="L69" s="813" t="s">
        <v>1586</v>
      </c>
      <c r="M69" s="814"/>
      <c r="N69" s="12">
        <v>2.5499999999999998</v>
      </c>
      <c r="R69" s="78"/>
      <c r="S69" s="78"/>
      <c r="T69" s="78"/>
      <c r="U69" s="78"/>
    </row>
    <row r="70" spans="1:21" ht="27" customHeight="1" x14ac:dyDescent="0.2">
      <c r="A70" s="231" t="s">
        <v>665</v>
      </c>
      <c r="B70" s="129">
        <v>45541</v>
      </c>
      <c r="C70" s="810" t="s">
        <v>519</v>
      </c>
      <c r="D70" s="811"/>
      <c r="E70" s="811"/>
      <c r="F70" s="811"/>
      <c r="G70" s="811"/>
      <c r="H70" s="812"/>
      <c r="I70" s="130" t="s">
        <v>636</v>
      </c>
      <c r="J70" s="806">
        <f>'11'!$F$45</f>
        <v>5165.5045752643746</v>
      </c>
      <c r="K70" s="807"/>
      <c r="L70" s="819" t="s">
        <v>1110</v>
      </c>
      <c r="M70" s="814"/>
      <c r="N70" s="12">
        <v>0.17269999999999999</v>
      </c>
      <c r="R70" s="78"/>
      <c r="S70" s="78"/>
      <c r="T70" s="78"/>
      <c r="U70" s="78"/>
    </row>
    <row r="71" spans="1:21" ht="40.5" customHeight="1" x14ac:dyDescent="0.2">
      <c r="A71" s="231" t="s">
        <v>666</v>
      </c>
      <c r="B71" s="129">
        <v>45541</v>
      </c>
      <c r="C71" s="810" t="s">
        <v>521</v>
      </c>
      <c r="D71" s="811"/>
      <c r="E71" s="811"/>
      <c r="F71" s="811"/>
      <c r="G71" s="811"/>
      <c r="H71" s="812"/>
      <c r="I71" s="130" t="s">
        <v>531</v>
      </c>
      <c r="J71" s="806">
        <f>'11'!$F$470</f>
        <v>139300.48782583541</v>
      </c>
      <c r="K71" s="807"/>
      <c r="L71" s="819" t="s">
        <v>1110</v>
      </c>
      <c r="M71" s="814"/>
      <c r="N71" s="12">
        <v>1650</v>
      </c>
      <c r="R71" s="78"/>
      <c r="S71" s="78"/>
      <c r="T71" s="78"/>
      <c r="U71" s="78"/>
    </row>
    <row r="72" spans="1:21" ht="13.5" customHeight="1" x14ac:dyDescent="0.2">
      <c r="A72" s="231" t="s">
        <v>667</v>
      </c>
      <c r="B72" s="129">
        <v>45541</v>
      </c>
      <c r="C72" s="810" t="s">
        <v>522</v>
      </c>
      <c r="D72" s="811"/>
      <c r="E72" s="811"/>
      <c r="F72" s="811"/>
      <c r="G72" s="811"/>
      <c r="H72" s="812"/>
      <c r="I72" s="130" t="s">
        <v>531</v>
      </c>
      <c r="J72" s="806">
        <f>'11'!$F$294</f>
        <v>568340.14513763634</v>
      </c>
      <c r="K72" s="807"/>
      <c r="L72" s="819" t="s">
        <v>1110</v>
      </c>
      <c r="M72" s="814"/>
      <c r="N72" s="12">
        <v>2538.8000000000002</v>
      </c>
      <c r="R72" s="78"/>
      <c r="S72" s="78"/>
      <c r="T72" s="78"/>
      <c r="U72" s="78"/>
    </row>
    <row r="73" spans="1:21" ht="27" customHeight="1" x14ac:dyDescent="0.2">
      <c r="A73" s="231" t="s">
        <v>668</v>
      </c>
      <c r="B73" s="129">
        <v>45541</v>
      </c>
      <c r="C73" s="810" t="s">
        <v>523</v>
      </c>
      <c r="D73" s="811"/>
      <c r="E73" s="811"/>
      <c r="F73" s="811"/>
      <c r="G73" s="811"/>
      <c r="H73" s="812"/>
      <c r="I73" s="130" t="s">
        <v>24</v>
      </c>
      <c r="J73" s="808">
        <f>'11'!$F$379</f>
        <v>7128.02232826</v>
      </c>
      <c r="K73" s="809"/>
      <c r="L73" s="819" t="s">
        <v>1110</v>
      </c>
      <c r="M73" s="814"/>
      <c r="N73" s="12"/>
      <c r="O73" s="78"/>
      <c r="P73" s="78"/>
      <c r="Q73" s="78"/>
      <c r="R73" s="78"/>
      <c r="S73" s="78"/>
      <c r="T73" s="78"/>
      <c r="U73" s="78"/>
    </row>
    <row r="74" spans="1:21" ht="13.5" customHeight="1" x14ac:dyDescent="0.2">
      <c r="A74" s="231" t="s">
        <v>669</v>
      </c>
      <c r="B74" s="129">
        <v>45060</v>
      </c>
      <c r="C74" s="810" t="s">
        <v>541</v>
      </c>
      <c r="D74" s="811"/>
      <c r="E74" s="811"/>
      <c r="F74" s="811"/>
      <c r="G74" s="811"/>
      <c r="H74" s="812"/>
      <c r="I74" s="130" t="s">
        <v>531</v>
      </c>
      <c r="J74" s="806">
        <f>+'11'!$F$1241</f>
        <v>1069692.5030110567</v>
      </c>
      <c r="K74" s="807"/>
      <c r="L74" s="819" t="s">
        <v>1110</v>
      </c>
      <c r="M74" s="814"/>
      <c r="N74" s="12">
        <v>7444.92</v>
      </c>
      <c r="O74" s="78"/>
      <c r="P74" s="78"/>
      <c r="Q74" s="78"/>
      <c r="R74" s="78"/>
      <c r="S74" s="78"/>
      <c r="T74" s="78"/>
      <c r="U74" s="78"/>
    </row>
    <row r="75" spans="1:21" ht="13.5" customHeight="1" x14ac:dyDescent="0.2">
      <c r="A75" s="231" t="s">
        <v>670</v>
      </c>
      <c r="B75" s="129">
        <v>45060</v>
      </c>
      <c r="C75" s="810" t="s">
        <v>543</v>
      </c>
      <c r="D75" s="811"/>
      <c r="E75" s="811"/>
      <c r="F75" s="811"/>
      <c r="G75" s="811"/>
      <c r="H75" s="812"/>
      <c r="I75" s="130" t="s">
        <v>531</v>
      </c>
      <c r="J75" s="806">
        <f>+'11'!$F$1286</f>
        <v>1521992.9025899819</v>
      </c>
      <c r="K75" s="807"/>
      <c r="L75" s="819" t="s">
        <v>1110</v>
      </c>
      <c r="M75" s="814"/>
      <c r="N75" s="12">
        <v>2777.03</v>
      </c>
      <c r="O75" s="78"/>
      <c r="P75" s="78"/>
      <c r="Q75" s="78"/>
      <c r="R75" s="78"/>
      <c r="S75" s="78"/>
      <c r="T75" s="78"/>
      <c r="U75" s="78"/>
    </row>
    <row r="76" spans="1:21" ht="13.5" customHeight="1" x14ac:dyDescent="0.2">
      <c r="A76" s="231" t="s">
        <v>671</v>
      </c>
      <c r="B76" s="129">
        <v>45541</v>
      </c>
      <c r="C76" s="810" t="s">
        <v>540</v>
      </c>
      <c r="D76" s="811"/>
      <c r="E76" s="811"/>
      <c r="F76" s="811"/>
      <c r="G76" s="811"/>
      <c r="H76" s="812"/>
      <c r="I76" s="130" t="s">
        <v>531</v>
      </c>
      <c r="J76" s="806">
        <f>'11'!$F$1331</f>
        <v>779466.77586727508</v>
      </c>
      <c r="K76" s="807"/>
      <c r="L76" s="819" t="s">
        <v>1110</v>
      </c>
      <c r="M76" s="814"/>
      <c r="N76" s="12">
        <v>2735.9</v>
      </c>
      <c r="O76" s="78"/>
      <c r="P76" s="78"/>
      <c r="Q76" s="78"/>
      <c r="R76" s="78"/>
      <c r="S76" s="78"/>
      <c r="T76" s="78"/>
      <c r="U76" s="78"/>
    </row>
    <row r="77" spans="1:21" ht="40.5" customHeight="1" x14ac:dyDescent="0.2">
      <c r="A77" s="231" t="s">
        <v>672</v>
      </c>
      <c r="B77" s="129">
        <v>45060</v>
      </c>
      <c r="C77" s="810" t="s">
        <v>524</v>
      </c>
      <c r="D77" s="811"/>
      <c r="E77" s="811"/>
      <c r="F77" s="811"/>
      <c r="G77" s="811"/>
      <c r="H77" s="812"/>
      <c r="I77" s="130" t="s">
        <v>240</v>
      </c>
      <c r="J77" s="806">
        <f>+'11'!$F$596</f>
        <v>115255.28385825001</v>
      </c>
      <c r="K77" s="807"/>
      <c r="L77" s="819" t="s">
        <v>1110</v>
      </c>
      <c r="M77" s="814"/>
      <c r="N77" s="12"/>
      <c r="O77" s="78"/>
      <c r="P77" s="78"/>
      <c r="Q77" s="78"/>
      <c r="R77" s="78"/>
      <c r="S77" s="78"/>
      <c r="T77" s="78"/>
      <c r="U77" s="78"/>
    </row>
    <row r="78" spans="1:21" ht="40.5" customHeight="1" x14ac:dyDescent="0.2">
      <c r="A78" s="231" t="s">
        <v>673</v>
      </c>
      <c r="B78" s="129">
        <v>45060</v>
      </c>
      <c r="C78" s="810" t="s">
        <v>525</v>
      </c>
      <c r="D78" s="811"/>
      <c r="E78" s="811"/>
      <c r="F78" s="811"/>
      <c r="G78" s="811"/>
      <c r="H78" s="812"/>
      <c r="I78" s="130" t="s">
        <v>240</v>
      </c>
      <c r="J78" s="806">
        <f>+'11'!$F$1152</f>
        <v>891129.64362359489</v>
      </c>
      <c r="K78" s="807"/>
      <c r="L78" s="819" t="s">
        <v>1110</v>
      </c>
      <c r="M78" s="814"/>
      <c r="N78" s="12"/>
      <c r="R78" s="78"/>
      <c r="S78" s="78"/>
      <c r="T78" s="78"/>
      <c r="U78" s="78"/>
    </row>
    <row r="79" spans="1:21" ht="13.5" customHeight="1" x14ac:dyDescent="0.2">
      <c r="A79" s="231" t="s">
        <v>674</v>
      </c>
      <c r="B79" s="129">
        <v>45541</v>
      </c>
      <c r="C79" s="810" t="s">
        <v>520</v>
      </c>
      <c r="D79" s="811"/>
      <c r="E79" s="811"/>
      <c r="F79" s="811"/>
      <c r="G79" s="811"/>
      <c r="H79" s="812"/>
      <c r="I79" s="130" t="s">
        <v>531</v>
      </c>
      <c r="J79" s="806">
        <f>'11'!$F$127</f>
        <v>69126.000000000015</v>
      </c>
      <c r="K79" s="807"/>
      <c r="L79" s="819" t="s">
        <v>1110</v>
      </c>
      <c r="M79" s="814"/>
      <c r="N79" s="12"/>
      <c r="O79" s="78"/>
      <c r="P79" s="78"/>
      <c r="Q79" s="78"/>
      <c r="R79" s="78"/>
      <c r="S79" s="78"/>
      <c r="T79" s="78"/>
      <c r="U79" s="78"/>
    </row>
    <row r="80" spans="1:21" ht="27" customHeight="1" x14ac:dyDescent="0.2">
      <c r="A80" s="231" t="s">
        <v>675</v>
      </c>
      <c r="B80" s="129">
        <v>45541</v>
      </c>
      <c r="C80" s="810" t="s">
        <v>514</v>
      </c>
      <c r="D80" s="811"/>
      <c r="E80" s="811"/>
      <c r="F80" s="811"/>
      <c r="G80" s="811"/>
      <c r="H80" s="812"/>
      <c r="I80" s="130" t="s">
        <v>636</v>
      </c>
      <c r="J80" s="806">
        <f>'11'!$F$894</f>
        <v>93569.51193665</v>
      </c>
      <c r="K80" s="807"/>
      <c r="L80" s="819" t="s">
        <v>1110</v>
      </c>
      <c r="M80" s="814"/>
      <c r="N80" s="12">
        <v>41.1</v>
      </c>
      <c r="R80" s="78"/>
      <c r="S80" s="78"/>
      <c r="T80" s="78"/>
      <c r="U80" s="78"/>
    </row>
    <row r="81" spans="1:21" ht="13.5" customHeight="1" x14ac:dyDescent="0.2">
      <c r="A81" s="231" t="s">
        <v>676</v>
      </c>
      <c r="B81" s="129">
        <v>45513</v>
      </c>
      <c r="C81" s="810" t="s">
        <v>542</v>
      </c>
      <c r="D81" s="811"/>
      <c r="E81" s="811"/>
      <c r="F81" s="811"/>
      <c r="G81" s="811"/>
      <c r="H81" s="812"/>
      <c r="I81" s="130" t="s">
        <v>625</v>
      </c>
      <c r="J81" s="806">
        <f>315401/6</f>
        <v>52566.833333333336</v>
      </c>
      <c r="K81" s="807"/>
      <c r="L81" s="819" t="s">
        <v>1108</v>
      </c>
      <c r="M81" s="814"/>
      <c r="N81" s="12"/>
      <c r="R81" s="78"/>
      <c r="S81" s="78"/>
      <c r="T81" s="78"/>
      <c r="U81" s="78"/>
    </row>
    <row r="82" spans="1:21" ht="13.5" customHeight="1" x14ac:dyDescent="0.2">
      <c r="A82" s="231" t="s">
        <v>677</v>
      </c>
      <c r="B82" s="129">
        <v>45061</v>
      </c>
      <c r="C82" s="810" t="s">
        <v>528</v>
      </c>
      <c r="D82" s="811"/>
      <c r="E82" s="811"/>
      <c r="F82" s="811"/>
      <c r="G82" s="811"/>
      <c r="H82" s="812"/>
      <c r="I82" s="130" t="s">
        <v>625</v>
      </c>
      <c r="J82" s="806">
        <f>+'11'!$F$1678</f>
        <v>80265.252962496874</v>
      </c>
      <c r="K82" s="807"/>
      <c r="L82" s="819" t="s">
        <v>1110</v>
      </c>
      <c r="M82" s="814"/>
      <c r="N82" s="12"/>
      <c r="R82" s="78"/>
      <c r="S82" s="78"/>
      <c r="T82" s="78"/>
      <c r="U82" s="78"/>
    </row>
    <row r="83" spans="1:21" ht="40.5" customHeight="1" x14ac:dyDescent="0.2">
      <c r="A83" s="231" t="s">
        <v>678</v>
      </c>
      <c r="B83" s="129">
        <v>45541</v>
      </c>
      <c r="C83" s="810" t="s">
        <v>527</v>
      </c>
      <c r="D83" s="811"/>
      <c r="E83" s="811"/>
      <c r="F83" s="811"/>
      <c r="G83" s="811"/>
      <c r="H83" s="812"/>
      <c r="I83" s="130" t="s">
        <v>531</v>
      </c>
      <c r="J83" s="806">
        <f>'11'!$F$253</f>
        <v>25094.779677772727</v>
      </c>
      <c r="K83" s="807"/>
      <c r="L83" s="819" t="s">
        <v>1110</v>
      </c>
      <c r="M83" s="814"/>
      <c r="N83" s="12"/>
      <c r="O83" s="78"/>
      <c r="P83" s="78"/>
      <c r="Q83" s="78"/>
      <c r="R83" s="78"/>
      <c r="S83" s="78"/>
      <c r="T83" s="78"/>
      <c r="U83" s="78"/>
    </row>
    <row r="84" spans="1:21" ht="13.5" customHeight="1" x14ac:dyDescent="0.2">
      <c r="A84" s="231" t="s">
        <v>679</v>
      </c>
      <c r="B84" s="129">
        <v>45061</v>
      </c>
      <c r="C84" s="810" t="s">
        <v>529</v>
      </c>
      <c r="D84" s="811"/>
      <c r="E84" s="811"/>
      <c r="F84" s="811"/>
      <c r="G84" s="811"/>
      <c r="H84" s="812"/>
      <c r="I84" s="130" t="s">
        <v>240</v>
      </c>
      <c r="J84" s="806">
        <f>+'11'!$F$1633</f>
        <v>941877.22051086789</v>
      </c>
      <c r="K84" s="807"/>
      <c r="L84" s="819" t="s">
        <v>1110</v>
      </c>
      <c r="M84" s="814"/>
      <c r="N84" s="12"/>
      <c r="O84" s="78"/>
      <c r="P84" s="78"/>
      <c r="Q84" s="78"/>
      <c r="R84" s="78"/>
      <c r="S84" s="78"/>
      <c r="T84" s="78"/>
      <c r="U84" s="78"/>
    </row>
    <row r="85" spans="1:21" ht="13.5" customHeight="1" x14ac:dyDescent="0.2">
      <c r="A85" s="231" t="s">
        <v>680</v>
      </c>
      <c r="B85" s="312">
        <v>45063</v>
      </c>
      <c r="C85" s="810" t="s">
        <v>538</v>
      </c>
      <c r="D85" s="811"/>
      <c r="E85" s="811"/>
      <c r="F85" s="811"/>
      <c r="G85" s="811"/>
      <c r="H85" s="812"/>
      <c r="I85" s="130" t="s">
        <v>531</v>
      </c>
      <c r="J85" s="821">
        <v>17142.28</v>
      </c>
      <c r="K85" s="822"/>
      <c r="L85" s="808"/>
      <c r="M85" s="809"/>
      <c r="N85" s="12"/>
      <c r="O85" s="78"/>
      <c r="P85" s="78"/>
      <c r="Q85" s="78"/>
      <c r="R85" s="78"/>
      <c r="S85" s="78"/>
      <c r="T85" s="78"/>
      <c r="U85" s="78"/>
    </row>
    <row r="86" spans="1:21" ht="13.5" customHeight="1" x14ac:dyDescent="0.2">
      <c r="A86" s="231" t="s">
        <v>681</v>
      </c>
      <c r="B86" s="129">
        <v>45541</v>
      </c>
      <c r="C86" s="810" t="s">
        <v>544</v>
      </c>
      <c r="D86" s="811"/>
      <c r="E86" s="811"/>
      <c r="F86" s="811"/>
      <c r="G86" s="811"/>
      <c r="H86" s="812"/>
      <c r="I86" s="130" t="s">
        <v>240</v>
      </c>
      <c r="J86" s="806">
        <f>451000*1.19</f>
        <v>536690</v>
      </c>
      <c r="K86" s="807"/>
      <c r="L86" s="819" t="s">
        <v>1111</v>
      </c>
      <c r="M86" s="814"/>
      <c r="N86" s="12"/>
      <c r="O86" s="78"/>
      <c r="P86" s="78"/>
      <c r="Q86" s="78"/>
      <c r="R86" s="78"/>
      <c r="S86" s="78"/>
      <c r="T86" s="78"/>
      <c r="U86" s="78"/>
    </row>
    <row r="87" spans="1:21" ht="13.5" customHeight="1" x14ac:dyDescent="0.2">
      <c r="A87" s="231" t="s">
        <v>1870</v>
      </c>
      <c r="B87" s="129">
        <v>45541</v>
      </c>
      <c r="C87" s="810" t="s">
        <v>545</v>
      </c>
      <c r="D87" s="811"/>
      <c r="E87" s="811"/>
      <c r="F87" s="811"/>
      <c r="G87" s="811"/>
      <c r="H87" s="812"/>
      <c r="I87" s="130" t="s">
        <v>240</v>
      </c>
      <c r="J87" s="806">
        <f>461000*1.19</f>
        <v>548590</v>
      </c>
      <c r="K87" s="807"/>
      <c r="L87" s="819" t="s">
        <v>1111</v>
      </c>
      <c r="M87" s="814"/>
      <c r="N87" s="12"/>
      <c r="O87" s="78"/>
      <c r="P87" s="78"/>
      <c r="Q87" s="78"/>
      <c r="R87" s="78"/>
      <c r="S87" s="78"/>
      <c r="T87" s="78"/>
      <c r="U87" s="78"/>
    </row>
    <row r="88" spans="1:21" ht="13.5" customHeight="1" x14ac:dyDescent="0.2">
      <c r="A88" s="231" t="s">
        <v>683</v>
      </c>
      <c r="B88" s="129">
        <v>45541</v>
      </c>
      <c r="C88" s="810" t="s">
        <v>546</v>
      </c>
      <c r="D88" s="811"/>
      <c r="E88" s="811"/>
      <c r="F88" s="811"/>
      <c r="G88" s="811"/>
      <c r="H88" s="812"/>
      <c r="I88" s="130" t="s">
        <v>240</v>
      </c>
      <c r="J88" s="806">
        <f>504000*1.19</f>
        <v>599760</v>
      </c>
      <c r="K88" s="807"/>
      <c r="L88" s="819" t="s">
        <v>1111</v>
      </c>
      <c r="M88" s="814"/>
      <c r="N88" s="12">
        <v>15</v>
      </c>
      <c r="O88" s="78"/>
      <c r="P88" s="78"/>
      <c r="Q88" s="78"/>
      <c r="R88" s="78"/>
      <c r="S88" s="78"/>
      <c r="T88" s="78"/>
      <c r="U88" s="78"/>
    </row>
    <row r="89" spans="1:21" ht="13.5" customHeight="1" x14ac:dyDescent="0.2">
      <c r="A89" s="231" t="s">
        <v>684</v>
      </c>
      <c r="B89" s="129">
        <v>45541</v>
      </c>
      <c r="C89" s="810" t="s">
        <v>547</v>
      </c>
      <c r="D89" s="811"/>
      <c r="E89" s="811"/>
      <c r="F89" s="811"/>
      <c r="G89" s="811"/>
      <c r="H89" s="812"/>
      <c r="I89" s="130" t="s">
        <v>240</v>
      </c>
      <c r="J89" s="806">
        <f>583000*1.19</f>
        <v>693770</v>
      </c>
      <c r="K89" s="807"/>
      <c r="L89" s="819" t="s">
        <v>1111</v>
      </c>
      <c r="M89" s="814"/>
      <c r="N89" s="12"/>
      <c r="O89" s="78"/>
      <c r="P89" s="78"/>
      <c r="Q89" s="78"/>
      <c r="R89" s="78"/>
      <c r="S89" s="78"/>
      <c r="T89" s="78"/>
      <c r="U89" s="78"/>
    </row>
    <row r="90" spans="1:21" ht="13.5" customHeight="1" x14ac:dyDescent="0.2">
      <c r="A90" s="231" t="s">
        <v>685</v>
      </c>
      <c r="B90" s="129">
        <v>45513</v>
      </c>
      <c r="C90" s="810" t="s">
        <v>548</v>
      </c>
      <c r="D90" s="811"/>
      <c r="E90" s="811"/>
      <c r="F90" s="811"/>
      <c r="G90" s="811"/>
      <c r="H90" s="812"/>
      <c r="I90" s="130" t="s">
        <v>625</v>
      </c>
      <c r="J90" s="806">
        <f>801019/6</f>
        <v>133503.16666666666</v>
      </c>
      <c r="K90" s="807"/>
      <c r="L90" s="819" t="s">
        <v>1108</v>
      </c>
      <c r="M90" s="814"/>
      <c r="N90" s="12"/>
      <c r="O90" s="78"/>
      <c r="P90" s="78"/>
      <c r="Q90" s="78"/>
      <c r="R90" s="78"/>
      <c r="S90" s="78"/>
      <c r="T90" s="78"/>
      <c r="U90" s="78"/>
    </row>
    <row r="91" spans="1:21" ht="13.5" customHeight="1" x14ac:dyDescent="0.2">
      <c r="A91" s="231" t="s">
        <v>686</v>
      </c>
      <c r="B91" s="129">
        <v>45077</v>
      </c>
      <c r="C91" s="815" t="s">
        <v>552</v>
      </c>
      <c r="D91" s="816"/>
      <c r="E91" s="816"/>
      <c r="F91" s="816"/>
      <c r="G91" s="816"/>
      <c r="H91" s="817"/>
      <c r="I91" s="130" t="s">
        <v>240</v>
      </c>
      <c r="J91" s="806">
        <v>4300000</v>
      </c>
      <c r="K91" s="807"/>
      <c r="L91" s="823" t="s">
        <v>1585</v>
      </c>
      <c r="M91" s="814"/>
      <c r="N91" s="12"/>
      <c r="O91" s="78"/>
      <c r="P91" s="78"/>
      <c r="Q91" s="78"/>
      <c r="R91" s="78"/>
      <c r="S91" s="78"/>
      <c r="T91" s="78"/>
      <c r="U91" s="78"/>
    </row>
    <row r="92" spans="1:21" ht="27" customHeight="1" x14ac:dyDescent="0.2">
      <c r="A92" s="231" t="s">
        <v>687</v>
      </c>
      <c r="B92" s="129">
        <v>45077</v>
      </c>
      <c r="C92" s="810" t="s">
        <v>549</v>
      </c>
      <c r="D92" s="811"/>
      <c r="E92" s="811"/>
      <c r="F92" s="811"/>
      <c r="G92" s="811"/>
      <c r="H92" s="812"/>
      <c r="I92" s="130" t="s">
        <v>636</v>
      </c>
      <c r="J92" s="806">
        <v>238217</v>
      </c>
      <c r="K92" s="807"/>
      <c r="L92" s="808"/>
      <c r="M92" s="809"/>
      <c r="N92" s="12"/>
      <c r="R92" s="78"/>
      <c r="S92" s="78"/>
      <c r="T92" s="78"/>
      <c r="U92" s="78"/>
    </row>
    <row r="93" spans="1:21" ht="13.5" customHeight="1" x14ac:dyDescent="0.2">
      <c r="A93" s="231" t="s">
        <v>688</v>
      </c>
      <c r="B93" s="129">
        <v>45077</v>
      </c>
      <c r="C93" s="820" t="s">
        <v>1432</v>
      </c>
      <c r="D93" s="816"/>
      <c r="E93" s="816"/>
      <c r="F93" s="816"/>
      <c r="G93" s="816"/>
      <c r="H93" s="817"/>
      <c r="I93" s="130" t="s">
        <v>240</v>
      </c>
      <c r="J93" s="824">
        <v>200309600</v>
      </c>
      <c r="K93" s="825"/>
      <c r="L93" s="823" t="s">
        <v>1878</v>
      </c>
      <c r="M93" s="814"/>
      <c r="N93" s="12"/>
      <c r="R93" s="78"/>
      <c r="S93" s="78"/>
      <c r="T93" s="78"/>
      <c r="U93" s="78"/>
    </row>
    <row r="94" spans="1:21" ht="13.5" customHeight="1" x14ac:dyDescent="0.2">
      <c r="A94" s="231" t="s">
        <v>689</v>
      </c>
      <c r="B94" s="129"/>
      <c r="C94" s="803" t="s">
        <v>1532</v>
      </c>
      <c r="D94" s="804"/>
      <c r="E94" s="804"/>
      <c r="F94" s="804"/>
      <c r="G94" s="804"/>
      <c r="H94" s="805"/>
      <c r="I94" s="177" t="s">
        <v>531</v>
      </c>
      <c r="J94" s="806">
        <f>50890*1.19</f>
        <v>60559.1</v>
      </c>
      <c r="K94" s="807"/>
      <c r="L94" s="808"/>
      <c r="M94" s="809"/>
      <c r="N94" s="12"/>
      <c r="R94" s="78"/>
      <c r="S94" s="78"/>
      <c r="T94" s="78"/>
      <c r="U94" s="78"/>
    </row>
    <row r="95" spans="1:21" ht="13.5" customHeight="1" x14ac:dyDescent="0.2">
      <c r="A95" s="231" t="s">
        <v>691</v>
      </c>
      <c r="B95" s="129"/>
      <c r="C95" s="810" t="s">
        <v>1533</v>
      </c>
      <c r="D95" s="811"/>
      <c r="E95" s="811"/>
      <c r="F95" s="811"/>
      <c r="G95" s="811"/>
      <c r="H95" s="812"/>
      <c r="I95" s="177" t="s">
        <v>531</v>
      </c>
      <c r="J95" s="818">
        <f>80000*1.19</f>
        <v>95200</v>
      </c>
      <c r="K95" s="807"/>
      <c r="L95" s="813" t="s">
        <v>1482</v>
      </c>
      <c r="M95" s="814"/>
      <c r="N95" s="12"/>
      <c r="R95" s="78"/>
      <c r="S95" s="78"/>
      <c r="T95" s="78"/>
      <c r="U95" s="78"/>
    </row>
    <row r="96" spans="1:21" ht="13.5" customHeight="1" x14ac:dyDescent="0.2">
      <c r="A96" s="231" t="s">
        <v>692</v>
      </c>
      <c r="B96" s="129"/>
      <c r="C96" s="803" t="s">
        <v>1587</v>
      </c>
      <c r="D96" s="804"/>
      <c r="E96" s="804"/>
      <c r="F96" s="804"/>
      <c r="G96" s="804"/>
      <c r="H96" s="805"/>
      <c r="I96" s="177" t="s">
        <v>531</v>
      </c>
      <c r="J96" s="806">
        <v>5000</v>
      </c>
      <c r="K96" s="807"/>
      <c r="L96" s="808"/>
      <c r="M96" s="809"/>
      <c r="N96" s="12"/>
      <c r="R96" s="78"/>
      <c r="S96" s="78"/>
      <c r="T96" s="78"/>
      <c r="U96" s="78"/>
    </row>
    <row r="97" spans="1:21" ht="13.5" customHeight="1" x14ac:dyDescent="0.2">
      <c r="A97" s="231" t="s">
        <v>693</v>
      </c>
      <c r="B97" s="129">
        <v>45959</v>
      </c>
      <c r="C97" s="810" t="s">
        <v>1793</v>
      </c>
      <c r="D97" s="811"/>
      <c r="E97" s="811"/>
      <c r="F97" s="811"/>
      <c r="G97" s="811"/>
      <c r="H97" s="812"/>
      <c r="I97" s="214" t="s">
        <v>240</v>
      </c>
      <c r="J97" s="806">
        <f>1132000*1.19</f>
        <v>1347080</v>
      </c>
      <c r="K97" s="807"/>
      <c r="L97" s="813" t="s">
        <v>1111</v>
      </c>
      <c r="M97" s="814"/>
      <c r="N97" s="12"/>
      <c r="R97" s="78"/>
      <c r="S97" s="78"/>
      <c r="T97" s="78"/>
      <c r="U97" s="78"/>
    </row>
    <row r="98" spans="1:21" ht="13.5" customHeight="1" x14ac:dyDescent="0.2">
      <c r="A98" s="231" t="s">
        <v>1871</v>
      </c>
      <c r="B98" s="129">
        <v>45959</v>
      </c>
      <c r="C98" s="815" t="s">
        <v>1794</v>
      </c>
      <c r="D98" s="816"/>
      <c r="E98" s="816"/>
      <c r="F98" s="816"/>
      <c r="G98" s="816"/>
      <c r="H98" s="817"/>
      <c r="I98" s="214" t="s">
        <v>240</v>
      </c>
      <c r="J98" s="806">
        <f>2002000*1.19</f>
        <v>2382380</v>
      </c>
      <c r="K98" s="807"/>
      <c r="L98" s="813" t="s">
        <v>1111</v>
      </c>
      <c r="M98" s="814"/>
      <c r="N98" s="12"/>
      <c r="R98" s="78"/>
      <c r="S98" s="78"/>
      <c r="T98" s="78"/>
      <c r="U98" s="78"/>
    </row>
    <row r="99" spans="1:21" ht="13.5" customHeight="1" x14ac:dyDescent="0.2">
      <c r="A99" s="231" t="s">
        <v>694</v>
      </c>
      <c r="B99" s="129"/>
      <c r="C99" s="815" t="s">
        <v>1795</v>
      </c>
      <c r="D99" s="816"/>
      <c r="E99" s="816"/>
      <c r="F99" s="816"/>
      <c r="G99" s="816"/>
      <c r="H99" s="817"/>
      <c r="I99" s="214" t="s">
        <v>240</v>
      </c>
      <c r="J99" s="806">
        <f>1700000*1.19</f>
        <v>2023000</v>
      </c>
      <c r="K99" s="807"/>
      <c r="L99" s="808"/>
      <c r="M99" s="809"/>
      <c r="N99" s="12"/>
      <c r="R99" s="78"/>
      <c r="S99" s="78"/>
      <c r="T99" s="78"/>
      <c r="U99" s="78"/>
    </row>
    <row r="100" spans="1:21" ht="13.5" customHeight="1" x14ac:dyDescent="0.2">
      <c r="A100" s="231" t="s">
        <v>1872</v>
      </c>
      <c r="B100" s="129">
        <v>45959</v>
      </c>
      <c r="C100" s="810" t="s">
        <v>1798</v>
      </c>
      <c r="D100" s="811"/>
      <c r="E100" s="811"/>
      <c r="F100" s="811"/>
      <c r="G100" s="811"/>
      <c r="H100" s="812"/>
      <c r="I100" s="214" t="s">
        <v>240</v>
      </c>
      <c r="J100" s="806">
        <f>778000*1.19</f>
        <v>925820</v>
      </c>
      <c r="K100" s="807"/>
      <c r="L100" s="813" t="s">
        <v>1111</v>
      </c>
      <c r="M100" s="814"/>
      <c r="N100" s="12"/>
      <c r="R100" s="78"/>
      <c r="S100" s="78"/>
      <c r="T100" s="78"/>
      <c r="U100" s="78"/>
    </row>
    <row r="101" spans="1:21" ht="13.5" customHeight="1" x14ac:dyDescent="0.2">
      <c r="A101" s="231" t="s">
        <v>695</v>
      </c>
      <c r="B101" s="129">
        <v>45959</v>
      </c>
      <c r="C101" s="810" t="s">
        <v>1799</v>
      </c>
      <c r="D101" s="811"/>
      <c r="E101" s="811"/>
      <c r="F101" s="811"/>
      <c r="G101" s="811"/>
      <c r="H101" s="812"/>
      <c r="I101" s="214" t="s">
        <v>240</v>
      </c>
      <c r="J101" s="806">
        <f>461000*1.19</f>
        <v>548590</v>
      </c>
      <c r="K101" s="807"/>
      <c r="L101" s="813" t="s">
        <v>1111</v>
      </c>
      <c r="M101" s="814"/>
      <c r="N101" s="12"/>
      <c r="R101" s="78"/>
      <c r="S101" s="78"/>
      <c r="T101" s="78"/>
      <c r="U101" s="78"/>
    </row>
    <row r="102" spans="1:21" ht="13.5" customHeight="1" x14ac:dyDescent="0.2">
      <c r="A102" s="231" t="s">
        <v>696</v>
      </c>
      <c r="B102" s="129">
        <v>45959</v>
      </c>
      <c r="C102" s="815" t="s">
        <v>1800</v>
      </c>
      <c r="D102" s="816"/>
      <c r="E102" s="816"/>
      <c r="F102" s="816"/>
      <c r="G102" s="816"/>
      <c r="H102" s="817"/>
      <c r="I102" s="214" t="s">
        <v>240</v>
      </c>
      <c r="J102" s="806">
        <f>1004000*1.19</f>
        <v>1194760</v>
      </c>
      <c r="K102" s="807"/>
      <c r="L102" s="813" t="s">
        <v>1111</v>
      </c>
      <c r="M102" s="814"/>
      <c r="N102" s="12"/>
      <c r="R102" s="78"/>
      <c r="S102" s="78"/>
      <c r="T102" s="78"/>
      <c r="U102" s="78"/>
    </row>
    <row r="103" spans="1:21" ht="13.5" customHeight="1" x14ac:dyDescent="0.2">
      <c r="A103" s="231" t="s">
        <v>697</v>
      </c>
      <c r="B103" s="129"/>
      <c r="C103" s="547" t="s">
        <v>1801</v>
      </c>
      <c r="D103" s="861"/>
      <c r="E103" s="861"/>
      <c r="F103" s="861"/>
      <c r="G103" s="861"/>
      <c r="H103" s="862"/>
      <c r="I103" s="214" t="s">
        <v>240</v>
      </c>
      <c r="J103" s="806">
        <f>173000*1.19</f>
        <v>205870</v>
      </c>
      <c r="K103" s="807"/>
      <c r="L103" s="813" t="s">
        <v>1112</v>
      </c>
      <c r="M103" s="814"/>
      <c r="N103" s="12"/>
      <c r="R103" s="78"/>
      <c r="S103" s="78"/>
      <c r="T103" s="78"/>
      <c r="U103" s="78"/>
    </row>
    <row r="104" spans="1:21" ht="13.5" customHeight="1" x14ac:dyDescent="0.2">
      <c r="A104" s="231" t="s">
        <v>698</v>
      </c>
      <c r="B104" s="129"/>
      <c r="C104" s="810" t="s">
        <v>1802</v>
      </c>
      <c r="D104" s="811"/>
      <c r="E104" s="811"/>
      <c r="F104" s="811"/>
      <c r="G104" s="811"/>
      <c r="H104" s="812"/>
      <c r="I104" s="214" t="s">
        <v>240</v>
      </c>
      <c r="J104" s="806">
        <f>756000*1.19</f>
        <v>899640</v>
      </c>
      <c r="K104" s="807"/>
      <c r="L104" s="813" t="s">
        <v>1111</v>
      </c>
      <c r="M104" s="814"/>
      <c r="N104" s="12"/>
      <c r="R104" s="78"/>
      <c r="S104" s="78"/>
      <c r="T104" s="78"/>
      <c r="U104" s="78"/>
    </row>
    <row r="105" spans="1:21" ht="13.5" customHeight="1" x14ac:dyDescent="0.2">
      <c r="A105" s="231" t="s">
        <v>699</v>
      </c>
      <c r="B105" s="129"/>
      <c r="C105" s="815" t="s">
        <v>1803</v>
      </c>
      <c r="D105" s="816"/>
      <c r="E105" s="816"/>
      <c r="F105" s="816"/>
      <c r="G105" s="816"/>
      <c r="H105" s="817"/>
      <c r="I105" s="214" t="s">
        <v>240</v>
      </c>
      <c r="J105" s="806">
        <f>1048000*1.19</f>
        <v>1247120</v>
      </c>
      <c r="K105" s="807"/>
      <c r="L105" s="813" t="s">
        <v>1111</v>
      </c>
      <c r="M105" s="814"/>
      <c r="N105" s="12"/>
      <c r="R105" s="78"/>
      <c r="S105" s="78"/>
      <c r="T105" s="78"/>
      <c r="U105" s="78"/>
    </row>
    <row r="106" spans="1:21" ht="13.5" customHeight="1" x14ac:dyDescent="0.2">
      <c r="A106" s="231" t="s">
        <v>700</v>
      </c>
      <c r="B106" s="129"/>
      <c r="C106" s="832" t="s">
        <v>1804</v>
      </c>
      <c r="D106" s="833"/>
      <c r="E106" s="833"/>
      <c r="F106" s="833"/>
      <c r="G106" s="833"/>
      <c r="H106" s="834"/>
      <c r="I106" s="12" t="s">
        <v>240</v>
      </c>
      <c r="J106" s="808">
        <f>140000*1.19</f>
        <v>166600</v>
      </c>
      <c r="K106" s="809"/>
      <c r="L106" s="823" t="s">
        <v>1112</v>
      </c>
      <c r="M106" s="814"/>
      <c r="N106" s="12"/>
      <c r="R106" s="78"/>
      <c r="S106" s="78"/>
      <c r="T106" s="78"/>
      <c r="U106" s="78"/>
    </row>
    <row r="107" spans="1:21" ht="13.5" customHeight="1" x14ac:dyDescent="0.2">
      <c r="A107" s="231" t="s">
        <v>701</v>
      </c>
      <c r="B107" s="129"/>
      <c r="C107" s="832" t="s">
        <v>1805</v>
      </c>
      <c r="D107" s="833"/>
      <c r="E107" s="833"/>
      <c r="F107" s="833"/>
      <c r="G107" s="833"/>
      <c r="H107" s="834"/>
      <c r="I107" s="12" t="s">
        <v>240</v>
      </c>
      <c r="J107" s="808">
        <f>160000*1.19</f>
        <v>190400</v>
      </c>
      <c r="K107" s="809"/>
      <c r="L107" s="823" t="s">
        <v>1112</v>
      </c>
      <c r="M107" s="814"/>
      <c r="N107" s="12"/>
      <c r="R107" s="78"/>
      <c r="S107" s="78"/>
      <c r="T107" s="78"/>
      <c r="U107" s="78"/>
    </row>
    <row r="108" spans="1:21" ht="13.5" customHeight="1" x14ac:dyDescent="0.2">
      <c r="A108" s="231" t="s">
        <v>1873</v>
      </c>
      <c r="B108" s="129"/>
      <c r="C108" s="815" t="s">
        <v>1806</v>
      </c>
      <c r="D108" s="816"/>
      <c r="E108" s="816"/>
      <c r="F108" s="816"/>
      <c r="G108" s="816"/>
      <c r="H108" s="817"/>
      <c r="I108" s="12" t="s">
        <v>240</v>
      </c>
      <c r="J108" s="806">
        <f>3400000*1.19</f>
        <v>4046000</v>
      </c>
      <c r="K108" s="807"/>
      <c r="L108" s="823" t="s">
        <v>1585</v>
      </c>
      <c r="M108" s="814"/>
      <c r="N108" s="12"/>
      <c r="R108" s="78"/>
      <c r="S108" s="78"/>
      <c r="T108" s="78"/>
      <c r="U108" s="78"/>
    </row>
    <row r="109" spans="1:21" ht="15.75" customHeight="1" x14ac:dyDescent="0.2"/>
    <row r="110" spans="1:21" ht="15.75" customHeight="1" x14ac:dyDescent="0.2"/>
    <row r="111" spans="1:21" ht="15.75" customHeight="1" thickBot="1" x14ac:dyDescent="0.3">
      <c r="J111" s="190"/>
      <c r="K111" s="190"/>
      <c r="L111" s="132"/>
      <c r="M111" s="132"/>
      <c r="N111" s="132"/>
    </row>
    <row r="112" spans="1:21" ht="15.75" customHeight="1" thickTop="1" x14ac:dyDescent="0.2">
      <c r="J112" s="429" t="s">
        <v>1126</v>
      </c>
      <c r="K112" s="429"/>
      <c r="L112" s="429"/>
      <c r="M112" s="429"/>
      <c r="N112" s="429"/>
    </row>
    <row r="113" spans="4:14" ht="15.75" customHeight="1" x14ac:dyDescent="0.25">
      <c r="J113" s="406" t="s">
        <v>1127</v>
      </c>
      <c r="K113" s="406"/>
      <c r="L113" s="406"/>
      <c r="M113" s="406"/>
      <c r="N113" s="406"/>
    </row>
    <row r="114" spans="4:14" ht="15.75" customHeight="1" x14ac:dyDescent="0.25">
      <c r="F114" s="116"/>
      <c r="G114" s="116"/>
      <c r="J114" s="406" t="s">
        <v>1123</v>
      </c>
      <c r="K114" s="406"/>
      <c r="L114" s="406"/>
      <c r="M114" s="406"/>
      <c r="N114" s="406"/>
    </row>
    <row r="115" spans="4:14" ht="15.75" customHeight="1" x14ac:dyDescent="0.2">
      <c r="D115" s="116"/>
      <c r="E115" s="116"/>
      <c r="F115" s="116"/>
      <c r="G115" s="116"/>
    </row>
    <row r="116" spans="4:14" ht="15.75" customHeight="1" x14ac:dyDescent="0.2">
      <c r="D116" s="116"/>
      <c r="E116" s="116"/>
      <c r="F116" s="116"/>
      <c r="G116" s="116"/>
    </row>
    <row r="117" spans="4:14" ht="15.75" customHeight="1" x14ac:dyDescent="0.2">
      <c r="D117" s="116"/>
      <c r="E117" s="116"/>
    </row>
    <row r="118" spans="4:14" ht="15.75" customHeight="1" x14ac:dyDescent="0.2">
      <c r="D118" s="116"/>
      <c r="E118" s="116"/>
    </row>
    <row r="119" spans="4:14" ht="15.75" customHeight="1" x14ac:dyDescent="0.2">
      <c r="D119" s="116"/>
    </row>
    <row r="120" spans="4:14" ht="15.75" customHeight="1" x14ac:dyDescent="0.2">
      <c r="D120" s="116"/>
    </row>
    <row r="121" spans="4:14" ht="15.75" customHeight="1" x14ac:dyDescent="0.2"/>
    <row r="122" spans="4:14" ht="15.75" customHeight="1" x14ac:dyDescent="0.2"/>
    <row r="123" spans="4:14" ht="15.75" customHeight="1" x14ac:dyDescent="0.2"/>
    <row r="124" spans="4:14" ht="15.75" customHeight="1" x14ac:dyDescent="0.2"/>
    <row r="125" spans="4:14" ht="15.75" customHeight="1" x14ac:dyDescent="0.2"/>
    <row r="126" spans="4:14" ht="15.75" customHeight="1" x14ac:dyDescent="0.2"/>
    <row r="127" spans="4:14" ht="15.75" customHeight="1" x14ac:dyDescent="0.2"/>
    <row r="128" spans="4:14"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sheetData>
  <mergeCells count="318">
    <mergeCell ref="C103:H103"/>
    <mergeCell ref="J103:K103"/>
    <mergeCell ref="L103:M103"/>
    <mergeCell ref="C104:H104"/>
    <mergeCell ref="J104:K104"/>
    <mergeCell ref="L104:M104"/>
    <mergeCell ref="C108:H108"/>
    <mergeCell ref="J108:K108"/>
    <mergeCell ref="L108:M108"/>
    <mergeCell ref="C105:H105"/>
    <mergeCell ref="J105:K105"/>
    <mergeCell ref="L105:M105"/>
    <mergeCell ref="C106:H106"/>
    <mergeCell ref="J106:K106"/>
    <mergeCell ref="L106:M106"/>
    <mergeCell ref="C107:H107"/>
    <mergeCell ref="J107:K107"/>
    <mergeCell ref="L107:M107"/>
    <mergeCell ref="J72:K72"/>
    <mergeCell ref="L72:M72"/>
    <mergeCell ref="J73:K73"/>
    <mergeCell ref="L73:M73"/>
    <mergeCell ref="J74:K74"/>
    <mergeCell ref="L74:M74"/>
    <mergeCell ref="C84:H84"/>
    <mergeCell ref="C72:H72"/>
    <mergeCell ref="C73:H73"/>
    <mergeCell ref="C74:H74"/>
    <mergeCell ref="L75:M75"/>
    <mergeCell ref="J75:K75"/>
    <mergeCell ref="C75:H75"/>
    <mergeCell ref="C76:H76"/>
    <mergeCell ref="C80:H80"/>
    <mergeCell ref="L82:M82"/>
    <mergeCell ref="L77:M77"/>
    <mergeCell ref="J77:K77"/>
    <mergeCell ref="C77:H77"/>
    <mergeCell ref="L76:M76"/>
    <mergeCell ref="J76:K76"/>
    <mergeCell ref="J78:K78"/>
    <mergeCell ref="C78:H78"/>
    <mergeCell ref="C79:H79"/>
    <mergeCell ref="L60:M60"/>
    <mergeCell ref="J60:K60"/>
    <mergeCell ref="J61:K61"/>
    <mergeCell ref="L61:M61"/>
    <mergeCell ref="L62:M62"/>
    <mergeCell ref="L40:M40"/>
    <mergeCell ref="J46:K46"/>
    <mergeCell ref="L46:M46"/>
    <mergeCell ref="J47:K47"/>
    <mergeCell ref="L47:M47"/>
    <mergeCell ref="L43:M43"/>
    <mergeCell ref="J41:K41"/>
    <mergeCell ref="J42:K42"/>
    <mergeCell ref="L42:M42"/>
    <mergeCell ref="J43:K43"/>
    <mergeCell ref="J44:K44"/>
    <mergeCell ref="L44:M44"/>
    <mergeCell ref="L45:M45"/>
    <mergeCell ref="J45:K45"/>
    <mergeCell ref="J40:K40"/>
    <mergeCell ref="L41:M41"/>
    <mergeCell ref="L50:M50"/>
    <mergeCell ref="J51:K51"/>
    <mergeCell ref="J55:K55"/>
    <mergeCell ref="C48:H48"/>
    <mergeCell ref="C49:H49"/>
    <mergeCell ref="C50:H50"/>
    <mergeCell ref="C51:H51"/>
    <mergeCell ref="C52:H52"/>
    <mergeCell ref="J53:K53"/>
    <mergeCell ref="C53:H53"/>
    <mergeCell ref="C63:H63"/>
    <mergeCell ref="J62:K62"/>
    <mergeCell ref="C54:H54"/>
    <mergeCell ref="C55:H55"/>
    <mergeCell ref="C56:H56"/>
    <mergeCell ref="C57:H57"/>
    <mergeCell ref="C58:H58"/>
    <mergeCell ref="C60:H60"/>
    <mergeCell ref="C61:H61"/>
    <mergeCell ref="C62:H62"/>
    <mergeCell ref="C59:H59"/>
    <mergeCell ref="C11:H11"/>
    <mergeCell ref="J6:K6"/>
    <mergeCell ref="L6:M6"/>
    <mergeCell ref="C6:H6"/>
    <mergeCell ref="C7:H7"/>
    <mergeCell ref="C8:H8"/>
    <mergeCell ref="C9:H9"/>
    <mergeCell ref="C10:H10"/>
    <mergeCell ref="L5:M5"/>
    <mergeCell ref="L20:M20"/>
    <mergeCell ref="J20:K20"/>
    <mergeCell ref="L9:M9"/>
    <mergeCell ref="J5:K5"/>
    <mergeCell ref="J7:K7"/>
    <mergeCell ref="J8:K8"/>
    <mergeCell ref="J9:K9"/>
    <mergeCell ref="J10:K10"/>
    <mergeCell ref="J11:K11"/>
    <mergeCell ref="J12:K12"/>
    <mergeCell ref="L16:M16"/>
    <mergeCell ref="J17:K17"/>
    <mergeCell ref="L17:M17"/>
    <mergeCell ref="L12:M12"/>
    <mergeCell ref="L13:M13"/>
    <mergeCell ref="J13:K13"/>
    <mergeCell ref="J14:K14"/>
    <mergeCell ref="L14:M14"/>
    <mergeCell ref="J15:K15"/>
    <mergeCell ref="J16:K16"/>
    <mergeCell ref="J18:K18"/>
    <mergeCell ref="J19:K19"/>
    <mergeCell ref="L19:M19"/>
    <mergeCell ref="M1:N1"/>
    <mergeCell ref="M2:N3"/>
    <mergeCell ref="A1:L3"/>
    <mergeCell ref="J48:K48"/>
    <mergeCell ref="L48:M48"/>
    <mergeCell ref="C38:H38"/>
    <mergeCell ref="C26:H26"/>
    <mergeCell ref="C27:H27"/>
    <mergeCell ref="C28:H28"/>
    <mergeCell ref="C14:H14"/>
    <mergeCell ref="L15:M15"/>
    <mergeCell ref="C15:H15"/>
    <mergeCell ref="L38:M38"/>
    <mergeCell ref="C16:H16"/>
    <mergeCell ref="C17:H17"/>
    <mergeCell ref="C5:H5"/>
    <mergeCell ref="L7:M7"/>
    <mergeCell ref="L10:M10"/>
    <mergeCell ref="L11:M11"/>
    <mergeCell ref="L8:M8"/>
    <mergeCell ref="L22:M22"/>
    <mergeCell ref="J35:K35"/>
    <mergeCell ref="J36:K36"/>
    <mergeCell ref="L36:M36"/>
    <mergeCell ref="L55:M55"/>
    <mergeCell ref="J56:K56"/>
    <mergeCell ref="L56:M56"/>
    <mergeCell ref="L57:M57"/>
    <mergeCell ref="L59:M59"/>
    <mergeCell ref="J57:K57"/>
    <mergeCell ref="J58:K58"/>
    <mergeCell ref="L58:M58"/>
    <mergeCell ref="J37:K37"/>
    <mergeCell ref="L37:M37"/>
    <mergeCell ref="J52:K52"/>
    <mergeCell ref="L52:M52"/>
    <mergeCell ref="J54:K54"/>
    <mergeCell ref="L54:M54"/>
    <mergeCell ref="J38:K38"/>
    <mergeCell ref="L39:M39"/>
    <mergeCell ref="L51:M51"/>
    <mergeCell ref="J49:K49"/>
    <mergeCell ref="J50:K50"/>
    <mergeCell ref="L53:M53"/>
    <mergeCell ref="J39:K39"/>
    <mergeCell ref="L49:M49"/>
    <mergeCell ref="J59:K59"/>
    <mergeCell ref="J23:K23"/>
    <mergeCell ref="J24:K24"/>
    <mergeCell ref="J32:K32"/>
    <mergeCell ref="L32:M32"/>
    <mergeCell ref="C20:H20"/>
    <mergeCell ref="C22:H22"/>
    <mergeCell ref="C23:H23"/>
    <mergeCell ref="C24:H24"/>
    <mergeCell ref="C37:H37"/>
    <mergeCell ref="C36:H36"/>
    <mergeCell ref="C32:H32"/>
    <mergeCell ref="C33:H33"/>
    <mergeCell ref="J34:K34"/>
    <mergeCell ref="L34:M34"/>
    <mergeCell ref="C34:H34"/>
    <mergeCell ref="C35:H35"/>
    <mergeCell ref="L33:M33"/>
    <mergeCell ref="J33:K33"/>
    <mergeCell ref="L35:M35"/>
    <mergeCell ref="C21:H21"/>
    <mergeCell ref="J25:K25"/>
    <mergeCell ref="J26:K26"/>
    <mergeCell ref="L26:M26"/>
    <mergeCell ref="J27:K27"/>
    <mergeCell ref="C39:H39"/>
    <mergeCell ref="C40:H40"/>
    <mergeCell ref="C41:H41"/>
    <mergeCell ref="C42:H42"/>
    <mergeCell ref="C43:H43"/>
    <mergeCell ref="C44:H44"/>
    <mergeCell ref="C45:H45"/>
    <mergeCell ref="C46:H46"/>
    <mergeCell ref="C47:H47"/>
    <mergeCell ref="C12:H12"/>
    <mergeCell ref="C13:H13"/>
    <mergeCell ref="L29:M29"/>
    <mergeCell ref="L31:M31"/>
    <mergeCell ref="J29:K29"/>
    <mergeCell ref="J30:K30"/>
    <mergeCell ref="L30:M30"/>
    <mergeCell ref="J31:K31"/>
    <mergeCell ref="L24:M24"/>
    <mergeCell ref="L23:M23"/>
    <mergeCell ref="L25:M25"/>
    <mergeCell ref="L27:M27"/>
    <mergeCell ref="J28:K28"/>
    <mergeCell ref="L28:M28"/>
    <mergeCell ref="L21:M21"/>
    <mergeCell ref="C25:H25"/>
    <mergeCell ref="C18:H18"/>
    <mergeCell ref="C19:H19"/>
    <mergeCell ref="C29:H29"/>
    <mergeCell ref="C30:H30"/>
    <mergeCell ref="C31:H31"/>
    <mergeCell ref="J21:K21"/>
    <mergeCell ref="J22:K22"/>
    <mergeCell ref="L18:M18"/>
    <mergeCell ref="L63:M63"/>
    <mergeCell ref="J63:K63"/>
    <mergeCell ref="L64:M64"/>
    <mergeCell ref="J64:K64"/>
    <mergeCell ref="L67:M67"/>
    <mergeCell ref="J67:K67"/>
    <mergeCell ref="C68:H68"/>
    <mergeCell ref="C69:H69"/>
    <mergeCell ref="C70:H70"/>
    <mergeCell ref="C64:H64"/>
    <mergeCell ref="C65:H65"/>
    <mergeCell ref="C66:H66"/>
    <mergeCell ref="J71:K71"/>
    <mergeCell ref="L71:M71"/>
    <mergeCell ref="C71:H71"/>
    <mergeCell ref="C67:H67"/>
    <mergeCell ref="L65:M65"/>
    <mergeCell ref="J65:K65"/>
    <mergeCell ref="J66:K66"/>
    <mergeCell ref="L66:M66"/>
    <mergeCell ref="J68:K68"/>
    <mergeCell ref="L68:M68"/>
    <mergeCell ref="J69:K69"/>
    <mergeCell ref="L69:M69"/>
    <mergeCell ref="L70:M70"/>
    <mergeCell ref="J70:K70"/>
    <mergeCell ref="C81:H81"/>
    <mergeCell ref="J81:K81"/>
    <mergeCell ref="C82:H82"/>
    <mergeCell ref="L78:M78"/>
    <mergeCell ref="J79:K79"/>
    <mergeCell ref="L79:M79"/>
    <mergeCell ref="J80:K80"/>
    <mergeCell ref="L80:M80"/>
    <mergeCell ref="L81:M81"/>
    <mergeCell ref="L84:M84"/>
    <mergeCell ref="J84:K84"/>
    <mergeCell ref="J83:K83"/>
    <mergeCell ref="L83:M83"/>
    <mergeCell ref="C83:H83"/>
    <mergeCell ref="J82:K82"/>
    <mergeCell ref="C88:H88"/>
    <mergeCell ref="C85:H85"/>
    <mergeCell ref="C87:H87"/>
    <mergeCell ref="J86:K86"/>
    <mergeCell ref="L86:M86"/>
    <mergeCell ref="C86:H86"/>
    <mergeCell ref="C89:H89"/>
    <mergeCell ref="J85:K85"/>
    <mergeCell ref="L85:M85"/>
    <mergeCell ref="L87:M87"/>
    <mergeCell ref="J87:K87"/>
    <mergeCell ref="L92:M92"/>
    <mergeCell ref="L93:M93"/>
    <mergeCell ref="J93:K93"/>
    <mergeCell ref="L88:M88"/>
    <mergeCell ref="J88:K88"/>
    <mergeCell ref="J89:K89"/>
    <mergeCell ref="L89:M89"/>
    <mergeCell ref="J90:K90"/>
    <mergeCell ref="C90:H90"/>
    <mergeCell ref="C92:H92"/>
    <mergeCell ref="J91:K91"/>
    <mergeCell ref="L91:M91"/>
    <mergeCell ref="J92:K92"/>
    <mergeCell ref="C94:H94"/>
    <mergeCell ref="J94:K94"/>
    <mergeCell ref="L94:M94"/>
    <mergeCell ref="C95:H95"/>
    <mergeCell ref="J95:K95"/>
    <mergeCell ref="L95:M95"/>
    <mergeCell ref="L90:M90"/>
    <mergeCell ref="C93:H93"/>
    <mergeCell ref="C91:H91"/>
    <mergeCell ref="J112:N112"/>
    <mergeCell ref="J113:N113"/>
    <mergeCell ref="J114:N114"/>
    <mergeCell ref="C96:H96"/>
    <mergeCell ref="J96:K96"/>
    <mergeCell ref="L96:M96"/>
    <mergeCell ref="C97:H97"/>
    <mergeCell ref="J97:K97"/>
    <mergeCell ref="L97:M97"/>
    <mergeCell ref="C98:H98"/>
    <mergeCell ref="J98:K98"/>
    <mergeCell ref="L98:M98"/>
    <mergeCell ref="C99:H99"/>
    <mergeCell ref="J99:K99"/>
    <mergeCell ref="L99:M99"/>
    <mergeCell ref="C100:H100"/>
    <mergeCell ref="J100:K100"/>
    <mergeCell ref="L100:M100"/>
    <mergeCell ref="C101:H101"/>
    <mergeCell ref="J101:K101"/>
    <mergeCell ref="L101:M101"/>
    <mergeCell ref="C102:H102"/>
    <mergeCell ref="J102:K102"/>
    <mergeCell ref="L102:M102"/>
  </mergeCells>
  <printOptions horizontalCentered="1"/>
  <pageMargins left="1.1811023622047245" right="1.1811023622047245" top="0.78740157480314965" bottom="0.78740157480314965" header="0" footer="0"/>
  <pageSetup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6"/>
  <sheetViews>
    <sheetView tabSelected="1" view="pageBreakPreview" topLeftCell="F1" zoomScaleNormal="100" zoomScaleSheetLayoutView="100" workbookViewId="0">
      <selection activeCell="H19" sqref="H19:M19"/>
    </sheetView>
  </sheetViews>
  <sheetFormatPr baseColWidth="10" defaultRowHeight="12.75" x14ac:dyDescent="0.2"/>
  <cols>
    <col min="4" max="4" width="18.140625" bestFit="1" customWidth="1"/>
    <col min="8" max="8" width="18.5703125" customWidth="1"/>
    <col min="16" max="16" width="20.140625" customWidth="1"/>
  </cols>
  <sheetData>
    <row r="1" spans="1:16" x14ac:dyDescent="0.2">
      <c r="A1" s="466" t="str">
        <f>Indice!$A$1</f>
        <v>CONSTRUCCIÓN DEL SISTEMA DE ACUEDUCTO IDOLOS, EL TIGRE, MUNICIPIO DE ISNOS – DEPARTAMENTO DEL HUILA – FASE I.</v>
      </c>
      <c r="B1" s="410"/>
      <c r="C1" s="410"/>
      <c r="D1" s="410"/>
      <c r="E1" s="410"/>
      <c r="F1" s="410"/>
      <c r="G1" s="410"/>
      <c r="H1" s="410"/>
      <c r="I1" s="410"/>
      <c r="J1" s="411"/>
      <c r="K1" s="470" t="s">
        <v>0</v>
      </c>
      <c r="L1" s="416"/>
      <c r="M1" s="471">
        <f>N56</f>
        <v>549187741.49000001</v>
      </c>
      <c r="N1" s="410"/>
      <c r="O1" s="411"/>
    </row>
    <row r="2" spans="1:16" x14ac:dyDescent="0.2">
      <c r="A2" s="467"/>
      <c r="B2" s="468"/>
      <c r="C2" s="468"/>
      <c r="D2" s="468"/>
      <c r="E2" s="468"/>
      <c r="F2" s="468"/>
      <c r="G2" s="468"/>
      <c r="H2" s="468"/>
      <c r="I2" s="468"/>
      <c r="J2" s="469"/>
      <c r="K2" s="472">
        <v>2026</v>
      </c>
      <c r="L2" s="411"/>
      <c r="M2" s="467"/>
      <c r="N2" s="468"/>
      <c r="O2" s="469"/>
    </row>
    <row r="3" spans="1:16" x14ac:dyDescent="0.2">
      <c r="A3" s="412"/>
      <c r="B3" s="413"/>
      <c r="C3" s="413"/>
      <c r="D3" s="413"/>
      <c r="E3" s="413"/>
      <c r="F3" s="413"/>
      <c r="G3" s="413"/>
      <c r="H3" s="413"/>
      <c r="I3" s="413"/>
      <c r="J3" s="414"/>
      <c r="K3" s="412"/>
      <c r="L3" s="414"/>
      <c r="M3" s="412"/>
      <c r="N3" s="413"/>
      <c r="O3" s="414"/>
    </row>
    <row r="4" spans="1:16" ht="13.5" x14ac:dyDescent="0.25">
      <c r="A4" s="5"/>
      <c r="B4" s="5"/>
      <c r="C4" s="5"/>
      <c r="D4" s="5"/>
      <c r="E4" s="5"/>
      <c r="F4" s="5"/>
      <c r="G4" s="5"/>
      <c r="H4" s="5"/>
      <c r="I4" s="5"/>
      <c r="J4" s="5"/>
      <c r="K4" s="5"/>
      <c r="L4" s="5"/>
      <c r="M4" s="14"/>
      <c r="N4" s="15"/>
      <c r="O4" s="15"/>
    </row>
    <row r="5" spans="1:16" ht="12.75" customHeight="1" x14ac:dyDescent="0.2">
      <c r="A5" s="473" t="s">
        <v>1100</v>
      </c>
      <c r="B5" s="474"/>
      <c r="C5" s="474"/>
      <c r="D5" s="474"/>
      <c r="E5" s="474"/>
      <c r="F5" s="474"/>
      <c r="G5" s="474"/>
      <c r="H5" s="474"/>
      <c r="I5" s="474"/>
      <c r="J5" s="474"/>
      <c r="K5" s="474"/>
      <c r="L5" s="474"/>
      <c r="M5" s="474"/>
      <c r="N5" s="474"/>
      <c r="O5" s="475"/>
    </row>
    <row r="6" spans="1:16" x14ac:dyDescent="0.2">
      <c r="A6" s="476"/>
      <c r="B6" s="477"/>
      <c r="C6" s="477"/>
      <c r="D6" s="477"/>
      <c r="E6" s="477"/>
      <c r="F6" s="477"/>
      <c r="G6" s="477"/>
      <c r="H6" s="477"/>
      <c r="I6" s="477"/>
      <c r="J6" s="477"/>
      <c r="K6" s="477"/>
      <c r="L6" s="477"/>
      <c r="M6" s="477"/>
      <c r="N6" s="477"/>
      <c r="O6" s="478"/>
    </row>
    <row r="7" spans="1:16" ht="13.5" x14ac:dyDescent="0.25">
      <c r="A7" s="5"/>
      <c r="B7" s="5"/>
      <c r="C7" s="5"/>
      <c r="D7" s="5"/>
      <c r="E7" s="5"/>
      <c r="F7" s="5"/>
      <c r="G7" s="5"/>
      <c r="H7" s="5"/>
      <c r="I7" s="5"/>
      <c r="J7" s="5"/>
      <c r="K7" s="5"/>
      <c r="L7" s="5"/>
      <c r="M7" s="14"/>
      <c r="N7" s="15"/>
      <c r="O7" s="15"/>
    </row>
    <row r="8" spans="1:16" ht="13.5" x14ac:dyDescent="0.25">
      <c r="A8" s="5"/>
      <c r="B8" s="479" t="s">
        <v>178</v>
      </c>
      <c r="C8" s="416"/>
      <c r="D8" s="480">
        <f>'01'!M175</f>
        <v>2562813113.4373622</v>
      </c>
      <c r="E8" s="481"/>
      <c r="F8" s="5"/>
      <c r="G8" s="5"/>
      <c r="H8" s="5"/>
      <c r="I8" s="5"/>
      <c r="J8" s="5"/>
      <c r="K8" s="5"/>
      <c r="L8" s="5"/>
      <c r="M8" s="5"/>
      <c r="N8" s="5"/>
      <c r="O8" s="5"/>
    </row>
    <row r="9" spans="1:16" ht="13.5" x14ac:dyDescent="0.25">
      <c r="A9" s="5"/>
      <c r="B9" s="5"/>
      <c r="C9" s="5"/>
      <c r="D9" s="5"/>
      <c r="E9" s="5"/>
      <c r="F9" s="5"/>
      <c r="G9" s="5"/>
      <c r="H9" s="5"/>
      <c r="I9" s="5"/>
      <c r="J9" s="5"/>
      <c r="K9" s="5"/>
      <c r="L9" s="5"/>
      <c r="M9" s="5"/>
      <c r="N9" s="5"/>
      <c r="O9" s="5"/>
    </row>
    <row r="10" spans="1:16" x14ac:dyDescent="0.2">
      <c r="A10" s="16" t="s">
        <v>179</v>
      </c>
      <c r="B10" s="482" t="s">
        <v>180</v>
      </c>
      <c r="C10" s="483"/>
      <c r="D10" s="483"/>
      <c r="E10" s="483"/>
      <c r="F10" s="483"/>
      <c r="G10" s="483"/>
      <c r="H10" s="483"/>
      <c r="I10" s="483"/>
      <c r="J10" s="483"/>
      <c r="K10" s="483"/>
      <c r="L10" s="483"/>
      <c r="M10" s="483"/>
      <c r="N10" s="483"/>
      <c r="O10" s="483"/>
    </row>
    <row r="11" spans="1:16" x14ac:dyDescent="0.2">
      <c r="A11" s="407" t="s">
        <v>181</v>
      </c>
      <c r="B11" s="409" t="s">
        <v>182</v>
      </c>
      <c r="C11" s="410"/>
      <c r="D11" s="410"/>
      <c r="E11" s="410"/>
      <c r="F11" s="411"/>
      <c r="G11" s="407" t="s">
        <v>183</v>
      </c>
      <c r="H11" s="464" t="s">
        <v>184</v>
      </c>
      <c r="I11" s="407" t="s">
        <v>185</v>
      </c>
      <c r="J11" s="409" t="s">
        <v>186</v>
      </c>
      <c r="K11" s="411"/>
      <c r="L11" s="407" t="s">
        <v>187</v>
      </c>
      <c r="M11" s="407" t="s">
        <v>188</v>
      </c>
      <c r="N11" s="409" t="s">
        <v>189</v>
      </c>
      <c r="O11" s="411"/>
    </row>
    <row r="12" spans="1:16" x14ac:dyDescent="0.2">
      <c r="A12" s="408"/>
      <c r="B12" s="412"/>
      <c r="C12" s="413"/>
      <c r="D12" s="413"/>
      <c r="E12" s="413"/>
      <c r="F12" s="414"/>
      <c r="G12" s="408"/>
      <c r="H12" s="408"/>
      <c r="I12" s="408"/>
      <c r="J12" s="412"/>
      <c r="K12" s="414"/>
      <c r="L12" s="408"/>
      <c r="M12" s="408"/>
      <c r="N12" s="412"/>
      <c r="O12" s="414"/>
    </row>
    <row r="13" spans="1:16" ht="13.5" x14ac:dyDescent="0.2">
      <c r="A13" s="17" t="s">
        <v>190</v>
      </c>
      <c r="B13" s="463" t="s">
        <v>191</v>
      </c>
      <c r="C13" s="418"/>
      <c r="D13" s="418"/>
      <c r="E13" s="418"/>
      <c r="F13" s="416"/>
      <c r="G13" s="81"/>
      <c r="H13" s="19">
        <v>1</v>
      </c>
      <c r="I13" s="20">
        <v>0.3</v>
      </c>
      <c r="J13" s="415">
        <v>6500000</v>
      </c>
      <c r="K13" s="416"/>
      <c r="L13" s="19">
        <v>7</v>
      </c>
      <c r="M13" s="4">
        <f t="shared" ref="M13:M18" si="0">N13/$N$54</f>
        <v>2.4854888353782655E-2</v>
      </c>
      <c r="N13" s="415">
        <f t="shared" ref="N13:N18" si="1">L13*I13*J13*H13</f>
        <v>13650000</v>
      </c>
      <c r="O13" s="416"/>
      <c r="P13" s="118"/>
    </row>
    <row r="14" spans="1:16" ht="13.5" x14ac:dyDescent="0.2">
      <c r="A14" s="17" t="s">
        <v>192</v>
      </c>
      <c r="B14" s="463" t="s">
        <v>193</v>
      </c>
      <c r="C14" s="418"/>
      <c r="D14" s="418"/>
      <c r="E14" s="418"/>
      <c r="F14" s="416"/>
      <c r="G14" s="81"/>
      <c r="H14" s="19">
        <v>1</v>
      </c>
      <c r="I14" s="20">
        <v>0.3</v>
      </c>
      <c r="J14" s="415">
        <v>6000000</v>
      </c>
      <c r="K14" s="416"/>
      <c r="L14" s="19">
        <v>6</v>
      </c>
      <c r="M14" s="4">
        <f t="shared" si="0"/>
        <v>1.9665406170025834E-2</v>
      </c>
      <c r="N14" s="415">
        <f t="shared" si="1"/>
        <v>10799999.999999998</v>
      </c>
      <c r="O14" s="416"/>
      <c r="P14" s="118"/>
    </row>
    <row r="15" spans="1:16" ht="13.5" x14ac:dyDescent="0.2">
      <c r="A15" s="17" t="s">
        <v>196</v>
      </c>
      <c r="B15" s="463" t="s">
        <v>197</v>
      </c>
      <c r="C15" s="418"/>
      <c r="D15" s="418"/>
      <c r="E15" s="418"/>
      <c r="F15" s="416"/>
      <c r="G15" s="81"/>
      <c r="H15" s="19">
        <v>1</v>
      </c>
      <c r="I15" s="20">
        <v>0.3</v>
      </c>
      <c r="J15" s="415">
        <v>6000000</v>
      </c>
      <c r="K15" s="416"/>
      <c r="L15" s="19">
        <v>6</v>
      </c>
      <c r="M15" s="4">
        <f t="shared" si="0"/>
        <v>1.9665406170025834E-2</v>
      </c>
      <c r="N15" s="415">
        <f t="shared" si="1"/>
        <v>10799999.999999998</v>
      </c>
      <c r="O15" s="416"/>
      <c r="P15" s="118"/>
    </row>
    <row r="16" spans="1:16" ht="13.5" x14ac:dyDescent="0.2">
      <c r="A16" s="17" t="s">
        <v>198</v>
      </c>
      <c r="B16" s="463" t="s">
        <v>199</v>
      </c>
      <c r="C16" s="418"/>
      <c r="D16" s="418"/>
      <c r="E16" s="418"/>
      <c r="F16" s="416"/>
      <c r="G16" s="81"/>
      <c r="H16" s="19">
        <v>1</v>
      </c>
      <c r="I16" s="20">
        <v>1</v>
      </c>
      <c r="J16" s="415">
        <v>3500000</v>
      </c>
      <c r="K16" s="416"/>
      <c r="L16" s="19">
        <v>7</v>
      </c>
      <c r="M16" s="4">
        <f t="shared" si="0"/>
        <v>4.4611338070891945E-2</v>
      </c>
      <c r="N16" s="415">
        <f t="shared" si="1"/>
        <v>24500000</v>
      </c>
      <c r="O16" s="416"/>
      <c r="P16" s="118"/>
    </row>
    <row r="17" spans="1:16" ht="13.5" x14ac:dyDescent="0.2">
      <c r="A17" s="17" t="s">
        <v>200</v>
      </c>
      <c r="B17" s="463" t="s">
        <v>201</v>
      </c>
      <c r="C17" s="418"/>
      <c r="D17" s="418"/>
      <c r="E17" s="418"/>
      <c r="F17" s="416"/>
      <c r="G17" s="81"/>
      <c r="H17" s="19">
        <v>1</v>
      </c>
      <c r="I17" s="20">
        <v>0.5</v>
      </c>
      <c r="J17" s="415">
        <v>3500000</v>
      </c>
      <c r="K17" s="416"/>
      <c r="L17" s="19">
        <v>6</v>
      </c>
      <c r="M17" s="4">
        <f t="shared" si="0"/>
        <v>1.9119144887525117E-2</v>
      </c>
      <c r="N17" s="415">
        <f t="shared" si="1"/>
        <v>10500000</v>
      </c>
      <c r="O17" s="416"/>
      <c r="P17" s="118"/>
    </row>
    <row r="18" spans="1:16" ht="13.5" x14ac:dyDescent="0.2">
      <c r="A18" s="17" t="s">
        <v>204</v>
      </c>
      <c r="B18" s="465" t="s">
        <v>1985</v>
      </c>
      <c r="C18" s="418"/>
      <c r="D18" s="418"/>
      <c r="E18" s="418"/>
      <c r="F18" s="416"/>
      <c r="G18" s="81"/>
      <c r="H18" s="19">
        <v>1</v>
      </c>
      <c r="I18" s="20">
        <v>1</v>
      </c>
      <c r="J18" s="415">
        <v>3500000</v>
      </c>
      <c r="K18" s="416"/>
      <c r="L18" s="19">
        <v>6</v>
      </c>
      <c r="M18" s="4">
        <f t="shared" si="0"/>
        <v>3.8238289775050234E-2</v>
      </c>
      <c r="N18" s="415">
        <f t="shared" si="1"/>
        <v>21000000</v>
      </c>
      <c r="O18" s="416"/>
      <c r="P18" s="118"/>
    </row>
    <row r="19" spans="1:16" ht="13.5" x14ac:dyDescent="0.2">
      <c r="A19" s="10"/>
      <c r="B19" s="427"/>
      <c r="C19" s="427"/>
      <c r="D19" s="427"/>
      <c r="E19" s="427"/>
      <c r="F19" s="427"/>
      <c r="G19" s="10"/>
      <c r="H19" s="430" t="s">
        <v>1980</v>
      </c>
      <c r="I19" s="418"/>
      <c r="J19" s="418"/>
      <c r="K19" s="418"/>
      <c r="L19" s="418"/>
      <c r="M19" s="416"/>
      <c r="N19" s="415">
        <f>SUM(N13:N18)</f>
        <v>91250000</v>
      </c>
      <c r="O19" s="416"/>
    </row>
    <row r="20" spans="1:16" ht="13.5" x14ac:dyDescent="0.2">
      <c r="A20" s="391"/>
      <c r="B20" s="443" t="s">
        <v>1978</v>
      </c>
      <c r="C20" s="443"/>
      <c r="D20" s="443"/>
      <c r="E20" s="443"/>
      <c r="F20" s="444"/>
      <c r="G20" s="391"/>
      <c r="H20" s="394"/>
      <c r="I20" s="387"/>
      <c r="J20" s="387"/>
      <c r="K20" s="387"/>
      <c r="L20" s="387"/>
      <c r="M20" s="395"/>
      <c r="N20" s="390"/>
      <c r="O20" s="389"/>
    </row>
    <row r="21" spans="1:16" ht="13.5" x14ac:dyDescent="0.2">
      <c r="A21" s="391"/>
      <c r="B21" s="445" t="s">
        <v>1979</v>
      </c>
      <c r="C21" s="446"/>
      <c r="D21" s="446"/>
      <c r="E21" s="446"/>
      <c r="F21" s="446"/>
      <c r="G21" s="391"/>
      <c r="H21" s="396">
        <v>1</v>
      </c>
      <c r="I21" s="397">
        <v>1</v>
      </c>
      <c r="J21" s="449">
        <v>2000000</v>
      </c>
      <c r="K21" s="449"/>
      <c r="L21" s="399">
        <v>6</v>
      </c>
      <c r="M21" s="398">
        <f>N21/$N$54</f>
        <v>2.1850451300028707E-2</v>
      </c>
      <c r="N21" s="450">
        <f>I21*J21*L21*H21</f>
        <v>12000000</v>
      </c>
      <c r="O21" s="451"/>
    </row>
    <row r="22" spans="1:16" ht="13.5" x14ac:dyDescent="0.2">
      <c r="A22" s="391"/>
      <c r="B22" s="392"/>
      <c r="C22" s="393"/>
      <c r="D22" s="393"/>
      <c r="E22" s="393"/>
      <c r="F22" s="393"/>
      <c r="G22" s="391"/>
      <c r="H22" s="454" t="s">
        <v>1981</v>
      </c>
      <c r="I22" s="455"/>
      <c r="J22" s="455"/>
      <c r="K22" s="455"/>
      <c r="L22" s="455"/>
      <c r="M22" s="455"/>
      <c r="N22" s="452">
        <f>N19+N21</f>
        <v>103250000</v>
      </c>
      <c r="O22" s="453"/>
    </row>
    <row r="23" spans="1:16" ht="13.5" x14ac:dyDescent="0.2">
      <c r="A23" s="391"/>
      <c r="B23" s="447"/>
      <c r="C23" s="448"/>
      <c r="D23" s="448"/>
      <c r="E23" s="448"/>
      <c r="F23" s="448"/>
      <c r="G23" s="391"/>
      <c r="H23" s="458" t="s">
        <v>211</v>
      </c>
      <c r="I23" s="437"/>
      <c r="J23" s="437"/>
      <c r="K23" s="437"/>
      <c r="L23" s="437"/>
      <c r="M23" s="459"/>
      <c r="N23" s="460">
        <f>'04'!I2</f>
        <v>1.88995</v>
      </c>
      <c r="O23" s="416"/>
    </row>
    <row r="24" spans="1:16" ht="13.5" x14ac:dyDescent="0.2">
      <c r="A24" s="10"/>
      <c r="B24" s="10"/>
      <c r="C24" s="10"/>
      <c r="D24" s="10"/>
      <c r="E24" s="10"/>
      <c r="F24" s="133"/>
      <c r="G24" s="391"/>
      <c r="H24" s="419" t="s">
        <v>212</v>
      </c>
      <c r="I24" s="418"/>
      <c r="J24" s="418"/>
      <c r="K24" s="418"/>
      <c r="L24" s="418"/>
      <c r="M24" s="416"/>
      <c r="N24" s="461">
        <f>+N22*N23</f>
        <v>195137337.5</v>
      </c>
      <c r="O24" s="462"/>
    </row>
    <row r="25" spans="1:16" ht="13.5" x14ac:dyDescent="0.2">
      <c r="A25" s="21"/>
      <c r="B25" s="22"/>
      <c r="C25" s="22"/>
      <c r="D25" s="22"/>
      <c r="E25" s="22"/>
      <c r="F25" s="22"/>
      <c r="G25" s="1"/>
      <c r="H25" s="1"/>
      <c r="I25" s="1"/>
      <c r="J25" s="1"/>
      <c r="K25" s="1"/>
      <c r="L25" s="1"/>
      <c r="M25" s="1"/>
      <c r="N25" s="1"/>
      <c r="O25" s="1"/>
    </row>
    <row r="26" spans="1:16" x14ac:dyDescent="0.2">
      <c r="A26" s="23" t="s">
        <v>213</v>
      </c>
      <c r="B26" s="441" t="s">
        <v>214</v>
      </c>
      <c r="C26" s="418"/>
      <c r="D26" s="418"/>
      <c r="E26" s="418"/>
      <c r="F26" s="418"/>
      <c r="G26" s="418"/>
      <c r="H26" s="418"/>
      <c r="I26" s="418"/>
      <c r="J26" s="418"/>
      <c r="K26" s="418"/>
      <c r="L26" s="418"/>
      <c r="M26" s="418"/>
      <c r="N26" s="418"/>
      <c r="O26" s="416"/>
    </row>
    <row r="27" spans="1:16" x14ac:dyDescent="0.2">
      <c r="A27" s="407" t="s">
        <v>181</v>
      </c>
      <c r="B27" s="409" t="s">
        <v>39</v>
      </c>
      <c r="C27" s="410"/>
      <c r="D27" s="410"/>
      <c r="E27" s="410"/>
      <c r="F27" s="410"/>
      <c r="G27" s="411"/>
      <c r="H27" s="407" t="s">
        <v>40</v>
      </c>
      <c r="I27" s="407" t="s">
        <v>184</v>
      </c>
      <c r="J27" s="409" t="s">
        <v>186</v>
      </c>
      <c r="K27" s="411"/>
      <c r="L27" s="407" t="s">
        <v>215</v>
      </c>
      <c r="M27" s="407" t="s">
        <v>188</v>
      </c>
      <c r="N27" s="409" t="s">
        <v>189</v>
      </c>
      <c r="O27" s="411"/>
    </row>
    <row r="28" spans="1:16" x14ac:dyDescent="0.2">
      <c r="A28" s="408"/>
      <c r="B28" s="412"/>
      <c r="C28" s="413"/>
      <c r="D28" s="413"/>
      <c r="E28" s="413"/>
      <c r="F28" s="413"/>
      <c r="G28" s="414"/>
      <c r="H28" s="408"/>
      <c r="I28" s="408"/>
      <c r="J28" s="412"/>
      <c r="K28" s="414"/>
      <c r="L28" s="408"/>
      <c r="M28" s="408"/>
      <c r="N28" s="412"/>
      <c r="O28" s="414"/>
    </row>
    <row r="29" spans="1:16" ht="13.5" x14ac:dyDescent="0.2">
      <c r="A29" s="24" t="s">
        <v>216</v>
      </c>
      <c r="B29" s="417" t="s">
        <v>217</v>
      </c>
      <c r="C29" s="418"/>
      <c r="D29" s="418"/>
      <c r="E29" s="418"/>
      <c r="F29" s="418"/>
      <c r="G29" s="416"/>
      <c r="H29" s="25" t="s">
        <v>218</v>
      </c>
      <c r="I29" s="3">
        <v>1</v>
      </c>
      <c r="J29" s="415">
        <v>800000</v>
      </c>
      <c r="K29" s="416"/>
      <c r="L29" s="19">
        <v>6</v>
      </c>
      <c r="M29" s="4">
        <f t="shared" ref="M29:M35" si="2">N29/$N$54</f>
        <v>8.740180520011482E-3</v>
      </c>
      <c r="N29" s="415">
        <f>J29*I29*L29</f>
        <v>4800000</v>
      </c>
      <c r="O29" s="416"/>
    </row>
    <row r="30" spans="1:16" ht="13.5" x14ac:dyDescent="0.2">
      <c r="A30" s="24" t="s">
        <v>221</v>
      </c>
      <c r="B30" s="417" t="s">
        <v>222</v>
      </c>
      <c r="C30" s="418"/>
      <c r="D30" s="418"/>
      <c r="E30" s="418"/>
      <c r="F30" s="418"/>
      <c r="G30" s="416"/>
      <c r="H30" s="25" t="s">
        <v>218</v>
      </c>
      <c r="I30" s="3">
        <v>1</v>
      </c>
      <c r="J30" s="415">
        <v>500000</v>
      </c>
      <c r="K30" s="416"/>
      <c r="L30" s="19">
        <v>6</v>
      </c>
      <c r="M30" s="4">
        <f t="shared" si="2"/>
        <v>5.4626128250071767E-3</v>
      </c>
      <c r="N30" s="415">
        <f>J30*I30*L30</f>
        <v>3000000</v>
      </c>
      <c r="O30" s="416"/>
    </row>
    <row r="31" spans="1:16" ht="13.5" x14ac:dyDescent="0.2">
      <c r="A31" s="24" t="s">
        <v>223</v>
      </c>
      <c r="B31" s="417" t="s">
        <v>224</v>
      </c>
      <c r="C31" s="418"/>
      <c r="D31" s="418"/>
      <c r="E31" s="418"/>
      <c r="F31" s="418"/>
      <c r="G31" s="416"/>
      <c r="H31" s="25" t="s">
        <v>218</v>
      </c>
      <c r="I31" s="3">
        <v>1</v>
      </c>
      <c r="J31" s="415">
        <f>6000000</f>
        <v>6000000</v>
      </c>
      <c r="K31" s="416"/>
      <c r="L31" s="19">
        <v>6</v>
      </c>
      <c r="M31" s="4">
        <f t="shared" si="2"/>
        <v>6.5551353900086123E-2</v>
      </c>
      <c r="N31" s="415">
        <f>J31*I31*L31</f>
        <v>36000000</v>
      </c>
      <c r="O31" s="416"/>
    </row>
    <row r="32" spans="1:16" ht="24" customHeight="1" x14ac:dyDescent="0.2">
      <c r="A32" s="24" t="s">
        <v>225</v>
      </c>
      <c r="B32" s="420" t="s">
        <v>1987</v>
      </c>
      <c r="C32" s="456"/>
      <c r="D32" s="456"/>
      <c r="E32" s="456"/>
      <c r="F32" s="456"/>
      <c r="G32" s="457"/>
      <c r="H32" s="25" t="s">
        <v>218</v>
      </c>
      <c r="I32" s="3">
        <v>1</v>
      </c>
      <c r="J32" s="415">
        <v>921149.14260439074</v>
      </c>
      <c r="K32" s="416"/>
      <c r="L32" s="19">
        <v>6</v>
      </c>
      <c r="M32" s="4">
        <f t="shared" si="2"/>
        <v>1.0063762240270219E-2</v>
      </c>
      <c r="N32" s="415">
        <f>J32*I32*L32</f>
        <v>5526894.8556263447</v>
      </c>
      <c r="O32" s="416"/>
    </row>
    <row r="33" spans="1:15" ht="13.5" x14ac:dyDescent="0.2">
      <c r="A33" s="24" t="s">
        <v>1493</v>
      </c>
      <c r="B33" s="442" t="s">
        <v>1121</v>
      </c>
      <c r="C33" s="418"/>
      <c r="D33" s="418"/>
      <c r="E33" s="418"/>
      <c r="F33" s="418"/>
      <c r="G33" s="416"/>
      <c r="H33" s="25" t="s">
        <v>218</v>
      </c>
      <c r="I33" s="3">
        <v>1</v>
      </c>
      <c r="J33" s="415">
        <v>2000000</v>
      </c>
      <c r="K33" s="416"/>
      <c r="L33" s="19">
        <v>1</v>
      </c>
      <c r="M33" s="4">
        <f t="shared" si="2"/>
        <v>3.6417418833381179E-3</v>
      </c>
      <c r="N33" s="415">
        <f>J33*L33*I33</f>
        <v>2000000</v>
      </c>
      <c r="O33" s="416"/>
    </row>
    <row r="34" spans="1:15" ht="13.5" x14ac:dyDescent="0.2">
      <c r="A34" s="24" t="s">
        <v>228</v>
      </c>
      <c r="B34" s="417" t="s">
        <v>231</v>
      </c>
      <c r="C34" s="428"/>
      <c r="D34" s="428"/>
      <c r="E34" s="428"/>
      <c r="F34" s="428"/>
      <c r="G34" s="435"/>
      <c r="H34" s="403" t="s">
        <v>218</v>
      </c>
      <c r="I34" s="388">
        <v>0.5</v>
      </c>
      <c r="J34" s="434">
        <v>2000000</v>
      </c>
      <c r="K34" s="435"/>
      <c r="L34" s="19">
        <v>6</v>
      </c>
      <c r="M34" s="4">
        <f t="shared" si="2"/>
        <v>1.0925225650014353E-2</v>
      </c>
      <c r="N34" s="415">
        <f>J34*L34*I34</f>
        <v>6000000</v>
      </c>
      <c r="O34" s="416"/>
    </row>
    <row r="35" spans="1:15" ht="13.5" x14ac:dyDescent="0.2">
      <c r="A35" s="401"/>
      <c r="B35" s="402"/>
      <c r="C35" s="417" t="s">
        <v>1986</v>
      </c>
      <c r="D35" s="428"/>
      <c r="E35" s="428"/>
      <c r="F35" s="428"/>
      <c r="G35" s="428"/>
      <c r="H35" s="405" t="s">
        <v>475</v>
      </c>
      <c r="I35" s="404">
        <v>1</v>
      </c>
      <c r="J35" s="421">
        <v>2000000</v>
      </c>
      <c r="K35" s="422"/>
      <c r="L35" s="19">
        <v>1</v>
      </c>
      <c r="M35" s="4">
        <f t="shared" si="2"/>
        <v>3.6417418833381179E-3</v>
      </c>
      <c r="N35" s="415">
        <f>J35*L35*I35</f>
        <v>2000000</v>
      </c>
      <c r="O35" s="416"/>
    </row>
    <row r="36" spans="1:15" ht="13.5" x14ac:dyDescent="0.2">
      <c r="A36" s="10"/>
      <c r="B36" s="10"/>
      <c r="C36" s="10"/>
      <c r="D36" s="10"/>
      <c r="E36" s="10"/>
      <c r="F36" s="26"/>
      <c r="G36" s="10"/>
      <c r="H36" s="436" t="s">
        <v>232</v>
      </c>
      <c r="I36" s="437"/>
      <c r="J36" s="437"/>
      <c r="K36" s="437"/>
      <c r="L36" s="437"/>
      <c r="M36" s="416"/>
      <c r="N36" s="415">
        <f>SUM(N29:N35)</f>
        <v>59326894.855626345</v>
      </c>
      <c r="O36" s="416"/>
    </row>
    <row r="37" spans="1:15" ht="13.5" x14ac:dyDescent="0.2">
      <c r="A37" s="21"/>
      <c r="B37" s="22"/>
      <c r="C37" s="22"/>
      <c r="D37" s="22"/>
      <c r="E37" s="22"/>
      <c r="F37" s="22"/>
      <c r="G37" s="1"/>
      <c r="H37" s="1"/>
      <c r="I37" s="1"/>
      <c r="J37" s="1"/>
      <c r="K37" s="1"/>
      <c r="L37" s="1"/>
      <c r="M37" s="1"/>
      <c r="N37" s="1"/>
      <c r="O37" s="1"/>
    </row>
    <row r="38" spans="1:15" x14ac:dyDescent="0.2">
      <c r="A38" s="23" t="s">
        <v>233</v>
      </c>
      <c r="B38" s="441" t="s">
        <v>234</v>
      </c>
      <c r="C38" s="418"/>
      <c r="D38" s="418"/>
      <c r="E38" s="418"/>
      <c r="F38" s="418"/>
      <c r="G38" s="418"/>
      <c r="H38" s="418"/>
      <c r="I38" s="418"/>
      <c r="J38" s="418"/>
      <c r="K38" s="418"/>
      <c r="L38" s="418"/>
      <c r="M38" s="418"/>
      <c r="N38" s="418"/>
      <c r="O38" s="416"/>
    </row>
    <row r="39" spans="1:15" x14ac:dyDescent="0.2">
      <c r="A39" s="407" t="s">
        <v>181</v>
      </c>
      <c r="B39" s="409" t="s">
        <v>39</v>
      </c>
      <c r="C39" s="410"/>
      <c r="D39" s="410"/>
      <c r="E39" s="410"/>
      <c r="F39" s="410"/>
      <c r="G39" s="411"/>
      <c r="H39" s="407" t="s">
        <v>40</v>
      </c>
      <c r="I39" s="407" t="s">
        <v>184</v>
      </c>
      <c r="J39" s="409" t="s">
        <v>186</v>
      </c>
      <c r="K39" s="411"/>
      <c r="L39" s="407" t="s">
        <v>13</v>
      </c>
      <c r="M39" s="407" t="s">
        <v>188</v>
      </c>
      <c r="N39" s="409" t="s">
        <v>189</v>
      </c>
      <c r="O39" s="411"/>
    </row>
    <row r="40" spans="1:15" x14ac:dyDescent="0.2">
      <c r="A40" s="408"/>
      <c r="B40" s="412"/>
      <c r="C40" s="413"/>
      <c r="D40" s="413"/>
      <c r="E40" s="413"/>
      <c r="F40" s="413"/>
      <c r="G40" s="414"/>
      <c r="H40" s="408"/>
      <c r="I40" s="408"/>
      <c r="J40" s="412"/>
      <c r="K40" s="414"/>
      <c r="L40" s="408"/>
      <c r="M40" s="408"/>
      <c r="N40" s="412"/>
      <c r="O40" s="414"/>
    </row>
    <row r="41" spans="1:15" ht="13.5" x14ac:dyDescent="0.2">
      <c r="A41" s="24" t="s">
        <v>235</v>
      </c>
      <c r="B41" s="417" t="s">
        <v>236</v>
      </c>
      <c r="C41" s="418"/>
      <c r="D41" s="418"/>
      <c r="E41" s="418"/>
      <c r="F41" s="418"/>
      <c r="G41" s="416"/>
      <c r="H41" s="25" t="s">
        <v>218</v>
      </c>
      <c r="I41" s="3">
        <v>1</v>
      </c>
      <c r="J41" s="439">
        <f>D8</f>
        <v>2562813113.4373622</v>
      </c>
      <c r="K41" s="440"/>
      <c r="L41" s="81">
        <v>0.01</v>
      </c>
      <c r="M41" s="4">
        <f>N41/$N$54</f>
        <v>4.6665519271865026E-2</v>
      </c>
      <c r="N41" s="415">
        <f>J41*I41*L41</f>
        <v>25628131.134373624</v>
      </c>
      <c r="O41" s="416"/>
    </row>
    <row r="42" spans="1:15" ht="13.5" x14ac:dyDescent="0.2">
      <c r="A42" s="10"/>
      <c r="B42" s="10"/>
      <c r="C42" s="10"/>
      <c r="D42" s="10"/>
      <c r="E42" s="10"/>
      <c r="F42" s="26"/>
      <c r="G42" s="10"/>
      <c r="H42" s="430" t="s">
        <v>232</v>
      </c>
      <c r="I42" s="418"/>
      <c r="J42" s="418"/>
      <c r="K42" s="418"/>
      <c r="L42" s="418"/>
      <c r="M42" s="416"/>
      <c r="N42" s="415">
        <f>SUM(N41)</f>
        <v>25628131.134373624</v>
      </c>
      <c r="O42" s="416"/>
    </row>
    <row r="43" spans="1:15" ht="13.5" x14ac:dyDescent="0.2">
      <c r="A43" s="21"/>
      <c r="B43" s="22"/>
      <c r="C43" s="22"/>
      <c r="D43" s="22"/>
      <c r="E43" s="22"/>
      <c r="F43" s="22"/>
      <c r="G43" s="1"/>
      <c r="H43" s="1"/>
      <c r="I43" s="1"/>
      <c r="J43" s="1"/>
      <c r="K43" s="1"/>
      <c r="L43" s="1"/>
      <c r="M43" s="1"/>
      <c r="N43" s="1"/>
      <c r="O43" s="1"/>
    </row>
    <row r="44" spans="1:15" x14ac:dyDescent="0.2">
      <c r="A44" s="23" t="s">
        <v>237</v>
      </c>
      <c r="B44" s="441" t="s">
        <v>238</v>
      </c>
      <c r="C44" s="418"/>
      <c r="D44" s="418"/>
      <c r="E44" s="418"/>
      <c r="F44" s="418"/>
      <c r="G44" s="418"/>
      <c r="H44" s="418"/>
      <c r="I44" s="418"/>
      <c r="J44" s="418"/>
      <c r="K44" s="418"/>
      <c r="L44" s="418"/>
      <c r="M44" s="418"/>
      <c r="N44" s="418"/>
      <c r="O44" s="416"/>
    </row>
    <row r="45" spans="1:15" x14ac:dyDescent="0.2">
      <c r="A45" s="407" t="s">
        <v>181</v>
      </c>
      <c r="B45" s="409" t="s">
        <v>39</v>
      </c>
      <c r="C45" s="410"/>
      <c r="D45" s="410"/>
      <c r="E45" s="410"/>
      <c r="F45" s="410"/>
      <c r="G45" s="411"/>
      <c r="H45" s="407" t="s">
        <v>40</v>
      </c>
      <c r="I45" s="407" t="s">
        <v>184</v>
      </c>
      <c r="J45" s="409" t="s">
        <v>186</v>
      </c>
      <c r="K45" s="411"/>
      <c r="L45" s="407" t="s">
        <v>215</v>
      </c>
      <c r="M45" s="407" t="s">
        <v>188</v>
      </c>
      <c r="N45" s="409" t="s">
        <v>189</v>
      </c>
      <c r="O45" s="411"/>
    </row>
    <row r="46" spans="1:15" x14ac:dyDescent="0.2">
      <c r="A46" s="408"/>
      <c r="B46" s="412"/>
      <c r="C46" s="413"/>
      <c r="D46" s="413"/>
      <c r="E46" s="413"/>
      <c r="F46" s="413"/>
      <c r="G46" s="414"/>
      <c r="H46" s="408"/>
      <c r="I46" s="408"/>
      <c r="J46" s="412"/>
      <c r="K46" s="414"/>
      <c r="L46" s="408"/>
      <c r="M46" s="408"/>
      <c r="N46" s="412"/>
      <c r="O46" s="414"/>
    </row>
    <row r="47" spans="1:15" ht="13.5" x14ac:dyDescent="0.2">
      <c r="A47" s="24" t="s">
        <v>241</v>
      </c>
      <c r="B47" s="417" t="s">
        <v>242</v>
      </c>
      <c r="C47" s="418"/>
      <c r="D47" s="418"/>
      <c r="E47" s="418"/>
      <c r="F47" s="418"/>
      <c r="G47" s="416"/>
      <c r="H47" s="25" t="s">
        <v>240</v>
      </c>
      <c r="I47" s="20">
        <v>1.4999999999999999E-2</v>
      </c>
      <c r="J47" s="415">
        <f>ROUND((I47*$D$8),0)</f>
        <v>38442197</v>
      </c>
      <c r="K47" s="416"/>
      <c r="L47" s="19">
        <v>1</v>
      </c>
      <c r="M47" s="4">
        <f>N47/$N$54</f>
        <v>6.9998279451217477E-2</v>
      </c>
      <c r="N47" s="415">
        <f>+J47*L47</f>
        <v>38442197</v>
      </c>
      <c r="O47" s="416"/>
    </row>
    <row r="48" spans="1:15" ht="13.5" x14ac:dyDescent="0.2">
      <c r="A48" s="24" t="s">
        <v>243</v>
      </c>
      <c r="B48" s="417" t="s">
        <v>244</v>
      </c>
      <c r="C48" s="418"/>
      <c r="D48" s="418"/>
      <c r="E48" s="418"/>
      <c r="F48" s="418"/>
      <c r="G48" s="416"/>
      <c r="H48" s="25" t="s">
        <v>240</v>
      </c>
      <c r="I48" s="20">
        <v>5.0000000000000001E-3</v>
      </c>
      <c r="J48" s="415">
        <f>ROUND((I48*$D$8),0)</f>
        <v>12814066</v>
      </c>
      <c r="K48" s="416"/>
      <c r="L48" s="19">
        <v>1</v>
      </c>
      <c r="M48" s="4">
        <f>N48/$N$54</f>
        <v>2.3332760424029472E-2</v>
      </c>
      <c r="N48" s="415">
        <f>+J48*L48</f>
        <v>12814066</v>
      </c>
      <c r="O48" s="416"/>
    </row>
    <row r="49" spans="1:18" ht="13.5" x14ac:dyDescent="0.2">
      <c r="A49" s="24" t="s">
        <v>245</v>
      </c>
      <c r="B49" s="417" t="s">
        <v>246</v>
      </c>
      <c r="C49" s="418"/>
      <c r="D49" s="418"/>
      <c r="E49" s="418"/>
      <c r="F49" s="418"/>
      <c r="G49" s="416"/>
      <c r="H49" s="25" t="s">
        <v>240</v>
      </c>
      <c r="I49" s="20">
        <v>1.4999999999999999E-2</v>
      </c>
      <c r="J49" s="415">
        <f>ROUND((I49*$D$8),0)</f>
        <v>38442197</v>
      </c>
      <c r="K49" s="416"/>
      <c r="L49" s="19">
        <v>1</v>
      </c>
      <c r="M49" s="4">
        <f>N49/$N$54</f>
        <v>6.9998279451217477E-2</v>
      </c>
      <c r="N49" s="415">
        <f>+J49*L49</f>
        <v>38442197</v>
      </c>
      <c r="O49" s="416"/>
    </row>
    <row r="50" spans="1:18" ht="13.5" x14ac:dyDescent="0.2">
      <c r="A50" s="400"/>
      <c r="B50" s="423" t="s">
        <v>1983</v>
      </c>
      <c r="C50" s="424"/>
      <c r="D50" s="424"/>
      <c r="E50" s="424"/>
      <c r="F50" s="424"/>
      <c r="G50" s="425"/>
      <c r="H50" s="25" t="s">
        <v>240</v>
      </c>
      <c r="I50" s="20">
        <v>0.02</v>
      </c>
      <c r="J50" s="415">
        <f>ROUND((I50*$D$8),0)</f>
        <v>51256262</v>
      </c>
      <c r="K50" s="416"/>
      <c r="L50" s="19">
        <v>1</v>
      </c>
      <c r="M50" s="4">
        <f>N50/$N$54</f>
        <v>9.3331038054375995E-2</v>
      </c>
      <c r="N50" s="415">
        <f>+J50*L50</f>
        <v>51256262</v>
      </c>
      <c r="O50" s="416"/>
    </row>
    <row r="51" spans="1:18" ht="13.5" x14ac:dyDescent="0.2">
      <c r="A51" s="24" t="s">
        <v>247</v>
      </c>
      <c r="B51" s="420" t="s">
        <v>1982</v>
      </c>
      <c r="C51" s="418"/>
      <c r="D51" s="418"/>
      <c r="E51" s="418"/>
      <c r="F51" s="418"/>
      <c r="G51" s="416"/>
      <c r="H51" s="25" t="s">
        <v>240</v>
      </c>
      <c r="I51" s="20">
        <v>0.05</v>
      </c>
      <c r="J51" s="415">
        <f>ROUND((I51*$D$8),0)</f>
        <v>128140656</v>
      </c>
      <c r="K51" s="416"/>
      <c r="L51" s="19">
        <v>1</v>
      </c>
      <c r="M51" s="27">
        <f>N51/$N$54</f>
        <v>0.23332759695681093</v>
      </c>
      <c r="N51" s="415">
        <f>+J51*L51</f>
        <v>128140656</v>
      </c>
      <c r="O51" s="416"/>
    </row>
    <row r="52" spans="1:18" ht="13.5" x14ac:dyDescent="0.25">
      <c r="A52" s="10"/>
      <c r="B52" s="10"/>
      <c r="C52" s="5"/>
      <c r="D52" s="5"/>
      <c r="E52" s="5"/>
      <c r="F52" s="5"/>
      <c r="G52" s="10"/>
      <c r="H52" s="430" t="s">
        <v>232</v>
      </c>
      <c r="I52" s="418"/>
      <c r="J52" s="418"/>
      <c r="K52" s="418"/>
      <c r="L52" s="418"/>
      <c r="M52" s="416"/>
      <c r="N52" s="415">
        <f>SUM(N47:N51)</f>
        <v>269095378</v>
      </c>
      <c r="O52" s="416"/>
    </row>
    <row r="53" spans="1:18" ht="13.5" x14ac:dyDescent="0.25">
      <c r="A53" s="21"/>
      <c r="B53" s="22"/>
      <c r="C53" s="5"/>
      <c r="D53" s="5"/>
      <c r="E53" s="5"/>
      <c r="F53" s="5"/>
      <c r="G53" s="1"/>
      <c r="H53" s="1"/>
      <c r="I53" s="1"/>
      <c r="J53" s="1"/>
      <c r="K53" s="1"/>
      <c r="L53" s="1"/>
      <c r="M53" s="1"/>
      <c r="N53" s="1"/>
      <c r="O53" s="1"/>
    </row>
    <row r="54" spans="1:18" ht="13.5" customHeight="1" x14ac:dyDescent="0.2">
      <c r="A54" s="426" t="s">
        <v>1984</v>
      </c>
      <c r="B54" s="426"/>
      <c r="C54" s="426"/>
      <c r="D54" s="426"/>
      <c r="E54" s="426"/>
      <c r="F54" s="426"/>
      <c r="G54" s="426"/>
      <c r="H54" s="431" t="s">
        <v>250</v>
      </c>
      <c r="I54" s="432"/>
      <c r="J54" s="432"/>
      <c r="K54" s="432"/>
      <c r="L54" s="432"/>
      <c r="M54" s="433"/>
      <c r="N54" s="415">
        <f>N24+N36+N42+N52</f>
        <v>549187741.49000001</v>
      </c>
      <c r="O54" s="416"/>
    </row>
    <row r="55" spans="1:18" ht="13.5" customHeight="1" x14ac:dyDescent="0.2">
      <c r="A55" s="426"/>
      <c r="B55" s="426"/>
      <c r="C55" s="426"/>
      <c r="D55" s="426"/>
      <c r="E55" s="426"/>
      <c r="F55" s="426"/>
      <c r="G55" s="426"/>
      <c r="H55" s="419" t="s">
        <v>251</v>
      </c>
      <c r="I55" s="418"/>
      <c r="J55" s="418"/>
      <c r="K55" s="418"/>
      <c r="L55" s="418"/>
      <c r="M55" s="416"/>
      <c r="N55" s="438">
        <v>1</v>
      </c>
      <c r="O55" s="416"/>
    </row>
    <row r="56" spans="1:18" ht="13.5" customHeight="1" x14ac:dyDescent="0.2">
      <c r="A56" s="426"/>
      <c r="B56" s="426"/>
      <c r="C56" s="426"/>
      <c r="D56" s="426"/>
      <c r="E56" s="426"/>
      <c r="F56" s="426"/>
      <c r="G56" s="426"/>
      <c r="H56" s="419" t="s">
        <v>252</v>
      </c>
      <c r="I56" s="418"/>
      <c r="J56" s="418"/>
      <c r="K56" s="418"/>
      <c r="L56" s="418"/>
      <c r="M56" s="416"/>
      <c r="N56" s="415">
        <f>N54*N55</f>
        <v>549187741.49000001</v>
      </c>
      <c r="O56" s="416"/>
      <c r="P56" s="118" cm="1">
        <f t="array" ref="P56:Q56">'01'!M176:N176</f>
        <v>549187741.48766196</v>
      </c>
      <c r="Q56" s="118">
        <v>0</v>
      </c>
    </row>
    <row r="57" spans="1:18" ht="13.5" x14ac:dyDescent="0.25">
      <c r="A57" s="10"/>
      <c r="B57" s="10"/>
      <c r="C57" s="5"/>
      <c r="D57" s="5"/>
      <c r="E57" s="5"/>
      <c r="F57" s="5"/>
      <c r="G57" s="10"/>
      <c r="H57" s="10"/>
      <c r="I57" s="10"/>
      <c r="J57" s="10"/>
      <c r="K57" s="10"/>
      <c r="L57" s="10"/>
      <c r="M57" s="10"/>
      <c r="N57" s="10"/>
      <c r="O57" s="10"/>
    </row>
    <row r="58" spans="1:18" ht="13.5" x14ac:dyDescent="0.25">
      <c r="A58" s="7"/>
      <c r="B58" s="7"/>
      <c r="C58" s="7"/>
      <c r="D58" s="7"/>
      <c r="E58" s="7"/>
      <c r="F58" s="7"/>
      <c r="G58" s="7"/>
      <c r="H58" s="7"/>
      <c r="I58" s="7"/>
      <c r="J58" s="7"/>
      <c r="K58" s="7"/>
      <c r="L58" s="7"/>
      <c r="M58" s="7"/>
      <c r="N58" s="7"/>
      <c r="O58" s="7"/>
      <c r="P58" s="7"/>
      <c r="Q58" s="7"/>
      <c r="R58" s="7"/>
    </row>
    <row r="59" spans="1:18" ht="14.25" thickBot="1" x14ac:dyDescent="0.3">
      <c r="A59" s="7"/>
      <c r="B59" s="7"/>
      <c r="H59" s="7"/>
      <c r="I59" s="7"/>
      <c r="J59" s="7"/>
      <c r="K59" s="190"/>
      <c r="L59" s="190"/>
      <c r="M59" s="132"/>
      <c r="N59" s="132"/>
      <c r="O59" s="132"/>
      <c r="P59" s="7"/>
      <c r="Q59" s="7"/>
      <c r="R59" s="7"/>
    </row>
    <row r="60" spans="1:18" ht="14.25" thickTop="1" x14ac:dyDescent="0.25">
      <c r="A60" s="7"/>
      <c r="B60" s="7"/>
      <c r="K60" s="429" t="s">
        <v>1126</v>
      </c>
      <c r="L60" s="429"/>
      <c r="M60" s="429"/>
      <c r="N60" s="429"/>
      <c r="O60" s="429"/>
      <c r="P60" s="7"/>
      <c r="Q60" s="7"/>
      <c r="R60" s="7"/>
    </row>
    <row r="61" spans="1:18" ht="13.5" x14ac:dyDescent="0.25">
      <c r="A61" s="7"/>
      <c r="B61" s="7"/>
      <c r="K61" s="406" t="s">
        <v>1127</v>
      </c>
      <c r="L61" s="406"/>
      <c r="M61" s="406"/>
      <c r="N61" s="406"/>
      <c r="O61" s="406"/>
      <c r="P61" s="7"/>
      <c r="Q61" s="7"/>
      <c r="R61" s="7"/>
    </row>
    <row r="62" spans="1:18" ht="13.5" x14ac:dyDescent="0.25">
      <c r="A62" s="7"/>
      <c r="B62" s="7"/>
      <c r="K62" s="406" t="s">
        <v>1123</v>
      </c>
      <c r="L62" s="406"/>
      <c r="M62" s="406"/>
      <c r="N62" s="406"/>
      <c r="O62" s="406"/>
      <c r="P62" s="7"/>
      <c r="Q62" s="7"/>
      <c r="R62" s="7"/>
    </row>
    <row r="63" spans="1:18" ht="13.5" x14ac:dyDescent="0.25">
      <c r="A63" s="7"/>
      <c r="B63" s="7"/>
      <c r="P63" s="7"/>
      <c r="Q63" s="7"/>
      <c r="R63" s="7"/>
    </row>
    <row r="66" spans="4:7" ht="13.5" customHeight="1" x14ac:dyDescent="0.2">
      <c r="D66" s="116"/>
      <c r="E66" s="116"/>
      <c r="F66" s="116"/>
      <c r="G66" s="116"/>
    </row>
  </sheetData>
  <mergeCells count="131">
    <mergeCell ref="A1:J3"/>
    <mergeCell ref="K1:L1"/>
    <mergeCell ref="M1:O3"/>
    <mergeCell ref="K2:L3"/>
    <mergeCell ref="A5:O6"/>
    <mergeCell ref="B16:F16"/>
    <mergeCell ref="B17:F17"/>
    <mergeCell ref="N16:O16"/>
    <mergeCell ref="J16:K16"/>
    <mergeCell ref="J17:K17"/>
    <mergeCell ref="B13:F13"/>
    <mergeCell ref="J13:K13"/>
    <mergeCell ref="A11:A12"/>
    <mergeCell ref="B8:C8"/>
    <mergeCell ref="J11:K12"/>
    <mergeCell ref="L11:L12"/>
    <mergeCell ref="D8:E8"/>
    <mergeCell ref="B10:O10"/>
    <mergeCell ref="B11:F12"/>
    <mergeCell ref="B14:F14"/>
    <mergeCell ref="H11:H12"/>
    <mergeCell ref="I11:I12"/>
    <mergeCell ref="J14:K14"/>
    <mergeCell ref="N18:O18"/>
    <mergeCell ref="G11:G12"/>
    <mergeCell ref="J15:K15"/>
    <mergeCell ref="B18:F18"/>
    <mergeCell ref="N19:O19"/>
    <mergeCell ref="N17:O17"/>
    <mergeCell ref="B15:F15"/>
    <mergeCell ref="J18:K18"/>
    <mergeCell ref="M11:M12"/>
    <mergeCell ref="N11:O12"/>
    <mergeCell ref="N13:O13"/>
    <mergeCell ref="N14:O14"/>
    <mergeCell ref="N15:O15"/>
    <mergeCell ref="H19:M19"/>
    <mergeCell ref="H23:M23"/>
    <mergeCell ref="N23:O23"/>
    <mergeCell ref="H24:M24"/>
    <mergeCell ref="N24:O24"/>
    <mergeCell ref="N32:O32"/>
    <mergeCell ref="N33:O33"/>
    <mergeCell ref="J31:K31"/>
    <mergeCell ref="J32:K32"/>
    <mergeCell ref="B20:F20"/>
    <mergeCell ref="B21:F21"/>
    <mergeCell ref="B23:F23"/>
    <mergeCell ref="J21:K21"/>
    <mergeCell ref="N21:O21"/>
    <mergeCell ref="N22:O22"/>
    <mergeCell ref="H22:M22"/>
    <mergeCell ref="B26:O26"/>
    <mergeCell ref="J30:K30"/>
    <mergeCell ref="N30:O30"/>
    <mergeCell ref="N31:O31"/>
    <mergeCell ref="J33:K33"/>
    <mergeCell ref="B30:G30"/>
    <mergeCell ref="B31:G31"/>
    <mergeCell ref="B32:G32"/>
    <mergeCell ref="B39:G40"/>
    <mergeCell ref="B41:G41"/>
    <mergeCell ref="L39:L40"/>
    <mergeCell ref="M39:M40"/>
    <mergeCell ref="N41:O41"/>
    <mergeCell ref="H42:M42"/>
    <mergeCell ref="B33:G33"/>
    <mergeCell ref="B34:G34"/>
    <mergeCell ref="I39:I40"/>
    <mergeCell ref="J39:K40"/>
    <mergeCell ref="N36:O36"/>
    <mergeCell ref="B38:O38"/>
    <mergeCell ref="I45:I46"/>
    <mergeCell ref="J45:K46"/>
    <mergeCell ref="L45:L46"/>
    <mergeCell ref="J47:K47"/>
    <mergeCell ref="N42:O42"/>
    <mergeCell ref="B44:O44"/>
    <mergeCell ref="B47:G47"/>
    <mergeCell ref="N47:O47"/>
    <mergeCell ref="M45:M46"/>
    <mergeCell ref="N45:O46"/>
    <mergeCell ref="B45:G46"/>
    <mergeCell ref="B50:G50"/>
    <mergeCell ref="A54:G56"/>
    <mergeCell ref="B19:F19"/>
    <mergeCell ref="C35:G35"/>
    <mergeCell ref="K60:O60"/>
    <mergeCell ref="H52:M52"/>
    <mergeCell ref="H54:M54"/>
    <mergeCell ref="H55:M55"/>
    <mergeCell ref="J34:K34"/>
    <mergeCell ref="H36:M36"/>
    <mergeCell ref="M27:M28"/>
    <mergeCell ref="N27:O28"/>
    <mergeCell ref="N52:O52"/>
    <mergeCell ref="N54:O54"/>
    <mergeCell ref="N55:O55"/>
    <mergeCell ref="N35:O35"/>
    <mergeCell ref="J41:K41"/>
    <mergeCell ref="J50:K50"/>
    <mergeCell ref="N50:O50"/>
    <mergeCell ref="A39:A40"/>
    <mergeCell ref="H39:H40"/>
    <mergeCell ref="N39:O40"/>
    <mergeCell ref="A45:A46"/>
    <mergeCell ref="H45:H46"/>
    <mergeCell ref="K61:O61"/>
    <mergeCell ref="K62:O62"/>
    <mergeCell ref="A27:A28"/>
    <mergeCell ref="B27:G28"/>
    <mergeCell ref="H27:H28"/>
    <mergeCell ref="I27:I28"/>
    <mergeCell ref="L27:L28"/>
    <mergeCell ref="N29:O29"/>
    <mergeCell ref="J27:K28"/>
    <mergeCell ref="J29:K29"/>
    <mergeCell ref="B29:G29"/>
    <mergeCell ref="N56:O56"/>
    <mergeCell ref="H56:M56"/>
    <mergeCell ref="N48:O48"/>
    <mergeCell ref="J48:K48"/>
    <mergeCell ref="J49:K49"/>
    <mergeCell ref="N49:O49"/>
    <mergeCell ref="J51:K51"/>
    <mergeCell ref="N51:O51"/>
    <mergeCell ref="N34:O34"/>
    <mergeCell ref="B48:G48"/>
    <mergeCell ref="B49:G49"/>
    <mergeCell ref="B51:G51"/>
    <mergeCell ref="J35:K35"/>
  </mergeCells>
  <conditionalFormatting sqref="M13:M18 M41 M47:M51 M29:M35">
    <cfRule type="colorScale" priority="648">
      <colorScale>
        <cfvo type="min"/>
        <cfvo type="percentile" val="50"/>
        <cfvo type="max"/>
        <color rgb="FF63BE7B"/>
        <color rgb="FFFFEB84"/>
        <color rgb="FFF8696B"/>
      </colorScale>
    </cfRule>
  </conditionalFormatting>
  <printOptions horizontalCentered="1"/>
  <pageMargins left="1.1811023622047245" right="1.1811023622047245" top="0.39370078740157483" bottom="0.39370078740157483" header="0.31496062992125984" footer="0.31496062992125984"/>
  <pageSetup paperSize="9"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5"/>
  <sheetViews>
    <sheetView view="pageBreakPreview" zoomScaleNormal="100" zoomScaleSheetLayoutView="100" workbookViewId="0">
      <selection activeCell="N33" sqref="N33:O33"/>
    </sheetView>
  </sheetViews>
  <sheetFormatPr baseColWidth="10" defaultRowHeight="12.75" x14ac:dyDescent="0.2"/>
  <cols>
    <col min="17" max="17" width="16.5703125" bestFit="1" customWidth="1"/>
  </cols>
  <sheetData>
    <row r="1" spans="1:15" x14ac:dyDescent="0.2">
      <c r="A1" s="466" t="str">
        <f>Indice!$A$1</f>
        <v>CONSTRUCCIÓN DEL SISTEMA DE ACUEDUCTO IDOLOS, EL TIGRE, MUNICIPIO DE ISNOS – DEPARTAMENTO DEL HUILA – FASE I.</v>
      </c>
      <c r="B1" s="410"/>
      <c r="C1" s="410"/>
      <c r="D1" s="410"/>
      <c r="E1" s="410"/>
      <c r="F1" s="410"/>
      <c r="G1" s="410"/>
      <c r="H1" s="410"/>
      <c r="I1" s="410"/>
      <c r="J1" s="411"/>
      <c r="K1" s="470" t="s">
        <v>0</v>
      </c>
      <c r="L1" s="416"/>
      <c r="M1" s="471">
        <f>N33</f>
        <v>321774515</v>
      </c>
      <c r="N1" s="410"/>
      <c r="O1" s="411"/>
    </row>
    <row r="2" spans="1:15" x14ac:dyDescent="0.2">
      <c r="A2" s="467"/>
      <c r="B2" s="468"/>
      <c r="C2" s="468"/>
      <c r="D2" s="468"/>
      <c r="E2" s="468"/>
      <c r="F2" s="468"/>
      <c r="G2" s="468"/>
      <c r="H2" s="468"/>
      <c r="I2" s="468"/>
      <c r="J2" s="469"/>
      <c r="K2" s="839">
        <f>Indice!$I$2</f>
        <v>45972</v>
      </c>
      <c r="L2" s="411"/>
      <c r="M2" s="467"/>
      <c r="N2" s="468"/>
      <c r="O2" s="469"/>
    </row>
    <row r="3" spans="1:15" x14ac:dyDescent="0.2">
      <c r="A3" s="412"/>
      <c r="B3" s="413"/>
      <c r="C3" s="413"/>
      <c r="D3" s="413"/>
      <c r="E3" s="413"/>
      <c r="F3" s="413"/>
      <c r="G3" s="413"/>
      <c r="H3" s="413"/>
      <c r="I3" s="413"/>
      <c r="J3" s="414"/>
      <c r="K3" s="412"/>
      <c r="L3" s="414"/>
      <c r="M3" s="412"/>
      <c r="N3" s="413"/>
      <c r="O3" s="414"/>
    </row>
    <row r="4" spans="1:15" ht="13.5" x14ac:dyDescent="0.25">
      <c r="A4" s="5"/>
      <c r="B4" s="5"/>
      <c r="C4" s="5"/>
      <c r="D4" s="5"/>
      <c r="E4" s="5"/>
      <c r="F4" s="5"/>
      <c r="G4" s="5"/>
      <c r="H4" s="5"/>
      <c r="I4" s="5"/>
      <c r="J4" s="5"/>
      <c r="K4" s="5"/>
      <c r="L4" s="5"/>
      <c r="M4" s="14"/>
      <c r="N4" s="15"/>
      <c r="O4" s="15"/>
    </row>
    <row r="5" spans="1:15" ht="12.75" customHeight="1" x14ac:dyDescent="0.2">
      <c r="A5" s="473" t="s">
        <v>1101</v>
      </c>
      <c r="B5" s="474"/>
      <c r="C5" s="474"/>
      <c r="D5" s="474"/>
      <c r="E5" s="474"/>
      <c r="F5" s="474"/>
      <c r="G5" s="474"/>
      <c r="H5" s="474"/>
      <c r="I5" s="474"/>
      <c r="J5" s="474"/>
      <c r="K5" s="474"/>
      <c r="L5" s="474"/>
      <c r="M5" s="474"/>
      <c r="N5" s="474"/>
      <c r="O5" s="475"/>
    </row>
    <row r="6" spans="1:15" x14ac:dyDescent="0.2">
      <c r="A6" s="476"/>
      <c r="B6" s="477"/>
      <c r="C6" s="477"/>
      <c r="D6" s="477"/>
      <c r="E6" s="477"/>
      <c r="F6" s="477"/>
      <c r="G6" s="477"/>
      <c r="H6" s="477"/>
      <c r="I6" s="477"/>
      <c r="J6" s="477"/>
      <c r="K6" s="477"/>
      <c r="L6" s="477"/>
      <c r="M6" s="477"/>
      <c r="N6" s="477"/>
      <c r="O6" s="478"/>
    </row>
    <row r="7" spans="1:15" ht="13.5" x14ac:dyDescent="0.25">
      <c r="A7" s="5"/>
      <c r="B7" s="5"/>
      <c r="C7" s="5"/>
      <c r="D7" s="5"/>
      <c r="E7" s="5"/>
      <c r="F7" s="5"/>
      <c r="G7" s="5"/>
      <c r="H7" s="5"/>
      <c r="I7" s="5"/>
      <c r="J7" s="5"/>
      <c r="K7" s="5"/>
      <c r="L7" s="5"/>
      <c r="M7" s="14"/>
      <c r="N7" s="15"/>
      <c r="O7" s="15"/>
    </row>
    <row r="8" spans="1:15" x14ac:dyDescent="0.2">
      <c r="A8" s="16" t="s">
        <v>179</v>
      </c>
      <c r="B8" s="482" t="s">
        <v>180</v>
      </c>
      <c r="C8" s="483"/>
      <c r="D8" s="483"/>
      <c r="E8" s="483"/>
      <c r="F8" s="483"/>
      <c r="G8" s="483"/>
      <c r="H8" s="483"/>
      <c r="I8" s="483"/>
      <c r="J8" s="483"/>
      <c r="K8" s="483"/>
      <c r="L8" s="483"/>
      <c r="M8" s="483"/>
      <c r="N8" s="483"/>
      <c r="O8" s="483"/>
    </row>
    <row r="9" spans="1:15" x14ac:dyDescent="0.2">
      <c r="A9" s="407" t="s">
        <v>181</v>
      </c>
      <c r="B9" s="409" t="s">
        <v>182</v>
      </c>
      <c r="C9" s="410"/>
      <c r="D9" s="410"/>
      <c r="E9" s="410"/>
      <c r="F9" s="411"/>
      <c r="G9" s="407" t="s">
        <v>183</v>
      </c>
      <c r="H9" s="407" t="s">
        <v>184</v>
      </c>
      <c r="I9" s="407" t="s">
        <v>185</v>
      </c>
      <c r="J9" s="409" t="s">
        <v>186</v>
      </c>
      <c r="K9" s="411"/>
      <c r="L9" s="407" t="s">
        <v>215</v>
      </c>
      <c r="M9" s="407" t="s">
        <v>188</v>
      </c>
      <c r="N9" s="409" t="s">
        <v>189</v>
      </c>
      <c r="O9" s="411"/>
    </row>
    <row r="10" spans="1:15" x14ac:dyDescent="0.2">
      <c r="A10" s="408"/>
      <c r="B10" s="412"/>
      <c r="C10" s="413"/>
      <c r="D10" s="413"/>
      <c r="E10" s="413"/>
      <c r="F10" s="414"/>
      <c r="G10" s="408"/>
      <c r="H10" s="408"/>
      <c r="I10" s="408"/>
      <c r="J10" s="412"/>
      <c r="K10" s="414"/>
      <c r="L10" s="408"/>
      <c r="M10" s="408"/>
      <c r="N10" s="412"/>
      <c r="O10" s="414"/>
    </row>
    <row r="11" spans="1:15" ht="13.5" x14ac:dyDescent="0.2">
      <c r="A11" s="17" t="s">
        <v>190</v>
      </c>
      <c r="B11" s="463" t="s">
        <v>191</v>
      </c>
      <c r="C11" s="418"/>
      <c r="D11" s="418"/>
      <c r="E11" s="418"/>
      <c r="F11" s="416"/>
      <c r="G11" s="18">
        <v>7</v>
      </c>
      <c r="H11" s="19">
        <f>+AIU!H13</f>
        <v>1</v>
      </c>
      <c r="I11" s="20">
        <v>0.15</v>
      </c>
      <c r="J11" s="415">
        <f>G11*'04'!$A$9</f>
        <v>12256335</v>
      </c>
      <c r="K11" s="416"/>
      <c r="L11" s="19">
        <f>Indice!$J$54</f>
        <v>6</v>
      </c>
      <c r="M11" s="4">
        <f t="shared" ref="M11:M17" si="0">N11/$N$33</f>
        <v>3.428084259562942E-2</v>
      </c>
      <c r="N11" s="415">
        <f t="shared" ref="N11:N17" si="1">L11*I11*J11*H11</f>
        <v>11030701.499999998</v>
      </c>
      <c r="O11" s="416"/>
    </row>
    <row r="12" spans="1:15" ht="13.5" x14ac:dyDescent="0.2">
      <c r="A12" s="17" t="s">
        <v>192</v>
      </c>
      <c r="B12" s="463" t="s">
        <v>193</v>
      </c>
      <c r="C12" s="418"/>
      <c r="D12" s="418"/>
      <c r="E12" s="418"/>
      <c r="F12" s="416"/>
      <c r="G12" s="18">
        <v>5</v>
      </c>
      <c r="H12" s="19">
        <v>1</v>
      </c>
      <c r="I12" s="20">
        <v>0.35</v>
      </c>
      <c r="J12" s="415">
        <f>G12*'04'!$A$9</f>
        <v>8754525</v>
      </c>
      <c r="K12" s="416"/>
      <c r="L12" s="19">
        <f>Indice!$F$54</f>
        <v>5</v>
      </c>
      <c r="M12" s="4">
        <f t="shared" si="0"/>
        <v>4.7612281382818651E-2</v>
      </c>
      <c r="N12" s="415">
        <f t="shared" si="1"/>
        <v>15320418.75</v>
      </c>
      <c r="O12" s="416"/>
    </row>
    <row r="13" spans="1:15" ht="13.5" x14ac:dyDescent="0.2">
      <c r="A13" s="17" t="s">
        <v>194</v>
      </c>
      <c r="B13" s="463" t="s">
        <v>195</v>
      </c>
      <c r="C13" s="418"/>
      <c r="D13" s="418"/>
      <c r="E13" s="418"/>
      <c r="F13" s="416"/>
      <c r="G13" s="18">
        <v>5</v>
      </c>
      <c r="H13" s="19">
        <v>1</v>
      </c>
      <c r="I13" s="20">
        <v>0.3</v>
      </c>
      <c r="J13" s="415">
        <f>G13*'04'!$A$9</f>
        <v>8754525</v>
      </c>
      <c r="K13" s="416"/>
      <c r="L13" s="19">
        <f>Indice!$F$54</f>
        <v>5</v>
      </c>
      <c r="M13" s="4">
        <f t="shared" si="0"/>
        <v>4.0810526899558844E-2</v>
      </c>
      <c r="N13" s="415">
        <f t="shared" si="1"/>
        <v>13131787.5</v>
      </c>
      <c r="O13" s="416"/>
    </row>
    <row r="14" spans="1:15" ht="13.5" x14ac:dyDescent="0.2">
      <c r="A14" s="17" t="s">
        <v>196</v>
      </c>
      <c r="B14" s="463" t="s">
        <v>197</v>
      </c>
      <c r="C14" s="418"/>
      <c r="D14" s="418"/>
      <c r="E14" s="418"/>
      <c r="F14" s="416"/>
      <c r="G14" s="18">
        <v>6</v>
      </c>
      <c r="H14" s="19">
        <v>1</v>
      </c>
      <c r="I14" s="20">
        <v>0.3</v>
      </c>
      <c r="J14" s="415">
        <f>G14*'04'!$A$9</f>
        <v>10505430</v>
      </c>
      <c r="K14" s="416"/>
      <c r="L14" s="19">
        <f>Indice!$F$54</f>
        <v>5</v>
      </c>
      <c r="M14" s="4">
        <f t="shared" si="0"/>
        <v>4.8972632279470608E-2</v>
      </c>
      <c r="N14" s="415">
        <f t="shared" si="1"/>
        <v>15758145</v>
      </c>
      <c r="O14" s="416"/>
    </row>
    <row r="15" spans="1:15" ht="13.5" x14ac:dyDescent="0.2">
      <c r="A15" s="17" t="s">
        <v>198</v>
      </c>
      <c r="B15" s="463" t="s">
        <v>199</v>
      </c>
      <c r="C15" s="418"/>
      <c r="D15" s="418"/>
      <c r="E15" s="418"/>
      <c r="F15" s="416"/>
      <c r="G15" s="18">
        <v>4</v>
      </c>
      <c r="H15" s="19">
        <v>1</v>
      </c>
      <c r="I15" s="20">
        <f>+AIU!I16</f>
        <v>1</v>
      </c>
      <c r="J15" s="415">
        <f>G15*'04'!$A$9</f>
        <v>7003620</v>
      </c>
      <c r="K15" s="416"/>
      <c r="L15" s="19">
        <f>Indice!$F$54</f>
        <v>5</v>
      </c>
      <c r="M15" s="4">
        <f t="shared" si="0"/>
        <v>0.10882807173215692</v>
      </c>
      <c r="N15" s="415">
        <f t="shared" si="1"/>
        <v>35018100</v>
      </c>
      <c r="O15" s="416"/>
    </row>
    <row r="16" spans="1:15" ht="13.5" x14ac:dyDescent="0.2">
      <c r="A16" s="17" t="s">
        <v>200</v>
      </c>
      <c r="B16" s="463" t="s">
        <v>201</v>
      </c>
      <c r="C16" s="418"/>
      <c r="D16" s="418"/>
      <c r="E16" s="418"/>
      <c r="F16" s="416"/>
      <c r="G16" s="18">
        <v>3.5556097184682347</v>
      </c>
      <c r="H16" s="19">
        <v>1</v>
      </c>
      <c r="I16" s="20">
        <v>0.5</v>
      </c>
      <c r="J16" s="415">
        <f>G16*'04'!$A$9</f>
        <v>6225534.8341146242</v>
      </c>
      <c r="K16" s="416"/>
      <c r="L16" s="19">
        <f>Indice!$F$54</f>
        <v>5</v>
      </c>
      <c r="M16" s="4">
        <f t="shared" si="0"/>
        <v>4.8368768686626915E-2</v>
      </c>
      <c r="N16" s="415">
        <f t="shared" si="1"/>
        <v>15563837.085286561</v>
      </c>
      <c r="O16" s="416"/>
    </row>
    <row r="17" spans="1:15" ht="13.5" x14ac:dyDescent="0.2">
      <c r="A17" s="17" t="s">
        <v>202</v>
      </c>
      <c r="B17" s="463" t="s">
        <v>203</v>
      </c>
      <c r="C17" s="418"/>
      <c r="D17" s="418"/>
      <c r="E17" s="418"/>
      <c r="F17" s="416"/>
      <c r="G17" s="18">
        <v>4</v>
      </c>
      <c r="H17" s="19">
        <v>1</v>
      </c>
      <c r="I17" s="20">
        <v>0.35</v>
      </c>
      <c r="J17" s="415">
        <f>G17*'04'!$A$9</f>
        <v>7003620</v>
      </c>
      <c r="K17" s="416"/>
      <c r="L17" s="19">
        <f>Indice!$F$54</f>
        <v>5</v>
      </c>
      <c r="M17" s="4">
        <f t="shared" si="0"/>
        <v>3.8089825106254922E-2</v>
      </c>
      <c r="N17" s="415">
        <f t="shared" si="1"/>
        <v>12256335</v>
      </c>
      <c r="O17" s="416"/>
    </row>
    <row r="18" spans="1:15" ht="13.5" x14ac:dyDescent="0.2">
      <c r="A18" s="10"/>
      <c r="B18" s="10"/>
      <c r="C18" s="10"/>
      <c r="D18" s="10"/>
      <c r="E18" s="10"/>
      <c r="F18" s="10"/>
      <c r="G18" s="10"/>
      <c r="H18" s="430" t="s">
        <v>210</v>
      </c>
      <c r="I18" s="418"/>
      <c r="J18" s="418"/>
      <c r="K18" s="418"/>
      <c r="L18" s="418"/>
      <c r="M18" s="416"/>
      <c r="N18" s="415">
        <f>SUM(N11:N17)</f>
        <v>118079324.83528656</v>
      </c>
      <c r="O18" s="416"/>
    </row>
    <row r="19" spans="1:15" ht="13.5" x14ac:dyDescent="0.2">
      <c r="A19" s="10"/>
      <c r="B19" s="10"/>
      <c r="C19" s="10"/>
      <c r="D19" s="10"/>
      <c r="E19" s="10"/>
      <c r="F19" s="10"/>
      <c r="G19" s="10"/>
      <c r="H19" s="430" t="s">
        <v>31</v>
      </c>
      <c r="I19" s="418"/>
      <c r="J19" s="418"/>
      <c r="K19" s="418"/>
      <c r="L19" s="418"/>
      <c r="M19" s="416"/>
      <c r="N19" s="460">
        <f>'04'!H2</f>
        <v>2.2000000000000002</v>
      </c>
      <c r="O19" s="416"/>
    </row>
    <row r="20" spans="1:15" ht="13.5" x14ac:dyDescent="0.2">
      <c r="A20" s="10"/>
      <c r="B20" s="10"/>
      <c r="C20" s="10"/>
      <c r="D20" s="10"/>
      <c r="E20" s="10"/>
      <c r="F20" s="10"/>
      <c r="G20" s="10"/>
      <c r="H20" s="430" t="s">
        <v>212</v>
      </c>
      <c r="I20" s="418"/>
      <c r="J20" s="418"/>
      <c r="K20" s="418"/>
      <c r="L20" s="418"/>
      <c r="M20" s="416"/>
      <c r="N20" s="415">
        <f>+N18*N19</f>
        <v>259774514.63763046</v>
      </c>
      <c r="O20" s="416"/>
    </row>
    <row r="21" spans="1:15" ht="13.5" x14ac:dyDescent="0.2">
      <c r="A21" s="21"/>
      <c r="B21" s="22"/>
      <c r="C21" s="22"/>
      <c r="D21" s="22"/>
      <c r="E21" s="22"/>
      <c r="F21" s="22"/>
      <c r="G21" s="1"/>
      <c r="H21" s="1"/>
      <c r="I21" s="1"/>
      <c r="J21" s="1"/>
      <c r="K21" s="1"/>
      <c r="L21" s="1"/>
      <c r="M21" s="1"/>
      <c r="N21" s="1"/>
      <c r="O21" s="1"/>
    </row>
    <row r="22" spans="1:15" x14ac:dyDescent="0.2">
      <c r="A22" s="23" t="s">
        <v>213</v>
      </c>
      <c r="B22" s="441" t="s">
        <v>214</v>
      </c>
      <c r="C22" s="418"/>
      <c r="D22" s="418"/>
      <c r="E22" s="418"/>
      <c r="F22" s="418"/>
      <c r="G22" s="418"/>
      <c r="H22" s="418"/>
      <c r="I22" s="418"/>
      <c r="J22" s="418"/>
      <c r="K22" s="418"/>
      <c r="L22" s="418"/>
      <c r="M22" s="418"/>
      <c r="N22" s="418"/>
      <c r="O22" s="416"/>
    </row>
    <row r="23" spans="1:15" x14ac:dyDescent="0.2">
      <c r="A23" s="407" t="s">
        <v>181</v>
      </c>
      <c r="B23" s="409" t="s">
        <v>39</v>
      </c>
      <c r="C23" s="410"/>
      <c r="D23" s="410"/>
      <c r="E23" s="410"/>
      <c r="F23" s="410"/>
      <c r="G23" s="411"/>
      <c r="H23" s="407" t="s">
        <v>40</v>
      </c>
      <c r="I23" s="407" t="s">
        <v>184</v>
      </c>
      <c r="J23" s="409" t="s">
        <v>186</v>
      </c>
      <c r="K23" s="411"/>
      <c r="L23" s="407" t="s">
        <v>215</v>
      </c>
      <c r="M23" s="407" t="s">
        <v>188</v>
      </c>
      <c r="N23" s="409" t="s">
        <v>189</v>
      </c>
      <c r="O23" s="411"/>
    </row>
    <row r="24" spans="1:15" x14ac:dyDescent="0.2">
      <c r="A24" s="408"/>
      <c r="B24" s="412"/>
      <c r="C24" s="413"/>
      <c r="D24" s="413"/>
      <c r="E24" s="413"/>
      <c r="F24" s="413"/>
      <c r="G24" s="414"/>
      <c r="H24" s="408"/>
      <c r="I24" s="408"/>
      <c r="J24" s="412"/>
      <c r="K24" s="414"/>
      <c r="L24" s="408"/>
      <c r="M24" s="408"/>
      <c r="N24" s="412"/>
      <c r="O24" s="414"/>
    </row>
    <row r="25" spans="1:15" ht="13.5" x14ac:dyDescent="0.2">
      <c r="A25" s="24" t="s">
        <v>216</v>
      </c>
      <c r="B25" s="417" t="s">
        <v>217</v>
      </c>
      <c r="C25" s="418"/>
      <c r="D25" s="418"/>
      <c r="E25" s="418"/>
      <c r="F25" s="418"/>
      <c r="G25" s="416"/>
      <c r="H25" s="25" t="s">
        <v>218</v>
      </c>
      <c r="I25" s="3">
        <v>1</v>
      </c>
      <c r="J25" s="415">
        <v>600000</v>
      </c>
      <c r="K25" s="416"/>
      <c r="L25" s="19">
        <f>Indice!$F$54</f>
        <v>5</v>
      </c>
      <c r="M25" s="4">
        <f t="shared" ref="M25:M30" si="2">N25/$N$33</f>
        <v>9.3232989567244001E-3</v>
      </c>
      <c r="N25" s="415">
        <f>J25*I25*L25</f>
        <v>3000000</v>
      </c>
      <c r="O25" s="416"/>
    </row>
    <row r="26" spans="1:15" ht="13.5" x14ac:dyDescent="0.2">
      <c r="A26" s="24" t="s">
        <v>219</v>
      </c>
      <c r="B26" s="417" t="s">
        <v>220</v>
      </c>
      <c r="C26" s="418"/>
      <c r="D26" s="418"/>
      <c r="E26" s="418"/>
      <c r="F26" s="418"/>
      <c r="G26" s="416"/>
      <c r="H26" s="25" t="s">
        <v>218</v>
      </c>
      <c r="I26" s="3">
        <v>1</v>
      </c>
      <c r="J26" s="415">
        <v>400000</v>
      </c>
      <c r="K26" s="416"/>
      <c r="L26" s="19">
        <f>Indice!$F$54</f>
        <v>5</v>
      </c>
      <c r="M26" s="4">
        <f t="shared" si="2"/>
        <v>6.215532637816267E-3</v>
      </c>
      <c r="N26" s="415">
        <f>J26*I26*L26</f>
        <v>2000000</v>
      </c>
      <c r="O26" s="416"/>
    </row>
    <row r="27" spans="1:15" ht="13.5" x14ac:dyDescent="0.2">
      <c r="A27" s="24" t="s">
        <v>221</v>
      </c>
      <c r="B27" s="417" t="s">
        <v>222</v>
      </c>
      <c r="C27" s="418"/>
      <c r="D27" s="418"/>
      <c r="E27" s="418"/>
      <c r="F27" s="418"/>
      <c r="G27" s="416"/>
      <c r="H27" s="25" t="s">
        <v>218</v>
      </c>
      <c r="I27" s="3">
        <v>1</v>
      </c>
      <c r="J27" s="415">
        <v>400000</v>
      </c>
      <c r="K27" s="416"/>
      <c r="L27" s="19">
        <f>Indice!$F$54</f>
        <v>5</v>
      </c>
      <c r="M27" s="4">
        <f t="shared" si="2"/>
        <v>6.215532637816267E-3</v>
      </c>
      <c r="N27" s="415">
        <f>J27*I27*L27</f>
        <v>2000000</v>
      </c>
      <c r="O27" s="416"/>
    </row>
    <row r="28" spans="1:15" ht="13.5" x14ac:dyDescent="0.2">
      <c r="A28" s="24" t="s">
        <v>223</v>
      </c>
      <c r="B28" s="417" t="s">
        <v>224</v>
      </c>
      <c r="C28" s="418"/>
      <c r="D28" s="418"/>
      <c r="E28" s="418"/>
      <c r="F28" s="418"/>
      <c r="G28" s="416"/>
      <c r="H28" s="25" t="s">
        <v>218</v>
      </c>
      <c r="I28" s="3">
        <v>1</v>
      </c>
      <c r="J28" s="415">
        <f>+AIU!J31:K31</f>
        <v>6000000</v>
      </c>
      <c r="K28" s="416"/>
      <c r="L28" s="19">
        <f>Indice!$F$54</f>
        <v>5</v>
      </c>
      <c r="M28" s="4">
        <f t="shared" si="2"/>
        <v>9.3232989567244004E-2</v>
      </c>
      <c r="N28" s="415">
        <f>J28*I28*L28</f>
        <v>30000000</v>
      </c>
      <c r="O28" s="416"/>
    </row>
    <row r="29" spans="1:15" ht="13.5" x14ac:dyDescent="0.2">
      <c r="A29" s="24" t="s">
        <v>225</v>
      </c>
      <c r="B29" s="417" t="s">
        <v>226</v>
      </c>
      <c r="C29" s="418"/>
      <c r="D29" s="418"/>
      <c r="E29" s="418"/>
      <c r="F29" s="418"/>
      <c r="G29" s="416"/>
      <c r="H29" s="25" t="s">
        <v>218</v>
      </c>
      <c r="I29" s="3">
        <v>2</v>
      </c>
      <c r="J29" s="415">
        <v>2000000</v>
      </c>
      <c r="K29" s="416"/>
      <c r="L29" s="19">
        <f>Indice!$F$54</f>
        <v>5</v>
      </c>
      <c r="M29" s="4">
        <f t="shared" si="2"/>
        <v>6.2155326378162672E-2</v>
      </c>
      <c r="N29" s="415">
        <f>J29*I29*L29</f>
        <v>20000000</v>
      </c>
      <c r="O29" s="416"/>
    </row>
    <row r="30" spans="1:15" ht="13.5" x14ac:dyDescent="0.2">
      <c r="A30" s="24" t="s">
        <v>227</v>
      </c>
      <c r="B30" s="417" t="s">
        <v>231</v>
      </c>
      <c r="C30" s="418"/>
      <c r="D30" s="418"/>
      <c r="E30" s="418"/>
      <c r="F30" s="418"/>
      <c r="G30" s="416"/>
      <c r="H30" s="25" t="s">
        <v>218</v>
      </c>
      <c r="I30" s="3">
        <v>0.5</v>
      </c>
      <c r="J30" s="415">
        <f>+AIU!J34:K34</f>
        <v>2000000</v>
      </c>
      <c r="K30" s="416"/>
      <c r="L30" s="19">
        <f>Indice!$F$54</f>
        <v>5</v>
      </c>
      <c r="M30" s="4">
        <f t="shared" si="2"/>
        <v>1.5538831594540668E-2</v>
      </c>
      <c r="N30" s="415">
        <f>J30*L30*I30</f>
        <v>5000000</v>
      </c>
      <c r="O30" s="416"/>
    </row>
    <row r="31" spans="1:15" ht="13.5" x14ac:dyDescent="0.2">
      <c r="A31" s="10"/>
      <c r="B31" s="10"/>
      <c r="C31" s="10"/>
      <c r="D31" s="10"/>
      <c r="E31" s="10"/>
      <c r="F31" s="26"/>
      <c r="G31" s="10"/>
      <c r="H31" s="430" t="s">
        <v>232</v>
      </c>
      <c r="I31" s="418"/>
      <c r="J31" s="418"/>
      <c r="K31" s="418"/>
      <c r="L31" s="418"/>
      <c r="M31" s="416"/>
      <c r="N31" s="415">
        <f>SUM(N25:N30)</f>
        <v>62000000</v>
      </c>
      <c r="O31" s="416"/>
    </row>
    <row r="32" spans="1:15" ht="13.5" x14ac:dyDescent="0.2">
      <c r="A32" s="21"/>
      <c r="H32" s="1"/>
      <c r="I32" s="1"/>
      <c r="J32" s="1"/>
      <c r="K32" s="1"/>
      <c r="L32" s="1"/>
      <c r="M32" s="1"/>
      <c r="N32" s="1"/>
      <c r="O32" s="1"/>
    </row>
    <row r="33" spans="1:18" ht="13.5" x14ac:dyDescent="0.2">
      <c r="A33" s="10"/>
      <c r="H33" s="430" t="s">
        <v>250</v>
      </c>
      <c r="I33" s="418"/>
      <c r="J33" s="418"/>
      <c r="K33" s="418"/>
      <c r="L33" s="418"/>
      <c r="M33" s="418"/>
      <c r="N33" s="863">
        <f>ROUNDUP(N20+N31,0)</f>
        <v>321774515</v>
      </c>
      <c r="O33" s="416"/>
      <c r="Q33" s="118">
        <v>331774515</v>
      </c>
      <c r="R33" s="118"/>
    </row>
    <row r="34" spans="1:18" ht="13.5" x14ac:dyDescent="0.2">
      <c r="A34" s="10"/>
    </row>
    <row r="35" spans="1:18" ht="13.5" x14ac:dyDescent="0.2">
      <c r="A35" s="10"/>
    </row>
    <row r="36" spans="1:18" ht="14.25" thickBot="1" x14ac:dyDescent="0.3">
      <c r="A36" s="7"/>
      <c r="H36" s="7"/>
      <c r="I36" s="7"/>
      <c r="J36" s="7"/>
      <c r="K36" s="190"/>
      <c r="L36" s="190"/>
      <c r="M36" s="132"/>
      <c r="N36" s="132"/>
      <c r="O36" s="132"/>
      <c r="P36" s="7"/>
    </row>
    <row r="37" spans="1:18" ht="14.25" thickTop="1" x14ac:dyDescent="0.25">
      <c r="A37" s="7"/>
      <c r="H37" s="28"/>
      <c r="I37" s="7"/>
      <c r="J37" s="7"/>
      <c r="K37" s="429" t="s">
        <v>1126</v>
      </c>
      <c r="L37" s="429"/>
      <c r="M37" s="429"/>
      <c r="N37" s="429"/>
      <c r="O37" s="429"/>
      <c r="P37" s="7"/>
    </row>
    <row r="38" spans="1:18" ht="13.5" x14ac:dyDescent="0.25">
      <c r="A38" s="7"/>
      <c r="J38" s="7"/>
      <c r="K38" s="406" t="s">
        <v>1127</v>
      </c>
      <c r="L38" s="406"/>
      <c r="M38" s="406"/>
      <c r="N38" s="406"/>
      <c r="O38" s="406"/>
      <c r="P38" s="7"/>
      <c r="Q38" s="7"/>
      <c r="R38" s="7"/>
    </row>
    <row r="39" spans="1:18" ht="13.5" x14ac:dyDescent="0.25">
      <c r="A39" s="7"/>
      <c r="K39" s="406" t="s">
        <v>1123</v>
      </c>
      <c r="L39" s="406"/>
      <c r="M39" s="406"/>
      <c r="N39" s="406"/>
      <c r="O39" s="406"/>
      <c r="P39" s="7"/>
      <c r="Q39" s="7"/>
      <c r="R39" s="7"/>
    </row>
    <row r="40" spans="1:18" ht="13.5" x14ac:dyDescent="0.25">
      <c r="A40" s="7"/>
      <c r="O40" s="7"/>
      <c r="P40" s="7"/>
      <c r="Q40" s="7"/>
      <c r="R40" s="7"/>
    </row>
    <row r="41" spans="1:18" ht="13.5" x14ac:dyDescent="0.25">
      <c r="A41" s="7"/>
      <c r="O41" s="7"/>
      <c r="P41" s="7"/>
      <c r="Q41" s="7"/>
      <c r="R41" s="7"/>
    </row>
    <row r="43" spans="1:18" x14ac:dyDescent="0.2">
      <c r="D43" s="116"/>
      <c r="E43" s="116"/>
      <c r="F43" s="116"/>
      <c r="G43" s="116"/>
    </row>
    <row r="44" spans="1:18" x14ac:dyDescent="0.2">
      <c r="D44" s="116"/>
      <c r="E44" s="116"/>
      <c r="F44" s="116"/>
      <c r="G44" s="116"/>
    </row>
    <row r="45" spans="1:18" x14ac:dyDescent="0.2">
      <c r="D45" s="116"/>
      <c r="E45" s="116"/>
      <c r="F45" s="116"/>
      <c r="G45" s="116"/>
    </row>
  </sheetData>
  <mergeCells count="76">
    <mergeCell ref="H19:M19"/>
    <mergeCell ref="N19:O19"/>
    <mergeCell ref="N20:O20"/>
    <mergeCell ref="N11:O11"/>
    <mergeCell ref="N12:O12"/>
    <mergeCell ref="N13:O13"/>
    <mergeCell ref="N14:O14"/>
    <mergeCell ref="J15:K15"/>
    <mergeCell ref="A23:A24"/>
    <mergeCell ref="H23:H24"/>
    <mergeCell ref="I23:I24"/>
    <mergeCell ref="J23:K24"/>
    <mergeCell ref="L23:L24"/>
    <mergeCell ref="N31:O31"/>
    <mergeCell ref="N33:O33"/>
    <mergeCell ref="J26:K26"/>
    <mergeCell ref="J27:K27"/>
    <mergeCell ref="J28:K28"/>
    <mergeCell ref="N28:O28"/>
    <mergeCell ref="J29:K29"/>
    <mergeCell ref="N29:O29"/>
    <mergeCell ref="N26:O26"/>
    <mergeCell ref="N27:O27"/>
    <mergeCell ref="J30:K30"/>
    <mergeCell ref="H31:M31"/>
    <mergeCell ref="N30:O30"/>
    <mergeCell ref="B30:G30"/>
    <mergeCell ref="H33:M33"/>
    <mergeCell ref="B26:G26"/>
    <mergeCell ref="B23:G24"/>
    <mergeCell ref="B25:G25"/>
    <mergeCell ref="J25:K25"/>
    <mergeCell ref="M23:M24"/>
    <mergeCell ref="I9:I10"/>
    <mergeCell ref="L9:L10"/>
    <mergeCell ref="B27:G27"/>
    <mergeCell ref="B28:G28"/>
    <mergeCell ref="B29:G29"/>
    <mergeCell ref="H20:M20"/>
    <mergeCell ref="B22:O22"/>
    <mergeCell ref="N25:O25"/>
    <mergeCell ref="N23:O24"/>
    <mergeCell ref="H18:M18"/>
    <mergeCell ref="N18:O18"/>
    <mergeCell ref="N15:O15"/>
    <mergeCell ref="J9:K10"/>
    <mergeCell ref="J11:K11"/>
    <mergeCell ref="M9:M10"/>
    <mergeCell ref="N9:O10"/>
    <mergeCell ref="B11:F11"/>
    <mergeCell ref="A9:A10"/>
    <mergeCell ref="B9:F10"/>
    <mergeCell ref="G9:G10"/>
    <mergeCell ref="H9:H10"/>
    <mergeCell ref="A1:J3"/>
    <mergeCell ref="K1:L1"/>
    <mergeCell ref="M1:O3"/>
    <mergeCell ref="K2:L3"/>
    <mergeCell ref="B8:O8"/>
    <mergeCell ref="A5:O6"/>
    <mergeCell ref="K37:O37"/>
    <mergeCell ref="K38:O38"/>
    <mergeCell ref="K39:O39"/>
    <mergeCell ref="B12:F12"/>
    <mergeCell ref="J12:K12"/>
    <mergeCell ref="B13:F13"/>
    <mergeCell ref="J13:K13"/>
    <mergeCell ref="B14:F14"/>
    <mergeCell ref="J14:K14"/>
    <mergeCell ref="J16:K16"/>
    <mergeCell ref="J17:K17"/>
    <mergeCell ref="B16:F16"/>
    <mergeCell ref="B17:F17"/>
    <mergeCell ref="B15:F15"/>
    <mergeCell ref="N16:O16"/>
    <mergeCell ref="N17:O17"/>
  </mergeCells>
  <conditionalFormatting sqref="M25:M30 M11:M17">
    <cfRule type="colorScale" priority="568">
      <colorScale>
        <cfvo type="min"/>
        <cfvo type="percentile" val="50"/>
        <cfvo type="max"/>
        <color rgb="FF63BE7B"/>
        <color rgb="FFFFEB84"/>
        <color rgb="FFF8696B"/>
      </colorScale>
    </cfRule>
  </conditionalFormatting>
  <pageMargins left="1.1811023622047245" right="1.1811023622047245" top="0.78740157480314965" bottom="0.78740157480314965" header="0.31496062992125984" footer="0.31496062992125984"/>
  <pageSetup paperSize="9" scale="7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90"/>
  <sheetViews>
    <sheetView view="pageBreakPreview" zoomScaleNormal="100" zoomScaleSheetLayoutView="100" workbookViewId="0">
      <selection activeCell="K30" sqref="K30"/>
    </sheetView>
  </sheetViews>
  <sheetFormatPr baseColWidth="10" defaultRowHeight="12.75" x14ac:dyDescent="0.2"/>
  <sheetData>
    <row r="1" spans="1:9" x14ac:dyDescent="0.2">
      <c r="A1" s="879" t="str">
        <f>Indice!$A$1</f>
        <v>CONSTRUCCIÓN DEL SISTEMA DE ACUEDUCTO IDOLOS, EL TIGRE, MUNICIPIO DE ISNOS – DEPARTAMENTO DEL HUILA – FASE I.</v>
      </c>
      <c r="B1" s="410"/>
      <c r="C1" s="410"/>
      <c r="D1" s="410"/>
      <c r="E1" s="411"/>
      <c r="F1" s="470" t="s">
        <v>0</v>
      </c>
      <c r="G1" s="416"/>
      <c r="H1" s="29" t="s">
        <v>253</v>
      </c>
      <c r="I1" s="29" t="s">
        <v>254</v>
      </c>
    </row>
    <row r="2" spans="1:9" x14ac:dyDescent="0.2">
      <c r="A2" s="467"/>
      <c r="B2" s="468"/>
      <c r="C2" s="468"/>
      <c r="D2" s="468"/>
      <c r="E2" s="469"/>
      <c r="F2" s="839">
        <f>Indice!$I$2</f>
        <v>45972</v>
      </c>
      <c r="G2" s="411"/>
      <c r="H2" s="871">
        <f>I72</f>
        <v>2.2000000000000002</v>
      </c>
      <c r="I2" s="871">
        <f>$H$44</f>
        <v>1.88995</v>
      </c>
    </row>
    <row r="3" spans="1:9" x14ac:dyDescent="0.2">
      <c r="A3" s="412"/>
      <c r="B3" s="413"/>
      <c r="C3" s="413"/>
      <c r="D3" s="413"/>
      <c r="E3" s="414"/>
      <c r="F3" s="412"/>
      <c r="G3" s="414"/>
      <c r="H3" s="408"/>
      <c r="I3" s="408"/>
    </row>
    <row r="4" spans="1:9" ht="13.5" x14ac:dyDescent="0.2">
      <c r="A4" s="10"/>
      <c r="B4" s="10"/>
      <c r="C4" s="10"/>
      <c r="D4" s="10"/>
      <c r="E4" s="10"/>
      <c r="F4" s="10"/>
      <c r="G4" s="10"/>
      <c r="H4" s="10"/>
      <c r="I4" s="10"/>
    </row>
    <row r="5" spans="1:9" x14ac:dyDescent="0.2">
      <c r="A5" s="873" t="s">
        <v>255</v>
      </c>
      <c r="B5" s="874"/>
      <c r="C5" s="874"/>
      <c r="D5" s="874"/>
      <c r="E5" s="874"/>
      <c r="F5" s="874"/>
      <c r="G5" s="874"/>
      <c r="H5" s="874"/>
      <c r="I5" s="875"/>
    </row>
    <row r="6" spans="1:9" x14ac:dyDescent="0.2">
      <c r="A6" s="876"/>
      <c r="B6" s="877"/>
      <c r="C6" s="877"/>
      <c r="D6" s="877"/>
      <c r="E6" s="877"/>
      <c r="F6" s="877"/>
      <c r="G6" s="877"/>
      <c r="H6" s="877"/>
      <c r="I6" s="878"/>
    </row>
    <row r="7" spans="1:9" ht="13.5" x14ac:dyDescent="0.25">
      <c r="A7" s="30"/>
      <c r="B7" s="31"/>
      <c r="C7" s="31"/>
      <c r="D7" s="31"/>
      <c r="E7" s="31"/>
      <c r="F7" s="31"/>
      <c r="G7" s="32"/>
      <c r="H7" s="33"/>
      <c r="I7" s="33"/>
    </row>
    <row r="8" spans="1:9" x14ac:dyDescent="0.2">
      <c r="A8" s="872" t="s">
        <v>183</v>
      </c>
      <c r="B8" s="416"/>
      <c r="C8" s="872" t="s">
        <v>256</v>
      </c>
      <c r="D8" s="416"/>
      <c r="E8" s="31"/>
      <c r="F8" s="872" t="s">
        <v>257</v>
      </c>
      <c r="G8" s="416"/>
      <c r="H8" s="872" t="s">
        <v>258</v>
      </c>
      <c r="I8" s="416"/>
    </row>
    <row r="9" spans="1:9" ht="13.5" x14ac:dyDescent="0.25">
      <c r="A9" s="880">
        <v>1750905</v>
      </c>
      <c r="B9" s="416"/>
      <c r="C9" s="880">
        <f>+A9/30</f>
        <v>58363.5</v>
      </c>
      <c r="D9" s="416"/>
      <c r="E9" s="31"/>
      <c r="F9" s="880">
        <v>249095</v>
      </c>
      <c r="G9" s="416"/>
      <c r="H9" s="880">
        <f>+ROUND(F9/30,0)</f>
        <v>8303</v>
      </c>
      <c r="I9" s="416"/>
    </row>
    <row r="10" spans="1:9" ht="13.5" x14ac:dyDescent="0.25">
      <c r="A10" s="33"/>
      <c r="B10" s="31"/>
      <c r="C10" s="31"/>
      <c r="D10" s="31"/>
      <c r="E10" s="31"/>
      <c r="F10" s="31"/>
      <c r="G10" s="32"/>
      <c r="H10" s="33"/>
      <c r="I10" s="33"/>
    </row>
    <row r="11" spans="1:9" x14ac:dyDescent="0.2">
      <c r="A11" s="29" t="s">
        <v>179</v>
      </c>
      <c r="B11" s="867" t="s">
        <v>259</v>
      </c>
      <c r="C11" s="418"/>
      <c r="D11" s="418"/>
      <c r="E11" s="418"/>
      <c r="F11" s="418"/>
      <c r="G11" s="418"/>
      <c r="H11" s="416"/>
      <c r="I11" s="29" t="s">
        <v>13</v>
      </c>
    </row>
    <row r="12" spans="1:9" ht="13.5" x14ac:dyDescent="0.2">
      <c r="A12" s="29" t="s">
        <v>190</v>
      </c>
      <c r="B12" s="881" t="s">
        <v>260</v>
      </c>
      <c r="C12" s="418"/>
      <c r="D12" s="418"/>
      <c r="E12" s="418"/>
      <c r="F12" s="418"/>
      <c r="G12" s="418"/>
      <c r="H12" s="416"/>
      <c r="I12" s="34">
        <v>1</v>
      </c>
    </row>
    <row r="13" spans="1:9" ht="13.5" x14ac:dyDescent="0.25">
      <c r="A13" s="33"/>
      <c r="B13" s="31"/>
      <c r="C13" s="31"/>
      <c r="D13" s="31"/>
      <c r="E13" s="31"/>
      <c r="F13" s="31"/>
      <c r="G13" s="867" t="s">
        <v>261</v>
      </c>
      <c r="H13" s="416"/>
      <c r="I13" s="35">
        <f>SUM(I12)</f>
        <v>1</v>
      </c>
    </row>
    <row r="14" spans="1:9" ht="13.5" x14ac:dyDescent="0.25">
      <c r="A14" s="33"/>
      <c r="B14" s="31"/>
      <c r="C14" s="31"/>
      <c r="D14" s="31"/>
      <c r="E14" s="31"/>
      <c r="F14" s="31"/>
      <c r="G14" s="32"/>
      <c r="H14" s="33"/>
      <c r="I14" s="36"/>
    </row>
    <row r="15" spans="1:9" x14ac:dyDescent="0.2">
      <c r="A15" s="29" t="s">
        <v>213</v>
      </c>
      <c r="B15" s="867" t="s">
        <v>262</v>
      </c>
      <c r="C15" s="418"/>
      <c r="D15" s="418"/>
      <c r="E15" s="418"/>
      <c r="F15" s="418"/>
      <c r="G15" s="418"/>
      <c r="H15" s="416"/>
      <c r="I15" s="29" t="s">
        <v>13</v>
      </c>
    </row>
    <row r="16" spans="1:9" ht="13.5" x14ac:dyDescent="0.2">
      <c r="A16" s="29" t="s">
        <v>216</v>
      </c>
      <c r="B16" s="864" t="s">
        <v>263</v>
      </c>
      <c r="C16" s="418"/>
      <c r="D16" s="418"/>
      <c r="E16" s="418"/>
      <c r="F16" s="418"/>
      <c r="G16" s="418"/>
      <c r="H16" s="416"/>
      <c r="I16" s="4">
        <v>0.1212</v>
      </c>
    </row>
    <row r="17" spans="1:9" ht="13.5" x14ac:dyDescent="0.2">
      <c r="A17" s="29" t="s">
        <v>219</v>
      </c>
      <c r="B17" s="864" t="s">
        <v>264</v>
      </c>
      <c r="C17" s="418"/>
      <c r="D17" s="418"/>
      <c r="E17" s="418"/>
      <c r="F17" s="418"/>
      <c r="G17" s="418"/>
      <c r="H17" s="416"/>
      <c r="I17" s="4">
        <v>8.3299999999999999E-2</v>
      </c>
    </row>
    <row r="18" spans="1:9" ht="13.5" x14ac:dyDescent="0.2">
      <c r="A18" s="29" t="s">
        <v>221</v>
      </c>
      <c r="B18" s="864" t="s">
        <v>265</v>
      </c>
      <c r="C18" s="418"/>
      <c r="D18" s="418"/>
      <c r="E18" s="418"/>
      <c r="F18" s="418"/>
      <c r="G18" s="418"/>
      <c r="H18" s="416"/>
      <c r="I18" s="4">
        <v>8.3299999999999999E-2</v>
      </c>
    </row>
    <row r="19" spans="1:9" ht="13.5" x14ac:dyDescent="0.2">
      <c r="A19" s="29" t="s">
        <v>223</v>
      </c>
      <c r="B19" s="864" t="s">
        <v>266</v>
      </c>
      <c r="C19" s="418"/>
      <c r="D19" s="418"/>
      <c r="E19" s="418"/>
      <c r="F19" s="418"/>
      <c r="G19" s="418"/>
      <c r="H19" s="416"/>
      <c r="I19" s="4">
        <v>0.01</v>
      </c>
    </row>
    <row r="20" spans="1:9" ht="13.5" x14ac:dyDescent="0.2">
      <c r="A20" s="29" t="s">
        <v>225</v>
      </c>
      <c r="B20" s="864" t="s">
        <v>267</v>
      </c>
      <c r="C20" s="418"/>
      <c r="D20" s="418"/>
      <c r="E20" s="418"/>
      <c r="F20" s="418"/>
      <c r="G20" s="418"/>
      <c r="H20" s="416"/>
      <c r="I20" s="4">
        <f>+I17/2</f>
        <v>4.165E-2</v>
      </c>
    </row>
    <row r="21" spans="1:9" ht="13.5" x14ac:dyDescent="0.25">
      <c r="A21" s="33"/>
      <c r="B21" s="31"/>
      <c r="C21" s="31"/>
      <c r="D21" s="31"/>
      <c r="E21" s="31"/>
      <c r="F21" s="31"/>
      <c r="G21" s="867" t="s">
        <v>261</v>
      </c>
      <c r="H21" s="416"/>
      <c r="I21" s="37">
        <f>SUM(I16:I20)</f>
        <v>0.33945000000000003</v>
      </c>
    </row>
    <row r="22" spans="1:9" ht="13.5" x14ac:dyDescent="0.25">
      <c r="A22" s="33"/>
      <c r="B22" s="31"/>
      <c r="C22" s="31"/>
      <c r="D22" s="31"/>
      <c r="E22" s="31"/>
      <c r="F22" s="31"/>
      <c r="G22" s="32"/>
      <c r="H22" s="33"/>
      <c r="I22" s="38"/>
    </row>
    <row r="23" spans="1:9" x14ac:dyDescent="0.2">
      <c r="A23" s="29" t="s">
        <v>233</v>
      </c>
      <c r="B23" s="867" t="s">
        <v>268</v>
      </c>
      <c r="C23" s="418"/>
      <c r="D23" s="418"/>
      <c r="E23" s="418"/>
      <c r="F23" s="418"/>
      <c r="G23" s="418"/>
      <c r="H23" s="416"/>
      <c r="I23" s="37" t="s">
        <v>13</v>
      </c>
    </row>
    <row r="24" spans="1:9" ht="13.5" x14ac:dyDescent="0.2">
      <c r="A24" s="29" t="s">
        <v>235</v>
      </c>
      <c r="B24" s="864" t="s">
        <v>269</v>
      </c>
      <c r="C24" s="418"/>
      <c r="D24" s="418"/>
      <c r="E24" s="418"/>
      <c r="F24" s="418"/>
      <c r="G24" s="418"/>
      <c r="H24" s="416"/>
      <c r="I24" s="4">
        <v>0.12</v>
      </c>
    </row>
    <row r="25" spans="1:9" ht="13.5" x14ac:dyDescent="0.2">
      <c r="A25" s="29" t="s">
        <v>270</v>
      </c>
      <c r="B25" s="864" t="s">
        <v>271</v>
      </c>
      <c r="C25" s="418"/>
      <c r="D25" s="418"/>
      <c r="E25" s="418"/>
      <c r="F25" s="418"/>
      <c r="G25" s="418"/>
      <c r="H25" s="416"/>
      <c r="I25" s="4">
        <v>6.9599999999999995E-2</v>
      </c>
    </row>
    <row r="26" spans="1:9" ht="13.5" x14ac:dyDescent="0.2">
      <c r="A26" s="29" t="s">
        <v>272</v>
      </c>
      <c r="B26" s="864" t="s">
        <v>273</v>
      </c>
      <c r="C26" s="418"/>
      <c r="D26" s="418"/>
      <c r="E26" s="418"/>
      <c r="F26" s="418"/>
      <c r="G26" s="418"/>
      <c r="H26" s="416"/>
      <c r="I26" s="4">
        <v>0.125</v>
      </c>
    </row>
    <row r="27" spans="1:9" ht="13.5" x14ac:dyDescent="0.25">
      <c r="A27" s="33"/>
      <c r="B27" s="31"/>
      <c r="C27" s="31"/>
      <c r="D27" s="31"/>
      <c r="E27" s="31"/>
      <c r="F27" s="31"/>
      <c r="G27" s="867" t="s">
        <v>261</v>
      </c>
      <c r="H27" s="416"/>
      <c r="I27" s="37">
        <f>SUM(I24:I26)</f>
        <v>0.31459999999999999</v>
      </c>
    </row>
    <row r="28" spans="1:9" ht="13.5" x14ac:dyDescent="0.25">
      <c r="A28" s="33"/>
      <c r="B28" s="31"/>
      <c r="C28" s="31"/>
      <c r="D28" s="31"/>
      <c r="E28" s="31"/>
      <c r="F28" s="31"/>
      <c r="G28" s="32"/>
      <c r="H28" s="33"/>
      <c r="I28" s="33"/>
    </row>
    <row r="29" spans="1:9" x14ac:dyDescent="0.2">
      <c r="A29" s="29" t="s">
        <v>237</v>
      </c>
      <c r="B29" s="867" t="s">
        <v>274</v>
      </c>
      <c r="C29" s="418"/>
      <c r="D29" s="418"/>
      <c r="E29" s="418"/>
      <c r="F29" s="418"/>
      <c r="G29" s="418"/>
      <c r="H29" s="416"/>
      <c r="I29" s="29" t="s">
        <v>13</v>
      </c>
    </row>
    <row r="30" spans="1:9" ht="13.5" x14ac:dyDescent="0.2">
      <c r="A30" s="29" t="s">
        <v>239</v>
      </c>
      <c r="B30" s="864" t="s">
        <v>275</v>
      </c>
      <c r="C30" s="418"/>
      <c r="D30" s="418"/>
      <c r="E30" s="418"/>
      <c r="F30" s="418"/>
      <c r="G30" s="418"/>
      <c r="H30" s="416"/>
      <c r="I30" s="4">
        <v>0.04</v>
      </c>
    </row>
    <row r="31" spans="1:9" ht="13.5" x14ac:dyDescent="0.2">
      <c r="A31" s="29" t="s">
        <v>241</v>
      </c>
      <c r="B31" s="864" t="s">
        <v>276</v>
      </c>
      <c r="C31" s="418"/>
      <c r="D31" s="418"/>
      <c r="E31" s="418"/>
      <c r="F31" s="418"/>
      <c r="G31" s="418"/>
      <c r="H31" s="416"/>
      <c r="I31" s="4">
        <v>0.02</v>
      </c>
    </row>
    <row r="32" spans="1:9" ht="13.5" x14ac:dyDescent="0.2">
      <c r="A32" s="29" t="s">
        <v>243</v>
      </c>
      <c r="B32" s="864" t="s">
        <v>277</v>
      </c>
      <c r="C32" s="418"/>
      <c r="D32" s="418"/>
      <c r="E32" s="418"/>
      <c r="F32" s="418"/>
      <c r="G32" s="418"/>
      <c r="H32" s="416"/>
      <c r="I32" s="4">
        <v>1.7500000000000002E-2</v>
      </c>
    </row>
    <row r="33" spans="1:9" ht="13.5" x14ac:dyDescent="0.2">
      <c r="A33" s="29" t="s">
        <v>245</v>
      </c>
      <c r="B33" s="868" t="s">
        <v>278</v>
      </c>
      <c r="C33" s="418"/>
      <c r="D33" s="418"/>
      <c r="E33" s="418"/>
      <c r="F33" s="418"/>
      <c r="G33" s="418"/>
      <c r="H33" s="416"/>
      <c r="I33" s="4">
        <v>0</v>
      </c>
    </row>
    <row r="34" spans="1:9" ht="13.5" x14ac:dyDescent="0.2">
      <c r="A34" s="29" t="s">
        <v>247</v>
      </c>
      <c r="B34" s="868" t="s">
        <v>279</v>
      </c>
      <c r="C34" s="418"/>
      <c r="D34" s="418"/>
      <c r="E34" s="418"/>
      <c r="F34" s="418"/>
      <c r="G34" s="418"/>
      <c r="H34" s="416"/>
      <c r="I34" s="4">
        <v>0</v>
      </c>
    </row>
    <row r="35" spans="1:9" ht="13.5" x14ac:dyDescent="0.2">
      <c r="A35" s="29" t="s">
        <v>249</v>
      </c>
      <c r="B35" s="864" t="s">
        <v>280</v>
      </c>
      <c r="C35" s="418"/>
      <c r="D35" s="418"/>
      <c r="E35" s="418"/>
      <c r="F35" s="418"/>
      <c r="G35" s="418"/>
      <c r="H35" s="416"/>
      <c r="I35" s="4">
        <v>0.03</v>
      </c>
    </row>
    <row r="36" spans="1:9" ht="13.5" x14ac:dyDescent="0.25">
      <c r="A36" s="33"/>
      <c r="B36" s="31"/>
      <c r="C36" s="31"/>
      <c r="D36" s="31"/>
      <c r="E36" s="31"/>
      <c r="F36" s="31"/>
      <c r="G36" s="869" t="s">
        <v>261</v>
      </c>
      <c r="H36" s="459"/>
      <c r="I36" s="39">
        <f>SUM(I30:I35)</f>
        <v>0.1075</v>
      </c>
    </row>
    <row r="37" spans="1:9" ht="13.5" x14ac:dyDescent="0.25">
      <c r="A37" s="33"/>
      <c r="B37" s="31"/>
      <c r="C37" s="31"/>
      <c r="D37" s="31"/>
      <c r="E37" s="31"/>
      <c r="F37" s="31"/>
      <c r="G37" s="32"/>
      <c r="H37" s="33"/>
      <c r="I37" s="33"/>
    </row>
    <row r="38" spans="1:9" x14ac:dyDescent="0.2">
      <c r="A38" s="29" t="s">
        <v>281</v>
      </c>
      <c r="B38" s="867" t="s">
        <v>282</v>
      </c>
      <c r="C38" s="418"/>
      <c r="D38" s="418"/>
      <c r="E38" s="418"/>
      <c r="F38" s="418"/>
      <c r="G38" s="418"/>
      <c r="H38" s="416"/>
      <c r="I38" s="29" t="s">
        <v>13</v>
      </c>
    </row>
    <row r="39" spans="1:9" ht="13.5" x14ac:dyDescent="0.2">
      <c r="A39" s="29" t="s">
        <v>283</v>
      </c>
      <c r="B39" s="870" t="s">
        <v>1590</v>
      </c>
      <c r="C39" s="418"/>
      <c r="D39" s="418"/>
      <c r="E39" s="418"/>
      <c r="F39" s="418"/>
      <c r="G39" s="418"/>
      <c r="H39" s="416"/>
      <c r="I39" s="4">
        <v>9.3399999999999997E-2</v>
      </c>
    </row>
    <row r="40" spans="1:9" ht="13.5" x14ac:dyDescent="0.2">
      <c r="A40" s="29" t="s">
        <v>284</v>
      </c>
      <c r="B40" s="864" t="s">
        <v>285</v>
      </c>
      <c r="C40" s="418"/>
      <c r="D40" s="418"/>
      <c r="E40" s="418"/>
      <c r="F40" s="418"/>
      <c r="G40" s="418"/>
      <c r="H40" s="416"/>
      <c r="I40" s="4">
        <v>5.0000000000000001E-3</v>
      </c>
    </row>
    <row r="41" spans="1:9" ht="13.5" x14ac:dyDescent="0.2">
      <c r="A41" s="29" t="s">
        <v>1589</v>
      </c>
      <c r="B41" s="870" t="s">
        <v>1591</v>
      </c>
      <c r="C41" s="418"/>
      <c r="D41" s="418"/>
      <c r="E41" s="418"/>
      <c r="F41" s="418"/>
      <c r="G41" s="418"/>
      <c r="H41" s="416"/>
      <c r="I41" s="4">
        <v>0.03</v>
      </c>
    </row>
    <row r="42" spans="1:9" ht="13.5" x14ac:dyDescent="0.25">
      <c r="A42" s="33"/>
      <c r="B42" s="31"/>
      <c r="C42" s="31"/>
      <c r="D42" s="31"/>
      <c r="E42" s="31"/>
      <c r="F42" s="31"/>
      <c r="G42" s="867" t="s">
        <v>261</v>
      </c>
      <c r="H42" s="416"/>
      <c r="I42" s="37">
        <f>SUM(I39:I41)</f>
        <v>0.12840000000000001</v>
      </c>
    </row>
    <row r="43" spans="1:9" ht="13.5" x14ac:dyDescent="0.25">
      <c r="A43" s="33"/>
      <c r="B43" s="31"/>
      <c r="C43" s="31"/>
      <c r="D43" s="31"/>
      <c r="E43" s="31"/>
      <c r="F43" s="31"/>
      <c r="G43" s="32"/>
      <c r="H43" s="33"/>
      <c r="I43" s="33"/>
    </row>
    <row r="44" spans="1:9" ht="13.5" x14ac:dyDescent="0.25">
      <c r="A44" s="33"/>
      <c r="B44" s="31"/>
      <c r="C44" s="31"/>
      <c r="D44" s="31"/>
      <c r="E44" s="31"/>
      <c r="F44" s="867" t="s">
        <v>286</v>
      </c>
      <c r="G44" s="416"/>
      <c r="H44" s="882">
        <f>I13+I21+I27+I36+I42</f>
        <v>1.88995</v>
      </c>
      <c r="I44" s="416"/>
    </row>
    <row r="45" spans="1:9" ht="13.5" x14ac:dyDescent="0.25">
      <c r="A45" s="33"/>
      <c r="B45" s="31"/>
      <c r="C45" s="31"/>
      <c r="D45" s="31"/>
      <c r="E45" s="31"/>
      <c r="F45" s="31"/>
      <c r="G45" s="32"/>
      <c r="H45" s="33"/>
      <c r="I45" s="33"/>
    </row>
    <row r="46" spans="1:9" x14ac:dyDescent="0.2">
      <c r="A46" s="29" t="s">
        <v>287</v>
      </c>
      <c r="B46" s="867" t="s">
        <v>288</v>
      </c>
      <c r="C46" s="418"/>
      <c r="D46" s="418"/>
      <c r="E46" s="418"/>
      <c r="F46" s="418"/>
      <c r="G46" s="418"/>
      <c r="H46" s="416"/>
      <c r="I46" s="29" t="s">
        <v>13</v>
      </c>
    </row>
    <row r="47" spans="1:9" ht="13.5" x14ac:dyDescent="0.2">
      <c r="A47" s="29" t="s">
        <v>289</v>
      </c>
      <c r="B47" s="864" t="s">
        <v>1845</v>
      </c>
      <c r="C47" s="418"/>
      <c r="D47" s="418"/>
      <c r="E47" s="418"/>
      <c r="F47" s="418"/>
      <c r="G47" s="418"/>
      <c r="H47" s="416"/>
      <c r="I47" s="4">
        <v>0.04</v>
      </c>
    </row>
    <row r="48" spans="1:9" ht="13.5" x14ac:dyDescent="0.2">
      <c r="A48" s="29" t="s">
        <v>290</v>
      </c>
      <c r="B48" s="864" t="s">
        <v>242</v>
      </c>
      <c r="C48" s="418"/>
      <c r="D48" s="418"/>
      <c r="E48" s="418"/>
      <c r="F48" s="418"/>
      <c r="G48" s="418"/>
      <c r="H48" s="416"/>
      <c r="I48" s="4">
        <v>0.01</v>
      </c>
    </row>
    <row r="49" spans="1:9" ht="13.5" x14ac:dyDescent="0.2">
      <c r="A49" s="29" t="s">
        <v>291</v>
      </c>
      <c r="B49" s="864" t="s">
        <v>244</v>
      </c>
      <c r="C49" s="418"/>
      <c r="D49" s="418"/>
      <c r="E49" s="418"/>
      <c r="F49" s="418"/>
      <c r="G49" s="418"/>
      <c r="H49" s="416"/>
      <c r="I49" s="4">
        <v>0</v>
      </c>
    </row>
    <row r="50" spans="1:9" ht="13.5" x14ac:dyDescent="0.2">
      <c r="A50" s="29" t="s">
        <v>292</v>
      </c>
      <c r="B50" s="864" t="s">
        <v>246</v>
      </c>
      <c r="C50" s="418"/>
      <c r="D50" s="418"/>
      <c r="E50" s="418"/>
      <c r="F50" s="418"/>
      <c r="G50" s="418"/>
      <c r="H50" s="416"/>
      <c r="I50" s="4">
        <v>0</v>
      </c>
    </row>
    <row r="51" spans="1:9" ht="13.5" x14ac:dyDescent="0.2">
      <c r="A51" s="29" t="s">
        <v>293</v>
      </c>
      <c r="B51" s="864" t="s">
        <v>248</v>
      </c>
      <c r="C51" s="418"/>
      <c r="D51" s="418"/>
      <c r="E51" s="418"/>
      <c r="F51" s="418"/>
      <c r="G51" s="418"/>
      <c r="H51" s="416"/>
      <c r="I51" s="4">
        <v>0.05</v>
      </c>
    </row>
    <row r="52" spans="1:9" ht="13.5" x14ac:dyDescent="0.2">
      <c r="A52" s="29" t="s">
        <v>294</v>
      </c>
      <c r="B52" s="864" t="s">
        <v>295</v>
      </c>
      <c r="C52" s="418"/>
      <c r="D52" s="418"/>
      <c r="E52" s="418"/>
      <c r="F52" s="418"/>
      <c r="G52" s="418"/>
      <c r="H52" s="416"/>
      <c r="I52" s="4">
        <v>0</v>
      </c>
    </row>
    <row r="53" spans="1:9" ht="13.5" x14ac:dyDescent="0.2">
      <c r="A53" s="29" t="s">
        <v>296</v>
      </c>
      <c r="B53" s="864" t="s">
        <v>297</v>
      </c>
      <c r="C53" s="418"/>
      <c r="D53" s="418"/>
      <c r="E53" s="418"/>
      <c r="F53" s="418"/>
      <c r="G53" s="418"/>
      <c r="H53" s="416"/>
      <c r="I53" s="4">
        <v>0</v>
      </c>
    </row>
    <row r="54" spans="1:9" x14ac:dyDescent="0.2">
      <c r="A54" s="31"/>
      <c r="B54" s="31"/>
      <c r="C54" s="31"/>
      <c r="D54" s="31"/>
      <c r="E54" s="31"/>
      <c r="F54" s="31"/>
      <c r="G54" s="867" t="s">
        <v>261</v>
      </c>
      <c r="H54" s="416"/>
      <c r="I54" s="37">
        <f>SUM(I47:I53)</f>
        <v>0.1</v>
      </c>
    </row>
    <row r="55" spans="1:9" ht="13.5" x14ac:dyDescent="0.25">
      <c r="A55" s="40" t="s">
        <v>298</v>
      </c>
      <c r="B55" s="31" t="s">
        <v>298</v>
      </c>
      <c r="C55" s="31" t="s">
        <v>298</v>
      </c>
      <c r="D55" s="31" t="s">
        <v>298</v>
      </c>
      <c r="E55" s="31" t="s">
        <v>298</v>
      </c>
      <c r="F55" s="31" t="s">
        <v>298</v>
      </c>
      <c r="G55" s="31"/>
      <c r="H55" s="41" t="s">
        <v>298</v>
      </c>
      <c r="I55" s="42" t="s">
        <v>298</v>
      </c>
    </row>
    <row r="56" spans="1:9" x14ac:dyDescent="0.2">
      <c r="A56" s="29" t="s">
        <v>299</v>
      </c>
      <c r="B56" s="867" t="s">
        <v>172</v>
      </c>
      <c r="C56" s="418"/>
      <c r="D56" s="418"/>
      <c r="E56" s="418"/>
      <c r="F56" s="418"/>
      <c r="G56" s="418"/>
      <c r="H56" s="416"/>
      <c r="I56" s="29" t="s">
        <v>13</v>
      </c>
    </row>
    <row r="57" spans="1:9" ht="13.5" x14ac:dyDescent="0.2">
      <c r="A57" s="29" t="s">
        <v>300</v>
      </c>
      <c r="B57" s="864" t="s">
        <v>301</v>
      </c>
      <c r="C57" s="418"/>
      <c r="D57" s="418"/>
      <c r="E57" s="418"/>
      <c r="F57" s="418"/>
      <c r="G57" s="418"/>
      <c r="H57" s="416"/>
      <c r="I57" s="4">
        <v>0.02</v>
      </c>
    </row>
    <row r="58" spans="1:9" ht="13.5" x14ac:dyDescent="0.2">
      <c r="A58" s="29" t="s">
        <v>302</v>
      </c>
      <c r="B58" s="864" t="s">
        <v>303</v>
      </c>
      <c r="C58" s="418"/>
      <c r="D58" s="418"/>
      <c r="E58" s="418"/>
      <c r="F58" s="418"/>
      <c r="G58" s="418"/>
      <c r="H58" s="416"/>
      <c r="I58" s="4">
        <v>0.01</v>
      </c>
    </row>
    <row r="59" spans="1:9" ht="13.5" x14ac:dyDescent="0.2">
      <c r="A59" s="29" t="s">
        <v>304</v>
      </c>
      <c r="B59" s="864" t="s">
        <v>305</v>
      </c>
      <c r="C59" s="418"/>
      <c r="D59" s="418"/>
      <c r="E59" s="418"/>
      <c r="F59" s="418"/>
      <c r="G59" s="418"/>
      <c r="H59" s="416"/>
      <c r="I59" s="4">
        <v>0.05</v>
      </c>
    </row>
    <row r="60" spans="1:9" ht="13.5" x14ac:dyDescent="0.2">
      <c r="A60" s="29" t="s">
        <v>306</v>
      </c>
      <c r="B60" s="864" t="s">
        <v>307</v>
      </c>
      <c r="C60" s="418"/>
      <c r="D60" s="418"/>
      <c r="E60" s="418"/>
      <c r="F60" s="418"/>
      <c r="G60" s="418"/>
      <c r="H60" s="416"/>
      <c r="I60" s="4">
        <v>0</v>
      </c>
    </row>
    <row r="61" spans="1:9" ht="13.5" x14ac:dyDescent="0.2">
      <c r="A61" s="29" t="s">
        <v>308</v>
      </c>
      <c r="B61" s="864" t="s">
        <v>309</v>
      </c>
      <c r="C61" s="418"/>
      <c r="D61" s="418"/>
      <c r="E61" s="418"/>
      <c r="F61" s="418"/>
      <c r="G61" s="418"/>
      <c r="H61" s="416"/>
      <c r="I61" s="4">
        <v>0.01</v>
      </c>
    </row>
    <row r="62" spans="1:9" ht="13.5" x14ac:dyDescent="0.2">
      <c r="A62" s="29" t="s">
        <v>310</v>
      </c>
      <c r="B62" s="864" t="s">
        <v>311</v>
      </c>
      <c r="C62" s="418"/>
      <c r="D62" s="418"/>
      <c r="E62" s="418"/>
      <c r="F62" s="418"/>
      <c r="G62" s="418"/>
      <c r="H62" s="416"/>
      <c r="I62" s="4">
        <v>0.03</v>
      </c>
    </row>
    <row r="63" spans="1:9" ht="13.5" x14ac:dyDescent="0.25">
      <c r="A63" s="33"/>
      <c r="B63" s="31"/>
      <c r="C63" s="31"/>
      <c r="D63" s="31"/>
      <c r="E63" s="31"/>
      <c r="F63" s="31"/>
      <c r="G63" s="867" t="s">
        <v>261</v>
      </c>
      <c r="H63" s="416"/>
      <c r="I63" s="37">
        <f>SUM(I57:I62)</f>
        <v>0.12</v>
      </c>
    </row>
    <row r="64" spans="1:9" ht="13.5" x14ac:dyDescent="0.25">
      <c r="A64" s="40" t="s">
        <v>298</v>
      </c>
      <c r="B64" s="31" t="s">
        <v>298</v>
      </c>
      <c r="C64" s="31"/>
      <c r="D64" s="31"/>
      <c r="E64" s="31"/>
      <c r="F64" s="31"/>
      <c r="G64" s="31"/>
      <c r="H64" s="41" t="s">
        <v>298</v>
      </c>
      <c r="I64" s="42" t="s">
        <v>298</v>
      </c>
    </row>
    <row r="65" spans="1:10" x14ac:dyDescent="0.2">
      <c r="A65" s="29" t="s">
        <v>312</v>
      </c>
      <c r="B65" s="867" t="s">
        <v>313</v>
      </c>
      <c r="C65" s="418"/>
      <c r="D65" s="418"/>
      <c r="E65" s="418"/>
      <c r="F65" s="418"/>
      <c r="G65" s="418"/>
      <c r="H65" s="416"/>
      <c r="I65" s="29" t="s">
        <v>13</v>
      </c>
    </row>
    <row r="66" spans="1:10" ht="13.5" x14ac:dyDescent="0.2">
      <c r="A66" s="29" t="s">
        <v>314</v>
      </c>
      <c r="B66" s="864" t="s">
        <v>315</v>
      </c>
      <c r="C66" s="418"/>
      <c r="D66" s="418"/>
      <c r="E66" s="418"/>
      <c r="F66" s="418"/>
      <c r="G66" s="418"/>
      <c r="H66" s="416"/>
      <c r="I66" s="4">
        <v>3.3999999999999998E-3</v>
      </c>
    </row>
    <row r="67" spans="1:10" ht="13.5" x14ac:dyDescent="0.2">
      <c r="A67" s="29" t="s">
        <v>316</v>
      </c>
      <c r="B67" s="864" t="s">
        <v>317</v>
      </c>
      <c r="C67" s="418"/>
      <c r="D67" s="418"/>
      <c r="E67" s="418"/>
      <c r="F67" s="418"/>
      <c r="G67" s="418"/>
      <c r="H67" s="416"/>
      <c r="I67" s="4">
        <v>5.9999999999999995E-4</v>
      </c>
    </row>
    <row r="68" spans="1:10" ht="13.5" x14ac:dyDescent="0.2">
      <c r="A68" s="29" t="s">
        <v>318</v>
      </c>
      <c r="B68" s="864" t="s">
        <v>319</v>
      </c>
      <c r="C68" s="418"/>
      <c r="D68" s="418"/>
      <c r="E68" s="418"/>
      <c r="F68" s="418"/>
      <c r="G68" s="418"/>
      <c r="H68" s="416"/>
      <c r="I68" s="4">
        <v>0</v>
      </c>
    </row>
    <row r="69" spans="1:10" x14ac:dyDescent="0.2">
      <c r="A69" s="31"/>
      <c r="B69" s="31"/>
      <c r="C69" s="31"/>
      <c r="D69" s="31"/>
      <c r="E69" s="31"/>
      <c r="F69" s="31"/>
      <c r="G69" s="867" t="s">
        <v>261</v>
      </c>
      <c r="H69" s="416"/>
      <c r="I69" s="37">
        <f>SUM(I66:I68)</f>
        <v>4.0000000000000001E-3</v>
      </c>
    </row>
    <row r="70" spans="1:10" ht="13.5" x14ac:dyDescent="0.25">
      <c r="A70" s="33"/>
      <c r="B70" s="5"/>
      <c r="C70" s="5"/>
      <c r="D70" s="5"/>
      <c r="E70" s="5"/>
      <c r="F70" s="33"/>
      <c r="G70" s="33"/>
      <c r="H70" s="33"/>
      <c r="I70" s="33"/>
    </row>
    <row r="71" spans="1:10" ht="13.5" x14ac:dyDescent="0.25">
      <c r="A71" s="33"/>
      <c r="F71" s="33"/>
      <c r="G71" s="865" t="s">
        <v>253</v>
      </c>
      <c r="H71" s="29" t="s">
        <v>320</v>
      </c>
      <c r="I71" s="43">
        <f>H44+I54+I69+I63</f>
        <v>2.11395</v>
      </c>
    </row>
    <row r="72" spans="1:10" ht="13.5" x14ac:dyDescent="0.25">
      <c r="A72" s="33"/>
      <c r="F72" s="33"/>
      <c r="G72" s="866"/>
      <c r="H72" s="29" t="s">
        <v>321</v>
      </c>
      <c r="I72" s="331">
        <f>ROUNDUP((I71),1)</f>
        <v>2.2000000000000002</v>
      </c>
    </row>
    <row r="74" spans="1:10" ht="13.5" x14ac:dyDescent="0.25">
      <c r="A74" s="7"/>
      <c r="B74" s="7"/>
      <c r="C74" s="7"/>
      <c r="D74" s="7"/>
      <c r="E74" s="7"/>
      <c r="F74" s="7"/>
      <c r="G74" s="7"/>
      <c r="H74" s="7"/>
      <c r="I74" s="7"/>
      <c r="J74" s="7"/>
    </row>
    <row r="75" spans="1:10" ht="14.25" thickBot="1" x14ac:dyDescent="0.3">
      <c r="A75" s="7"/>
      <c r="B75" s="7"/>
      <c r="C75" s="7"/>
      <c r="D75" s="7"/>
      <c r="E75" s="190"/>
      <c r="F75" s="190"/>
      <c r="G75" s="132"/>
      <c r="H75" s="132"/>
      <c r="I75" s="132"/>
      <c r="J75" s="7"/>
    </row>
    <row r="76" spans="1:10" ht="14.25" thickTop="1" x14ac:dyDescent="0.25">
      <c r="E76" s="429" t="s">
        <v>1126</v>
      </c>
      <c r="F76" s="429"/>
      <c r="G76" s="429"/>
      <c r="H76" s="429"/>
      <c r="I76" s="429"/>
      <c r="J76" s="7"/>
    </row>
    <row r="77" spans="1:10" ht="13.5" x14ac:dyDescent="0.25">
      <c r="E77" s="406" t="s">
        <v>1127</v>
      </c>
      <c r="F77" s="406"/>
      <c r="G77" s="406"/>
      <c r="H77" s="406"/>
      <c r="I77" s="406"/>
      <c r="J77" s="7"/>
    </row>
    <row r="78" spans="1:10" ht="13.5" x14ac:dyDescent="0.25">
      <c r="E78" s="406" t="s">
        <v>1123</v>
      </c>
      <c r="F78" s="406"/>
      <c r="G78" s="406"/>
      <c r="H78" s="406"/>
      <c r="I78" s="406"/>
      <c r="J78" s="7"/>
    </row>
    <row r="79" spans="1:10" ht="13.5" x14ac:dyDescent="0.25">
      <c r="J79" s="7"/>
    </row>
    <row r="84" spans="1:4" x14ac:dyDescent="0.2">
      <c r="A84" s="116"/>
      <c r="B84" s="116"/>
      <c r="C84" s="116"/>
      <c r="D84" s="116"/>
    </row>
    <row r="85" spans="1:4" x14ac:dyDescent="0.2">
      <c r="A85" s="116"/>
      <c r="B85" s="116"/>
      <c r="C85" s="116"/>
      <c r="D85" s="116"/>
    </row>
    <row r="86" spans="1:4" x14ac:dyDescent="0.2">
      <c r="A86" s="116"/>
      <c r="B86" s="116"/>
      <c r="C86" s="116"/>
      <c r="D86" s="116"/>
    </row>
    <row r="87" spans="1:4" x14ac:dyDescent="0.2">
      <c r="A87" s="116"/>
      <c r="B87" s="116"/>
    </row>
    <row r="88" spans="1:4" x14ac:dyDescent="0.2">
      <c r="A88" s="116"/>
      <c r="B88" s="116"/>
    </row>
    <row r="89" spans="1:4" x14ac:dyDescent="0.2">
      <c r="A89" s="116"/>
    </row>
    <row r="90" spans="1:4" x14ac:dyDescent="0.2">
      <c r="A90" s="116"/>
    </row>
  </sheetData>
  <mergeCells count="70">
    <mergeCell ref="B66:H66"/>
    <mergeCell ref="B67:H67"/>
    <mergeCell ref="B68:H68"/>
    <mergeCell ref="G69:H69"/>
    <mergeCell ref="B41:H41"/>
    <mergeCell ref="B57:H57"/>
    <mergeCell ref="B58:H58"/>
    <mergeCell ref="B59:H59"/>
    <mergeCell ref="B60:H60"/>
    <mergeCell ref="G42:H42"/>
    <mergeCell ref="F44:G44"/>
    <mergeCell ref="H44:I44"/>
    <mergeCell ref="B46:H46"/>
    <mergeCell ref="B47:H47"/>
    <mergeCell ref="G13:H13"/>
    <mergeCell ref="B15:H15"/>
    <mergeCell ref="B16:H16"/>
    <mergeCell ref="B17:H17"/>
    <mergeCell ref="A9:B9"/>
    <mergeCell ref="C9:D9"/>
    <mergeCell ref="H9:I9"/>
    <mergeCell ref="F9:G9"/>
    <mergeCell ref="B11:H11"/>
    <mergeCell ref="B12:H12"/>
    <mergeCell ref="I2:I3"/>
    <mergeCell ref="A8:B8"/>
    <mergeCell ref="C8:D8"/>
    <mergeCell ref="F8:G8"/>
    <mergeCell ref="H8:I8"/>
    <mergeCell ref="A5:I6"/>
    <mergeCell ref="A1:E3"/>
    <mergeCell ref="F1:G1"/>
    <mergeCell ref="F2:G3"/>
    <mergeCell ref="H2:H3"/>
    <mergeCell ref="B24:H24"/>
    <mergeCell ref="B25:H25"/>
    <mergeCell ref="B26:H26"/>
    <mergeCell ref="G27:H27"/>
    <mergeCell ref="B29:H29"/>
    <mergeCell ref="B18:H18"/>
    <mergeCell ref="B19:H19"/>
    <mergeCell ref="B20:H20"/>
    <mergeCell ref="G21:H21"/>
    <mergeCell ref="B23:H23"/>
    <mergeCell ref="B35:H35"/>
    <mergeCell ref="G36:H36"/>
    <mergeCell ref="B38:H38"/>
    <mergeCell ref="B39:H39"/>
    <mergeCell ref="B40:H40"/>
    <mergeCell ref="B30:H30"/>
    <mergeCell ref="B31:H31"/>
    <mergeCell ref="B32:H32"/>
    <mergeCell ref="B33:H33"/>
    <mergeCell ref="B34:H34"/>
    <mergeCell ref="E76:I76"/>
    <mergeCell ref="E77:I77"/>
    <mergeCell ref="E78:I78"/>
    <mergeCell ref="B48:H48"/>
    <mergeCell ref="B49:H49"/>
    <mergeCell ref="B50:H50"/>
    <mergeCell ref="G71:G72"/>
    <mergeCell ref="B51:H51"/>
    <mergeCell ref="B52:H52"/>
    <mergeCell ref="B53:H53"/>
    <mergeCell ref="G54:H54"/>
    <mergeCell ref="B56:H56"/>
    <mergeCell ref="B61:H61"/>
    <mergeCell ref="B62:H62"/>
    <mergeCell ref="G63:H63"/>
    <mergeCell ref="B65:H65"/>
  </mergeCells>
  <pageMargins left="1.1811023622047245" right="1.1811023622047245" top="0.78740157480314965" bottom="0.78740157480314965" header="0.19685039370078741" footer="0.19685039370078741"/>
  <pageSetup scale="75"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5"/>
  <sheetViews>
    <sheetView view="pageBreakPreview" zoomScale="85" zoomScaleNormal="100" zoomScaleSheetLayoutView="85" workbookViewId="0">
      <selection activeCell="L23" sqref="L23"/>
    </sheetView>
  </sheetViews>
  <sheetFormatPr baseColWidth="10" defaultRowHeight="12.75" x14ac:dyDescent="0.2"/>
  <sheetData>
    <row r="1" spans="1:17" x14ac:dyDescent="0.2">
      <c r="A1" s="466" t="str">
        <f>Indice!$A$1</f>
        <v>CONSTRUCCIÓN DEL SISTEMA DE ACUEDUCTO IDOLOS, EL TIGRE, MUNICIPIO DE ISNOS – DEPARTAMENTO DEL HUILA – FASE I.</v>
      </c>
      <c r="B1" s="410"/>
      <c r="C1" s="410"/>
      <c r="D1" s="410"/>
      <c r="E1" s="410"/>
      <c r="F1" s="410"/>
      <c r="G1" s="410"/>
      <c r="H1" s="410"/>
      <c r="I1" s="410"/>
      <c r="J1" s="410"/>
      <c r="K1" s="410"/>
      <c r="L1" s="411"/>
      <c r="M1" s="470" t="s">
        <v>0</v>
      </c>
      <c r="N1" s="416"/>
      <c r="O1" s="471" t="e">
        <f>P24</f>
        <v>#REF!</v>
      </c>
      <c r="P1" s="410"/>
      <c r="Q1" s="411"/>
    </row>
    <row r="2" spans="1:17" x14ac:dyDescent="0.2">
      <c r="A2" s="467"/>
      <c r="B2" s="468"/>
      <c r="C2" s="468"/>
      <c r="D2" s="468"/>
      <c r="E2" s="468"/>
      <c r="F2" s="468"/>
      <c r="G2" s="468"/>
      <c r="H2" s="468"/>
      <c r="I2" s="468"/>
      <c r="J2" s="468"/>
      <c r="K2" s="468"/>
      <c r="L2" s="469"/>
      <c r="M2" s="839">
        <f>Indice!$I$2</f>
        <v>45972</v>
      </c>
      <c r="N2" s="411"/>
      <c r="O2" s="467"/>
      <c r="P2" s="468"/>
      <c r="Q2" s="469"/>
    </row>
    <row r="3" spans="1:17" x14ac:dyDescent="0.2">
      <c r="A3" s="412"/>
      <c r="B3" s="413"/>
      <c r="C3" s="413"/>
      <c r="D3" s="413"/>
      <c r="E3" s="413"/>
      <c r="F3" s="413"/>
      <c r="G3" s="413"/>
      <c r="H3" s="413"/>
      <c r="I3" s="413"/>
      <c r="J3" s="413"/>
      <c r="K3" s="413"/>
      <c r="L3" s="414"/>
      <c r="M3" s="412"/>
      <c r="N3" s="414"/>
      <c r="O3" s="412"/>
      <c r="P3" s="413"/>
      <c r="Q3" s="414"/>
    </row>
    <row r="4" spans="1:17" ht="13.5" x14ac:dyDescent="0.2">
      <c r="A4" s="10"/>
      <c r="B4" s="10"/>
      <c r="C4" s="10"/>
      <c r="D4" s="10"/>
      <c r="E4" s="10"/>
      <c r="F4" s="10"/>
      <c r="G4" s="10"/>
      <c r="H4" s="10"/>
      <c r="I4" s="10"/>
      <c r="J4" s="10"/>
      <c r="K4" s="10"/>
      <c r="L4" s="10"/>
      <c r="M4" s="10"/>
      <c r="N4" s="10"/>
      <c r="O4" s="10"/>
      <c r="P4" s="10"/>
      <c r="Q4" s="10"/>
    </row>
    <row r="5" spans="1:17" x14ac:dyDescent="0.2">
      <c r="A5" s="473" t="s">
        <v>322</v>
      </c>
      <c r="B5" s="474"/>
      <c r="C5" s="474"/>
      <c r="D5" s="474"/>
      <c r="E5" s="474"/>
      <c r="F5" s="474"/>
      <c r="G5" s="474"/>
      <c r="H5" s="474"/>
      <c r="I5" s="474"/>
      <c r="J5" s="474"/>
      <c r="K5" s="474"/>
      <c r="L5" s="474"/>
      <c r="M5" s="474"/>
      <c r="N5" s="474"/>
      <c r="O5" s="474"/>
      <c r="P5" s="474"/>
      <c r="Q5" s="475"/>
    </row>
    <row r="6" spans="1:17" x14ac:dyDescent="0.2">
      <c r="A6" s="476"/>
      <c r="B6" s="477"/>
      <c r="C6" s="477"/>
      <c r="D6" s="477"/>
      <c r="E6" s="477"/>
      <c r="F6" s="477"/>
      <c r="G6" s="477"/>
      <c r="H6" s="477"/>
      <c r="I6" s="477"/>
      <c r="J6" s="477"/>
      <c r="K6" s="477"/>
      <c r="L6" s="477"/>
      <c r="M6" s="477"/>
      <c r="N6" s="477"/>
      <c r="O6" s="477"/>
      <c r="P6" s="477"/>
      <c r="Q6" s="478"/>
    </row>
    <row r="7" spans="1:17" ht="13.5" x14ac:dyDescent="0.25">
      <c r="A7" s="44"/>
      <c r="B7" s="44"/>
      <c r="C7" s="44"/>
      <c r="D7" s="44"/>
      <c r="E7" s="44"/>
      <c r="F7" s="44"/>
      <c r="G7" s="44"/>
      <c r="H7" s="44"/>
      <c r="I7" s="44"/>
      <c r="J7" s="44"/>
      <c r="K7" s="44"/>
      <c r="L7" s="44"/>
      <c r="M7" s="44"/>
      <c r="N7" s="44"/>
      <c r="O7" s="44"/>
      <c r="P7" s="44"/>
      <c r="Q7" s="44"/>
    </row>
    <row r="8" spans="1:17" ht="13.5" x14ac:dyDescent="0.25">
      <c r="A8" s="44"/>
      <c r="B8" s="44"/>
      <c r="C8" s="889" t="s">
        <v>323</v>
      </c>
      <c r="D8" s="416"/>
      <c r="E8" s="890" t="e">
        <f>'01'!#REF!</f>
        <v>#REF!</v>
      </c>
      <c r="F8" s="416"/>
      <c r="G8" s="891" t="s">
        <v>324</v>
      </c>
      <c r="H8" s="418"/>
      <c r="I8" s="892" t="s">
        <v>325</v>
      </c>
      <c r="J8" s="483"/>
      <c r="K8" s="483"/>
      <c r="L8" s="893"/>
      <c r="M8" s="19">
        <f>Indice!$F$54</f>
        <v>5</v>
      </c>
      <c r="N8" s="894" t="s">
        <v>326</v>
      </c>
      <c r="O8" s="483"/>
      <c r="P8" s="893"/>
      <c r="Q8" s="45">
        <f>+M8*30</f>
        <v>150</v>
      </c>
    </row>
    <row r="9" spans="1:17" ht="13.5" x14ac:dyDescent="0.25">
      <c r="A9" s="44"/>
      <c r="B9" s="44"/>
      <c r="C9" s="46"/>
      <c r="D9" s="44"/>
      <c r="E9" s="44"/>
      <c r="F9" s="44"/>
      <c r="G9" s="44"/>
      <c r="H9" s="44"/>
      <c r="I9" s="44"/>
      <c r="J9" s="44"/>
      <c r="K9" s="44"/>
      <c r="L9" s="44"/>
      <c r="M9" s="44"/>
      <c r="N9" s="44"/>
      <c r="O9" s="44"/>
      <c r="P9" s="44"/>
      <c r="Q9" s="44"/>
    </row>
    <row r="10" spans="1:17" x14ac:dyDescent="0.2">
      <c r="A10" s="886" t="s">
        <v>327</v>
      </c>
      <c r="B10" s="411"/>
      <c r="C10" s="466" t="s">
        <v>328</v>
      </c>
      <c r="D10" s="410"/>
      <c r="E10" s="411"/>
      <c r="F10" s="466" t="s">
        <v>329</v>
      </c>
      <c r="G10" s="410"/>
      <c r="H10" s="411"/>
      <c r="I10" s="466" t="s">
        <v>330</v>
      </c>
      <c r="J10" s="410"/>
      <c r="K10" s="411"/>
      <c r="L10" s="466" t="s">
        <v>331</v>
      </c>
      <c r="M10" s="410"/>
      <c r="N10" s="411"/>
      <c r="O10" s="466" t="s">
        <v>332</v>
      </c>
      <c r="P10" s="410"/>
      <c r="Q10" s="411"/>
    </row>
    <row r="11" spans="1:17" x14ac:dyDescent="0.2">
      <c r="A11" s="887"/>
      <c r="B11" s="469"/>
      <c r="C11" s="412"/>
      <c r="D11" s="413"/>
      <c r="E11" s="414"/>
      <c r="F11" s="412"/>
      <c r="G11" s="413"/>
      <c r="H11" s="414"/>
      <c r="I11" s="412"/>
      <c r="J11" s="413"/>
      <c r="K11" s="414"/>
      <c r="L11" s="412"/>
      <c r="M11" s="413"/>
      <c r="N11" s="414"/>
      <c r="O11" s="412"/>
      <c r="P11" s="413"/>
      <c r="Q11" s="414"/>
    </row>
    <row r="12" spans="1:17" ht="13.5" x14ac:dyDescent="0.2">
      <c r="A12" s="888" t="s">
        <v>13</v>
      </c>
      <c r="B12" s="856"/>
      <c r="C12" s="794">
        <v>0.1</v>
      </c>
      <c r="D12" s="418"/>
      <c r="E12" s="416"/>
      <c r="F12" s="794">
        <v>0.2</v>
      </c>
      <c r="G12" s="418"/>
      <c r="H12" s="416"/>
      <c r="I12" s="794">
        <v>0.2</v>
      </c>
      <c r="J12" s="418"/>
      <c r="K12" s="416"/>
      <c r="L12" s="794">
        <v>0.1</v>
      </c>
      <c r="M12" s="418"/>
      <c r="N12" s="416"/>
      <c r="O12" s="794">
        <v>0.05</v>
      </c>
      <c r="P12" s="418"/>
      <c r="Q12" s="416"/>
    </row>
    <row r="13" spans="1:17" x14ac:dyDescent="0.2">
      <c r="A13" s="886" t="s">
        <v>333</v>
      </c>
      <c r="B13" s="411"/>
      <c r="C13" s="884" t="s">
        <v>334</v>
      </c>
      <c r="D13" s="410"/>
      <c r="E13" s="411"/>
      <c r="F13" s="884" t="s">
        <v>334</v>
      </c>
      <c r="G13" s="410"/>
      <c r="H13" s="411"/>
      <c r="I13" s="884" t="s">
        <v>334</v>
      </c>
      <c r="J13" s="410"/>
      <c r="K13" s="411"/>
      <c r="L13" s="884" t="s">
        <v>335</v>
      </c>
      <c r="M13" s="410"/>
      <c r="N13" s="411"/>
      <c r="O13" s="884" t="s">
        <v>336</v>
      </c>
      <c r="P13" s="410"/>
      <c r="Q13" s="411"/>
    </row>
    <row r="14" spans="1:17" x14ac:dyDescent="0.2">
      <c r="A14" s="887"/>
      <c r="B14" s="469"/>
      <c r="C14" s="412"/>
      <c r="D14" s="413"/>
      <c r="E14" s="414"/>
      <c r="F14" s="412"/>
      <c r="G14" s="413"/>
      <c r="H14" s="414"/>
      <c r="I14" s="412"/>
      <c r="J14" s="413"/>
      <c r="K14" s="414"/>
      <c r="L14" s="412"/>
      <c r="M14" s="413"/>
      <c r="N14" s="414"/>
      <c r="O14" s="412"/>
      <c r="P14" s="413"/>
      <c r="Q14" s="414"/>
    </row>
    <row r="15" spans="1:17" ht="13.5" x14ac:dyDescent="0.2">
      <c r="A15" s="479" t="s">
        <v>337</v>
      </c>
      <c r="B15" s="416"/>
      <c r="C15" s="794">
        <v>5.0000000000000001E-3</v>
      </c>
      <c r="D15" s="418"/>
      <c r="E15" s="416"/>
      <c r="F15" s="794">
        <v>5.0000000000000001E-3</v>
      </c>
      <c r="G15" s="418"/>
      <c r="H15" s="416"/>
      <c r="I15" s="794">
        <v>5.0000000000000001E-3</v>
      </c>
      <c r="J15" s="418"/>
      <c r="K15" s="416"/>
      <c r="L15" s="794">
        <v>5.0000000000000001E-3</v>
      </c>
      <c r="M15" s="418"/>
      <c r="N15" s="416"/>
      <c r="O15" s="794">
        <v>5.0000000000000001E-3</v>
      </c>
      <c r="P15" s="418"/>
      <c r="Q15" s="416"/>
    </row>
    <row r="16" spans="1:17" ht="13.5" x14ac:dyDescent="0.2">
      <c r="A16" s="479" t="s">
        <v>338</v>
      </c>
      <c r="B16" s="416"/>
      <c r="C16" s="838" t="e">
        <f>$E$8*C12</f>
        <v>#REF!</v>
      </c>
      <c r="D16" s="418"/>
      <c r="E16" s="416"/>
      <c r="F16" s="838" t="e">
        <f>$E$8*F12</f>
        <v>#REF!</v>
      </c>
      <c r="G16" s="418"/>
      <c r="H16" s="416"/>
      <c r="I16" s="838" t="e">
        <f>$E$8*I12</f>
        <v>#REF!</v>
      </c>
      <c r="J16" s="418"/>
      <c r="K16" s="416"/>
      <c r="L16" s="838" t="e">
        <f>$E$8*L12</f>
        <v>#REF!</v>
      </c>
      <c r="M16" s="418"/>
      <c r="N16" s="416"/>
      <c r="O16" s="838" t="e">
        <f>$E$8*O12</f>
        <v>#REF!</v>
      </c>
      <c r="P16" s="418"/>
      <c r="Q16" s="416"/>
    </row>
    <row r="17" spans="1:17" ht="13.5" x14ac:dyDescent="0.2">
      <c r="A17" s="479" t="s">
        <v>339</v>
      </c>
      <c r="B17" s="416"/>
      <c r="C17" s="800">
        <f>6*30</f>
        <v>180</v>
      </c>
      <c r="D17" s="418"/>
      <c r="E17" s="416"/>
      <c r="F17" s="800">
        <f>6*30</f>
        <v>180</v>
      </c>
      <c r="G17" s="418"/>
      <c r="H17" s="416"/>
      <c r="I17" s="800">
        <f>6*30</f>
        <v>180</v>
      </c>
      <c r="J17" s="418"/>
      <c r="K17" s="416"/>
      <c r="L17" s="800">
        <f>5*12*30</f>
        <v>1800</v>
      </c>
      <c r="M17" s="418"/>
      <c r="N17" s="416"/>
      <c r="O17" s="800">
        <f>3*12*30</f>
        <v>1080</v>
      </c>
      <c r="P17" s="418"/>
      <c r="Q17" s="416"/>
    </row>
    <row r="18" spans="1:17" ht="13.5" x14ac:dyDescent="0.2">
      <c r="A18" s="479" t="s">
        <v>340</v>
      </c>
      <c r="B18" s="416"/>
      <c r="C18" s="800">
        <f>$Q$8+C17</f>
        <v>330</v>
      </c>
      <c r="D18" s="418"/>
      <c r="E18" s="416"/>
      <c r="F18" s="800">
        <f>$Q$8+F17</f>
        <v>330</v>
      </c>
      <c r="G18" s="418"/>
      <c r="H18" s="416"/>
      <c r="I18" s="800">
        <f>$Q$8+I17</f>
        <v>330</v>
      </c>
      <c r="J18" s="418"/>
      <c r="K18" s="416"/>
      <c r="L18" s="800">
        <f>$Q$8+L17</f>
        <v>1950</v>
      </c>
      <c r="M18" s="418"/>
      <c r="N18" s="416"/>
      <c r="O18" s="800">
        <f>$Q$8+O17</f>
        <v>1230</v>
      </c>
      <c r="P18" s="418"/>
      <c r="Q18" s="416"/>
    </row>
    <row r="19" spans="1:17" ht="13.5" x14ac:dyDescent="0.2">
      <c r="A19" s="479" t="s">
        <v>341</v>
      </c>
      <c r="B19" s="416"/>
      <c r="C19" s="838" t="e">
        <f>(C16*C15)/360*C18</f>
        <v>#REF!</v>
      </c>
      <c r="D19" s="418"/>
      <c r="E19" s="416"/>
      <c r="F19" s="838" t="e">
        <f>(F16*F15)/360*F18</f>
        <v>#REF!</v>
      </c>
      <c r="G19" s="418"/>
      <c r="H19" s="416"/>
      <c r="I19" s="838" t="e">
        <f>(I16*I15)/360*I18</f>
        <v>#REF!</v>
      </c>
      <c r="J19" s="418"/>
      <c r="K19" s="416"/>
      <c r="L19" s="838" t="e">
        <f>(L16*L15)/360*L18</f>
        <v>#REF!</v>
      </c>
      <c r="M19" s="418"/>
      <c r="N19" s="416"/>
      <c r="O19" s="838" t="e">
        <f>(O16*O15)/360*O18</f>
        <v>#REF!</v>
      </c>
      <c r="P19" s="418"/>
      <c r="Q19" s="416"/>
    </row>
    <row r="20" spans="1:17" ht="13.5" x14ac:dyDescent="0.25">
      <c r="A20" s="44"/>
      <c r="B20" s="44"/>
      <c r="C20" s="46"/>
      <c r="D20" s="44"/>
      <c r="E20" s="44"/>
      <c r="F20" s="44"/>
      <c r="G20" s="44"/>
      <c r="H20" s="44"/>
      <c r="I20" s="5"/>
      <c r="J20" s="5"/>
      <c r="K20" s="5"/>
      <c r="L20" s="5"/>
      <c r="M20" s="44"/>
      <c r="N20" s="44"/>
      <c r="O20" s="44"/>
      <c r="P20" s="44"/>
      <c r="Q20" s="44"/>
    </row>
    <row r="21" spans="1:17" ht="14.25" thickBot="1" x14ac:dyDescent="0.3">
      <c r="A21" s="44"/>
      <c r="B21" s="44"/>
      <c r="F21" s="190"/>
      <c r="G21" s="190"/>
      <c r="H21" s="132"/>
      <c r="I21" s="132"/>
      <c r="J21" s="132"/>
      <c r="M21" s="44"/>
      <c r="N21" s="885" t="s">
        <v>342</v>
      </c>
      <c r="O21" s="416"/>
      <c r="P21" s="883" t="e">
        <f>SUM(C19:Q19)</f>
        <v>#REF!</v>
      </c>
      <c r="Q21" s="416"/>
    </row>
    <row r="22" spans="1:17" ht="14.25" thickTop="1" x14ac:dyDescent="0.25">
      <c r="A22" s="44"/>
      <c r="B22" s="44"/>
      <c r="F22" s="429" t="s">
        <v>1126</v>
      </c>
      <c r="G22" s="429"/>
      <c r="H22" s="429"/>
      <c r="I22" s="429"/>
      <c r="J22" s="429"/>
      <c r="M22" s="44"/>
      <c r="N22" s="885" t="s">
        <v>343</v>
      </c>
      <c r="O22" s="416"/>
      <c r="P22" s="883">
        <v>6000</v>
      </c>
      <c r="Q22" s="416"/>
    </row>
    <row r="23" spans="1:17" ht="13.5" x14ac:dyDescent="0.25">
      <c r="A23" s="44"/>
      <c r="B23" s="44"/>
      <c r="F23" s="406" t="s">
        <v>1127</v>
      </c>
      <c r="G23" s="406"/>
      <c r="H23" s="406"/>
      <c r="I23" s="406"/>
      <c r="J23" s="406"/>
      <c r="M23" s="44"/>
      <c r="N23" s="47" t="s">
        <v>344</v>
      </c>
      <c r="O23" s="48">
        <v>0.19</v>
      </c>
      <c r="P23" s="883" t="e">
        <f>(P21+P22)*O23</f>
        <v>#REF!</v>
      </c>
      <c r="Q23" s="416"/>
    </row>
    <row r="24" spans="1:17" ht="13.5" x14ac:dyDescent="0.25">
      <c r="A24" s="44"/>
      <c r="B24" s="7"/>
      <c r="F24" s="406" t="s">
        <v>1123</v>
      </c>
      <c r="G24" s="406"/>
      <c r="H24" s="406"/>
      <c r="I24" s="406"/>
      <c r="J24" s="406"/>
      <c r="M24" s="44"/>
      <c r="N24" s="885" t="s">
        <v>345</v>
      </c>
      <c r="O24" s="416"/>
      <c r="P24" s="883" t="e">
        <f>ROUND((P21+P22+P23),0)</f>
        <v>#REF!</v>
      </c>
      <c r="Q24" s="416"/>
    </row>
    <row r="25" spans="1:17" ht="13.5" x14ac:dyDescent="0.25">
      <c r="B25" s="7"/>
      <c r="M25" s="7"/>
    </row>
    <row r="29" spans="1:17" x14ac:dyDescent="0.2">
      <c r="C29" s="116"/>
      <c r="D29" s="116"/>
    </row>
    <row r="30" spans="1:17" x14ac:dyDescent="0.2">
      <c r="C30" s="116"/>
      <c r="D30" s="116"/>
    </row>
    <row r="31" spans="1:17" x14ac:dyDescent="0.2">
      <c r="C31" s="116"/>
      <c r="D31" s="116"/>
      <c r="E31" s="116"/>
      <c r="F31" s="116"/>
    </row>
    <row r="32" spans="1:17" x14ac:dyDescent="0.2">
      <c r="C32" s="116"/>
      <c r="D32" s="116"/>
    </row>
    <row r="33" spans="3:4" x14ac:dyDescent="0.2">
      <c r="C33" s="116"/>
      <c r="D33" s="116"/>
    </row>
    <row r="34" spans="3:4" x14ac:dyDescent="0.2">
      <c r="C34" s="116"/>
    </row>
    <row r="35" spans="3:4" x14ac:dyDescent="0.2">
      <c r="C35" s="116"/>
    </row>
  </sheetData>
  <mergeCells count="68">
    <mergeCell ref="C17:E17"/>
    <mergeCell ref="F17:H17"/>
    <mergeCell ref="I16:K16"/>
    <mergeCell ref="O10:Q11"/>
    <mergeCell ref="O19:Q19"/>
    <mergeCell ref="C12:E12"/>
    <mergeCell ref="F12:H12"/>
    <mergeCell ref="I12:K12"/>
    <mergeCell ref="L13:N14"/>
    <mergeCell ref="O12:Q12"/>
    <mergeCell ref="L10:N11"/>
    <mergeCell ref="I13:K14"/>
    <mergeCell ref="C10:E11"/>
    <mergeCell ref="F10:H11"/>
    <mergeCell ref="I10:K11"/>
    <mergeCell ref="A1:L3"/>
    <mergeCell ref="M1:N1"/>
    <mergeCell ref="O1:Q3"/>
    <mergeCell ref="M2:N3"/>
    <mergeCell ref="C8:D8"/>
    <mergeCell ref="E8:F8"/>
    <mergeCell ref="G8:H8"/>
    <mergeCell ref="A5:Q6"/>
    <mergeCell ref="I8:L8"/>
    <mergeCell ref="N8:P8"/>
    <mergeCell ref="A10:B11"/>
    <mergeCell ref="L19:N19"/>
    <mergeCell ref="L12:N12"/>
    <mergeCell ref="A13:B14"/>
    <mergeCell ref="C13:E14"/>
    <mergeCell ref="A17:B17"/>
    <mergeCell ref="A12:B12"/>
    <mergeCell ref="C16:E16"/>
    <mergeCell ref="F16:H16"/>
    <mergeCell ref="F13:H14"/>
    <mergeCell ref="A19:B19"/>
    <mergeCell ref="C19:E19"/>
    <mergeCell ref="F19:H19"/>
    <mergeCell ref="I19:K19"/>
    <mergeCell ref="A15:B15"/>
    <mergeCell ref="C15:E15"/>
    <mergeCell ref="A16:B16"/>
    <mergeCell ref="N24:O24"/>
    <mergeCell ref="P24:Q24"/>
    <mergeCell ref="N21:O21"/>
    <mergeCell ref="N22:O22"/>
    <mergeCell ref="P23:Q23"/>
    <mergeCell ref="A18:B18"/>
    <mergeCell ref="C18:E18"/>
    <mergeCell ref="F18:H18"/>
    <mergeCell ref="I18:K18"/>
    <mergeCell ref="L18:N18"/>
    <mergeCell ref="I17:K17"/>
    <mergeCell ref="L17:N17"/>
    <mergeCell ref="O17:Q17"/>
    <mergeCell ref="L16:N16"/>
    <mergeCell ref="O16:Q16"/>
    <mergeCell ref="F22:J22"/>
    <mergeCell ref="F23:J23"/>
    <mergeCell ref="F24:J24"/>
    <mergeCell ref="P22:Q22"/>
    <mergeCell ref="O13:Q14"/>
    <mergeCell ref="O18:Q18"/>
    <mergeCell ref="F15:H15"/>
    <mergeCell ref="I15:K15"/>
    <mergeCell ref="L15:N15"/>
    <mergeCell ref="O15:Q15"/>
    <mergeCell ref="P21:Q21"/>
  </mergeCells>
  <pageMargins left="0.7" right="0.7" top="0.75" bottom="0.75" header="0.3" footer="0.3"/>
  <pageSetup paperSize="9" scale="6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50"/>
  <sheetViews>
    <sheetView view="pageBreakPreview" zoomScaleNormal="100" zoomScaleSheetLayoutView="100" workbookViewId="0">
      <selection activeCell="H35" sqref="H35:M35"/>
    </sheetView>
  </sheetViews>
  <sheetFormatPr baseColWidth="10" defaultRowHeight="12.75" x14ac:dyDescent="0.2"/>
  <sheetData>
    <row r="1" spans="1:15" ht="12.75" customHeight="1" x14ac:dyDescent="0.2">
      <c r="A1" s="895" t="str">
        <f>Indice!A1</f>
        <v>CONSTRUCCIÓN DEL SISTEMA DE ACUEDUCTO IDOLOS, EL TIGRE, MUNICIPIO DE ISNOS – DEPARTAMENTO DEL HUILA – FASE I.</v>
      </c>
      <c r="B1" s="489"/>
      <c r="C1" s="489"/>
      <c r="D1" s="489"/>
      <c r="E1" s="489"/>
      <c r="F1" s="489"/>
      <c r="G1" s="489"/>
      <c r="H1" s="489"/>
      <c r="I1" s="489"/>
      <c r="J1" s="489"/>
      <c r="K1" s="489"/>
      <c r="L1" s="896" t="s">
        <v>0</v>
      </c>
      <c r="M1" s="726"/>
      <c r="N1" s="906" t="e">
        <f>N43</f>
        <v>#REF!</v>
      </c>
      <c r="O1" s="907"/>
    </row>
    <row r="2" spans="1:15" ht="12.75" customHeight="1" x14ac:dyDescent="0.2">
      <c r="A2" s="494"/>
      <c r="B2" s="495"/>
      <c r="C2" s="495"/>
      <c r="D2" s="495"/>
      <c r="E2" s="495"/>
      <c r="F2" s="495"/>
      <c r="G2" s="495"/>
      <c r="H2" s="495"/>
      <c r="I2" s="495"/>
      <c r="J2" s="495"/>
      <c r="K2" s="495"/>
      <c r="L2" s="897">
        <f>Indice!I2</f>
        <v>45972</v>
      </c>
      <c r="M2" s="737"/>
      <c r="N2" s="908"/>
      <c r="O2" s="909"/>
    </row>
    <row r="3" spans="1:15" x14ac:dyDescent="0.2">
      <c r="A3" s="517"/>
      <c r="B3" s="518"/>
      <c r="C3" s="518"/>
      <c r="D3" s="518"/>
      <c r="E3" s="518"/>
      <c r="F3" s="518"/>
      <c r="G3" s="518"/>
      <c r="H3" s="518"/>
      <c r="I3" s="518"/>
      <c r="J3" s="518"/>
      <c r="K3" s="518"/>
      <c r="L3" s="738"/>
      <c r="M3" s="740"/>
      <c r="N3" s="910"/>
      <c r="O3" s="911"/>
    </row>
    <row r="4" spans="1:15" x14ac:dyDescent="0.2">
      <c r="A4" s="153"/>
      <c r="B4" s="153"/>
      <c r="C4" s="155">
        <v>1</v>
      </c>
      <c r="D4" s="155">
        <v>2</v>
      </c>
      <c r="E4" s="155">
        <v>3</v>
      </c>
      <c r="F4" s="155">
        <v>4</v>
      </c>
      <c r="G4" s="155">
        <v>5</v>
      </c>
      <c r="H4" s="155">
        <v>6</v>
      </c>
      <c r="I4" s="155">
        <v>7</v>
      </c>
      <c r="J4" s="155">
        <v>8</v>
      </c>
      <c r="K4" s="155">
        <v>9</v>
      </c>
      <c r="L4" s="155">
        <v>10</v>
      </c>
      <c r="M4" s="155">
        <v>11</v>
      </c>
      <c r="N4" s="155">
        <v>12</v>
      </c>
      <c r="O4" s="155">
        <v>13</v>
      </c>
    </row>
    <row r="5" spans="1:15" x14ac:dyDescent="0.2">
      <c r="A5" s="917" t="s">
        <v>1454</v>
      </c>
      <c r="B5" s="736"/>
      <c r="C5" s="736"/>
      <c r="D5" s="736"/>
      <c r="E5" s="736"/>
      <c r="F5" s="736"/>
      <c r="G5" s="736"/>
      <c r="H5" s="736"/>
      <c r="I5" s="736"/>
      <c r="J5" s="736"/>
      <c r="K5" s="736"/>
      <c r="L5" s="736"/>
      <c r="M5" s="736"/>
      <c r="N5" s="736"/>
      <c r="O5" s="737"/>
    </row>
    <row r="6" spans="1:15" x14ac:dyDescent="0.2">
      <c r="A6" s="738"/>
      <c r="B6" s="739"/>
      <c r="C6" s="739"/>
      <c r="D6" s="739"/>
      <c r="E6" s="739"/>
      <c r="F6" s="739"/>
      <c r="G6" s="739"/>
      <c r="H6" s="739"/>
      <c r="I6" s="739"/>
      <c r="J6" s="739"/>
      <c r="K6" s="739"/>
      <c r="L6" s="739"/>
      <c r="M6" s="739"/>
      <c r="N6" s="739"/>
      <c r="O6" s="740"/>
    </row>
    <row r="7" spans="1:15" ht="13.5" x14ac:dyDescent="0.25">
      <c r="A7" s="94"/>
      <c r="B7" s="94"/>
      <c r="C7" s="94"/>
      <c r="D7" s="94"/>
      <c r="E7" s="94"/>
      <c r="F7" s="94"/>
      <c r="G7" s="94"/>
      <c r="H7" s="94"/>
      <c r="I7" s="94"/>
      <c r="J7" s="94"/>
      <c r="K7" s="94"/>
      <c r="L7" s="94"/>
      <c r="M7" s="95"/>
      <c r="N7" s="96"/>
      <c r="O7" s="96"/>
    </row>
    <row r="8" spans="1:15" x14ac:dyDescent="0.2">
      <c r="A8" s="156" t="s">
        <v>179</v>
      </c>
      <c r="B8" s="918" t="s">
        <v>180</v>
      </c>
      <c r="C8" s="919"/>
      <c r="D8" s="919"/>
      <c r="E8" s="919"/>
      <c r="F8" s="919"/>
      <c r="G8" s="919"/>
      <c r="H8" s="919"/>
      <c r="I8" s="919"/>
      <c r="J8" s="919"/>
      <c r="K8" s="919"/>
      <c r="L8" s="919"/>
      <c r="M8" s="919"/>
      <c r="N8" s="919"/>
      <c r="O8" s="919"/>
    </row>
    <row r="9" spans="1:15" x14ac:dyDescent="0.2">
      <c r="A9" s="903" t="s">
        <v>181</v>
      </c>
      <c r="B9" s="905" t="s">
        <v>182</v>
      </c>
      <c r="C9" s="736"/>
      <c r="D9" s="736"/>
      <c r="E9" s="736"/>
      <c r="F9" s="737"/>
      <c r="G9" s="903" t="s">
        <v>183</v>
      </c>
      <c r="H9" s="920" t="s">
        <v>184</v>
      </c>
      <c r="I9" s="903" t="s">
        <v>185</v>
      </c>
      <c r="J9" s="905" t="s">
        <v>186</v>
      </c>
      <c r="K9" s="737"/>
      <c r="L9" s="903" t="s">
        <v>187</v>
      </c>
      <c r="M9" s="903" t="s">
        <v>188</v>
      </c>
      <c r="N9" s="905" t="s">
        <v>189</v>
      </c>
      <c r="O9" s="737"/>
    </row>
    <row r="10" spans="1:15" x14ac:dyDescent="0.2">
      <c r="A10" s="904"/>
      <c r="B10" s="738"/>
      <c r="C10" s="739"/>
      <c r="D10" s="739"/>
      <c r="E10" s="739"/>
      <c r="F10" s="740"/>
      <c r="G10" s="904"/>
      <c r="H10" s="904"/>
      <c r="I10" s="904"/>
      <c r="J10" s="738"/>
      <c r="K10" s="740"/>
      <c r="L10" s="904"/>
      <c r="M10" s="904"/>
      <c r="N10" s="738"/>
      <c r="O10" s="740"/>
    </row>
    <row r="11" spans="1:15" ht="13.5" x14ac:dyDescent="0.2">
      <c r="A11" s="110" t="s">
        <v>1455</v>
      </c>
      <c r="B11" s="916" t="s">
        <v>1456</v>
      </c>
      <c r="C11" s="725"/>
      <c r="D11" s="725"/>
      <c r="E11" s="725"/>
      <c r="F11" s="726"/>
      <c r="G11" s="157">
        <v>2.5</v>
      </c>
      <c r="H11" s="158">
        <v>1</v>
      </c>
      <c r="I11" s="159">
        <v>0.5</v>
      </c>
      <c r="J11" s="901">
        <f>G11*'04'!$A$9</f>
        <v>4377262.5</v>
      </c>
      <c r="K11" s="726"/>
      <c r="L11" s="160">
        <v>2</v>
      </c>
      <c r="M11" s="109" t="e">
        <f t="shared" ref="M11:M19" si="0">N11/$N$37</f>
        <v>#REF!</v>
      </c>
      <c r="N11" s="901">
        <f t="shared" ref="N11:N19" si="1">L11*I11*J11*H11</f>
        <v>4377262.5</v>
      </c>
      <c r="O11" s="726"/>
    </row>
    <row r="12" spans="1:15" ht="13.5" x14ac:dyDescent="0.2">
      <c r="A12" s="110" t="s">
        <v>1457</v>
      </c>
      <c r="B12" s="916" t="s">
        <v>1458</v>
      </c>
      <c r="C12" s="725"/>
      <c r="D12" s="725"/>
      <c r="E12" s="725"/>
      <c r="F12" s="726"/>
      <c r="G12" s="157">
        <v>2.5</v>
      </c>
      <c r="H12" s="158">
        <v>1</v>
      </c>
      <c r="I12" s="159">
        <v>0.25</v>
      </c>
      <c r="J12" s="901">
        <f>G12*'04'!$A$9</f>
        <v>4377262.5</v>
      </c>
      <c r="K12" s="726"/>
      <c r="L12" s="160">
        <v>2</v>
      </c>
      <c r="M12" s="109" t="e">
        <f t="shared" si="0"/>
        <v>#REF!</v>
      </c>
      <c r="N12" s="901">
        <f t="shared" si="1"/>
        <v>2188631.25</v>
      </c>
      <c r="O12" s="726"/>
    </row>
    <row r="13" spans="1:15" ht="13.5" x14ac:dyDescent="0.2">
      <c r="A13" s="110" t="s">
        <v>1459</v>
      </c>
      <c r="B13" s="916" t="s">
        <v>1460</v>
      </c>
      <c r="C13" s="725"/>
      <c r="D13" s="725"/>
      <c r="E13" s="725"/>
      <c r="F13" s="726"/>
      <c r="G13" s="157">
        <v>2.5</v>
      </c>
      <c r="H13" s="158">
        <v>1</v>
      </c>
      <c r="I13" s="159">
        <v>0.15</v>
      </c>
      <c r="J13" s="901">
        <f>G13*'04'!$A$9</f>
        <v>4377262.5</v>
      </c>
      <c r="K13" s="726"/>
      <c r="L13" s="160">
        <f>$L$18</f>
        <v>2</v>
      </c>
      <c r="M13" s="109" t="e">
        <f t="shared" si="0"/>
        <v>#REF!</v>
      </c>
      <c r="N13" s="901">
        <f t="shared" si="1"/>
        <v>1313178.75</v>
      </c>
      <c r="O13" s="726"/>
    </row>
    <row r="14" spans="1:15" ht="13.5" x14ac:dyDescent="0.2">
      <c r="A14" s="110" t="s">
        <v>1461</v>
      </c>
      <c r="B14" s="916" t="s">
        <v>205</v>
      </c>
      <c r="C14" s="725"/>
      <c r="D14" s="725"/>
      <c r="E14" s="725"/>
      <c r="F14" s="726"/>
      <c r="G14" s="157">
        <v>2.5</v>
      </c>
      <c r="H14" s="158">
        <v>0</v>
      </c>
      <c r="I14" s="159">
        <v>1</v>
      </c>
      <c r="J14" s="901">
        <f>G14*'04'!$A$9</f>
        <v>4377262.5</v>
      </c>
      <c r="K14" s="726"/>
      <c r="L14" s="160">
        <v>2</v>
      </c>
      <c r="M14" s="109" t="e">
        <f t="shared" si="0"/>
        <v>#REF!</v>
      </c>
      <c r="N14" s="901">
        <f t="shared" si="1"/>
        <v>0</v>
      </c>
      <c r="O14" s="726"/>
    </row>
    <row r="15" spans="1:15" ht="13.5" x14ac:dyDescent="0.2">
      <c r="A15" s="110" t="s">
        <v>1462</v>
      </c>
      <c r="B15" s="916" t="s">
        <v>1463</v>
      </c>
      <c r="C15" s="725"/>
      <c r="D15" s="725"/>
      <c r="E15" s="725"/>
      <c r="F15" s="726"/>
      <c r="G15" s="157">
        <v>2.5</v>
      </c>
      <c r="H15" s="158">
        <v>1</v>
      </c>
      <c r="I15" s="159">
        <v>0.15</v>
      </c>
      <c r="J15" s="901">
        <f>G15*'04'!$A$9</f>
        <v>4377262.5</v>
      </c>
      <c r="K15" s="726"/>
      <c r="L15" s="160">
        <f t="shared" ref="L15:L17" si="2">$L$18</f>
        <v>2</v>
      </c>
      <c r="M15" s="109" t="e">
        <f t="shared" si="0"/>
        <v>#REF!</v>
      </c>
      <c r="N15" s="901">
        <f t="shared" si="1"/>
        <v>1313178.75</v>
      </c>
      <c r="O15" s="726"/>
    </row>
    <row r="16" spans="1:15" ht="13.5" x14ac:dyDescent="0.2">
      <c r="A16" s="110" t="s">
        <v>1464</v>
      </c>
      <c r="B16" s="916" t="s">
        <v>203</v>
      </c>
      <c r="C16" s="725"/>
      <c r="D16" s="725"/>
      <c r="E16" s="725"/>
      <c r="F16" s="726"/>
      <c r="G16" s="157">
        <v>2.5</v>
      </c>
      <c r="H16" s="158">
        <v>1</v>
      </c>
      <c r="I16" s="159">
        <v>0.1</v>
      </c>
      <c r="J16" s="901">
        <f>G16*'04'!$A$9</f>
        <v>4377262.5</v>
      </c>
      <c r="K16" s="726"/>
      <c r="L16" s="160">
        <f t="shared" si="2"/>
        <v>2</v>
      </c>
      <c r="M16" s="109" t="e">
        <f t="shared" si="0"/>
        <v>#REF!</v>
      </c>
      <c r="N16" s="901">
        <f t="shared" si="1"/>
        <v>875452.5</v>
      </c>
      <c r="O16" s="726"/>
    </row>
    <row r="17" spans="1:15" ht="13.5" x14ac:dyDescent="0.2">
      <c r="A17" s="110" t="s">
        <v>1465</v>
      </c>
      <c r="B17" s="916" t="s">
        <v>208</v>
      </c>
      <c r="C17" s="725"/>
      <c r="D17" s="725"/>
      <c r="E17" s="725"/>
      <c r="F17" s="726"/>
      <c r="G17" s="157">
        <v>2.5</v>
      </c>
      <c r="H17" s="158">
        <v>1</v>
      </c>
      <c r="I17" s="159">
        <v>0.1</v>
      </c>
      <c r="J17" s="901">
        <f>G17*'04'!$A$9</f>
        <v>4377262.5</v>
      </c>
      <c r="K17" s="726"/>
      <c r="L17" s="160">
        <f t="shared" si="2"/>
        <v>2</v>
      </c>
      <c r="M17" s="109" t="e">
        <f t="shared" si="0"/>
        <v>#REF!</v>
      </c>
      <c r="N17" s="901">
        <f t="shared" si="1"/>
        <v>875452.5</v>
      </c>
      <c r="O17" s="726"/>
    </row>
    <row r="18" spans="1:15" ht="13.5" x14ac:dyDescent="0.2">
      <c r="A18" s="110" t="s">
        <v>1466</v>
      </c>
      <c r="B18" s="916" t="s">
        <v>197</v>
      </c>
      <c r="C18" s="725"/>
      <c r="D18" s="725"/>
      <c r="E18" s="725"/>
      <c r="F18" s="726"/>
      <c r="G18" s="157">
        <v>4</v>
      </c>
      <c r="H18" s="158">
        <v>1</v>
      </c>
      <c r="I18" s="159">
        <v>0.15</v>
      </c>
      <c r="J18" s="901">
        <f>G18*'04'!$A$9</f>
        <v>7003620</v>
      </c>
      <c r="K18" s="726"/>
      <c r="L18" s="160">
        <v>2</v>
      </c>
      <c r="M18" s="109" t="e">
        <f t="shared" si="0"/>
        <v>#REF!</v>
      </c>
      <c r="N18" s="901">
        <f t="shared" si="1"/>
        <v>2101086</v>
      </c>
      <c r="O18" s="726"/>
    </row>
    <row r="19" spans="1:15" ht="13.5" x14ac:dyDescent="0.2">
      <c r="A19" s="110" t="s">
        <v>1467</v>
      </c>
      <c r="B19" s="916" t="s">
        <v>201</v>
      </c>
      <c r="C19" s="725"/>
      <c r="D19" s="725"/>
      <c r="E19" s="725"/>
      <c r="F19" s="726"/>
      <c r="G19" s="157">
        <v>2.5</v>
      </c>
      <c r="H19" s="158">
        <v>1</v>
      </c>
      <c r="I19" s="159">
        <v>0.1</v>
      </c>
      <c r="J19" s="901">
        <f>G19*'04'!$A$9</f>
        <v>4377262.5</v>
      </c>
      <c r="K19" s="726"/>
      <c r="L19" s="160">
        <f>$L$18</f>
        <v>2</v>
      </c>
      <c r="M19" s="109" t="e">
        <f t="shared" si="0"/>
        <v>#REF!</v>
      </c>
      <c r="N19" s="901">
        <f t="shared" si="1"/>
        <v>875452.5</v>
      </c>
      <c r="O19" s="726"/>
    </row>
    <row r="20" spans="1:15" ht="13.5" x14ac:dyDescent="0.2">
      <c r="A20" s="105"/>
      <c r="B20" s="105"/>
      <c r="C20" s="105"/>
      <c r="D20" s="105"/>
      <c r="E20" s="105"/>
      <c r="F20" s="105"/>
      <c r="G20" s="105"/>
      <c r="H20" s="899" t="s">
        <v>210</v>
      </c>
      <c r="I20" s="725"/>
      <c r="J20" s="725"/>
      <c r="K20" s="725"/>
      <c r="L20" s="725"/>
      <c r="M20" s="726"/>
      <c r="N20" s="901">
        <f>SUM(N11:N19)</f>
        <v>13919694.75</v>
      </c>
      <c r="O20" s="726"/>
    </row>
    <row r="21" spans="1:15" ht="13.5" x14ac:dyDescent="0.2">
      <c r="A21" s="105"/>
      <c r="B21" s="105"/>
      <c r="C21" s="105"/>
      <c r="D21" s="105"/>
      <c r="E21" s="105"/>
      <c r="F21" s="105"/>
      <c r="G21" s="105"/>
      <c r="H21" s="899" t="s">
        <v>211</v>
      </c>
      <c r="I21" s="725"/>
      <c r="J21" s="725"/>
      <c r="K21" s="725"/>
      <c r="L21" s="725"/>
      <c r="M21" s="726"/>
      <c r="N21" s="915">
        <f>'04'!H2</f>
        <v>2.2000000000000002</v>
      </c>
      <c r="O21" s="726"/>
    </row>
    <row r="22" spans="1:15" ht="13.5" x14ac:dyDescent="0.2">
      <c r="A22" s="105"/>
      <c r="B22" s="105"/>
      <c r="C22" s="105"/>
      <c r="D22" s="105"/>
      <c r="E22" s="105"/>
      <c r="F22" s="105"/>
      <c r="G22" s="105"/>
      <c r="H22" s="899" t="s">
        <v>212</v>
      </c>
      <c r="I22" s="725"/>
      <c r="J22" s="725"/>
      <c r="K22" s="725"/>
      <c r="L22" s="725"/>
      <c r="M22" s="726"/>
      <c r="N22" s="901">
        <f>+N20*N21</f>
        <v>30623328.450000003</v>
      </c>
      <c r="O22" s="726"/>
    </row>
    <row r="23" spans="1:15" ht="13.5" x14ac:dyDescent="0.2">
      <c r="A23" s="161"/>
      <c r="B23" s="162"/>
      <c r="C23" s="162"/>
      <c r="D23" s="162"/>
      <c r="E23" s="162"/>
      <c r="F23" s="162"/>
      <c r="G23" s="163"/>
      <c r="H23" s="163"/>
      <c r="I23" s="163"/>
      <c r="J23" s="163"/>
      <c r="K23" s="163"/>
      <c r="L23" s="163"/>
      <c r="M23" s="163"/>
      <c r="N23" s="163"/>
      <c r="O23" s="163"/>
    </row>
    <row r="24" spans="1:15" x14ac:dyDescent="0.2">
      <c r="A24" s="164" t="s">
        <v>213</v>
      </c>
      <c r="B24" s="902" t="s">
        <v>214</v>
      </c>
      <c r="C24" s="725"/>
      <c r="D24" s="725"/>
      <c r="E24" s="725"/>
      <c r="F24" s="725"/>
      <c r="G24" s="725"/>
      <c r="H24" s="725"/>
      <c r="I24" s="725"/>
      <c r="J24" s="725"/>
      <c r="K24" s="725"/>
      <c r="L24" s="725"/>
      <c r="M24" s="725"/>
      <c r="N24" s="725"/>
      <c r="O24" s="726"/>
    </row>
    <row r="25" spans="1:15" x14ac:dyDescent="0.2">
      <c r="A25" s="903" t="s">
        <v>181</v>
      </c>
      <c r="B25" s="905" t="s">
        <v>39</v>
      </c>
      <c r="C25" s="736"/>
      <c r="D25" s="736"/>
      <c r="E25" s="736"/>
      <c r="F25" s="736"/>
      <c r="G25" s="737"/>
      <c r="H25" s="903" t="s">
        <v>40</v>
      </c>
      <c r="I25" s="903" t="s">
        <v>184</v>
      </c>
      <c r="J25" s="905" t="s">
        <v>186</v>
      </c>
      <c r="K25" s="737"/>
      <c r="L25" s="903" t="s">
        <v>215</v>
      </c>
      <c r="M25" s="903" t="s">
        <v>188</v>
      </c>
      <c r="N25" s="905" t="s">
        <v>189</v>
      </c>
      <c r="O25" s="737"/>
    </row>
    <row r="26" spans="1:15" x14ac:dyDescent="0.2">
      <c r="A26" s="904"/>
      <c r="B26" s="738"/>
      <c r="C26" s="739"/>
      <c r="D26" s="739"/>
      <c r="E26" s="739"/>
      <c r="F26" s="739"/>
      <c r="G26" s="740"/>
      <c r="H26" s="904"/>
      <c r="I26" s="904"/>
      <c r="J26" s="738"/>
      <c r="K26" s="740"/>
      <c r="L26" s="904"/>
      <c r="M26" s="904"/>
      <c r="N26" s="738"/>
      <c r="O26" s="740"/>
    </row>
    <row r="27" spans="1:15" ht="13.5" x14ac:dyDescent="0.2">
      <c r="A27" s="110" t="s">
        <v>1468</v>
      </c>
      <c r="B27" s="900" t="s">
        <v>217</v>
      </c>
      <c r="C27" s="725"/>
      <c r="D27" s="725"/>
      <c r="E27" s="725"/>
      <c r="F27" s="725"/>
      <c r="G27" s="726"/>
      <c r="H27" s="165" t="s">
        <v>218</v>
      </c>
      <c r="I27" s="104">
        <v>0</v>
      </c>
      <c r="J27" s="901">
        <f>AIU!J29</f>
        <v>800000</v>
      </c>
      <c r="K27" s="726"/>
      <c r="L27" s="160">
        <v>0</v>
      </c>
      <c r="M27" s="109" t="e">
        <f t="shared" ref="M27:M34" si="3">N27/$N$37</f>
        <v>#REF!</v>
      </c>
      <c r="N27" s="901">
        <f t="shared" ref="N27:N31" si="4">J27*I27*L27</f>
        <v>0</v>
      </c>
      <c r="O27" s="726"/>
    </row>
    <row r="28" spans="1:15" ht="13.5" x14ac:dyDescent="0.2">
      <c r="A28" s="110" t="s">
        <v>1469</v>
      </c>
      <c r="B28" s="900" t="s">
        <v>220</v>
      </c>
      <c r="C28" s="725"/>
      <c r="D28" s="725"/>
      <c r="E28" s="725"/>
      <c r="F28" s="725"/>
      <c r="G28" s="726"/>
      <c r="H28" s="165" t="s">
        <v>218</v>
      </c>
      <c r="I28" s="104">
        <v>0</v>
      </c>
      <c r="J28" s="901" t="e">
        <f>AIU!#REF!</f>
        <v>#REF!</v>
      </c>
      <c r="K28" s="726"/>
      <c r="L28" s="160">
        <f t="shared" ref="L28:L29" si="5">L12</f>
        <v>2</v>
      </c>
      <c r="M28" s="109" t="e">
        <f t="shared" si="3"/>
        <v>#REF!</v>
      </c>
      <c r="N28" s="901" t="e">
        <f t="shared" si="4"/>
        <v>#REF!</v>
      </c>
      <c r="O28" s="726"/>
    </row>
    <row r="29" spans="1:15" ht="13.5" x14ac:dyDescent="0.2">
      <c r="A29" s="110" t="s">
        <v>1470</v>
      </c>
      <c r="B29" s="900" t="s">
        <v>222</v>
      </c>
      <c r="C29" s="725"/>
      <c r="D29" s="725"/>
      <c r="E29" s="725"/>
      <c r="F29" s="725"/>
      <c r="G29" s="726"/>
      <c r="H29" s="165" t="s">
        <v>218</v>
      </c>
      <c r="I29" s="104">
        <v>1</v>
      </c>
      <c r="J29" s="901">
        <f>AIU!J30</f>
        <v>500000</v>
      </c>
      <c r="K29" s="726"/>
      <c r="L29" s="160">
        <f t="shared" si="5"/>
        <v>2</v>
      </c>
      <c r="M29" s="109" t="e">
        <f t="shared" si="3"/>
        <v>#REF!</v>
      </c>
      <c r="N29" s="901">
        <f t="shared" si="4"/>
        <v>1000000</v>
      </c>
      <c r="O29" s="726"/>
    </row>
    <row r="30" spans="1:15" ht="13.5" x14ac:dyDescent="0.2">
      <c r="A30" s="110" t="s">
        <v>1471</v>
      </c>
      <c r="B30" s="900" t="s">
        <v>224</v>
      </c>
      <c r="C30" s="725"/>
      <c r="D30" s="725"/>
      <c r="E30" s="725"/>
      <c r="F30" s="725"/>
      <c r="G30" s="726"/>
      <c r="H30" s="165" t="s">
        <v>218</v>
      </c>
      <c r="I30" s="104">
        <v>1</v>
      </c>
      <c r="J30" s="901">
        <f>AIU!J31</f>
        <v>6000000</v>
      </c>
      <c r="K30" s="726"/>
      <c r="L30" s="160">
        <v>1</v>
      </c>
      <c r="M30" s="109" t="e">
        <f t="shared" si="3"/>
        <v>#REF!</v>
      </c>
      <c r="N30" s="901">
        <f t="shared" si="4"/>
        <v>6000000</v>
      </c>
      <c r="O30" s="726"/>
    </row>
    <row r="31" spans="1:15" ht="13.5" x14ac:dyDescent="0.2">
      <c r="A31" s="110" t="s">
        <v>1472</v>
      </c>
      <c r="B31" s="900" t="s">
        <v>1473</v>
      </c>
      <c r="C31" s="725"/>
      <c r="D31" s="725"/>
      <c r="E31" s="725"/>
      <c r="F31" s="725"/>
      <c r="G31" s="726"/>
      <c r="H31" s="165" t="s">
        <v>218</v>
      </c>
      <c r="I31" s="104">
        <v>3</v>
      </c>
      <c r="J31" s="901">
        <f>AIU!J32</f>
        <v>921149.14260439074</v>
      </c>
      <c r="K31" s="726"/>
      <c r="L31" s="160">
        <v>1</v>
      </c>
      <c r="M31" s="109" t="e">
        <f t="shared" si="3"/>
        <v>#REF!</v>
      </c>
      <c r="N31" s="901">
        <f t="shared" si="4"/>
        <v>2763447.4278131723</v>
      </c>
      <c r="O31" s="726"/>
    </row>
    <row r="32" spans="1:15" ht="13.5" x14ac:dyDescent="0.2">
      <c r="A32" s="110" t="s">
        <v>1474</v>
      </c>
      <c r="B32" s="900" t="s">
        <v>1475</v>
      </c>
      <c r="C32" s="725"/>
      <c r="D32" s="725"/>
      <c r="E32" s="725"/>
      <c r="F32" s="725"/>
      <c r="G32" s="726"/>
      <c r="H32" s="165" t="s">
        <v>218</v>
      </c>
      <c r="I32" s="104">
        <v>0</v>
      </c>
      <c r="J32" s="901">
        <f>AIU!J33</f>
        <v>2000000</v>
      </c>
      <c r="K32" s="726"/>
      <c r="L32" s="160">
        <v>1</v>
      </c>
      <c r="M32" s="109" t="e">
        <f t="shared" si="3"/>
        <v>#REF!</v>
      </c>
      <c r="N32" s="901">
        <f t="shared" ref="N32:N34" si="6">J32*L32*I32</f>
        <v>0</v>
      </c>
      <c r="O32" s="726"/>
    </row>
    <row r="33" spans="1:15" ht="13.5" x14ac:dyDescent="0.2">
      <c r="A33" s="110" t="s">
        <v>1476</v>
      </c>
      <c r="B33" s="900" t="s">
        <v>229</v>
      </c>
      <c r="C33" s="725"/>
      <c r="D33" s="725"/>
      <c r="E33" s="725"/>
      <c r="F33" s="725"/>
      <c r="G33" s="726"/>
      <c r="H33" s="165" t="s">
        <v>218</v>
      </c>
      <c r="I33" s="104">
        <v>0</v>
      </c>
      <c r="J33" s="901" t="e">
        <f>AIU!#REF!</f>
        <v>#REF!</v>
      </c>
      <c r="K33" s="726"/>
      <c r="L33" s="160">
        <f>L16</f>
        <v>2</v>
      </c>
      <c r="M33" s="109" t="e">
        <f t="shared" si="3"/>
        <v>#REF!</v>
      </c>
      <c r="N33" s="901" t="e">
        <f t="shared" si="6"/>
        <v>#REF!</v>
      </c>
      <c r="O33" s="726"/>
    </row>
    <row r="34" spans="1:15" ht="13.5" x14ac:dyDescent="0.2">
      <c r="A34" s="110" t="s">
        <v>1477</v>
      </c>
      <c r="B34" s="900" t="s">
        <v>1478</v>
      </c>
      <c r="C34" s="725"/>
      <c r="D34" s="725"/>
      <c r="E34" s="725"/>
      <c r="F34" s="725"/>
      <c r="G34" s="726"/>
      <c r="H34" s="165" t="s">
        <v>218</v>
      </c>
      <c r="I34" s="104">
        <v>170</v>
      </c>
      <c r="J34" s="901">
        <v>15000</v>
      </c>
      <c r="K34" s="912"/>
      <c r="L34" s="160">
        <v>1</v>
      </c>
      <c r="M34" s="109" t="e">
        <f t="shared" si="3"/>
        <v>#REF!</v>
      </c>
      <c r="N34" s="901">
        <f t="shared" si="6"/>
        <v>2550000</v>
      </c>
      <c r="O34" s="726"/>
    </row>
    <row r="35" spans="1:15" ht="13.5" x14ac:dyDescent="0.2">
      <c r="A35" s="105"/>
      <c r="B35" s="105"/>
      <c r="C35" s="105"/>
      <c r="D35" s="105"/>
      <c r="E35" s="105"/>
      <c r="F35" s="166"/>
      <c r="G35" s="105"/>
      <c r="H35" s="899" t="s">
        <v>232</v>
      </c>
      <c r="I35" s="725"/>
      <c r="J35" s="725"/>
      <c r="K35" s="725"/>
      <c r="L35" s="725"/>
      <c r="M35" s="726"/>
      <c r="N35" s="901" t="e">
        <f>SUM(N27:N34)</f>
        <v>#REF!</v>
      </c>
      <c r="O35" s="726"/>
    </row>
    <row r="36" spans="1:15" ht="13.5" x14ac:dyDescent="0.25">
      <c r="A36" s="161"/>
      <c r="B36" s="162"/>
      <c r="C36" s="94"/>
      <c r="D36" s="94"/>
      <c r="E36" s="94"/>
      <c r="F36" s="94"/>
      <c r="G36" s="163"/>
      <c r="H36" s="153"/>
      <c r="I36" s="153"/>
      <c r="J36" s="153"/>
      <c r="K36" s="153"/>
      <c r="L36" s="163"/>
      <c r="M36" s="163"/>
      <c r="N36" s="163"/>
      <c r="O36" s="163"/>
    </row>
    <row r="37" spans="1:15" ht="13.5" x14ac:dyDescent="0.25">
      <c r="A37" s="105"/>
      <c r="B37" s="105"/>
      <c r="C37" s="94"/>
      <c r="D37" s="94"/>
      <c r="E37" s="94"/>
      <c r="F37" s="94"/>
      <c r="G37" s="105"/>
      <c r="H37" s="153"/>
      <c r="I37" s="153"/>
      <c r="J37" s="153"/>
      <c r="K37" s="153"/>
      <c r="L37" s="898" t="s">
        <v>1479</v>
      </c>
      <c r="M37" s="726"/>
      <c r="N37" s="901" t="e">
        <f>N22+N35</f>
        <v>#REF!</v>
      </c>
      <c r="O37" s="726"/>
    </row>
    <row r="38" spans="1:15" ht="13.5" x14ac:dyDescent="0.25">
      <c r="A38" s="105"/>
      <c r="B38" s="105"/>
      <c r="C38" s="94"/>
      <c r="D38" s="94"/>
      <c r="E38" s="94"/>
      <c r="F38" s="94"/>
      <c r="G38" s="105"/>
      <c r="H38" s="153"/>
      <c r="I38" s="153"/>
      <c r="J38" s="153"/>
      <c r="K38" s="153"/>
      <c r="L38" s="167" t="s">
        <v>344</v>
      </c>
      <c r="M38" s="168">
        <v>0.19</v>
      </c>
      <c r="N38" s="901" t="e">
        <f>N37*M38</f>
        <v>#REF!</v>
      </c>
      <c r="O38" s="726"/>
    </row>
    <row r="39" spans="1:15" ht="13.5" x14ac:dyDescent="0.25">
      <c r="A39" s="105"/>
      <c r="B39" s="105"/>
      <c r="C39" s="94"/>
      <c r="D39" s="94"/>
      <c r="E39" s="94"/>
      <c r="F39" s="94"/>
      <c r="G39" s="105"/>
      <c r="H39" s="153"/>
      <c r="I39" s="153"/>
      <c r="J39" s="153"/>
      <c r="K39" s="153"/>
      <c r="L39" s="898" t="s">
        <v>261</v>
      </c>
      <c r="M39" s="726"/>
      <c r="N39" s="901" t="e">
        <f>N37+N38</f>
        <v>#REF!</v>
      </c>
      <c r="O39" s="726"/>
    </row>
    <row r="40" spans="1:15" ht="14.25" thickBot="1" x14ac:dyDescent="0.3">
      <c r="A40" s="105"/>
      <c r="B40" s="105"/>
      <c r="D40" s="190"/>
      <c r="E40" s="190"/>
      <c r="F40" s="132"/>
      <c r="G40" s="132"/>
      <c r="H40" s="132"/>
      <c r="I40" s="153"/>
      <c r="J40" s="153"/>
      <c r="K40" s="153"/>
      <c r="L40" s="898" t="s">
        <v>251</v>
      </c>
      <c r="M40" s="726"/>
      <c r="N40" s="913">
        <v>1</v>
      </c>
      <c r="O40" s="726"/>
    </row>
    <row r="41" spans="1:15" ht="14.25" thickTop="1" x14ac:dyDescent="0.2">
      <c r="A41" s="105"/>
      <c r="B41" s="105"/>
      <c r="D41" s="429" t="s">
        <v>1126</v>
      </c>
      <c r="E41" s="429"/>
      <c r="F41" s="429"/>
      <c r="G41" s="429"/>
      <c r="H41" s="429"/>
      <c r="I41" s="153"/>
      <c r="J41" s="153"/>
      <c r="K41" s="169"/>
      <c r="L41" s="898" t="s">
        <v>1480</v>
      </c>
      <c r="M41" s="726"/>
      <c r="N41" s="901" t="e">
        <f>N39*N40</f>
        <v>#REF!</v>
      </c>
      <c r="O41" s="726"/>
    </row>
    <row r="42" spans="1:15" ht="13.5" x14ac:dyDescent="0.25">
      <c r="A42" s="105"/>
      <c r="B42" s="105"/>
      <c r="C42" s="153"/>
      <c r="D42" s="406" t="s">
        <v>1127</v>
      </c>
      <c r="E42" s="406"/>
      <c r="F42" s="406"/>
      <c r="G42" s="406"/>
      <c r="H42" s="406"/>
      <c r="I42" s="153"/>
      <c r="J42" s="153"/>
      <c r="K42" s="169"/>
      <c r="L42" s="167" t="s">
        <v>1481</v>
      </c>
      <c r="M42" s="168">
        <v>0.11650000000000001</v>
      </c>
      <c r="N42" s="901" t="e">
        <f>+N41*M42</f>
        <v>#REF!</v>
      </c>
      <c r="O42" s="726"/>
    </row>
    <row r="43" spans="1:15" ht="13.5" x14ac:dyDescent="0.25">
      <c r="D43" s="406" t="s">
        <v>1123</v>
      </c>
      <c r="E43" s="406"/>
      <c r="F43" s="406"/>
      <c r="G43" s="406"/>
      <c r="H43" s="406"/>
      <c r="L43" s="898" t="s">
        <v>252</v>
      </c>
      <c r="M43" s="726"/>
      <c r="N43" s="914" t="e">
        <f>+N41+N42</f>
        <v>#REF!</v>
      </c>
      <c r="O43" s="726"/>
    </row>
    <row r="44" spans="1:15" x14ac:dyDescent="0.2">
      <c r="A44" s="153"/>
      <c r="B44" s="153"/>
      <c r="C44" s="153"/>
      <c r="D44" s="153"/>
      <c r="E44" s="153"/>
      <c r="F44" s="153"/>
      <c r="G44" s="153"/>
      <c r="H44" s="153"/>
      <c r="I44" s="153"/>
      <c r="J44" s="153"/>
      <c r="K44" s="153"/>
      <c r="L44" s="153"/>
      <c r="M44" s="153"/>
      <c r="N44" s="153"/>
      <c r="O44" s="153"/>
    </row>
    <row r="49" spans="10:13" ht="13.5" x14ac:dyDescent="0.25">
      <c r="J49" s="153"/>
      <c r="K49" s="132"/>
      <c r="L49" s="132"/>
    </row>
    <row r="50" spans="10:13" x14ac:dyDescent="0.2">
      <c r="J50" s="153"/>
      <c r="K50" s="153"/>
      <c r="L50" s="153"/>
      <c r="M50" s="153"/>
    </row>
  </sheetData>
  <mergeCells count="98">
    <mergeCell ref="A5:O6"/>
    <mergeCell ref="B8:O8"/>
    <mergeCell ref="A9:A10"/>
    <mergeCell ref="B9:F10"/>
    <mergeCell ref="G9:G10"/>
    <mergeCell ref="H9:H10"/>
    <mergeCell ref="I9:I10"/>
    <mergeCell ref="B13:F13"/>
    <mergeCell ref="J13:K13"/>
    <mergeCell ref="N13:O13"/>
    <mergeCell ref="J9:K10"/>
    <mergeCell ref="L9:L10"/>
    <mergeCell ref="M9:M10"/>
    <mergeCell ref="N9:O10"/>
    <mergeCell ref="B11:F11"/>
    <mergeCell ref="J11:K11"/>
    <mergeCell ref="N11:O11"/>
    <mergeCell ref="B12:F12"/>
    <mergeCell ref="J12:K12"/>
    <mergeCell ref="N12:O12"/>
    <mergeCell ref="B14:F14"/>
    <mergeCell ref="J14:K14"/>
    <mergeCell ref="N14:O14"/>
    <mergeCell ref="B15:F15"/>
    <mergeCell ref="J15:K15"/>
    <mergeCell ref="N15:O15"/>
    <mergeCell ref="B16:F16"/>
    <mergeCell ref="J16:K16"/>
    <mergeCell ref="N16:O16"/>
    <mergeCell ref="B17:F17"/>
    <mergeCell ref="J17:K17"/>
    <mergeCell ref="N17:O17"/>
    <mergeCell ref="B18:F18"/>
    <mergeCell ref="J18:K18"/>
    <mergeCell ref="N18:O18"/>
    <mergeCell ref="B19:F19"/>
    <mergeCell ref="J19:K19"/>
    <mergeCell ref="N19:O19"/>
    <mergeCell ref="L25:L26"/>
    <mergeCell ref="M25:M26"/>
    <mergeCell ref="N25:O26"/>
    <mergeCell ref="H20:M20"/>
    <mergeCell ref="N20:O20"/>
    <mergeCell ref="H21:M21"/>
    <mergeCell ref="N21:O21"/>
    <mergeCell ref="H22:M22"/>
    <mergeCell ref="N22:O22"/>
    <mergeCell ref="N30:O30"/>
    <mergeCell ref="B27:G27"/>
    <mergeCell ref="J27:K27"/>
    <mergeCell ref="N27:O27"/>
    <mergeCell ref="B28:G28"/>
    <mergeCell ref="J28:K28"/>
    <mergeCell ref="N28:O28"/>
    <mergeCell ref="N35:O35"/>
    <mergeCell ref="L37:M37"/>
    <mergeCell ref="N37:O37"/>
    <mergeCell ref="N38:O38"/>
    <mergeCell ref="L39:M39"/>
    <mergeCell ref="N39:O39"/>
    <mergeCell ref="N40:O40"/>
    <mergeCell ref="L41:M41"/>
    <mergeCell ref="N41:O41"/>
    <mergeCell ref="N42:O42"/>
    <mergeCell ref="L43:M43"/>
    <mergeCell ref="N43:O43"/>
    <mergeCell ref="N1:O3"/>
    <mergeCell ref="B33:G33"/>
    <mergeCell ref="J33:K33"/>
    <mergeCell ref="N33:O33"/>
    <mergeCell ref="B34:G34"/>
    <mergeCell ref="J34:K34"/>
    <mergeCell ref="N34:O34"/>
    <mergeCell ref="B31:G31"/>
    <mergeCell ref="J31:K31"/>
    <mergeCell ref="N31:O31"/>
    <mergeCell ref="B32:G32"/>
    <mergeCell ref="J32:K32"/>
    <mergeCell ref="N32:O32"/>
    <mergeCell ref="B29:G29"/>
    <mergeCell ref="J29:K29"/>
    <mergeCell ref="N29:O29"/>
    <mergeCell ref="D42:H42"/>
    <mergeCell ref="D43:H43"/>
    <mergeCell ref="A1:K3"/>
    <mergeCell ref="L1:M1"/>
    <mergeCell ref="L2:M3"/>
    <mergeCell ref="L40:M40"/>
    <mergeCell ref="H35:M35"/>
    <mergeCell ref="D41:H41"/>
    <mergeCell ref="B30:G30"/>
    <mergeCell ref="J30:K30"/>
    <mergeCell ref="B24:O24"/>
    <mergeCell ref="A25:A26"/>
    <mergeCell ref="B25:G26"/>
    <mergeCell ref="H25:H26"/>
    <mergeCell ref="I25:I26"/>
    <mergeCell ref="J25:K26"/>
  </mergeCells>
  <conditionalFormatting sqref="M13">
    <cfRule type="colorScale" priority="1">
      <colorScale>
        <cfvo type="min"/>
        <cfvo type="percentile" val="50"/>
        <cfvo type="max"/>
        <color rgb="FF63BE7B"/>
        <color rgb="FFFFEB84"/>
        <color rgb="FFF8696B"/>
      </colorScale>
    </cfRule>
  </conditionalFormatting>
  <conditionalFormatting sqref="M12">
    <cfRule type="colorScale" priority="2">
      <colorScale>
        <cfvo type="min"/>
        <cfvo type="percentile" val="50"/>
        <cfvo type="max"/>
        <color rgb="FF63BE7B"/>
        <color rgb="FFFFEB84"/>
        <color rgb="FFF8696B"/>
      </colorScale>
    </cfRule>
  </conditionalFormatting>
  <conditionalFormatting sqref="M15">
    <cfRule type="colorScale" priority="3">
      <colorScale>
        <cfvo type="min"/>
        <cfvo type="percentile" val="50"/>
        <cfvo type="max"/>
        <color rgb="FF63BE7B"/>
        <color rgb="FFFFEB84"/>
        <color rgb="FFF8696B"/>
      </colorScale>
    </cfRule>
  </conditionalFormatting>
  <conditionalFormatting sqref="M14 M11 M16:M19 M27:M34">
    <cfRule type="colorScale" priority="4">
      <colorScale>
        <cfvo type="min"/>
        <cfvo type="percentile" val="50"/>
        <cfvo type="max"/>
        <color rgb="FF63BE7B"/>
        <color rgb="FFFFEB84"/>
        <color rgb="FFF8696B"/>
      </colorScale>
    </cfRule>
  </conditionalFormatting>
  <pageMargins left="0.7" right="0.7" top="0.75" bottom="0.75" header="0.3" footer="0.3"/>
  <pageSetup paperSize="9" scale="7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56"/>
  <sheetViews>
    <sheetView view="pageBreakPreview" zoomScaleNormal="100" zoomScaleSheetLayoutView="100" workbookViewId="0">
      <selection activeCell="J49" sqref="J49:K49"/>
    </sheetView>
  </sheetViews>
  <sheetFormatPr baseColWidth="10" defaultRowHeight="12.75" x14ac:dyDescent="0.2"/>
  <sheetData>
    <row r="1" spans="1:15" x14ac:dyDescent="0.2">
      <c r="A1" s="895" t="str">
        <f>Indice!A1</f>
        <v>CONSTRUCCIÓN DEL SISTEMA DE ACUEDUCTO IDOLOS, EL TIGRE, MUNICIPIO DE ISNOS – DEPARTAMENTO DEL HUILA – FASE I.</v>
      </c>
      <c r="B1" s="736"/>
      <c r="C1" s="736"/>
      <c r="D1" s="736"/>
      <c r="E1" s="736"/>
      <c r="F1" s="736"/>
      <c r="G1" s="736"/>
      <c r="H1" s="736"/>
      <c r="I1" s="736"/>
      <c r="J1" s="737"/>
      <c r="K1" s="896" t="s">
        <v>0</v>
      </c>
      <c r="L1" s="726"/>
      <c r="M1" s="933">
        <f>N56</f>
        <v>49457081.327500001</v>
      </c>
      <c r="N1" s="736"/>
      <c r="O1" s="737"/>
    </row>
    <row r="2" spans="1:15" x14ac:dyDescent="0.2">
      <c r="A2" s="931"/>
      <c r="B2" s="468"/>
      <c r="C2" s="468"/>
      <c r="D2" s="468"/>
      <c r="E2" s="468"/>
      <c r="F2" s="468"/>
      <c r="G2" s="468"/>
      <c r="H2" s="468"/>
      <c r="I2" s="468"/>
      <c r="J2" s="932"/>
      <c r="K2" s="934">
        <f>Indice!I2</f>
        <v>45972</v>
      </c>
      <c r="L2" s="737"/>
      <c r="M2" s="931"/>
      <c r="N2" s="468"/>
      <c r="O2" s="932"/>
    </row>
    <row r="3" spans="1:15" x14ac:dyDescent="0.2">
      <c r="A3" s="738"/>
      <c r="B3" s="739"/>
      <c r="C3" s="739"/>
      <c r="D3" s="739"/>
      <c r="E3" s="739"/>
      <c r="F3" s="739"/>
      <c r="G3" s="739"/>
      <c r="H3" s="739"/>
      <c r="I3" s="739"/>
      <c r="J3" s="740"/>
      <c r="K3" s="738"/>
      <c r="L3" s="740"/>
      <c r="M3" s="738"/>
      <c r="N3" s="739"/>
      <c r="O3" s="740"/>
    </row>
    <row r="4" spans="1:15" ht="13.5" x14ac:dyDescent="0.25">
      <c r="A4" s="94"/>
      <c r="B4" s="94"/>
      <c r="C4" s="94"/>
      <c r="D4" s="94"/>
      <c r="E4" s="94"/>
      <c r="F4" s="94"/>
      <c r="G4" s="94"/>
      <c r="H4" s="94"/>
      <c r="I4" s="94"/>
      <c r="J4" s="94"/>
      <c r="K4" s="94"/>
      <c r="L4" s="94"/>
      <c r="M4" s="95"/>
      <c r="N4" s="96"/>
      <c r="O4" s="96"/>
    </row>
    <row r="5" spans="1:15" x14ac:dyDescent="0.2">
      <c r="A5" s="473" t="s">
        <v>1483</v>
      </c>
      <c r="B5" s="935"/>
      <c r="C5" s="935"/>
      <c r="D5" s="935"/>
      <c r="E5" s="935"/>
      <c r="F5" s="935"/>
      <c r="G5" s="935"/>
      <c r="H5" s="935"/>
      <c r="I5" s="935"/>
      <c r="J5" s="935"/>
      <c r="K5" s="935"/>
      <c r="L5" s="935"/>
      <c r="M5" s="935"/>
      <c r="N5" s="935"/>
      <c r="O5" s="936"/>
    </row>
    <row r="6" spans="1:15" x14ac:dyDescent="0.2">
      <c r="A6" s="937"/>
      <c r="B6" s="938"/>
      <c r="C6" s="938"/>
      <c r="D6" s="938"/>
      <c r="E6" s="938"/>
      <c r="F6" s="938"/>
      <c r="G6" s="938"/>
      <c r="H6" s="938"/>
      <c r="I6" s="938"/>
      <c r="J6" s="938"/>
      <c r="K6" s="938"/>
      <c r="L6" s="938"/>
      <c r="M6" s="938"/>
      <c r="N6" s="938"/>
      <c r="O6" s="939"/>
    </row>
    <row r="7" spans="1:15" ht="13.5" x14ac:dyDescent="0.25">
      <c r="A7" s="94"/>
      <c r="B7" s="94"/>
      <c r="C7" s="94"/>
      <c r="D7" s="94"/>
      <c r="E7" s="94"/>
      <c r="F7" s="94"/>
      <c r="G7" s="94"/>
      <c r="H7" s="94"/>
      <c r="I7" s="94"/>
      <c r="J7" s="94"/>
      <c r="K7" s="94"/>
      <c r="L7" s="94"/>
      <c r="M7" s="95"/>
      <c r="N7" s="96"/>
      <c r="O7" s="96"/>
    </row>
    <row r="8" spans="1:15" x14ac:dyDescent="0.2">
      <c r="A8" s="156" t="s">
        <v>179</v>
      </c>
      <c r="B8" s="918" t="s">
        <v>180</v>
      </c>
      <c r="C8" s="919"/>
      <c r="D8" s="919"/>
      <c r="E8" s="919"/>
      <c r="F8" s="919"/>
      <c r="G8" s="919"/>
      <c r="H8" s="919"/>
      <c r="I8" s="919"/>
      <c r="J8" s="919"/>
      <c r="K8" s="919"/>
      <c r="L8" s="919"/>
      <c r="M8" s="919"/>
      <c r="N8" s="919"/>
      <c r="O8" s="919"/>
    </row>
    <row r="9" spans="1:15" x14ac:dyDescent="0.2">
      <c r="A9" s="903" t="s">
        <v>181</v>
      </c>
      <c r="B9" s="905" t="s">
        <v>182</v>
      </c>
      <c r="C9" s="736"/>
      <c r="D9" s="736"/>
      <c r="E9" s="736"/>
      <c r="F9" s="737"/>
      <c r="G9" s="903" t="s">
        <v>183</v>
      </c>
      <c r="H9" s="903" t="s">
        <v>184</v>
      </c>
      <c r="I9" s="903" t="s">
        <v>185</v>
      </c>
      <c r="J9" s="905" t="s">
        <v>186</v>
      </c>
      <c r="K9" s="737"/>
      <c r="L9" s="903" t="s">
        <v>215</v>
      </c>
      <c r="M9" s="903" t="s">
        <v>188</v>
      </c>
      <c r="N9" s="905" t="s">
        <v>189</v>
      </c>
      <c r="O9" s="737"/>
    </row>
    <row r="10" spans="1:15" x14ac:dyDescent="0.2">
      <c r="A10" s="904"/>
      <c r="B10" s="738"/>
      <c r="C10" s="739"/>
      <c r="D10" s="739"/>
      <c r="E10" s="739"/>
      <c r="F10" s="740"/>
      <c r="G10" s="904"/>
      <c r="H10" s="904"/>
      <c r="I10" s="904"/>
      <c r="J10" s="738"/>
      <c r="K10" s="740"/>
      <c r="L10" s="904"/>
      <c r="M10" s="904"/>
      <c r="N10" s="738"/>
      <c r="O10" s="740"/>
    </row>
    <row r="11" spans="1:15" ht="13.5" x14ac:dyDescent="0.2">
      <c r="A11" s="110" t="s">
        <v>190</v>
      </c>
      <c r="B11" s="916" t="s">
        <v>191</v>
      </c>
      <c r="C11" s="725"/>
      <c r="D11" s="725"/>
      <c r="E11" s="725"/>
      <c r="F11" s="726"/>
      <c r="G11" s="157">
        <v>7</v>
      </c>
      <c r="H11" s="158">
        <v>0</v>
      </c>
      <c r="I11" s="159">
        <v>0.15</v>
      </c>
      <c r="J11" s="901">
        <f>G11*'04'!$A$9</f>
        <v>12256335</v>
      </c>
      <c r="K11" s="726"/>
      <c r="L11" s="158">
        <f>+Indice!$J$54</f>
        <v>6</v>
      </c>
      <c r="M11" s="109">
        <f t="shared" ref="M11:M23" si="0">N11/$N$54</f>
        <v>0</v>
      </c>
      <c r="N11" s="901">
        <f t="shared" ref="N11:N23" si="1">L11*I11*J11*H11</f>
        <v>0</v>
      </c>
      <c r="O11" s="726"/>
    </row>
    <row r="12" spans="1:15" ht="13.5" x14ac:dyDescent="0.2">
      <c r="A12" s="110" t="s">
        <v>192</v>
      </c>
      <c r="B12" s="916" t="s">
        <v>193</v>
      </c>
      <c r="C12" s="725"/>
      <c r="D12" s="725"/>
      <c r="E12" s="725"/>
      <c r="F12" s="726"/>
      <c r="G12" s="157">
        <v>4.5</v>
      </c>
      <c r="H12" s="158">
        <v>0</v>
      </c>
      <c r="I12" s="159">
        <v>0.2</v>
      </c>
      <c r="J12" s="901">
        <f>G12*'04'!$A$9</f>
        <v>7879072.5</v>
      </c>
      <c r="K12" s="726"/>
      <c r="L12" s="158">
        <f>+Indice!$F$54</f>
        <v>5</v>
      </c>
      <c r="M12" s="109">
        <f t="shared" si="0"/>
        <v>0</v>
      </c>
      <c r="N12" s="901">
        <f t="shared" si="1"/>
        <v>0</v>
      </c>
      <c r="O12" s="726"/>
    </row>
    <row r="13" spans="1:15" ht="13.5" x14ac:dyDescent="0.2">
      <c r="A13" s="110" t="s">
        <v>194</v>
      </c>
      <c r="B13" s="916" t="s">
        <v>195</v>
      </c>
      <c r="C13" s="725"/>
      <c r="D13" s="725"/>
      <c r="E13" s="725"/>
      <c r="F13" s="726"/>
      <c r="G13" s="157">
        <v>4.5</v>
      </c>
      <c r="H13" s="158">
        <v>0</v>
      </c>
      <c r="I13" s="159">
        <v>0.2</v>
      </c>
      <c r="J13" s="901">
        <f>G13*'04'!$A$9</f>
        <v>7879072.5</v>
      </c>
      <c r="K13" s="726"/>
      <c r="L13" s="158">
        <f>+Indice!$F$54</f>
        <v>5</v>
      </c>
      <c r="M13" s="109">
        <f t="shared" si="0"/>
        <v>0</v>
      </c>
      <c r="N13" s="901">
        <f t="shared" si="1"/>
        <v>0</v>
      </c>
      <c r="O13" s="726"/>
    </row>
    <row r="14" spans="1:15" ht="13.5" x14ac:dyDescent="0.2">
      <c r="A14" s="110" t="s">
        <v>196</v>
      </c>
      <c r="B14" s="916" t="s">
        <v>197</v>
      </c>
      <c r="C14" s="725"/>
      <c r="D14" s="725"/>
      <c r="E14" s="725"/>
      <c r="F14" s="726"/>
      <c r="G14" s="157">
        <v>4.5</v>
      </c>
      <c r="H14" s="158">
        <v>0</v>
      </c>
      <c r="I14" s="159">
        <v>0.35</v>
      </c>
      <c r="J14" s="901">
        <f>G14*'04'!$A$9</f>
        <v>7879072.5</v>
      </c>
      <c r="K14" s="726"/>
      <c r="L14" s="158">
        <f>+Indice!$F$54</f>
        <v>5</v>
      </c>
      <c r="M14" s="109">
        <f t="shared" si="0"/>
        <v>0</v>
      </c>
      <c r="N14" s="901">
        <f t="shared" si="1"/>
        <v>0</v>
      </c>
      <c r="O14" s="726"/>
    </row>
    <row r="15" spans="1:15" ht="13.5" x14ac:dyDescent="0.2">
      <c r="A15" s="110" t="s">
        <v>198</v>
      </c>
      <c r="B15" s="916" t="s">
        <v>199</v>
      </c>
      <c r="C15" s="725"/>
      <c r="D15" s="725"/>
      <c r="E15" s="725"/>
      <c r="F15" s="726"/>
      <c r="G15" s="157">
        <v>3</v>
      </c>
      <c r="H15" s="158">
        <v>0</v>
      </c>
      <c r="I15" s="159">
        <v>0.8</v>
      </c>
      <c r="J15" s="901">
        <f>G15*'04'!$A$9</f>
        <v>5252715</v>
      </c>
      <c r="K15" s="726"/>
      <c r="L15" s="158">
        <f>+Indice!$F$54</f>
        <v>5</v>
      </c>
      <c r="M15" s="109">
        <f t="shared" si="0"/>
        <v>0</v>
      </c>
      <c r="N15" s="901">
        <f t="shared" si="1"/>
        <v>0</v>
      </c>
      <c r="O15" s="726"/>
    </row>
    <row r="16" spans="1:15" ht="13.5" x14ac:dyDescent="0.2">
      <c r="A16" s="110" t="s">
        <v>200</v>
      </c>
      <c r="B16" s="916" t="s">
        <v>201</v>
      </c>
      <c r="C16" s="725"/>
      <c r="D16" s="725"/>
      <c r="E16" s="725"/>
      <c r="F16" s="726"/>
      <c r="G16" s="157">
        <v>3</v>
      </c>
      <c r="H16" s="158">
        <v>0</v>
      </c>
      <c r="I16" s="159">
        <v>0.35</v>
      </c>
      <c r="J16" s="901">
        <f>G16*'04'!$A$9</f>
        <v>5252715</v>
      </c>
      <c r="K16" s="726"/>
      <c r="L16" s="158">
        <f>+Indice!$F$54</f>
        <v>5</v>
      </c>
      <c r="M16" s="109">
        <f t="shared" si="0"/>
        <v>0</v>
      </c>
      <c r="N16" s="901">
        <f t="shared" si="1"/>
        <v>0</v>
      </c>
      <c r="O16" s="726"/>
    </row>
    <row r="17" spans="1:15" ht="13.5" x14ac:dyDescent="0.2">
      <c r="A17" s="110" t="s">
        <v>202</v>
      </c>
      <c r="B17" s="916" t="s">
        <v>203</v>
      </c>
      <c r="C17" s="725"/>
      <c r="D17" s="725"/>
      <c r="E17" s="725"/>
      <c r="F17" s="726"/>
      <c r="G17" s="157">
        <v>2.5</v>
      </c>
      <c r="H17" s="158">
        <v>1</v>
      </c>
      <c r="I17" s="159">
        <v>0.3</v>
      </c>
      <c r="J17" s="901">
        <f>G17*'04'!$A$9</f>
        <v>4377262.5</v>
      </c>
      <c r="K17" s="726"/>
      <c r="L17" s="158">
        <f>+Indice!$F$54</f>
        <v>5</v>
      </c>
      <c r="M17" s="109">
        <f t="shared" si="0"/>
        <v>0.14822589961043228</v>
      </c>
      <c r="N17" s="901">
        <f t="shared" si="1"/>
        <v>6565893.75</v>
      </c>
      <c r="O17" s="726"/>
    </row>
    <row r="18" spans="1:15" ht="13.5" x14ac:dyDescent="0.2">
      <c r="A18" s="110" t="s">
        <v>204</v>
      </c>
      <c r="B18" s="916" t="s">
        <v>205</v>
      </c>
      <c r="C18" s="725"/>
      <c r="D18" s="725"/>
      <c r="E18" s="725"/>
      <c r="F18" s="726"/>
      <c r="G18" s="157">
        <v>2.5</v>
      </c>
      <c r="H18" s="158">
        <v>0</v>
      </c>
      <c r="I18" s="159">
        <v>0.3</v>
      </c>
      <c r="J18" s="901">
        <f>G18*'04'!$A$9</f>
        <v>4377262.5</v>
      </c>
      <c r="K18" s="726"/>
      <c r="L18" s="158">
        <f>+Indice!$F$54</f>
        <v>5</v>
      </c>
      <c r="M18" s="109">
        <f t="shared" si="0"/>
        <v>0</v>
      </c>
      <c r="N18" s="901">
        <f t="shared" si="1"/>
        <v>0</v>
      </c>
      <c r="O18" s="726"/>
    </row>
    <row r="19" spans="1:15" ht="13.5" x14ac:dyDescent="0.2">
      <c r="A19" s="110" t="s">
        <v>206</v>
      </c>
      <c r="B19" s="916" t="s">
        <v>1484</v>
      </c>
      <c r="C19" s="725"/>
      <c r="D19" s="725"/>
      <c r="E19" s="725"/>
      <c r="F19" s="726"/>
      <c r="G19" s="157">
        <v>2.5</v>
      </c>
      <c r="H19" s="158">
        <v>0</v>
      </c>
      <c r="I19" s="159">
        <v>0.3</v>
      </c>
      <c r="J19" s="901">
        <f>G19*'04'!$A$9</f>
        <v>4377262.5</v>
      </c>
      <c r="K19" s="726"/>
      <c r="L19" s="158">
        <f>+Indice!$F$54</f>
        <v>5</v>
      </c>
      <c r="M19" s="109">
        <f t="shared" si="0"/>
        <v>0</v>
      </c>
      <c r="N19" s="901">
        <f t="shared" si="1"/>
        <v>0</v>
      </c>
      <c r="O19" s="726"/>
    </row>
    <row r="20" spans="1:15" ht="13.5" x14ac:dyDescent="0.2">
      <c r="A20" s="110" t="s">
        <v>207</v>
      </c>
      <c r="B20" s="916" t="s">
        <v>208</v>
      </c>
      <c r="C20" s="725"/>
      <c r="D20" s="725"/>
      <c r="E20" s="725"/>
      <c r="F20" s="726"/>
      <c r="G20" s="157">
        <v>2.5</v>
      </c>
      <c r="H20" s="158">
        <v>0</v>
      </c>
      <c r="I20" s="159">
        <v>0.75</v>
      </c>
      <c r="J20" s="901">
        <f>G20*'04'!$A$9</f>
        <v>4377262.5</v>
      </c>
      <c r="K20" s="726"/>
      <c r="L20" s="158">
        <f>+Indice!$F$54</f>
        <v>5</v>
      </c>
      <c r="M20" s="109">
        <f t="shared" si="0"/>
        <v>0</v>
      </c>
      <c r="N20" s="901">
        <f t="shared" si="1"/>
        <v>0</v>
      </c>
      <c r="O20" s="726"/>
    </row>
    <row r="21" spans="1:15" ht="13.5" x14ac:dyDescent="0.2">
      <c r="A21" s="110" t="s">
        <v>1485</v>
      </c>
      <c r="B21" s="916" t="s">
        <v>1486</v>
      </c>
      <c r="C21" s="725"/>
      <c r="D21" s="725"/>
      <c r="E21" s="725"/>
      <c r="F21" s="726"/>
      <c r="G21" s="157">
        <v>2.5</v>
      </c>
      <c r="H21" s="158">
        <v>0</v>
      </c>
      <c r="I21" s="159">
        <v>0.2</v>
      </c>
      <c r="J21" s="901">
        <f>G21*'04'!$A$9</f>
        <v>4377262.5</v>
      </c>
      <c r="K21" s="726"/>
      <c r="L21" s="158">
        <f>+Indice!$F$54</f>
        <v>5</v>
      </c>
      <c r="M21" s="109">
        <f t="shared" si="0"/>
        <v>0</v>
      </c>
      <c r="N21" s="901">
        <f t="shared" si="1"/>
        <v>0</v>
      </c>
      <c r="O21" s="726"/>
    </row>
    <row r="22" spans="1:15" ht="13.5" x14ac:dyDescent="0.2">
      <c r="A22" s="110" t="s">
        <v>1487</v>
      </c>
      <c r="B22" s="916" t="s">
        <v>1488</v>
      </c>
      <c r="C22" s="725"/>
      <c r="D22" s="725"/>
      <c r="E22" s="725"/>
      <c r="F22" s="726"/>
      <c r="G22" s="157">
        <v>1</v>
      </c>
      <c r="H22" s="158">
        <v>1</v>
      </c>
      <c r="I22" s="159">
        <v>0.7</v>
      </c>
      <c r="J22" s="901">
        <f>G22*'04'!$A$9</f>
        <v>1750905</v>
      </c>
      <c r="K22" s="726"/>
      <c r="L22" s="158">
        <f>+Indice!$F$54</f>
        <v>5</v>
      </c>
      <c r="M22" s="109">
        <f t="shared" si="0"/>
        <v>0.13834417296973681</v>
      </c>
      <c r="N22" s="901">
        <f t="shared" si="1"/>
        <v>6128167.5</v>
      </c>
      <c r="O22" s="726"/>
    </row>
    <row r="23" spans="1:15" ht="13.5" x14ac:dyDescent="0.2">
      <c r="A23" s="110" t="s">
        <v>1489</v>
      </c>
      <c r="B23" s="916" t="s">
        <v>209</v>
      </c>
      <c r="C23" s="725"/>
      <c r="D23" s="725"/>
      <c r="E23" s="725"/>
      <c r="F23" s="726"/>
      <c r="G23" s="157">
        <v>1</v>
      </c>
      <c r="H23" s="158">
        <v>0</v>
      </c>
      <c r="I23" s="159">
        <v>1</v>
      </c>
      <c r="J23" s="901">
        <f>G23*'04'!$A$9</f>
        <v>1750905</v>
      </c>
      <c r="K23" s="726"/>
      <c r="L23" s="158">
        <f>+Indice!$F$54</f>
        <v>5</v>
      </c>
      <c r="M23" s="109">
        <f t="shared" si="0"/>
        <v>0</v>
      </c>
      <c r="N23" s="901">
        <f t="shared" si="1"/>
        <v>0</v>
      </c>
      <c r="O23" s="726"/>
    </row>
    <row r="24" spans="1:15" ht="13.5" x14ac:dyDescent="0.2">
      <c r="A24" s="105"/>
      <c r="B24" s="105"/>
      <c r="C24" s="105"/>
      <c r="D24" s="105"/>
      <c r="E24" s="105"/>
      <c r="F24" s="105"/>
      <c r="G24" s="105"/>
      <c r="H24" s="899" t="s">
        <v>210</v>
      </c>
      <c r="I24" s="725"/>
      <c r="J24" s="725"/>
      <c r="K24" s="725"/>
      <c r="L24" s="725"/>
      <c r="M24" s="726"/>
      <c r="N24" s="901">
        <f>SUM(N11:N23)</f>
        <v>12694061.25</v>
      </c>
      <c r="O24" s="726"/>
    </row>
    <row r="25" spans="1:15" ht="13.5" x14ac:dyDescent="0.2">
      <c r="A25" s="105"/>
      <c r="B25" s="105"/>
      <c r="C25" s="105"/>
      <c r="D25" s="105"/>
      <c r="E25" s="105"/>
      <c r="F25" s="105"/>
      <c r="G25" s="105"/>
      <c r="H25" s="899" t="s">
        <v>31</v>
      </c>
      <c r="I25" s="725"/>
      <c r="J25" s="725"/>
      <c r="K25" s="725"/>
      <c r="L25" s="725"/>
      <c r="M25" s="726"/>
      <c r="N25" s="915">
        <f>'04'!H2</f>
        <v>2.2000000000000002</v>
      </c>
      <c r="O25" s="726"/>
    </row>
    <row r="26" spans="1:15" ht="13.5" x14ac:dyDescent="0.2">
      <c r="A26" s="105"/>
      <c r="B26" s="105"/>
      <c r="C26" s="105"/>
      <c r="D26" s="105"/>
      <c r="E26" s="105"/>
      <c r="F26" s="105"/>
      <c r="G26" s="105"/>
      <c r="H26" s="899" t="s">
        <v>212</v>
      </c>
      <c r="I26" s="725"/>
      <c r="J26" s="725"/>
      <c r="K26" s="725"/>
      <c r="L26" s="725"/>
      <c r="M26" s="726"/>
      <c r="N26" s="901">
        <f>+N24*N25</f>
        <v>27926934.750000004</v>
      </c>
      <c r="O26" s="726"/>
    </row>
    <row r="27" spans="1:15" ht="13.5" x14ac:dyDescent="0.2">
      <c r="A27" s="161"/>
      <c r="B27" s="162"/>
      <c r="C27" s="162"/>
      <c r="D27" s="162"/>
      <c r="E27" s="162"/>
      <c r="F27" s="162"/>
      <c r="G27" s="163"/>
      <c r="H27" s="163"/>
      <c r="I27" s="163"/>
      <c r="J27" s="163"/>
      <c r="K27" s="163"/>
      <c r="L27" s="163"/>
      <c r="M27" s="163"/>
      <c r="N27" s="163"/>
      <c r="O27" s="163"/>
    </row>
    <row r="28" spans="1:15" ht="13.5" x14ac:dyDescent="0.2">
      <c r="A28" s="930" t="s">
        <v>1490</v>
      </c>
      <c r="B28" s="930"/>
      <c r="C28" s="930"/>
      <c r="D28" s="930"/>
      <c r="E28" s="930"/>
      <c r="F28" s="930"/>
      <c r="G28" s="930"/>
      <c r="H28" s="930"/>
      <c r="I28" s="930"/>
      <c r="J28" s="930"/>
      <c r="K28" s="930"/>
      <c r="L28" s="930"/>
      <c r="M28" s="930"/>
      <c r="N28" s="930"/>
      <c r="O28" s="930"/>
    </row>
    <row r="29" spans="1:15" ht="13.5" x14ac:dyDescent="0.2">
      <c r="A29" s="930" t="s">
        <v>1491</v>
      </c>
      <c r="B29" s="930"/>
      <c r="C29" s="930"/>
      <c r="D29" s="930"/>
      <c r="E29" s="930"/>
      <c r="F29" s="930"/>
      <c r="G29" s="930"/>
      <c r="H29" s="930"/>
      <c r="I29" s="930"/>
      <c r="J29" s="930"/>
      <c r="K29" s="930"/>
      <c r="L29" s="930"/>
      <c r="M29" s="930"/>
      <c r="N29" s="930"/>
      <c r="O29" s="930"/>
    </row>
    <row r="30" spans="1:15" ht="13.5" x14ac:dyDescent="0.2">
      <c r="A30" s="930" t="s">
        <v>1492</v>
      </c>
      <c r="B30" s="930"/>
      <c r="C30" s="930"/>
      <c r="D30" s="930"/>
      <c r="E30" s="930"/>
      <c r="F30" s="930"/>
      <c r="G30" s="930"/>
      <c r="H30" s="930"/>
      <c r="I30" s="930"/>
      <c r="J30" s="930"/>
      <c r="K30" s="930"/>
      <c r="L30" s="930"/>
      <c r="M30" s="930"/>
      <c r="N30" s="930"/>
      <c r="O30" s="930"/>
    </row>
    <row r="31" spans="1:15" ht="13.5" x14ac:dyDescent="0.2">
      <c r="A31" s="161"/>
      <c r="B31" s="162"/>
      <c r="C31" s="162"/>
      <c r="D31" s="162"/>
      <c r="E31" s="162"/>
      <c r="F31" s="162"/>
      <c r="G31" s="163"/>
      <c r="H31" s="163"/>
      <c r="I31" s="163"/>
      <c r="J31" s="163"/>
      <c r="K31" s="163"/>
      <c r="L31" s="163"/>
      <c r="M31" s="163"/>
      <c r="N31" s="163"/>
      <c r="O31" s="163"/>
    </row>
    <row r="32" spans="1:15" ht="13.5" x14ac:dyDescent="0.2">
      <c r="A32" s="161"/>
      <c r="B32" s="162"/>
      <c r="C32" s="162"/>
      <c r="D32" s="162"/>
      <c r="E32" s="162"/>
      <c r="F32" s="162"/>
      <c r="G32" s="163"/>
      <c r="H32" s="163"/>
      <c r="I32" s="163"/>
      <c r="J32" s="163"/>
      <c r="K32" s="163"/>
      <c r="L32" s="163"/>
      <c r="M32" s="163"/>
      <c r="N32" s="163"/>
      <c r="O32" s="163"/>
    </row>
    <row r="33" spans="1:15" x14ac:dyDescent="0.2">
      <c r="A33" s="164" t="s">
        <v>213</v>
      </c>
      <c r="B33" s="902" t="s">
        <v>214</v>
      </c>
      <c r="C33" s="725"/>
      <c r="D33" s="725"/>
      <c r="E33" s="725"/>
      <c r="F33" s="725"/>
      <c r="G33" s="725"/>
      <c r="H33" s="725"/>
      <c r="I33" s="725"/>
      <c r="J33" s="725"/>
      <c r="K33" s="725"/>
      <c r="L33" s="725"/>
      <c r="M33" s="725"/>
      <c r="N33" s="725"/>
      <c r="O33" s="726"/>
    </row>
    <row r="34" spans="1:15" x14ac:dyDescent="0.2">
      <c r="A34" s="905"/>
      <c r="B34" s="905" t="s">
        <v>39</v>
      </c>
      <c r="C34" s="736"/>
      <c r="D34" s="736"/>
      <c r="E34" s="736"/>
      <c r="F34" s="736"/>
      <c r="G34" s="737"/>
      <c r="H34" s="903" t="s">
        <v>40</v>
      </c>
      <c r="I34" s="903" t="s">
        <v>184</v>
      </c>
      <c r="J34" s="905" t="s">
        <v>186</v>
      </c>
      <c r="K34" s="737"/>
      <c r="L34" s="903" t="s">
        <v>215</v>
      </c>
      <c r="M34" s="903" t="s">
        <v>188</v>
      </c>
      <c r="N34" s="905" t="s">
        <v>189</v>
      </c>
      <c r="O34" s="737"/>
    </row>
    <row r="35" spans="1:15" x14ac:dyDescent="0.2">
      <c r="A35" s="738"/>
      <c r="B35" s="738"/>
      <c r="C35" s="739"/>
      <c r="D35" s="739"/>
      <c r="E35" s="739"/>
      <c r="F35" s="739"/>
      <c r="G35" s="740"/>
      <c r="H35" s="904"/>
      <c r="I35" s="904"/>
      <c r="J35" s="738"/>
      <c r="K35" s="740"/>
      <c r="L35" s="904"/>
      <c r="M35" s="904"/>
      <c r="N35" s="738"/>
      <c r="O35" s="740"/>
    </row>
    <row r="36" spans="1:15" ht="13.5" x14ac:dyDescent="0.2">
      <c r="A36" s="170" t="s">
        <v>216</v>
      </c>
      <c r="B36" s="900" t="s">
        <v>217</v>
      </c>
      <c r="C36" s="725"/>
      <c r="D36" s="725"/>
      <c r="E36" s="725"/>
      <c r="F36" s="725"/>
      <c r="G36" s="726"/>
      <c r="H36" s="165" t="s">
        <v>218</v>
      </c>
      <c r="I36" s="104">
        <v>0</v>
      </c>
      <c r="J36" s="901">
        <v>550000</v>
      </c>
      <c r="K36" s="726"/>
      <c r="L36" s="158">
        <f>Indice!$F$54+Indice!$D$54</f>
        <v>6</v>
      </c>
      <c r="M36" s="109">
        <f t="shared" ref="M36:M50" si="2">N36/$N$54</f>
        <v>0</v>
      </c>
      <c r="N36" s="901">
        <f>J36*I36*L36</f>
        <v>0</v>
      </c>
      <c r="O36" s="726"/>
    </row>
    <row r="37" spans="1:15" ht="13.5" x14ac:dyDescent="0.2">
      <c r="A37" s="170" t="s">
        <v>219</v>
      </c>
      <c r="B37" s="900" t="s">
        <v>220</v>
      </c>
      <c r="C37" s="725"/>
      <c r="D37" s="725"/>
      <c r="E37" s="725"/>
      <c r="F37" s="725"/>
      <c r="G37" s="726"/>
      <c r="H37" s="165" t="s">
        <v>218</v>
      </c>
      <c r="I37" s="104">
        <v>0</v>
      </c>
      <c r="J37" s="901">
        <v>300000</v>
      </c>
      <c r="K37" s="726"/>
      <c r="L37" s="158">
        <f>Indice!$F$54+Indice!$D$54</f>
        <v>6</v>
      </c>
      <c r="M37" s="109">
        <f t="shared" si="2"/>
        <v>0</v>
      </c>
      <c r="N37" s="901">
        <f>J37*I37*L37</f>
        <v>0</v>
      </c>
      <c r="O37" s="726"/>
    </row>
    <row r="38" spans="1:15" ht="13.5" x14ac:dyDescent="0.2">
      <c r="A38" s="170" t="s">
        <v>221</v>
      </c>
      <c r="B38" s="900" t="s">
        <v>222</v>
      </c>
      <c r="C38" s="725"/>
      <c r="D38" s="725"/>
      <c r="E38" s="725"/>
      <c r="F38" s="725"/>
      <c r="G38" s="726"/>
      <c r="H38" s="165" t="s">
        <v>218</v>
      </c>
      <c r="I38" s="104">
        <v>0</v>
      </c>
      <c r="J38" s="901">
        <v>400000</v>
      </c>
      <c r="K38" s="726"/>
      <c r="L38" s="158">
        <f>Indice!$F$54+Indice!$D$54</f>
        <v>6</v>
      </c>
      <c r="M38" s="109">
        <f t="shared" si="2"/>
        <v>0</v>
      </c>
      <c r="N38" s="901">
        <f>J38*I38*L38</f>
        <v>0</v>
      </c>
      <c r="O38" s="726"/>
    </row>
    <row r="39" spans="1:15" ht="13.5" x14ac:dyDescent="0.2">
      <c r="A39" s="170" t="s">
        <v>223</v>
      </c>
      <c r="B39" s="900" t="s">
        <v>224</v>
      </c>
      <c r="C39" s="725"/>
      <c r="D39" s="725"/>
      <c r="E39" s="725"/>
      <c r="F39" s="725"/>
      <c r="G39" s="726"/>
      <c r="H39" s="165" t="s">
        <v>218</v>
      </c>
      <c r="I39" s="104">
        <v>0</v>
      </c>
      <c r="J39" s="901">
        <v>7500000</v>
      </c>
      <c r="K39" s="726"/>
      <c r="L39" s="158">
        <f>Indice!$F$54+Indice!$D$54</f>
        <v>6</v>
      </c>
      <c r="M39" s="109">
        <f t="shared" si="2"/>
        <v>0</v>
      </c>
      <c r="N39" s="901">
        <f>J39*I39*L39</f>
        <v>0</v>
      </c>
      <c r="O39" s="726"/>
    </row>
    <row r="40" spans="1:15" ht="13.5" x14ac:dyDescent="0.2">
      <c r="A40" s="170" t="s">
        <v>225</v>
      </c>
      <c r="B40" s="900" t="s">
        <v>226</v>
      </c>
      <c r="C40" s="725"/>
      <c r="D40" s="725"/>
      <c r="E40" s="725"/>
      <c r="F40" s="725"/>
      <c r="G40" s="726"/>
      <c r="H40" s="165" t="s">
        <v>218</v>
      </c>
      <c r="I40" s="104">
        <v>0</v>
      </c>
      <c r="J40" s="901">
        <v>1500000</v>
      </c>
      <c r="K40" s="726"/>
      <c r="L40" s="158">
        <f>Indice!$F$54+Indice!$D$54</f>
        <v>6</v>
      </c>
      <c r="M40" s="109">
        <f t="shared" si="2"/>
        <v>0</v>
      </c>
      <c r="N40" s="901">
        <f>J40*I40*L40</f>
        <v>0</v>
      </c>
      <c r="O40" s="726"/>
    </row>
    <row r="41" spans="1:15" ht="13.5" x14ac:dyDescent="0.2">
      <c r="A41" s="170" t="s">
        <v>1493</v>
      </c>
      <c r="B41" s="900" t="s">
        <v>1494</v>
      </c>
      <c r="C41" s="725"/>
      <c r="D41" s="725"/>
      <c r="E41" s="725"/>
      <c r="F41" s="725"/>
      <c r="G41" s="726"/>
      <c r="H41" s="165" t="s">
        <v>218</v>
      </c>
      <c r="I41" s="104">
        <v>0</v>
      </c>
      <c r="J41" s="901">
        <v>2000000</v>
      </c>
      <c r="K41" s="726"/>
      <c r="L41" s="158">
        <v>1</v>
      </c>
      <c r="M41" s="109">
        <f t="shared" si="2"/>
        <v>0</v>
      </c>
      <c r="N41" s="901">
        <f>J41*L41*I41</f>
        <v>0</v>
      </c>
      <c r="O41" s="726"/>
    </row>
    <row r="42" spans="1:15" ht="13.5" x14ac:dyDescent="0.2">
      <c r="A42" s="170" t="s">
        <v>227</v>
      </c>
      <c r="B42" s="900" t="s">
        <v>229</v>
      </c>
      <c r="C42" s="725"/>
      <c r="D42" s="725"/>
      <c r="E42" s="725"/>
      <c r="F42" s="725"/>
      <c r="G42" s="726"/>
      <c r="H42" s="165" t="s">
        <v>218</v>
      </c>
      <c r="I42" s="104">
        <v>0</v>
      </c>
      <c r="J42" s="901">
        <v>1600000</v>
      </c>
      <c r="K42" s="726"/>
      <c r="L42" s="158">
        <f>Indice!$F$54+Indice!$D$54</f>
        <v>6</v>
      </c>
      <c r="M42" s="109">
        <f t="shared" si="2"/>
        <v>0</v>
      </c>
      <c r="N42" s="901">
        <f>J42*L42*I42</f>
        <v>0</v>
      </c>
      <c r="O42" s="726"/>
    </row>
    <row r="43" spans="1:15" ht="13.5" x14ac:dyDescent="0.2">
      <c r="A43" s="170" t="s">
        <v>228</v>
      </c>
      <c r="B43" s="900" t="s">
        <v>231</v>
      </c>
      <c r="C43" s="725"/>
      <c r="D43" s="725"/>
      <c r="E43" s="725"/>
      <c r="F43" s="725"/>
      <c r="G43" s="726"/>
      <c r="H43" s="165" t="s">
        <v>218</v>
      </c>
      <c r="I43" s="104">
        <v>0</v>
      </c>
      <c r="J43" s="901">
        <v>2450000</v>
      </c>
      <c r="K43" s="726"/>
      <c r="L43" s="158">
        <f>Indice!$F$54+Indice!$D$54</f>
        <v>6</v>
      </c>
      <c r="M43" s="109">
        <f t="shared" si="2"/>
        <v>0</v>
      </c>
      <c r="N43" s="901">
        <f>J43*L43*I43</f>
        <v>0</v>
      </c>
      <c r="O43" s="726"/>
    </row>
    <row r="44" spans="1:15" ht="13.5" x14ac:dyDescent="0.2">
      <c r="A44" s="170" t="s">
        <v>230</v>
      </c>
      <c r="B44" s="900" t="s">
        <v>1495</v>
      </c>
      <c r="C44" s="725"/>
      <c r="D44" s="725"/>
      <c r="E44" s="725"/>
      <c r="F44" s="725"/>
      <c r="G44" s="726"/>
      <c r="H44" s="165" t="s">
        <v>475</v>
      </c>
      <c r="I44" s="104">
        <v>8</v>
      </c>
      <c r="J44" s="901">
        <f>87900*1.5</f>
        <v>131850</v>
      </c>
      <c r="K44" s="726"/>
      <c r="L44" s="158">
        <f>Indice!$F$54+Indice!$D$54</f>
        <v>6</v>
      </c>
      <c r="M44" s="109">
        <f t="shared" si="2"/>
        <v>2.3812246262602706E-2</v>
      </c>
      <c r="N44" s="901">
        <f t="shared" ref="N44:N50" si="3">J44*I44</f>
        <v>1054800</v>
      </c>
      <c r="O44" s="726"/>
    </row>
    <row r="45" spans="1:15" ht="13.5" x14ac:dyDescent="0.2">
      <c r="A45" s="170" t="s">
        <v>1496</v>
      </c>
      <c r="B45" s="925" t="s">
        <v>1497</v>
      </c>
      <c r="C45" s="928"/>
      <c r="D45" s="928"/>
      <c r="E45" s="928"/>
      <c r="F45" s="928"/>
      <c r="G45" s="929"/>
      <c r="H45" s="165" t="s">
        <v>475</v>
      </c>
      <c r="I45" s="104">
        <v>5</v>
      </c>
      <c r="J45" s="923">
        <f>+((399900)+(24*1240)+(4*745)+(4*745))*1.5</f>
        <v>653430</v>
      </c>
      <c r="K45" s="924"/>
      <c r="L45" s="158">
        <f>Indice!$F$54+Indice!$D$54</f>
        <v>6</v>
      </c>
      <c r="M45" s="109">
        <f t="shared" si="2"/>
        <v>7.3756333311397831E-2</v>
      </c>
      <c r="N45" s="901">
        <f t="shared" si="3"/>
        <v>3267150</v>
      </c>
      <c r="O45" s="726"/>
    </row>
    <row r="46" spans="1:15" ht="13.5" x14ac:dyDescent="0.2">
      <c r="A46" s="170" t="s">
        <v>1498</v>
      </c>
      <c r="B46" s="925" t="s">
        <v>1499</v>
      </c>
      <c r="C46" s="926"/>
      <c r="D46" s="926"/>
      <c r="E46" s="926"/>
      <c r="F46" s="926"/>
      <c r="G46" s="927"/>
      <c r="H46" s="165" t="s">
        <v>475</v>
      </c>
      <c r="I46" s="104">
        <v>3</v>
      </c>
      <c r="J46" s="923">
        <f>80000*1.5</f>
        <v>120000</v>
      </c>
      <c r="K46" s="924"/>
      <c r="L46" s="158">
        <f>Indice!$F$54+Indice!$D$54</f>
        <v>6</v>
      </c>
      <c r="M46" s="109">
        <f t="shared" si="2"/>
        <v>8.1270465060077502E-3</v>
      </c>
      <c r="N46" s="901">
        <f t="shared" si="3"/>
        <v>360000</v>
      </c>
      <c r="O46" s="726"/>
    </row>
    <row r="47" spans="1:15" ht="13.5" x14ac:dyDescent="0.2">
      <c r="A47" s="170" t="s">
        <v>1500</v>
      </c>
      <c r="B47" s="900" t="s">
        <v>1501</v>
      </c>
      <c r="C47" s="725"/>
      <c r="D47" s="725"/>
      <c r="E47" s="725"/>
      <c r="F47" s="725"/>
      <c r="G47" s="726"/>
      <c r="H47" s="165" t="s">
        <v>475</v>
      </c>
      <c r="I47" s="171">
        <v>8</v>
      </c>
      <c r="J47" s="923">
        <f>300000*1.5</f>
        <v>450000</v>
      </c>
      <c r="K47" s="924"/>
      <c r="L47" s="158">
        <f>Indice!$F$54+Indice!$D$54</f>
        <v>6</v>
      </c>
      <c r="M47" s="109">
        <f t="shared" si="2"/>
        <v>8.1270465060077499E-2</v>
      </c>
      <c r="N47" s="901">
        <f t="shared" si="3"/>
        <v>3600000</v>
      </c>
      <c r="O47" s="726"/>
    </row>
    <row r="48" spans="1:15" ht="13.5" x14ac:dyDescent="0.2">
      <c r="A48" s="170" t="s">
        <v>1502</v>
      </c>
      <c r="B48" s="900" t="s">
        <v>1503</v>
      </c>
      <c r="C48" s="725"/>
      <c r="D48" s="725"/>
      <c r="E48" s="725"/>
      <c r="F48" s="725"/>
      <c r="G48" s="726"/>
      <c r="H48" s="165" t="s">
        <v>475</v>
      </c>
      <c r="I48" s="171">
        <v>5</v>
      </c>
      <c r="J48" s="923">
        <f>200000*1.5</f>
        <v>300000</v>
      </c>
      <c r="K48" s="924"/>
      <c r="L48" s="158">
        <f>Indice!$F$54+Indice!$D$54</f>
        <v>6</v>
      </c>
      <c r="M48" s="109">
        <f t="shared" si="2"/>
        <v>3.3862693775032288E-2</v>
      </c>
      <c r="N48" s="901">
        <f t="shared" si="3"/>
        <v>1500000</v>
      </c>
      <c r="O48" s="726"/>
    </row>
    <row r="49" spans="1:15" ht="13.5" x14ac:dyDescent="0.2">
      <c r="A49" s="170" t="s">
        <v>1504</v>
      </c>
      <c r="B49" s="900" t="s">
        <v>1505</v>
      </c>
      <c r="C49" s="725"/>
      <c r="D49" s="725"/>
      <c r="E49" s="725"/>
      <c r="F49" s="725"/>
      <c r="G49" s="726"/>
      <c r="H49" s="165" t="s">
        <v>475</v>
      </c>
      <c r="I49" s="171">
        <v>8</v>
      </c>
      <c r="J49" s="923">
        <v>73456.236835935342</v>
      </c>
      <c r="K49" s="924"/>
      <c r="L49" s="158">
        <f>Indice!$F$54+Indice!$D$54</f>
        <v>6</v>
      </c>
      <c r="M49" s="109">
        <f t="shared" si="2"/>
        <v>1.3266272287154803E-2</v>
      </c>
      <c r="N49" s="901">
        <f t="shared" si="3"/>
        <v>587649.89468748274</v>
      </c>
      <c r="O49" s="726"/>
    </row>
    <row r="50" spans="1:15" ht="13.5" x14ac:dyDescent="0.2">
      <c r="A50" s="170" t="s">
        <v>1506</v>
      </c>
      <c r="B50" s="900" t="s">
        <v>1507</v>
      </c>
      <c r="C50" s="725"/>
      <c r="D50" s="725"/>
      <c r="E50" s="725"/>
      <c r="F50" s="725"/>
      <c r="G50" s="726"/>
      <c r="H50" s="165" t="s">
        <v>475</v>
      </c>
      <c r="I50" s="171">
        <v>8</v>
      </c>
      <c r="J50" s="923">
        <f>500000*1.5</f>
        <v>750000</v>
      </c>
      <c r="K50" s="924"/>
      <c r="L50" s="158">
        <f>Indice!$F$54+Indice!$D$54</f>
        <v>6</v>
      </c>
      <c r="M50" s="109">
        <f t="shared" si="2"/>
        <v>0.13545077510012915</v>
      </c>
      <c r="N50" s="901">
        <f t="shared" si="3"/>
        <v>6000000</v>
      </c>
      <c r="O50" s="726"/>
    </row>
    <row r="52" spans="1:15" ht="13.5" x14ac:dyDescent="0.2">
      <c r="A52" s="105"/>
      <c r="B52" s="105"/>
      <c r="C52" s="105"/>
      <c r="D52" s="105"/>
      <c r="E52" s="105"/>
      <c r="F52" s="166"/>
      <c r="G52" s="105"/>
      <c r="H52" s="899" t="s">
        <v>232</v>
      </c>
      <c r="I52" s="725"/>
      <c r="J52" s="725"/>
      <c r="K52" s="725"/>
      <c r="L52" s="725"/>
      <c r="M52" s="726"/>
      <c r="N52" s="901">
        <f>SUM(N36:N50)</f>
        <v>16369599.894687483</v>
      </c>
      <c r="O52" s="726"/>
    </row>
    <row r="53" spans="1:15" ht="14.25" thickBot="1" x14ac:dyDescent="0.3">
      <c r="A53" s="161"/>
      <c r="B53" s="190"/>
      <c r="C53" s="190"/>
      <c r="D53" s="132"/>
      <c r="E53" s="132"/>
      <c r="F53" s="132"/>
      <c r="H53" s="163"/>
      <c r="I53" s="163"/>
      <c r="J53" s="163"/>
      <c r="K53" s="163"/>
      <c r="L53" s="163"/>
      <c r="M53" s="163"/>
      <c r="N53" s="163"/>
      <c r="O53" s="163"/>
    </row>
    <row r="54" spans="1:15" ht="14.25" thickTop="1" x14ac:dyDescent="0.2">
      <c r="A54" s="153"/>
      <c r="B54" s="429" t="s">
        <v>1126</v>
      </c>
      <c r="C54" s="429"/>
      <c r="D54" s="429"/>
      <c r="E54" s="429"/>
      <c r="F54" s="429"/>
      <c r="H54" s="899" t="s">
        <v>250</v>
      </c>
      <c r="I54" s="725"/>
      <c r="J54" s="725"/>
      <c r="K54" s="725"/>
      <c r="L54" s="725"/>
      <c r="M54" s="725"/>
      <c r="N54" s="922">
        <f>ROUNDUP(N26+N52,0)</f>
        <v>44296535</v>
      </c>
      <c r="O54" s="726"/>
    </row>
    <row r="55" spans="1:15" ht="13.5" x14ac:dyDescent="0.25">
      <c r="A55" s="153"/>
      <c r="B55" s="406" t="s">
        <v>1127</v>
      </c>
      <c r="C55" s="406"/>
      <c r="D55" s="406"/>
      <c r="E55" s="406"/>
      <c r="F55" s="406"/>
      <c r="H55" s="902" t="s">
        <v>172</v>
      </c>
      <c r="I55" s="921"/>
      <c r="J55" s="921"/>
      <c r="K55" s="921"/>
      <c r="L55" s="921"/>
      <c r="M55" s="270">
        <v>0.11650000000000001</v>
      </c>
      <c r="N55" s="922">
        <f>M55*N54</f>
        <v>5160546.3275000006</v>
      </c>
      <c r="O55" s="726"/>
    </row>
    <row r="56" spans="1:15" ht="13.5" x14ac:dyDescent="0.25">
      <c r="A56" s="153"/>
      <c r="B56" s="406" t="s">
        <v>1123</v>
      </c>
      <c r="C56" s="406"/>
      <c r="D56" s="406"/>
      <c r="E56" s="406"/>
      <c r="F56" s="406"/>
      <c r="H56" s="899" t="s">
        <v>250</v>
      </c>
      <c r="I56" s="725"/>
      <c r="J56" s="725"/>
      <c r="K56" s="725"/>
      <c r="L56" s="725"/>
      <c r="M56" s="725"/>
      <c r="N56" s="922">
        <f>N55+N54</f>
        <v>49457081.327500001</v>
      </c>
      <c r="O56" s="726"/>
    </row>
  </sheetData>
  <mergeCells count="128">
    <mergeCell ref="A9:A10"/>
    <mergeCell ref="B9:F10"/>
    <mergeCell ref="G9:G10"/>
    <mergeCell ref="H9:H10"/>
    <mergeCell ref="I9:I10"/>
    <mergeCell ref="J9:K10"/>
    <mergeCell ref="A1:J3"/>
    <mergeCell ref="K1:L1"/>
    <mergeCell ref="M1:O3"/>
    <mergeCell ref="K2:L3"/>
    <mergeCell ref="A5:O6"/>
    <mergeCell ref="B8:O8"/>
    <mergeCell ref="B12:F12"/>
    <mergeCell ref="J12:K12"/>
    <mergeCell ref="N12:O12"/>
    <mergeCell ref="B13:F13"/>
    <mergeCell ref="J13:K13"/>
    <mergeCell ref="N13:O13"/>
    <mergeCell ref="L9:L10"/>
    <mergeCell ref="M9:M10"/>
    <mergeCell ref="N9:O10"/>
    <mergeCell ref="B11:F11"/>
    <mergeCell ref="J11:K11"/>
    <mergeCell ref="N11:O11"/>
    <mergeCell ref="B16:F16"/>
    <mergeCell ref="J16:K16"/>
    <mergeCell ref="N16:O16"/>
    <mergeCell ref="B17:F17"/>
    <mergeCell ref="J17:K17"/>
    <mergeCell ref="N17:O17"/>
    <mergeCell ref="B14:F14"/>
    <mergeCell ref="J14:K14"/>
    <mergeCell ref="N14:O14"/>
    <mergeCell ref="B15:F15"/>
    <mergeCell ref="J15:K15"/>
    <mergeCell ref="N15:O15"/>
    <mergeCell ref="B20:F20"/>
    <mergeCell ref="J20:K20"/>
    <mergeCell ref="N20:O20"/>
    <mergeCell ref="B21:F21"/>
    <mergeCell ref="J21:K21"/>
    <mergeCell ref="N21:O21"/>
    <mergeCell ref="B18:F18"/>
    <mergeCell ref="J18:K18"/>
    <mergeCell ref="N18:O18"/>
    <mergeCell ref="B19:F19"/>
    <mergeCell ref="J19:K19"/>
    <mergeCell ref="N19:O19"/>
    <mergeCell ref="H24:M24"/>
    <mergeCell ref="N24:O24"/>
    <mergeCell ref="H25:M25"/>
    <mergeCell ref="N25:O25"/>
    <mergeCell ref="H26:M26"/>
    <mergeCell ref="N26:O26"/>
    <mergeCell ref="B22:F22"/>
    <mergeCell ref="J22:K22"/>
    <mergeCell ref="N22:O22"/>
    <mergeCell ref="B23:F23"/>
    <mergeCell ref="J23:K23"/>
    <mergeCell ref="N23:O23"/>
    <mergeCell ref="M34:M35"/>
    <mergeCell ref="N34:O35"/>
    <mergeCell ref="B36:G36"/>
    <mergeCell ref="J36:K36"/>
    <mergeCell ref="N36:O36"/>
    <mergeCell ref="B37:G37"/>
    <mergeCell ref="J37:K37"/>
    <mergeCell ref="N37:O37"/>
    <mergeCell ref="A28:O28"/>
    <mergeCell ref="A29:O29"/>
    <mergeCell ref="A30:O30"/>
    <mergeCell ref="B33:O33"/>
    <mergeCell ref="A34:A35"/>
    <mergeCell ref="B34:G35"/>
    <mergeCell ref="H34:H35"/>
    <mergeCell ref="I34:I35"/>
    <mergeCell ref="J34:K35"/>
    <mergeCell ref="L34:L35"/>
    <mergeCell ref="B40:G40"/>
    <mergeCell ref="J40:K40"/>
    <mergeCell ref="N40:O40"/>
    <mergeCell ref="B41:G41"/>
    <mergeCell ref="J41:K41"/>
    <mergeCell ref="N41:O41"/>
    <mergeCell ref="B38:G38"/>
    <mergeCell ref="J38:K38"/>
    <mergeCell ref="N38:O38"/>
    <mergeCell ref="B39:G39"/>
    <mergeCell ref="J39:K39"/>
    <mergeCell ref="N39:O39"/>
    <mergeCell ref="B44:G44"/>
    <mergeCell ref="J44:K44"/>
    <mergeCell ref="N44:O44"/>
    <mergeCell ref="B45:G45"/>
    <mergeCell ref="J45:K45"/>
    <mergeCell ref="N45:O45"/>
    <mergeCell ref="B42:G42"/>
    <mergeCell ref="J42:K42"/>
    <mergeCell ref="N42:O42"/>
    <mergeCell ref="B43:G43"/>
    <mergeCell ref="J43:K43"/>
    <mergeCell ref="N43:O43"/>
    <mergeCell ref="B48:G48"/>
    <mergeCell ref="J48:K48"/>
    <mergeCell ref="N48:O48"/>
    <mergeCell ref="B49:G49"/>
    <mergeCell ref="J49:K49"/>
    <mergeCell ref="N49:O49"/>
    <mergeCell ref="B46:G46"/>
    <mergeCell ref="J46:K46"/>
    <mergeCell ref="N46:O46"/>
    <mergeCell ref="B47:G47"/>
    <mergeCell ref="J47:K47"/>
    <mergeCell ref="N47:O47"/>
    <mergeCell ref="B54:F54"/>
    <mergeCell ref="B55:F55"/>
    <mergeCell ref="B56:F56"/>
    <mergeCell ref="H55:L55"/>
    <mergeCell ref="N55:O55"/>
    <mergeCell ref="H56:M56"/>
    <mergeCell ref="N56:O56"/>
    <mergeCell ref="B50:G50"/>
    <mergeCell ref="J50:K50"/>
    <mergeCell ref="N50:O50"/>
    <mergeCell ref="H52:M52"/>
    <mergeCell ref="N52:O52"/>
    <mergeCell ref="H54:M54"/>
    <mergeCell ref="N54:O54"/>
  </mergeCells>
  <conditionalFormatting sqref="M11:M23 M36:M50">
    <cfRule type="colorScale" priority="1">
      <colorScale>
        <cfvo type="min"/>
        <cfvo type="percentile" val="50"/>
        <cfvo type="max"/>
        <color rgb="FF63BE7B"/>
        <color rgb="FFFFEB84"/>
        <color rgb="FFF8696B"/>
      </colorScale>
    </cfRule>
  </conditionalFormatting>
  <pageMargins left="0.7" right="0.7" top="0.75" bottom="0.75" header="0.3" footer="0.3"/>
  <pageSetup paperSize="9" scale="7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53"/>
  <sheetViews>
    <sheetView view="pageBreakPreview" zoomScaleNormal="100" zoomScaleSheetLayoutView="100" workbookViewId="0">
      <selection activeCell="M52" sqref="M52:O52"/>
    </sheetView>
  </sheetViews>
  <sheetFormatPr baseColWidth="10" defaultRowHeight="12.75" x14ac:dyDescent="0.2"/>
  <sheetData>
    <row r="1" spans="1:15" x14ac:dyDescent="0.2">
      <c r="A1" s="895" t="str">
        <f>Indice!A1</f>
        <v>CONSTRUCCIÓN DEL SISTEMA DE ACUEDUCTO IDOLOS, EL TIGRE, MUNICIPIO DE ISNOS – DEPARTAMENTO DEL HUILA – FASE I.</v>
      </c>
      <c r="B1" s="736"/>
      <c r="C1" s="736"/>
      <c r="D1" s="736"/>
      <c r="E1" s="736"/>
      <c r="F1" s="736"/>
      <c r="G1" s="736"/>
      <c r="H1" s="736"/>
      <c r="I1" s="736"/>
      <c r="J1" s="737"/>
      <c r="K1" s="896" t="s">
        <v>0</v>
      </c>
      <c r="L1" s="726"/>
      <c r="M1" s="933">
        <f>N53</f>
        <v>47939638</v>
      </c>
      <c r="N1" s="736"/>
      <c r="O1" s="737"/>
    </row>
    <row r="2" spans="1:15" x14ac:dyDescent="0.2">
      <c r="A2" s="931"/>
      <c r="B2" s="468"/>
      <c r="C2" s="468"/>
      <c r="D2" s="468"/>
      <c r="E2" s="468"/>
      <c r="F2" s="468"/>
      <c r="G2" s="468"/>
      <c r="H2" s="468"/>
      <c r="I2" s="468"/>
      <c r="J2" s="932"/>
      <c r="K2" s="934">
        <f>Indice!I2</f>
        <v>45972</v>
      </c>
      <c r="L2" s="737"/>
      <c r="M2" s="931"/>
      <c r="N2" s="468"/>
      <c r="O2" s="932"/>
    </row>
    <row r="3" spans="1:15" x14ac:dyDescent="0.2">
      <c r="A3" s="738"/>
      <c r="B3" s="739"/>
      <c r="C3" s="739"/>
      <c r="D3" s="739"/>
      <c r="E3" s="739"/>
      <c r="F3" s="739"/>
      <c r="G3" s="739"/>
      <c r="H3" s="739"/>
      <c r="I3" s="739"/>
      <c r="J3" s="740"/>
      <c r="K3" s="738"/>
      <c r="L3" s="740"/>
      <c r="M3" s="738"/>
      <c r="N3" s="739"/>
      <c r="O3" s="740"/>
    </row>
    <row r="4" spans="1:15" ht="13.5" x14ac:dyDescent="0.25">
      <c r="A4" s="94"/>
      <c r="B4" s="94"/>
      <c r="C4" s="94"/>
      <c r="D4" s="94"/>
      <c r="E4" s="94"/>
      <c r="F4" s="94"/>
      <c r="G4" s="94"/>
      <c r="H4" s="94"/>
      <c r="I4" s="94"/>
      <c r="J4" s="94"/>
      <c r="K4" s="94"/>
      <c r="L4" s="94"/>
      <c r="M4" s="95"/>
      <c r="N4" s="96"/>
      <c r="O4" s="96"/>
    </row>
    <row r="5" spans="1:15" x14ac:dyDescent="0.2">
      <c r="A5" s="473" t="s">
        <v>1508</v>
      </c>
      <c r="B5" s="935"/>
      <c r="C5" s="935"/>
      <c r="D5" s="935"/>
      <c r="E5" s="935"/>
      <c r="F5" s="935"/>
      <c r="G5" s="935"/>
      <c r="H5" s="935"/>
      <c r="I5" s="935"/>
      <c r="J5" s="935"/>
      <c r="K5" s="935"/>
      <c r="L5" s="935"/>
      <c r="M5" s="935"/>
      <c r="N5" s="935"/>
      <c r="O5" s="936"/>
    </row>
    <row r="6" spans="1:15" x14ac:dyDescent="0.2">
      <c r="A6" s="937"/>
      <c r="B6" s="938"/>
      <c r="C6" s="938"/>
      <c r="D6" s="938"/>
      <c r="E6" s="938"/>
      <c r="F6" s="938"/>
      <c r="G6" s="938"/>
      <c r="H6" s="938"/>
      <c r="I6" s="938"/>
      <c r="J6" s="938"/>
      <c r="K6" s="938"/>
      <c r="L6" s="938"/>
      <c r="M6" s="938"/>
      <c r="N6" s="938"/>
      <c r="O6" s="939"/>
    </row>
    <row r="7" spans="1:15" ht="13.5" x14ac:dyDescent="0.25">
      <c r="A7" s="94"/>
      <c r="B7" s="94"/>
      <c r="C7" s="94"/>
      <c r="D7" s="94"/>
      <c r="E7" s="94"/>
      <c r="F7" s="94"/>
      <c r="G7" s="94"/>
      <c r="H7" s="94"/>
      <c r="I7" s="94"/>
      <c r="J7" s="94"/>
      <c r="K7" s="94"/>
      <c r="L7" s="94"/>
      <c r="M7" s="95"/>
      <c r="N7" s="96"/>
      <c r="O7" s="96"/>
    </row>
    <row r="8" spans="1:15" x14ac:dyDescent="0.2">
      <c r="A8" s="156" t="s">
        <v>179</v>
      </c>
      <c r="B8" s="918" t="s">
        <v>180</v>
      </c>
      <c r="C8" s="919"/>
      <c r="D8" s="919"/>
      <c r="E8" s="919"/>
      <c r="F8" s="919"/>
      <c r="G8" s="919"/>
      <c r="H8" s="919"/>
      <c r="I8" s="919"/>
      <c r="J8" s="919"/>
      <c r="K8" s="919"/>
      <c r="L8" s="919"/>
      <c r="M8" s="919"/>
      <c r="N8" s="919"/>
      <c r="O8" s="919"/>
    </row>
    <row r="9" spans="1:15" x14ac:dyDescent="0.2">
      <c r="A9" s="903" t="s">
        <v>181</v>
      </c>
      <c r="B9" s="905" t="s">
        <v>182</v>
      </c>
      <c r="C9" s="736"/>
      <c r="D9" s="736"/>
      <c r="E9" s="736"/>
      <c r="F9" s="737"/>
      <c r="G9" s="903" t="s">
        <v>183</v>
      </c>
      <c r="H9" s="903" t="s">
        <v>184</v>
      </c>
      <c r="I9" s="903" t="s">
        <v>185</v>
      </c>
      <c r="J9" s="905" t="s">
        <v>186</v>
      </c>
      <c r="K9" s="737"/>
      <c r="L9" s="903" t="s">
        <v>215</v>
      </c>
      <c r="M9" s="903" t="s">
        <v>188</v>
      </c>
      <c r="N9" s="905" t="s">
        <v>189</v>
      </c>
      <c r="O9" s="737"/>
    </row>
    <row r="10" spans="1:15" x14ac:dyDescent="0.2">
      <c r="A10" s="904"/>
      <c r="B10" s="738"/>
      <c r="C10" s="739"/>
      <c r="D10" s="739"/>
      <c r="E10" s="739"/>
      <c r="F10" s="740"/>
      <c r="G10" s="904"/>
      <c r="H10" s="904"/>
      <c r="I10" s="904"/>
      <c r="J10" s="738"/>
      <c r="K10" s="740"/>
      <c r="L10" s="904"/>
      <c r="M10" s="904"/>
      <c r="N10" s="738"/>
      <c r="O10" s="740"/>
    </row>
    <row r="11" spans="1:15" ht="13.5" x14ac:dyDescent="0.2">
      <c r="A11" s="110" t="s">
        <v>190</v>
      </c>
      <c r="B11" s="916" t="s">
        <v>191</v>
      </c>
      <c r="C11" s="725"/>
      <c r="D11" s="725"/>
      <c r="E11" s="725"/>
      <c r="F11" s="726"/>
      <c r="G11" s="157">
        <v>7</v>
      </c>
      <c r="H11" s="158">
        <v>0</v>
      </c>
      <c r="I11" s="159">
        <v>0.15</v>
      </c>
      <c r="J11" s="901">
        <f>G11*'04'!$A$9</f>
        <v>12256335</v>
      </c>
      <c r="K11" s="726"/>
      <c r="L11" s="158">
        <f>Indice!$F$54</f>
        <v>5</v>
      </c>
      <c r="M11" s="109">
        <f t="shared" ref="M11:M23" si="0">N11/$N$51</f>
        <v>0</v>
      </c>
      <c r="N11" s="901">
        <f t="shared" ref="N11:N23" si="1">L11*I11*J11*H11</f>
        <v>0</v>
      </c>
      <c r="O11" s="726"/>
    </row>
    <row r="12" spans="1:15" ht="13.5" x14ac:dyDescent="0.2">
      <c r="A12" s="110" t="s">
        <v>192</v>
      </c>
      <c r="B12" s="916" t="s">
        <v>193</v>
      </c>
      <c r="C12" s="725"/>
      <c r="D12" s="725"/>
      <c r="E12" s="725"/>
      <c r="F12" s="726"/>
      <c r="G12" s="157">
        <v>4.5</v>
      </c>
      <c r="H12" s="158">
        <v>0</v>
      </c>
      <c r="I12" s="159">
        <v>0.2</v>
      </c>
      <c r="J12" s="901">
        <f>G12*'04'!$A$9</f>
        <v>7879072.5</v>
      </c>
      <c r="K12" s="726"/>
      <c r="L12" s="158">
        <f>Indice!$F$54</f>
        <v>5</v>
      </c>
      <c r="M12" s="109">
        <f t="shared" si="0"/>
        <v>0</v>
      </c>
      <c r="N12" s="901">
        <f t="shared" si="1"/>
        <v>0</v>
      </c>
      <c r="O12" s="726"/>
    </row>
    <row r="13" spans="1:15" ht="13.5" x14ac:dyDescent="0.2">
      <c r="A13" s="110" t="s">
        <v>194</v>
      </c>
      <c r="B13" s="916" t="s">
        <v>195</v>
      </c>
      <c r="C13" s="725"/>
      <c r="D13" s="725"/>
      <c r="E13" s="725"/>
      <c r="F13" s="726"/>
      <c r="G13" s="157">
        <v>4.5</v>
      </c>
      <c r="H13" s="158">
        <v>0</v>
      </c>
      <c r="I13" s="159">
        <v>0.2</v>
      </c>
      <c r="J13" s="901">
        <f>G13*'04'!$A$9</f>
        <v>7879072.5</v>
      </c>
      <c r="K13" s="726"/>
      <c r="L13" s="158">
        <f>Indice!$F$54</f>
        <v>5</v>
      </c>
      <c r="M13" s="109">
        <f t="shared" si="0"/>
        <v>0</v>
      </c>
      <c r="N13" s="901">
        <f t="shared" si="1"/>
        <v>0</v>
      </c>
      <c r="O13" s="726"/>
    </row>
    <row r="14" spans="1:15" ht="13.5" x14ac:dyDescent="0.2">
      <c r="A14" s="110" t="s">
        <v>196</v>
      </c>
      <c r="B14" s="916" t="s">
        <v>197</v>
      </c>
      <c r="C14" s="725"/>
      <c r="D14" s="725"/>
      <c r="E14" s="725"/>
      <c r="F14" s="726"/>
      <c r="G14" s="157">
        <v>4.5</v>
      </c>
      <c r="H14" s="158">
        <v>0</v>
      </c>
      <c r="I14" s="159">
        <v>0.35</v>
      </c>
      <c r="J14" s="901">
        <f>G14*'04'!$A$9</f>
        <v>7879072.5</v>
      </c>
      <c r="K14" s="726"/>
      <c r="L14" s="158">
        <f>Indice!$F$54</f>
        <v>5</v>
      </c>
      <c r="M14" s="109">
        <f t="shared" si="0"/>
        <v>0</v>
      </c>
      <c r="N14" s="901">
        <f t="shared" si="1"/>
        <v>0</v>
      </c>
      <c r="O14" s="726"/>
    </row>
    <row r="15" spans="1:15" ht="13.5" x14ac:dyDescent="0.2">
      <c r="A15" s="110" t="s">
        <v>198</v>
      </c>
      <c r="B15" s="916" t="s">
        <v>1509</v>
      </c>
      <c r="C15" s="725"/>
      <c r="D15" s="725"/>
      <c r="E15" s="725"/>
      <c r="F15" s="726"/>
      <c r="G15" s="157">
        <v>2.5</v>
      </c>
      <c r="H15" s="158">
        <v>1</v>
      </c>
      <c r="I15" s="159">
        <v>0.25</v>
      </c>
      <c r="J15" s="901">
        <f>G15*'04'!$A$9</f>
        <v>4377262.5</v>
      </c>
      <c r="K15" s="726"/>
      <c r="L15" s="158">
        <f>Indice!$F$54</f>
        <v>5</v>
      </c>
      <c r="M15" s="109">
        <f t="shared" si="0"/>
        <v>0.12743143935941947</v>
      </c>
      <c r="N15" s="901">
        <f t="shared" si="1"/>
        <v>5471578.125</v>
      </c>
      <c r="O15" s="726"/>
    </row>
    <row r="16" spans="1:15" ht="13.5" x14ac:dyDescent="0.2">
      <c r="A16" s="110" t="s">
        <v>200</v>
      </c>
      <c r="B16" s="916" t="s">
        <v>201</v>
      </c>
      <c r="C16" s="725"/>
      <c r="D16" s="725"/>
      <c r="E16" s="725"/>
      <c r="F16" s="726"/>
      <c r="G16" s="157">
        <v>3</v>
      </c>
      <c r="H16" s="158">
        <v>0</v>
      </c>
      <c r="I16" s="159">
        <v>0.35</v>
      </c>
      <c r="J16" s="901">
        <f>G16*'04'!$A$9</f>
        <v>5252715</v>
      </c>
      <c r="K16" s="726"/>
      <c r="L16" s="158">
        <f>Indice!$F$54</f>
        <v>5</v>
      </c>
      <c r="M16" s="109">
        <f t="shared" si="0"/>
        <v>0</v>
      </c>
      <c r="N16" s="901">
        <f t="shared" si="1"/>
        <v>0</v>
      </c>
      <c r="O16" s="726"/>
    </row>
    <row r="17" spans="1:15" ht="13.5" x14ac:dyDescent="0.2">
      <c r="A17" s="110" t="s">
        <v>202</v>
      </c>
      <c r="B17" s="916" t="s">
        <v>203</v>
      </c>
      <c r="C17" s="725"/>
      <c r="D17" s="725"/>
      <c r="E17" s="725"/>
      <c r="F17" s="726"/>
      <c r="G17" s="157">
        <v>3</v>
      </c>
      <c r="H17" s="158">
        <v>0</v>
      </c>
      <c r="I17" s="159">
        <v>0.3</v>
      </c>
      <c r="J17" s="901">
        <f>G17*'04'!$A$9</f>
        <v>5252715</v>
      </c>
      <c r="K17" s="726"/>
      <c r="L17" s="158">
        <f>Indice!$F$54</f>
        <v>5</v>
      </c>
      <c r="M17" s="109">
        <f t="shared" si="0"/>
        <v>0</v>
      </c>
      <c r="N17" s="901">
        <f t="shared" si="1"/>
        <v>0</v>
      </c>
      <c r="O17" s="726"/>
    </row>
    <row r="18" spans="1:15" ht="13.5" x14ac:dyDescent="0.2">
      <c r="A18" s="110" t="s">
        <v>204</v>
      </c>
      <c r="B18" s="916" t="s">
        <v>205</v>
      </c>
      <c r="C18" s="725"/>
      <c r="D18" s="725"/>
      <c r="E18" s="725"/>
      <c r="F18" s="726"/>
      <c r="G18" s="157">
        <v>2.5</v>
      </c>
      <c r="H18" s="158">
        <v>0</v>
      </c>
      <c r="I18" s="159">
        <v>0.3</v>
      </c>
      <c r="J18" s="901">
        <f>G18*'04'!$A$9</f>
        <v>4377262.5</v>
      </c>
      <c r="K18" s="726"/>
      <c r="L18" s="158">
        <f>Indice!$F$54</f>
        <v>5</v>
      </c>
      <c r="M18" s="109">
        <f t="shared" si="0"/>
        <v>0</v>
      </c>
      <c r="N18" s="901">
        <f t="shared" si="1"/>
        <v>0</v>
      </c>
      <c r="O18" s="726"/>
    </row>
    <row r="19" spans="1:15" ht="13.5" x14ac:dyDescent="0.2">
      <c r="A19" s="110" t="s">
        <v>206</v>
      </c>
      <c r="B19" s="916" t="s">
        <v>1484</v>
      </c>
      <c r="C19" s="725"/>
      <c r="D19" s="725"/>
      <c r="E19" s="725"/>
      <c r="F19" s="726"/>
      <c r="G19" s="157">
        <v>2.5</v>
      </c>
      <c r="H19" s="158">
        <v>0</v>
      </c>
      <c r="I19" s="159">
        <v>0.3</v>
      </c>
      <c r="J19" s="901">
        <f>G19*'04'!$A$9</f>
        <v>4377262.5</v>
      </c>
      <c r="K19" s="726"/>
      <c r="L19" s="158">
        <f>Indice!$F$54</f>
        <v>5</v>
      </c>
      <c r="M19" s="109">
        <f t="shared" si="0"/>
        <v>0</v>
      </c>
      <c r="N19" s="901">
        <f t="shared" si="1"/>
        <v>0</v>
      </c>
      <c r="O19" s="726"/>
    </row>
    <row r="20" spans="1:15" ht="13.5" x14ac:dyDescent="0.2">
      <c r="A20" s="110" t="s">
        <v>207</v>
      </c>
      <c r="B20" s="916" t="s">
        <v>208</v>
      </c>
      <c r="C20" s="725"/>
      <c r="D20" s="725"/>
      <c r="E20" s="725"/>
      <c r="F20" s="726"/>
      <c r="G20" s="157">
        <v>2.5</v>
      </c>
      <c r="H20" s="158">
        <v>0</v>
      </c>
      <c r="I20" s="159">
        <v>0.75</v>
      </c>
      <c r="J20" s="901">
        <f>G20*'04'!$A$9</f>
        <v>4377262.5</v>
      </c>
      <c r="K20" s="726"/>
      <c r="L20" s="158">
        <f>Indice!$F$54</f>
        <v>5</v>
      </c>
      <c r="M20" s="109">
        <f t="shared" si="0"/>
        <v>0</v>
      </c>
      <c r="N20" s="901">
        <f t="shared" si="1"/>
        <v>0</v>
      </c>
      <c r="O20" s="726"/>
    </row>
    <row r="21" spans="1:15" ht="13.5" x14ac:dyDescent="0.2">
      <c r="A21" s="110" t="s">
        <v>1485</v>
      </c>
      <c r="B21" s="916" t="s">
        <v>1486</v>
      </c>
      <c r="C21" s="725"/>
      <c r="D21" s="725"/>
      <c r="E21" s="725"/>
      <c r="F21" s="726"/>
      <c r="G21" s="157">
        <v>2.5</v>
      </c>
      <c r="H21" s="158">
        <v>0</v>
      </c>
      <c r="I21" s="159">
        <v>0.2</v>
      </c>
      <c r="J21" s="901">
        <f>G21*'04'!$A$9</f>
        <v>4377262.5</v>
      </c>
      <c r="K21" s="726"/>
      <c r="L21" s="158">
        <f>Indice!$F$54</f>
        <v>5</v>
      </c>
      <c r="M21" s="109">
        <f t="shared" si="0"/>
        <v>0</v>
      </c>
      <c r="N21" s="901">
        <f t="shared" si="1"/>
        <v>0</v>
      </c>
      <c r="O21" s="726"/>
    </row>
    <row r="22" spans="1:15" ht="13.5" x14ac:dyDescent="0.2">
      <c r="A22" s="110" t="s">
        <v>1487</v>
      </c>
      <c r="B22" s="916" t="s">
        <v>1510</v>
      </c>
      <c r="C22" s="725"/>
      <c r="D22" s="725"/>
      <c r="E22" s="725"/>
      <c r="F22" s="726"/>
      <c r="G22" s="157">
        <v>1</v>
      </c>
      <c r="H22" s="158">
        <v>1</v>
      </c>
      <c r="I22" s="159">
        <v>1</v>
      </c>
      <c r="J22" s="901">
        <f>G22*'04'!$A$9</f>
        <v>1750905</v>
      </c>
      <c r="K22" s="726"/>
      <c r="L22" s="158">
        <f>Indice!$F$54</f>
        <v>5</v>
      </c>
      <c r="M22" s="109">
        <f t="shared" si="0"/>
        <v>0.20389030297507113</v>
      </c>
      <c r="N22" s="901">
        <f t="shared" si="1"/>
        <v>8754525</v>
      </c>
      <c r="O22" s="726"/>
    </row>
    <row r="23" spans="1:15" ht="13.5" x14ac:dyDescent="0.2">
      <c r="A23" s="110" t="s">
        <v>1489</v>
      </c>
      <c r="B23" s="916" t="s">
        <v>209</v>
      </c>
      <c r="C23" s="725"/>
      <c r="D23" s="725"/>
      <c r="E23" s="725"/>
      <c r="F23" s="726"/>
      <c r="G23" s="157">
        <v>1</v>
      </c>
      <c r="H23" s="158">
        <v>0</v>
      </c>
      <c r="I23" s="159">
        <v>1</v>
      </c>
      <c r="J23" s="901">
        <f>G23*'04'!$A$9</f>
        <v>1750905</v>
      </c>
      <c r="K23" s="726"/>
      <c r="L23" s="158">
        <f>Indice!$F$54</f>
        <v>5</v>
      </c>
      <c r="M23" s="109">
        <f t="shared" si="0"/>
        <v>0</v>
      </c>
      <c r="N23" s="901">
        <f t="shared" si="1"/>
        <v>0</v>
      </c>
      <c r="O23" s="726"/>
    </row>
    <row r="24" spans="1:15" ht="13.5" x14ac:dyDescent="0.2">
      <c r="A24" s="105"/>
      <c r="B24" s="105"/>
      <c r="C24" s="105"/>
      <c r="D24" s="105"/>
      <c r="E24" s="105"/>
      <c r="F24" s="105"/>
      <c r="G24" s="105"/>
      <c r="H24" s="899" t="s">
        <v>210</v>
      </c>
      <c r="I24" s="725"/>
      <c r="J24" s="725"/>
      <c r="K24" s="725"/>
      <c r="L24" s="725"/>
      <c r="M24" s="726"/>
      <c r="N24" s="901">
        <f>SUM(N11:N23)</f>
        <v>14226103.125</v>
      </c>
      <c r="O24" s="726"/>
    </row>
    <row r="25" spans="1:15" ht="13.5" x14ac:dyDescent="0.2">
      <c r="A25" s="105"/>
      <c r="B25" s="105"/>
      <c r="C25" s="105"/>
      <c r="D25" s="105"/>
      <c r="E25" s="105"/>
      <c r="F25" s="105"/>
      <c r="G25" s="105"/>
      <c r="H25" s="899" t="s">
        <v>31</v>
      </c>
      <c r="I25" s="725"/>
      <c r="J25" s="725"/>
      <c r="K25" s="725"/>
      <c r="L25" s="725"/>
      <c r="M25" s="726"/>
      <c r="N25" s="915">
        <f>'04'!H2</f>
        <v>2.2000000000000002</v>
      </c>
      <c r="O25" s="726"/>
    </row>
    <row r="26" spans="1:15" ht="13.5" x14ac:dyDescent="0.2">
      <c r="A26" s="105"/>
      <c r="B26" s="105"/>
      <c r="C26" s="105"/>
      <c r="D26" s="105"/>
      <c r="E26" s="105"/>
      <c r="F26" s="105"/>
      <c r="G26" s="105"/>
      <c r="H26" s="899" t="s">
        <v>212</v>
      </c>
      <c r="I26" s="725"/>
      <c r="J26" s="725"/>
      <c r="K26" s="725"/>
      <c r="L26" s="725"/>
      <c r="M26" s="726"/>
      <c r="N26" s="901">
        <f>+N24*N25</f>
        <v>31297426.875000004</v>
      </c>
      <c r="O26" s="726"/>
    </row>
    <row r="27" spans="1:15" ht="13.5" x14ac:dyDescent="0.2">
      <c r="A27" s="105"/>
      <c r="B27" s="105"/>
      <c r="C27" s="105"/>
      <c r="D27" s="105"/>
      <c r="E27" s="105"/>
      <c r="F27" s="105"/>
      <c r="G27" s="105"/>
      <c r="H27" s="172"/>
      <c r="I27" s="173"/>
      <c r="J27" s="173"/>
      <c r="K27" s="173"/>
      <c r="L27" s="173"/>
      <c r="M27" s="173"/>
      <c r="N27" s="174"/>
      <c r="O27" s="173"/>
    </row>
    <row r="28" spans="1:15" ht="13.5" x14ac:dyDescent="0.2">
      <c r="A28" s="945" t="s">
        <v>1511</v>
      </c>
      <c r="B28" s="945"/>
      <c r="C28" s="945"/>
      <c r="D28" s="945"/>
      <c r="E28" s="945"/>
      <c r="F28" s="945"/>
      <c r="G28" s="945"/>
      <c r="H28" s="945"/>
      <c r="I28" s="945"/>
      <c r="J28" s="945"/>
      <c r="K28" s="945"/>
      <c r="L28" s="945"/>
      <c r="M28" s="945"/>
      <c r="N28" s="945"/>
      <c r="O28" s="945"/>
    </row>
    <row r="29" spans="1:15" ht="13.5" x14ac:dyDescent="0.2">
      <c r="A29" s="945" t="s">
        <v>1512</v>
      </c>
      <c r="B29" s="945"/>
      <c r="C29" s="945"/>
      <c r="D29" s="945"/>
      <c r="E29" s="945"/>
      <c r="F29" s="945"/>
      <c r="G29" s="945"/>
      <c r="H29" s="945"/>
      <c r="I29" s="945"/>
      <c r="J29" s="945"/>
      <c r="K29" s="945"/>
      <c r="L29" s="945"/>
      <c r="M29" s="945"/>
      <c r="N29" s="945"/>
      <c r="O29" s="945"/>
    </row>
    <row r="30" spans="1:15" ht="13.5" x14ac:dyDescent="0.2">
      <c r="A30" s="105"/>
      <c r="B30" s="105"/>
      <c r="C30" s="105"/>
      <c r="D30" s="105"/>
      <c r="E30" s="105"/>
      <c r="F30" s="105"/>
      <c r="G30" s="105"/>
      <c r="H30" s="172"/>
      <c r="I30" s="173"/>
      <c r="J30" s="173"/>
      <c r="K30" s="173"/>
      <c r="L30" s="173"/>
      <c r="M30" s="173"/>
      <c r="N30" s="174"/>
      <c r="O30" s="173"/>
    </row>
    <row r="31" spans="1:15" ht="13.5" x14ac:dyDescent="0.2">
      <c r="A31" s="161"/>
      <c r="B31" s="162"/>
      <c r="C31" s="162"/>
      <c r="D31" s="162"/>
      <c r="E31" s="162"/>
      <c r="F31" s="162"/>
      <c r="G31" s="163"/>
      <c r="H31" s="163"/>
      <c r="I31" s="163"/>
      <c r="J31" s="163"/>
      <c r="K31" s="163"/>
      <c r="L31" s="163"/>
      <c r="M31" s="163"/>
      <c r="N31" s="163"/>
      <c r="O31" s="163"/>
    </row>
    <row r="32" spans="1:15" x14ac:dyDescent="0.2">
      <c r="A32" s="164" t="s">
        <v>213</v>
      </c>
      <c r="B32" s="902" t="s">
        <v>214</v>
      </c>
      <c r="C32" s="725"/>
      <c r="D32" s="725"/>
      <c r="E32" s="725"/>
      <c r="F32" s="725"/>
      <c r="G32" s="725"/>
      <c r="H32" s="725"/>
      <c r="I32" s="725"/>
      <c r="J32" s="725"/>
      <c r="K32" s="725"/>
      <c r="L32" s="725"/>
      <c r="M32" s="725"/>
      <c r="N32" s="725"/>
      <c r="O32" s="726"/>
    </row>
    <row r="33" spans="1:15" x14ac:dyDescent="0.2">
      <c r="A33" s="905"/>
      <c r="B33" s="905" t="s">
        <v>39</v>
      </c>
      <c r="C33" s="736"/>
      <c r="D33" s="736"/>
      <c r="E33" s="736"/>
      <c r="F33" s="736"/>
      <c r="G33" s="737"/>
      <c r="H33" s="903" t="s">
        <v>40</v>
      </c>
      <c r="I33" s="903" t="s">
        <v>184</v>
      </c>
      <c r="J33" s="905" t="s">
        <v>186</v>
      </c>
      <c r="K33" s="737"/>
      <c r="L33" s="903" t="s">
        <v>215</v>
      </c>
      <c r="M33" s="903" t="s">
        <v>188</v>
      </c>
      <c r="N33" s="905" t="s">
        <v>189</v>
      </c>
      <c r="O33" s="737"/>
    </row>
    <row r="34" spans="1:15" x14ac:dyDescent="0.2">
      <c r="A34" s="738"/>
      <c r="B34" s="738"/>
      <c r="C34" s="739"/>
      <c r="D34" s="739"/>
      <c r="E34" s="739"/>
      <c r="F34" s="739"/>
      <c r="G34" s="740"/>
      <c r="H34" s="904"/>
      <c r="I34" s="904"/>
      <c r="J34" s="738"/>
      <c r="K34" s="740"/>
      <c r="L34" s="904"/>
      <c r="M34" s="904"/>
      <c r="N34" s="738"/>
      <c r="O34" s="740"/>
    </row>
    <row r="35" spans="1:15" ht="13.5" x14ac:dyDescent="0.2">
      <c r="A35" s="170" t="s">
        <v>216</v>
      </c>
      <c r="B35" s="900" t="s">
        <v>217</v>
      </c>
      <c r="C35" s="725"/>
      <c r="D35" s="725"/>
      <c r="E35" s="725"/>
      <c r="F35" s="725"/>
      <c r="G35" s="726"/>
      <c r="H35" s="165" t="s">
        <v>218</v>
      </c>
      <c r="I35" s="104">
        <v>0</v>
      </c>
      <c r="J35" s="901">
        <v>550000</v>
      </c>
      <c r="K35" s="726"/>
      <c r="L35" s="158">
        <f>Indice!$F$54</f>
        <v>5</v>
      </c>
      <c r="M35" s="109">
        <f t="shared" ref="M35:M47" si="2">N35/$N$51</f>
        <v>0</v>
      </c>
      <c r="N35" s="901">
        <f>J35*I35*L35</f>
        <v>0</v>
      </c>
      <c r="O35" s="726"/>
    </row>
    <row r="36" spans="1:15" ht="13.5" x14ac:dyDescent="0.2">
      <c r="A36" s="170" t="s">
        <v>219</v>
      </c>
      <c r="B36" s="900" t="s">
        <v>220</v>
      </c>
      <c r="C36" s="725"/>
      <c r="D36" s="725"/>
      <c r="E36" s="725"/>
      <c r="F36" s="725"/>
      <c r="G36" s="726"/>
      <c r="H36" s="165" t="s">
        <v>218</v>
      </c>
      <c r="I36" s="104">
        <v>0</v>
      </c>
      <c r="J36" s="901">
        <v>300000</v>
      </c>
      <c r="K36" s="726"/>
      <c r="L36" s="158">
        <f>Indice!$F$54</f>
        <v>5</v>
      </c>
      <c r="M36" s="109">
        <f t="shared" si="2"/>
        <v>0</v>
      </c>
      <c r="N36" s="901">
        <f>J36*I36*L36</f>
        <v>0</v>
      </c>
      <c r="O36" s="726"/>
    </row>
    <row r="37" spans="1:15" ht="13.5" x14ac:dyDescent="0.2">
      <c r="A37" s="170" t="s">
        <v>221</v>
      </c>
      <c r="B37" s="900" t="s">
        <v>222</v>
      </c>
      <c r="C37" s="725"/>
      <c r="D37" s="725"/>
      <c r="E37" s="725"/>
      <c r="F37" s="725"/>
      <c r="G37" s="726"/>
      <c r="H37" s="165" t="s">
        <v>218</v>
      </c>
      <c r="I37" s="104">
        <v>0</v>
      </c>
      <c r="J37" s="901">
        <v>400000</v>
      </c>
      <c r="K37" s="726"/>
      <c r="L37" s="158">
        <f>Indice!$F$54</f>
        <v>5</v>
      </c>
      <c r="M37" s="109">
        <f t="shared" si="2"/>
        <v>0</v>
      </c>
      <c r="N37" s="901">
        <f>J37*I37*L37</f>
        <v>0</v>
      </c>
      <c r="O37" s="726"/>
    </row>
    <row r="38" spans="1:15" ht="13.5" x14ac:dyDescent="0.2">
      <c r="A38" s="170" t="s">
        <v>223</v>
      </c>
      <c r="B38" s="900" t="s">
        <v>224</v>
      </c>
      <c r="C38" s="725"/>
      <c r="D38" s="725"/>
      <c r="E38" s="725"/>
      <c r="F38" s="725"/>
      <c r="G38" s="726"/>
      <c r="H38" s="165" t="s">
        <v>218</v>
      </c>
      <c r="I38" s="104">
        <v>0</v>
      </c>
      <c r="J38" s="901">
        <v>7500000</v>
      </c>
      <c r="K38" s="726"/>
      <c r="L38" s="158">
        <f>Indice!$F$54</f>
        <v>5</v>
      </c>
      <c r="M38" s="109">
        <f t="shared" si="2"/>
        <v>0</v>
      </c>
      <c r="N38" s="901">
        <f>J38*I38*L38</f>
        <v>0</v>
      </c>
      <c r="O38" s="726"/>
    </row>
    <row r="39" spans="1:15" ht="13.5" x14ac:dyDescent="0.2">
      <c r="A39" s="170" t="s">
        <v>225</v>
      </c>
      <c r="B39" s="900" t="s">
        <v>226</v>
      </c>
      <c r="C39" s="725"/>
      <c r="D39" s="725"/>
      <c r="E39" s="725"/>
      <c r="F39" s="725"/>
      <c r="G39" s="726"/>
      <c r="H39" s="165" t="s">
        <v>218</v>
      </c>
      <c r="I39" s="104">
        <v>0</v>
      </c>
      <c r="J39" s="901">
        <v>1500000</v>
      </c>
      <c r="K39" s="726"/>
      <c r="L39" s="158">
        <f>Indice!$F$54</f>
        <v>5</v>
      </c>
      <c r="M39" s="109">
        <f t="shared" si="2"/>
        <v>0</v>
      </c>
      <c r="N39" s="901">
        <f>J39*I39*L39</f>
        <v>0</v>
      </c>
      <c r="O39" s="726"/>
    </row>
    <row r="40" spans="1:15" ht="13.5" x14ac:dyDescent="0.2">
      <c r="A40" s="170" t="s">
        <v>227</v>
      </c>
      <c r="B40" s="900" t="s">
        <v>1494</v>
      </c>
      <c r="C40" s="725"/>
      <c r="D40" s="725"/>
      <c r="E40" s="725"/>
      <c r="F40" s="725"/>
      <c r="G40" s="726"/>
      <c r="H40" s="165" t="s">
        <v>218</v>
      </c>
      <c r="I40" s="104">
        <v>0</v>
      </c>
      <c r="J40" s="901">
        <v>2000000</v>
      </c>
      <c r="K40" s="726"/>
      <c r="L40" s="158">
        <v>1</v>
      </c>
      <c r="M40" s="109">
        <f t="shared" si="2"/>
        <v>0</v>
      </c>
      <c r="N40" s="901">
        <f>J40*L40*I40</f>
        <v>0</v>
      </c>
      <c r="O40" s="726"/>
    </row>
    <row r="41" spans="1:15" ht="13.5" x14ac:dyDescent="0.2">
      <c r="A41" s="170" t="s">
        <v>228</v>
      </c>
      <c r="B41" s="900" t="s">
        <v>229</v>
      </c>
      <c r="C41" s="725"/>
      <c r="D41" s="725"/>
      <c r="E41" s="725"/>
      <c r="F41" s="725"/>
      <c r="G41" s="726"/>
      <c r="H41" s="165" t="s">
        <v>218</v>
      </c>
      <c r="I41" s="104">
        <v>0</v>
      </c>
      <c r="J41" s="901">
        <v>1600000</v>
      </c>
      <c r="K41" s="726"/>
      <c r="L41" s="158">
        <f>Indice!$F$54</f>
        <v>5</v>
      </c>
      <c r="M41" s="109">
        <f t="shared" si="2"/>
        <v>0</v>
      </c>
      <c r="N41" s="901">
        <f>J41*L41*I41</f>
        <v>0</v>
      </c>
      <c r="O41" s="726"/>
    </row>
    <row r="42" spans="1:15" ht="13.5" x14ac:dyDescent="0.2">
      <c r="A42" s="170" t="s">
        <v>230</v>
      </c>
      <c r="B42" s="900" t="s">
        <v>231</v>
      </c>
      <c r="C42" s="725"/>
      <c r="D42" s="725"/>
      <c r="E42" s="725"/>
      <c r="F42" s="725"/>
      <c r="G42" s="726"/>
      <c r="H42" s="165" t="s">
        <v>218</v>
      </c>
      <c r="I42" s="104">
        <v>0</v>
      </c>
      <c r="J42" s="901">
        <v>2450000</v>
      </c>
      <c r="K42" s="726"/>
      <c r="L42" s="158">
        <f>Indice!$F$54</f>
        <v>5</v>
      </c>
      <c r="M42" s="109">
        <f t="shared" si="2"/>
        <v>0</v>
      </c>
      <c r="N42" s="901">
        <f>J42*L42*I42</f>
        <v>0</v>
      </c>
      <c r="O42" s="726"/>
    </row>
    <row r="43" spans="1:15" ht="13.5" x14ac:dyDescent="0.2">
      <c r="A43" s="170" t="s">
        <v>1496</v>
      </c>
      <c r="B43" s="900" t="s">
        <v>1513</v>
      </c>
      <c r="C43" s="725"/>
      <c r="D43" s="725"/>
      <c r="E43" s="725"/>
      <c r="F43" s="725"/>
      <c r="G43" s="726"/>
      <c r="H43" s="165" t="s">
        <v>1514</v>
      </c>
      <c r="I43" s="175">
        <v>6</v>
      </c>
      <c r="J43" s="943">
        <f>250000*1.75</f>
        <v>437500</v>
      </c>
      <c r="K43" s="944"/>
      <c r="L43" s="158">
        <f>Indice!$F$54</f>
        <v>5</v>
      </c>
      <c r="M43" s="109">
        <f t="shared" si="2"/>
        <v>6.1135475118245908E-2</v>
      </c>
      <c r="N43" s="901">
        <f>J43*I43</f>
        <v>2625000</v>
      </c>
      <c r="O43" s="726"/>
    </row>
    <row r="44" spans="1:15" ht="13.5" x14ac:dyDescent="0.2">
      <c r="A44" s="170" t="s">
        <v>1498</v>
      </c>
      <c r="B44" s="900" t="s">
        <v>1515</v>
      </c>
      <c r="C44" s="725"/>
      <c r="D44" s="725"/>
      <c r="E44" s="725"/>
      <c r="F44" s="725"/>
      <c r="G44" s="726"/>
      <c r="H44" s="165" t="s">
        <v>40</v>
      </c>
      <c r="I44" s="175">
        <f>2*I43</f>
        <v>12</v>
      </c>
      <c r="J44" s="943">
        <f>100000*1.75</f>
        <v>175000</v>
      </c>
      <c r="K44" s="944"/>
      <c r="L44" s="158">
        <f>Indice!$F$54</f>
        <v>5</v>
      </c>
      <c r="M44" s="109">
        <f t="shared" si="2"/>
        <v>4.8908380094596728E-2</v>
      </c>
      <c r="N44" s="901">
        <f>J44*I44</f>
        <v>2100000</v>
      </c>
      <c r="O44" s="726"/>
    </row>
    <row r="45" spans="1:15" ht="13.5" x14ac:dyDescent="0.2">
      <c r="A45" s="170" t="s">
        <v>1500</v>
      </c>
      <c r="B45" s="900" t="s">
        <v>1516</v>
      </c>
      <c r="C45" s="725"/>
      <c r="D45" s="725"/>
      <c r="E45" s="725"/>
      <c r="F45" s="725"/>
      <c r="G45" s="726"/>
      <c r="H45" s="165" t="s">
        <v>40</v>
      </c>
      <c r="I45" s="175">
        <f>+I44</f>
        <v>12</v>
      </c>
      <c r="J45" s="943">
        <f>150000*1.75</f>
        <v>262500</v>
      </c>
      <c r="K45" s="944"/>
      <c r="L45" s="158">
        <f>Indice!$F$54</f>
        <v>5</v>
      </c>
      <c r="M45" s="109">
        <f t="shared" si="2"/>
        <v>7.3362570141895095E-2</v>
      </c>
      <c r="N45" s="901">
        <f>J45*I45</f>
        <v>3150000</v>
      </c>
      <c r="O45" s="726"/>
    </row>
    <row r="46" spans="1:15" ht="13.5" x14ac:dyDescent="0.2">
      <c r="A46" s="170" t="s">
        <v>1502</v>
      </c>
      <c r="B46" s="900" t="s">
        <v>1517</v>
      </c>
      <c r="C46" s="725"/>
      <c r="D46" s="725"/>
      <c r="E46" s="725"/>
      <c r="F46" s="725"/>
      <c r="G46" s="726"/>
      <c r="H46" s="165" t="s">
        <v>40</v>
      </c>
      <c r="I46" s="104">
        <v>6</v>
      </c>
      <c r="J46" s="901">
        <v>452500</v>
      </c>
      <c r="K46" s="726"/>
      <c r="L46" s="158">
        <f>Indice!$F$54</f>
        <v>5</v>
      </c>
      <c r="M46" s="109">
        <f t="shared" si="2"/>
        <v>6.3231548550871486E-2</v>
      </c>
      <c r="N46" s="901">
        <f>J46*I46</f>
        <v>2715000</v>
      </c>
      <c r="O46" s="726"/>
    </row>
    <row r="47" spans="1:15" ht="13.5" x14ac:dyDescent="0.2">
      <c r="A47" s="170" t="s">
        <v>1504</v>
      </c>
      <c r="B47" s="900" t="s">
        <v>1518</v>
      </c>
      <c r="C47" s="725"/>
      <c r="D47" s="725"/>
      <c r="E47" s="725"/>
      <c r="F47" s="725"/>
      <c r="G47" s="726"/>
      <c r="H47" s="165" t="s">
        <v>1514</v>
      </c>
      <c r="I47" s="104">
        <v>2</v>
      </c>
      <c r="J47" s="901">
        <v>525000</v>
      </c>
      <c r="K47" s="726"/>
      <c r="L47" s="158">
        <f>Indice!$F$54</f>
        <v>5</v>
      </c>
      <c r="M47" s="109">
        <f t="shared" si="2"/>
        <v>2.4454190047298364E-2</v>
      </c>
      <c r="N47" s="901">
        <f>J47*I47</f>
        <v>1050000</v>
      </c>
      <c r="O47" s="726"/>
    </row>
    <row r="49" spans="1:15" ht="13.5" x14ac:dyDescent="0.2">
      <c r="A49" s="105"/>
      <c r="G49" s="105"/>
      <c r="H49" s="899" t="s">
        <v>232</v>
      </c>
      <c r="I49" s="725"/>
      <c r="J49" s="725"/>
      <c r="K49" s="725"/>
      <c r="L49" s="725"/>
      <c r="M49" s="726"/>
      <c r="N49" s="901">
        <f>SUM(N35:N47)</f>
        <v>11640000</v>
      </c>
      <c r="O49" s="726"/>
    </row>
    <row r="50" spans="1:15" ht="14.25" thickBot="1" x14ac:dyDescent="0.3">
      <c r="A50" s="161"/>
      <c r="B50" s="190"/>
      <c r="C50" s="190"/>
      <c r="D50" s="132"/>
      <c r="E50" s="132"/>
      <c r="F50" s="132"/>
      <c r="H50" s="163"/>
      <c r="I50" s="163"/>
      <c r="J50" s="163"/>
      <c r="K50" s="163"/>
      <c r="L50" s="163"/>
      <c r="M50" s="163"/>
      <c r="N50" s="163"/>
      <c r="O50" s="163"/>
    </row>
    <row r="51" spans="1:15" ht="14.25" thickTop="1" x14ac:dyDescent="0.2">
      <c r="A51" s="153"/>
      <c r="B51" s="429" t="s">
        <v>1126</v>
      </c>
      <c r="C51" s="429"/>
      <c r="D51" s="429"/>
      <c r="E51" s="429"/>
      <c r="F51" s="429"/>
      <c r="H51" s="899" t="s">
        <v>250</v>
      </c>
      <c r="I51" s="725"/>
      <c r="J51" s="725"/>
      <c r="K51" s="725"/>
      <c r="L51" s="725"/>
      <c r="M51" s="725"/>
      <c r="N51" s="922">
        <f>ROUNDUP(N26+N49,0)</f>
        <v>42937427</v>
      </c>
      <c r="O51" s="726"/>
    </row>
    <row r="52" spans="1:15" ht="13.5" x14ac:dyDescent="0.25">
      <c r="A52" s="153"/>
      <c r="B52" s="406" t="s">
        <v>1127</v>
      </c>
      <c r="C52" s="406"/>
      <c r="D52" s="406"/>
      <c r="E52" s="406"/>
      <c r="F52" s="406"/>
      <c r="H52" s="899" t="s">
        <v>172</v>
      </c>
      <c r="I52" s="940"/>
      <c r="J52" s="940"/>
      <c r="K52" s="940"/>
      <c r="L52" s="940"/>
      <c r="M52" s="330">
        <v>0.11650000000000001</v>
      </c>
      <c r="N52" s="941">
        <f>N51*M52</f>
        <v>5002210.2455000002</v>
      </c>
      <c r="O52" s="942"/>
    </row>
    <row r="53" spans="1:15" ht="13.5" x14ac:dyDescent="0.25">
      <c r="A53" s="153"/>
      <c r="B53" s="406" t="s">
        <v>1123</v>
      </c>
      <c r="C53" s="406"/>
      <c r="D53" s="406"/>
      <c r="E53" s="406"/>
      <c r="F53" s="406"/>
      <c r="H53" s="899" t="s">
        <v>250</v>
      </c>
      <c r="I53" s="725"/>
      <c r="J53" s="725"/>
      <c r="K53" s="725"/>
      <c r="L53" s="725"/>
      <c r="M53" s="725"/>
      <c r="N53" s="922">
        <f>ROUNDUP(N52+N51,0)</f>
        <v>47939638</v>
      </c>
      <c r="O53" s="726"/>
    </row>
  </sheetData>
  <mergeCells count="121">
    <mergeCell ref="A9:A10"/>
    <mergeCell ref="B9:F10"/>
    <mergeCell ref="G9:G10"/>
    <mergeCell ref="H9:H10"/>
    <mergeCell ref="I9:I10"/>
    <mergeCell ref="J9:K10"/>
    <mergeCell ref="A1:J3"/>
    <mergeCell ref="K1:L1"/>
    <mergeCell ref="M1:O3"/>
    <mergeCell ref="K2:L3"/>
    <mergeCell ref="A5:O6"/>
    <mergeCell ref="B8:O8"/>
    <mergeCell ref="B12:F12"/>
    <mergeCell ref="J12:K12"/>
    <mergeCell ref="N12:O12"/>
    <mergeCell ref="B13:F13"/>
    <mergeCell ref="J13:K13"/>
    <mergeCell ref="N13:O13"/>
    <mergeCell ref="L9:L10"/>
    <mergeCell ref="M9:M10"/>
    <mergeCell ref="N9:O10"/>
    <mergeCell ref="B11:F11"/>
    <mergeCell ref="J11:K11"/>
    <mergeCell ref="N11:O11"/>
    <mergeCell ref="B16:F16"/>
    <mergeCell ref="J16:K16"/>
    <mergeCell ref="N16:O16"/>
    <mergeCell ref="B17:F17"/>
    <mergeCell ref="J17:K17"/>
    <mergeCell ref="N17:O17"/>
    <mergeCell ref="B14:F14"/>
    <mergeCell ref="J14:K14"/>
    <mergeCell ref="N14:O14"/>
    <mergeCell ref="B15:F15"/>
    <mergeCell ref="J15:K15"/>
    <mergeCell ref="N15:O15"/>
    <mergeCell ref="B20:F20"/>
    <mergeCell ref="J20:K20"/>
    <mergeCell ref="N20:O20"/>
    <mergeCell ref="B21:F21"/>
    <mergeCell ref="J21:K21"/>
    <mergeCell ref="N21:O21"/>
    <mergeCell ref="B18:F18"/>
    <mergeCell ref="J18:K18"/>
    <mergeCell ref="N18:O18"/>
    <mergeCell ref="B19:F19"/>
    <mergeCell ref="J19:K19"/>
    <mergeCell ref="N19:O19"/>
    <mergeCell ref="H24:M24"/>
    <mergeCell ref="N24:O24"/>
    <mergeCell ref="H25:M25"/>
    <mergeCell ref="N25:O25"/>
    <mergeCell ref="H26:M26"/>
    <mergeCell ref="N26:O26"/>
    <mergeCell ref="B22:F22"/>
    <mergeCell ref="J22:K22"/>
    <mergeCell ref="N22:O22"/>
    <mergeCell ref="B23:F23"/>
    <mergeCell ref="J23:K23"/>
    <mergeCell ref="N23:O23"/>
    <mergeCell ref="A28:O28"/>
    <mergeCell ref="A29:O29"/>
    <mergeCell ref="B32:O32"/>
    <mergeCell ref="A33:A34"/>
    <mergeCell ref="B33:G34"/>
    <mergeCell ref="H33:H34"/>
    <mergeCell ref="I33:I34"/>
    <mergeCell ref="J33:K34"/>
    <mergeCell ref="L33:L34"/>
    <mergeCell ref="M33:M34"/>
    <mergeCell ref="B37:G37"/>
    <mergeCell ref="J37:K37"/>
    <mergeCell ref="N37:O37"/>
    <mergeCell ref="B38:G38"/>
    <mergeCell ref="J38:K38"/>
    <mergeCell ref="N38:O38"/>
    <mergeCell ref="N33:O34"/>
    <mergeCell ref="B35:G35"/>
    <mergeCell ref="J35:K35"/>
    <mergeCell ref="N35:O35"/>
    <mergeCell ref="B36:G36"/>
    <mergeCell ref="J36:K36"/>
    <mergeCell ref="N36:O36"/>
    <mergeCell ref="B41:G41"/>
    <mergeCell ref="J41:K41"/>
    <mergeCell ref="N41:O41"/>
    <mergeCell ref="B42:G42"/>
    <mergeCell ref="J42:K42"/>
    <mergeCell ref="N42:O42"/>
    <mergeCell ref="B39:G39"/>
    <mergeCell ref="J39:K39"/>
    <mergeCell ref="N39:O39"/>
    <mergeCell ref="B40:G40"/>
    <mergeCell ref="J40:K40"/>
    <mergeCell ref="N40:O40"/>
    <mergeCell ref="B45:G45"/>
    <mergeCell ref="J45:K45"/>
    <mergeCell ref="N45:O45"/>
    <mergeCell ref="B46:G46"/>
    <mergeCell ref="J46:K46"/>
    <mergeCell ref="N46:O46"/>
    <mergeCell ref="B43:G43"/>
    <mergeCell ref="J43:K43"/>
    <mergeCell ref="N43:O43"/>
    <mergeCell ref="B44:G44"/>
    <mergeCell ref="J44:K44"/>
    <mergeCell ref="N44:O44"/>
    <mergeCell ref="H52:L52"/>
    <mergeCell ref="N52:O52"/>
    <mergeCell ref="H53:M53"/>
    <mergeCell ref="N53:O53"/>
    <mergeCell ref="B47:G47"/>
    <mergeCell ref="J47:K47"/>
    <mergeCell ref="N47:O47"/>
    <mergeCell ref="H49:M49"/>
    <mergeCell ref="N49:O49"/>
    <mergeCell ref="H51:M51"/>
    <mergeCell ref="N51:O51"/>
    <mergeCell ref="B51:F51"/>
    <mergeCell ref="B52:F52"/>
    <mergeCell ref="B53:F53"/>
  </mergeCells>
  <conditionalFormatting sqref="M11:M23 M35:M47">
    <cfRule type="colorScale" priority="1">
      <colorScale>
        <cfvo type="min"/>
        <cfvo type="percentile" val="50"/>
        <cfvo type="max"/>
        <color rgb="FF63BE7B"/>
        <color rgb="FFFFEB84"/>
        <color rgb="FFF8696B"/>
      </colorScale>
    </cfRule>
  </conditionalFormatting>
  <pageMargins left="0.7" right="0.7" top="0.75" bottom="0.75" header="0.3" footer="0.3"/>
  <pageSetup paperSize="9" scale="71"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53"/>
  <sheetViews>
    <sheetView view="pageBreakPreview" zoomScaleNormal="100" zoomScaleSheetLayoutView="100" workbookViewId="0">
      <selection activeCell="L46" sqref="L46"/>
    </sheetView>
  </sheetViews>
  <sheetFormatPr baseColWidth="10" defaultRowHeight="12.75" x14ac:dyDescent="0.2"/>
  <sheetData>
    <row r="1" spans="1:15" x14ac:dyDescent="0.2">
      <c r="A1" s="895" t="str">
        <f>Indice!$A$1</f>
        <v>CONSTRUCCIÓN DEL SISTEMA DE ACUEDUCTO IDOLOS, EL TIGRE, MUNICIPIO DE ISNOS – DEPARTAMENTO DEL HUILA – FASE I.</v>
      </c>
      <c r="B1" s="736"/>
      <c r="C1" s="736"/>
      <c r="D1" s="736"/>
      <c r="E1" s="736"/>
      <c r="F1" s="736"/>
      <c r="G1" s="736"/>
      <c r="H1" s="736"/>
      <c r="I1" s="736"/>
      <c r="J1" s="737"/>
      <c r="K1" s="896" t="s">
        <v>0</v>
      </c>
      <c r="L1" s="726"/>
      <c r="M1" s="933">
        <f>$N$53</f>
        <v>37306660.660499997</v>
      </c>
      <c r="N1" s="736"/>
      <c r="O1" s="737"/>
    </row>
    <row r="2" spans="1:15" x14ac:dyDescent="0.2">
      <c r="A2" s="931"/>
      <c r="B2" s="468"/>
      <c r="C2" s="468"/>
      <c r="D2" s="468"/>
      <c r="E2" s="468"/>
      <c r="F2" s="468"/>
      <c r="G2" s="468"/>
      <c r="H2" s="468"/>
      <c r="I2" s="468"/>
      <c r="J2" s="932"/>
      <c r="K2" s="934">
        <f>Indice!$I$2</f>
        <v>45972</v>
      </c>
      <c r="L2" s="737"/>
      <c r="M2" s="931"/>
      <c r="N2" s="468"/>
      <c r="O2" s="932"/>
    </row>
    <row r="3" spans="1:15" x14ac:dyDescent="0.2">
      <c r="A3" s="738"/>
      <c r="B3" s="739"/>
      <c r="C3" s="739"/>
      <c r="D3" s="739"/>
      <c r="E3" s="739"/>
      <c r="F3" s="739"/>
      <c r="G3" s="739"/>
      <c r="H3" s="739"/>
      <c r="I3" s="739"/>
      <c r="J3" s="740"/>
      <c r="K3" s="738"/>
      <c r="L3" s="740"/>
      <c r="M3" s="738"/>
      <c r="N3" s="739"/>
      <c r="O3" s="740"/>
    </row>
    <row r="4" spans="1:15" ht="13.5" x14ac:dyDescent="0.25">
      <c r="A4" s="94"/>
      <c r="B4" s="94"/>
      <c r="C4" s="94"/>
      <c r="D4" s="94"/>
      <c r="E4" s="94"/>
      <c r="F4" s="94"/>
      <c r="G4" s="94"/>
      <c r="H4" s="94"/>
      <c r="I4" s="94"/>
      <c r="J4" s="94"/>
      <c r="K4" s="94"/>
      <c r="L4" s="94"/>
      <c r="M4" s="95"/>
      <c r="N4" s="96"/>
      <c r="O4" s="96"/>
    </row>
    <row r="5" spans="1:15" x14ac:dyDescent="0.2">
      <c r="A5" s="473" t="s">
        <v>1519</v>
      </c>
      <c r="B5" s="935"/>
      <c r="C5" s="935"/>
      <c r="D5" s="935"/>
      <c r="E5" s="935"/>
      <c r="F5" s="935"/>
      <c r="G5" s="935"/>
      <c r="H5" s="935"/>
      <c r="I5" s="935"/>
      <c r="J5" s="935"/>
      <c r="K5" s="935"/>
      <c r="L5" s="935"/>
      <c r="M5" s="935"/>
      <c r="N5" s="935"/>
      <c r="O5" s="936"/>
    </row>
    <row r="6" spans="1:15" x14ac:dyDescent="0.2">
      <c r="A6" s="937"/>
      <c r="B6" s="938"/>
      <c r="C6" s="938"/>
      <c r="D6" s="938"/>
      <c r="E6" s="938"/>
      <c r="F6" s="938"/>
      <c r="G6" s="938"/>
      <c r="H6" s="938"/>
      <c r="I6" s="938"/>
      <c r="J6" s="938"/>
      <c r="K6" s="938"/>
      <c r="L6" s="938"/>
      <c r="M6" s="938"/>
      <c r="N6" s="938"/>
      <c r="O6" s="939"/>
    </row>
    <row r="7" spans="1:15" ht="13.5" x14ac:dyDescent="0.25">
      <c r="A7" s="94"/>
      <c r="B7" s="94"/>
      <c r="C7" s="94"/>
      <c r="D7" s="94"/>
      <c r="E7" s="94"/>
      <c r="F7" s="94"/>
      <c r="G7" s="94"/>
      <c r="H7" s="94"/>
      <c r="I7" s="94"/>
      <c r="J7" s="94"/>
      <c r="K7" s="94"/>
      <c r="L7" s="94"/>
      <c r="M7" s="95"/>
      <c r="N7" s="96"/>
      <c r="O7" s="96"/>
    </row>
    <row r="8" spans="1:15" x14ac:dyDescent="0.2">
      <c r="A8" s="156" t="s">
        <v>179</v>
      </c>
      <c r="B8" s="918" t="s">
        <v>180</v>
      </c>
      <c r="C8" s="919"/>
      <c r="D8" s="919"/>
      <c r="E8" s="919"/>
      <c r="F8" s="919"/>
      <c r="G8" s="919"/>
      <c r="H8" s="919"/>
      <c r="I8" s="919"/>
      <c r="J8" s="919"/>
      <c r="K8" s="919"/>
      <c r="L8" s="919"/>
      <c r="M8" s="919"/>
      <c r="N8" s="919"/>
      <c r="O8" s="919"/>
    </row>
    <row r="9" spans="1:15" x14ac:dyDescent="0.2">
      <c r="A9" s="903" t="s">
        <v>181</v>
      </c>
      <c r="B9" s="905" t="s">
        <v>182</v>
      </c>
      <c r="C9" s="736"/>
      <c r="D9" s="736"/>
      <c r="E9" s="736"/>
      <c r="F9" s="737"/>
      <c r="G9" s="903" t="s">
        <v>183</v>
      </c>
      <c r="H9" s="903" t="s">
        <v>184</v>
      </c>
      <c r="I9" s="903" t="s">
        <v>185</v>
      </c>
      <c r="J9" s="905" t="s">
        <v>186</v>
      </c>
      <c r="K9" s="737"/>
      <c r="L9" s="903" t="s">
        <v>215</v>
      </c>
      <c r="M9" s="903" t="s">
        <v>188</v>
      </c>
      <c r="N9" s="905" t="s">
        <v>189</v>
      </c>
      <c r="O9" s="737"/>
    </row>
    <row r="10" spans="1:15" x14ac:dyDescent="0.2">
      <c r="A10" s="904"/>
      <c r="B10" s="738"/>
      <c r="C10" s="739"/>
      <c r="D10" s="739"/>
      <c r="E10" s="739"/>
      <c r="F10" s="740"/>
      <c r="G10" s="904"/>
      <c r="H10" s="904"/>
      <c r="I10" s="904"/>
      <c r="J10" s="738"/>
      <c r="K10" s="740"/>
      <c r="L10" s="904"/>
      <c r="M10" s="904"/>
      <c r="N10" s="738"/>
      <c r="O10" s="740"/>
    </row>
    <row r="11" spans="1:15" ht="13.5" x14ac:dyDescent="0.2">
      <c r="A11" s="110" t="s">
        <v>190</v>
      </c>
      <c r="B11" s="916" t="s">
        <v>191</v>
      </c>
      <c r="C11" s="725"/>
      <c r="D11" s="725"/>
      <c r="E11" s="725"/>
      <c r="F11" s="726"/>
      <c r="G11" s="157">
        <v>7</v>
      </c>
      <c r="H11" s="158">
        <v>0</v>
      </c>
      <c r="I11" s="159">
        <v>0.15</v>
      </c>
      <c r="J11" s="901">
        <f>G11*'04'!$A$9</f>
        <v>12256335</v>
      </c>
      <c r="K11" s="726"/>
      <c r="L11" s="158">
        <f>+Indice!$J$54</f>
        <v>6</v>
      </c>
      <c r="M11" s="109">
        <f t="shared" ref="M11:M24" si="0">N11/$N$53</f>
        <v>0</v>
      </c>
      <c r="N11" s="901">
        <f t="shared" ref="N11:N24" si="1">L11*I11*J11*H11</f>
        <v>0</v>
      </c>
      <c r="O11" s="726"/>
    </row>
    <row r="12" spans="1:15" ht="13.5" x14ac:dyDescent="0.2">
      <c r="A12" s="110" t="s">
        <v>192</v>
      </c>
      <c r="B12" s="916" t="s">
        <v>193</v>
      </c>
      <c r="C12" s="725"/>
      <c r="D12" s="725"/>
      <c r="E12" s="725"/>
      <c r="F12" s="726"/>
      <c r="G12" s="157">
        <v>4.5</v>
      </c>
      <c r="H12" s="158">
        <v>0</v>
      </c>
      <c r="I12" s="159">
        <v>0.2</v>
      </c>
      <c r="J12" s="901">
        <f>G12*'04'!$A$9</f>
        <v>7879072.5</v>
      </c>
      <c r="K12" s="726"/>
      <c r="L12" s="158">
        <f>+Indice!$F$54</f>
        <v>5</v>
      </c>
      <c r="M12" s="109">
        <f t="shared" si="0"/>
        <v>0</v>
      </c>
      <c r="N12" s="901">
        <f t="shared" si="1"/>
        <v>0</v>
      </c>
      <c r="O12" s="726"/>
    </row>
    <row r="13" spans="1:15" ht="13.5" x14ac:dyDescent="0.2">
      <c r="A13" s="110" t="s">
        <v>194</v>
      </c>
      <c r="B13" s="916" t="s">
        <v>195</v>
      </c>
      <c r="C13" s="725"/>
      <c r="D13" s="725"/>
      <c r="E13" s="725"/>
      <c r="F13" s="726"/>
      <c r="G13" s="157">
        <v>4.5</v>
      </c>
      <c r="H13" s="158">
        <v>0</v>
      </c>
      <c r="I13" s="159">
        <v>0.2</v>
      </c>
      <c r="J13" s="901">
        <f>G13*'04'!$A$9</f>
        <v>7879072.5</v>
      </c>
      <c r="K13" s="726"/>
      <c r="L13" s="158">
        <f>+Indice!$F$54</f>
        <v>5</v>
      </c>
      <c r="M13" s="109">
        <f t="shared" si="0"/>
        <v>0</v>
      </c>
      <c r="N13" s="901">
        <f t="shared" si="1"/>
        <v>0</v>
      </c>
      <c r="O13" s="726"/>
    </row>
    <row r="14" spans="1:15" ht="13.5" x14ac:dyDescent="0.2">
      <c r="A14" s="110" t="s">
        <v>196</v>
      </c>
      <c r="B14" s="916" t="s">
        <v>197</v>
      </c>
      <c r="C14" s="725"/>
      <c r="D14" s="725"/>
      <c r="E14" s="725"/>
      <c r="F14" s="726"/>
      <c r="G14" s="157">
        <v>4.5</v>
      </c>
      <c r="H14" s="158">
        <v>0</v>
      </c>
      <c r="I14" s="159">
        <v>0.35</v>
      </c>
      <c r="J14" s="901">
        <f>G14*'04'!$A$9</f>
        <v>7879072.5</v>
      </c>
      <c r="K14" s="726"/>
      <c r="L14" s="158">
        <f>+Indice!$F$54</f>
        <v>5</v>
      </c>
      <c r="M14" s="109">
        <f t="shared" si="0"/>
        <v>0</v>
      </c>
      <c r="N14" s="901">
        <f t="shared" si="1"/>
        <v>0</v>
      </c>
      <c r="O14" s="726"/>
    </row>
    <row r="15" spans="1:15" ht="13.5" x14ac:dyDescent="0.2">
      <c r="A15" s="110" t="s">
        <v>198</v>
      </c>
      <c r="B15" s="916" t="s">
        <v>199</v>
      </c>
      <c r="C15" s="725"/>
      <c r="D15" s="725"/>
      <c r="E15" s="725"/>
      <c r="F15" s="726"/>
      <c r="G15" s="157">
        <v>3</v>
      </c>
      <c r="H15" s="158">
        <v>0</v>
      </c>
      <c r="I15" s="159">
        <v>0.8</v>
      </c>
      <c r="J15" s="901">
        <f>G15*'04'!$A$9</f>
        <v>5252715</v>
      </c>
      <c r="K15" s="726"/>
      <c r="L15" s="158">
        <f>+Indice!$F$54</f>
        <v>5</v>
      </c>
      <c r="M15" s="109">
        <f t="shared" si="0"/>
        <v>0</v>
      </c>
      <c r="N15" s="901">
        <f t="shared" si="1"/>
        <v>0</v>
      </c>
      <c r="O15" s="726"/>
    </row>
    <row r="16" spans="1:15" ht="13.5" x14ac:dyDescent="0.2">
      <c r="A16" s="110" t="s">
        <v>200</v>
      </c>
      <c r="B16" s="916" t="s">
        <v>201</v>
      </c>
      <c r="C16" s="725"/>
      <c r="D16" s="725"/>
      <c r="E16" s="725"/>
      <c r="F16" s="726"/>
      <c r="G16" s="157">
        <v>3</v>
      </c>
      <c r="H16" s="158">
        <v>0</v>
      </c>
      <c r="I16" s="159">
        <v>0.35</v>
      </c>
      <c r="J16" s="901">
        <f>G16*'04'!$A$9</f>
        <v>5252715</v>
      </c>
      <c r="K16" s="726"/>
      <c r="L16" s="158">
        <f>+Indice!$F$54</f>
        <v>5</v>
      </c>
      <c r="M16" s="109">
        <f t="shared" si="0"/>
        <v>0</v>
      </c>
      <c r="N16" s="901">
        <f t="shared" si="1"/>
        <v>0</v>
      </c>
      <c r="O16" s="726"/>
    </row>
    <row r="17" spans="1:15" ht="13.5" x14ac:dyDescent="0.2">
      <c r="A17" s="110" t="s">
        <v>202</v>
      </c>
      <c r="B17" s="916" t="s">
        <v>203</v>
      </c>
      <c r="C17" s="725"/>
      <c r="D17" s="725"/>
      <c r="E17" s="725"/>
      <c r="F17" s="726"/>
      <c r="G17" s="157">
        <v>3</v>
      </c>
      <c r="H17" s="158">
        <v>0</v>
      </c>
      <c r="I17" s="159">
        <v>0.3</v>
      </c>
      <c r="J17" s="901">
        <f>G17*'04'!$A$9</f>
        <v>5252715</v>
      </c>
      <c r="K17" s="726"/>
      <c r="L17" s="158">
        <f>+Indice!$F$54</f>
        <v>5</v>
      </c>
      <c r="M17" s="109">
        <f t="shared" si="0"/>
        <v>0</v>
      </c>
      <c r="N17" s="901">
        <f t="shared" si="1"/>
        <v>0</v>
      </c>
      <c r="O17" s="726"/>
    </row>
    <row r="18" spans="1:15" ht="13.5" x14ac:dyDescent="0.2">
      <c r="A18" s="110" t="s">
        <v>204</v>
      </c>
      <c r="B18" s="916" t="s">
        <v>205</v>
      </c>
      <c r="C18" s="725"/>
      <c r="D18" s="725"/>
      <c r="E18" s="725"/>
      <c r="F18" s="726"/>
      <c r="G18" s="157">
        <v>2.5</v>
      </c>
      <c r="H18" s="158">
        <v>0</v>
      </c>
      <c r="I18" s="159">
        <v>0.3</v>
      </c>
      <c r="J18" s="901">
        <f>G18*'04'!$A$9</f>
        <v>4377262.5</v>
      </c>
      <c r="K18" s="726"/>
      <c r="L18" s="158">
        <f>+Indice!$F$54</f>
        <v>5</v>
      </c>
      <c r="M18" s="109">
        <f t="shared" si="0"/>
        <v>0</v>
      </c>
      <c r="N18" s="901">
        <f t="shared" si="1"/>
        <v>0</v>
      </c>
      <c r="O18" s="726"/>
    </row>
    <row r="19" spans="1:15" ht="13.5" x14ac:dyDescent="0.2">
      <c r="A19" s="110" t="s">
        <v>206</v>
      </c>
      <c r="B19" s="916" t="s">
        <v>1484</v>
      </c>
      <c r="C19" s="725"/>
      <c r="D19" s="725"/>
      <c r="E19" s="725"/>
      <c r="F19" s="726"/>
      <c r="G19" s="157">
        <v>2.5</v>
      </c>
      <c r="H19" s="158">
        <v>0</v>
      </c>
      <c r="I19" s="159">
        <v>0.3</v>
      </c>
      <c r="J19" s="901">
        <f>G19*'04'!$A$9</f>
        <v>4377262.5</v>
      </c>
      <c r="K19" s="726"/>
      <c r="L19" s="158">
        <f>+Indice!$F$54</f>
        <v>5</v>
      </c>
      <c r="M19" s="109">
        <f t="shared" si="0"/>
        <v>0</v>
      </c>
      <c r="N19" s="901">
        <f t="shared" si="1"/>
        <v>0</v>
      </c>
      <c r="O19" s="726"/>
    </row>
    <row r="20" spans="1:15" ht="13.5" x14ac:dyDescent="0.2">
      <c r="A20" s="110" t="s">
        <v>207</v>
      </c>
      <c r="B20" s="916" t="s">
        <v>208</v>
      </c>
      <c r="C20" s="725"/>
      <c r="D20" s="725"/>
      <c r="E20" s="725"/>
      <c r="F20" s="726"/>
      <c r="G20" s="157">
        <v>2</v>
      </c>
      <c r="H20" s="158">
        <v>1</v>
      </c>
      <c r="I20" s="159">
        <v>0.7</v>
      </c>
      <c r="J20" s="901">
        <f>G20*'04'!$A$9</f>
        <v>3501810</v>
      </c>
      <c r="K20" s="726"/>
      <c r="L20" s="158">
        <f>+Indice!$F$54</f>
        <v>5</v>
      </c>
      <c r="M20" s="109">
        <f t="shared" si="0"/>
        <v>0.32852940421378729</v>
      </c>
      <c r="N20" s="901">
        <f t="shared" si="1"/>
        <v>12256335</v>
      </c>
      <c r="O20" s="726"/>
    </row>
    <row r="21" spans="1:15" ht="13.5" x14ac:dyDescent="0.2">
      <c r="A21" s="110" t="s">
        <v>1485</v>
      </c>
      <c r="B21" s="916" t="s">
        <v>1486</v>
      </c>
      <c r="C21" s="725"/>
      <c r="D21" s="725"/>
      <c r="E21" s="725"/>
      <c r="F21" s="726"/>
      <c r="G21" s="157">
        <v>2.5</v>
      </c>
      <c r="H21" s="158">
        <v>0</v>
      </c>
      <c r="I21" s="159">
        <v>0.2</v>
      </c>
      <c r="J21" s="901">
        <f>G21*'04'!$A$9</f>
        <v>4377262.5</v>
      </c>
      <c r="K21" s="726"/>
      <c r="L21" s="158">
        <f>+Indice!$F$54</f>
        <v>5</v>
      </c>
      <c r="M21" s="109">
        <f t="shared" si="0"/>
        <v>0</v>
      </c>
      <c r="N21" s="901">
        <f t="shared" si="1"/>
        <v>0</v>
      </c>
      <c r="O21" s="726"/>
    </row>
    <row r="22" spans="1:15" ht="13.5" x14ac:dyDescent="0.2">
      <c r="A22" s="110" t="s">
        <v>1487</v>
      </c>
      <c r="B22" s="916" t="s">
        <v>1510</v>
      </c>
      <c r="C22" s="725"/>
      <c r="D22" s="725"/>
      <c r="E22" s="725"/>
      <c r="F22" s="726"/>
      <c r="G22" s="157">
        <v>1</v>
      </c>
      <c r="H22" s="158">
        <v>0</v>
      </c>
      <c r="I22" s="159">
        <v>1</v>
      </c>
      <c r="J22" s="901">
        <f>G22*'04'!$A$9</f>
        <v>1750905</v>
      </c>
      <c r="K22" s="726"/>
      <c r="L22" s="158">
        <f>+Indice!$F$54</f>
        <v>5</v>
      </c>
      <c r="M22" s="109">
        <f t="shared" si="0"/>
        <v>0</v>
      </c>
      <c r="N22" s="901">
        <f t="shared" si="1"/>
        <v>0</v>
      </c>
      <c r="O22" s="726"/>
    </row>
    <row r="23" spans="1:15" ht="13.5" x14ac:dyDescent="0.2">
      <c r="A23" s="110" t="s">
        <v>1489</v>
      </c>
      <c r="B23" s="916" t="s">
        <v>209</v>
      </c>
      <c r="C23" s="725"/>
      <c r="D23" s="725"/>
      <c r="E23" s="725"/>
      <c r="F23" s="726"/>
      <c r="G23" s="157">
        <v>1</v>
      </c>
      <c r="H23" s="158">
        <v>0</v>
      </c>
      <c r="I23" s="159">
        <v>1</v>
      </c>
      <c r="J23" s="901">
        <f>G23*'04'!$A$9</f>
        <v>1750905</v>
      </c>
      <c r="K23" s="726"/>
      <c r="L23" s="158">
        <f>+Indice!$F$54</f>
        <v>5</v>
      </c>
      <c r="M23" s="109">
        <f t="shared" si="0"/>
        <v>0</v>
      </c>
      <c r="N23" s="901">
        <f t="shared" si="1"/>
        <v>0</v>
      </c>
      <c r="O23" s="726"/>
    </row>
    <row r="24" spans="1:15" ht="13.5" x14ac:dyDescent="0.2">
      <c r="A24" s="110" t="s">
        <v>1520</v>
      </c>
      <c r="B24" s="916" t="s">
        <v>1521</v>
      </c>
      <c r="C24" s="725"/>
      <c r="D24" s="725"/>
      <c r="E24" s="725"/>
      <c r="F24" s="726"/>
      <c r="G24" s="157">
        <v>1</v>
      </c>
      <c r="H24" s="158">
        <v>0</v>
      </c>
      <c r="I24" s="159">
        <v>1</v>
      </c>
      <c r="J24" s="901">
        <f>G24*'04'!$A$9</f>
        <v>1750905</v>
      </c>
      <c r="K24" s="726"/>
      <c r="L24" s="158">
        <f>+Indice!$F$54</f>
        <v>5</v>
      </c>
      <c r="M24" s="109">
        <f t="shared" si="0"/>
        <v>0</v>
      </c>
      <c r="N24" s="901">
        <f t="shared" si="1"/>
        <v>0</v>
      </c>
      <c r="O24" s="726"/>
    </row>
    <row r="25" spans="1:15" ht="13.5" x14ac:dyDescent="0.2">
      <c r="A25" s="105"/>
      <c r="B25" s="105"/>
      <c r="C25" s="105"/>
      <c r="D25" s="105"/>
      <c r="E25" s="105"/>
      <c r="F25" s="105"/>
      <c r="G25" s="105"/>
      <c r="H25" s="899" t="s">
        <v>210</v>
      </c>
      <c r="I25" s="725"/>
      <c r="J25" s="725"/>
      <c r="K25" s="725"/>
      <c r="L25" s="725"/>
      <c r="M25" s="726"/>
      <c r="N25" s="901">
        <f>SUM(N11:N24)</f>
        <v>12256335</v>
      </c>
      <c r="O25" s="726"/>
    </row>
    <row r="26" spans="1:15" ht="13.5" x14ac:dyDescent="0.2">
      <c r="A26" s="105"/>
      <c r="B26" s="105"/>
      <c r="C26" s="105"/>
      <c r="D26" s="105"/>
      <c r="E26" s="105"/>
      <c r="F26" s="105"/>
      <c r="G26" s="105"/>
      <c r="H26" s="899" t="s">
        <v>31</v>
      </c>
      <c r="I26" s="725"/>
      <c r="J26" s="725"/>
      <c r="K26" s="725"/>
      <c r="L26" s="725"/>
      <c r="M26" s="726"/>
      <c r="N26" s="915">
        <f>+'04'!H2</f>
        <v>2.2000000000000002</v>
      </c>
      <c r="O26" s="726"/>
    </row>
    <row r="27" spans="1:15" ht="13.5" x14ac:dyDescent="0.2">
      <c r="A27" s="105"/>
      <c r="B27" s="105"/>
      <c r="C27" s="105"/>
      <c r="D27" s="105"/>
      <c r="E27" s="105"/>
      <c r="F27" s="105"/>
      <c r="G27" s="105"/>
      <c r="H27" s="899" t="s">
        <v>212</v>
      </c>
      <c r="I27" s="725"/>
      <c r="J27" s="725"/>
      <c r="K27" s="725"/>
      <c r="L27" s="725"/>
      <c r="M27" s="726"/>
      <c r="N27" s="901">
        <f>+N25*N26</f>
        <v>26963937.000000004</v>
      </c>
      <c r="O27" s="726"/>
    </row>
    <row r="28" spans="1:15" ht="13.5" x14ac:dyDescent="0.2">
      <c r="A28" s="161"/>
      <c r="B28" s="162"/>
      <c r="C28" s="162"/>
      <c r="D28" s="162"/>
      <c r="E28" s="162"/>
      <c r="F28" s="162"/>
      <c r="G28" s="163"/>
      <c r="H28" s="163"/>
      <c r="I28" s="163"/>
      <c r="J28" s="163"/>
      <c r="K28" s="163"/>
      <c r="L28" s="163"/>
      <c r="M28" s="163"/>
      <c r="N28" s="163"/>
      <c r="O28" s="163"/>
    </row>
    <row r="29" spans="1:15" ht="13.5" x14ac:dyDescent="0.2">
      <c r="A29" s="930" t="s">
        <v>1522</v>
      </c>
      <c r="B29" s="930"/>
      <c r="C29" s="930"/>
      <c r="D29" s="930"/>
      <c r="E29" s="930"/>
      <c r="F29" s="930"/>
      <c r="G29" s="930"/>
      <c r="H29" s="930"/>
      <c r="I29" s="930"/>
      <c r="J29" s="930"/>
      <c r="K29" s="930"/>
      <c r="L29" s="930"/>
      <c r="M29" s="930"/>
      <c r="N29" s="930"/>
      <c r="O29" s="930"/>
    </row>
    <row r="30" spans="1:15" ht="13.5" x14ac:dyDescent="0.2">
      <c r="A30" s="930" t="s">
        <v>1523</v>
      </c>
      <c r="B30" s="930"/>
      <c r="C30" s="930"/>
      <c r="D30" s="930"/>
      <c r="E30" s="930"/>
      <c r="F30" s="930"/>
      <c r="G30" s="930"/>
      <c r="H30" s="930"/>
      <c r="I30" s="930"/>
      <c r="J30" s="930"/>
      <c r="K30" s="930"/>
      <c r="L30" s="930"/>
      <c r="M30" s="930"/>
      <c r="N30" s="930"/>
      <c r="O30" s="930"/>
    </row>
    <row r="31" spans="1:15" ht="13.5" x14ac:dyDescent="0.2">
      <c r="A31" s="930" t="s">
        <v>1524</v>
      </c>
      <c r="B31" s="930"/>
      <c r="C31" s="930"/>
      <c r="D31" s="930"/>
      <c r="E31" s="930"/>
      <c r="F31" s="930"/>
      <c r="G31" s="930"/>
      <c r="H31" s="930"/>
      <c r="I31" s="930"/>
      <c r="J31" s="930"/>
      <c r="K31" s="930"/>
      <c r="L31" s="930"/>
      <c r="M31" s="930"/>
      <c r="N31" s="930"/>
      <c r="O31" s="930"/>
    </row>
    <row r="32" spans="1:15" ht="13.5" x14ac:dyDescent="0.2">
      <c r="A32" s="161"/>
      <c r="B32" s="162"/>
      <c r="C32" s="162"/>
      <c r="D32" s="162"/>
      <c r="E32" s="162"/>
      <c r="F32" s="162"/>
      <c r="G32" s="163"/>
      <c r="H32" s="163"/>
      <c r="I32" s="163"/>
      <c r="J32" s="163"/>
      <c r="K32" s="163"/>
      <c r="L32" s="163"/>
      <c r="M32" s="163"/>
      <c r="N32" s="163"/>
      <c r="O32" s="163"/>
    </row>
    <row r="33" spans="1:15" x14ac:dyDescent="0.2">
      <c r="A33" s="164" t="s">
        <v>213</v>
      </c>
      <c r="B33" s="902" t="s">
        <v>214</v>
      </c>
      <c r="C33" s="725"/>
      <c r="D33" s="725"/>
      <c r="E33" s="725"/>
      <c r="F33" s="725"/>
      <c r="G33" s="725"/>
      <c r="H33" s="725"/>
      <c r="I33" s="725"/>
      <c r="J33" s="725"/>
      <c r="K33" s="725"/>
      <c r="L33" s="725"/>
      <c r="M33" s="725"/>
      <c r="N33" s="725"/>
      <c r="O33" s="726"/>
    </row>
    <row r="34" spans="1:15" x14ac:dyDescent="0.2">
      <c r="A34" s="905"/>
      <c r="B34" s="905" t="s">
        <v>39</v>
      </c>
      <c r="C34" s="736"/>
      <c r="D34" s="736"/>
      <c r="E34" s="736"/>
      <c r="F34" s="736"/>
      <c r="G34" s="737"/>
      <c r="H34" s="903" t="s">
        <v>40</v>
      </c>
      <c r="I34" s="903" t="s">
        <v>184</v>
      </c>
      <c r="J34" s="905" t="s">
        <v>186</v>
      </c>
      <c r="K34" s="737"/>
      <c r="L34" s="903" t="s">
        <v>215</v>
      </c>
      <c r="M34" s="903" t="s">
        <v>188</v>
      </c>
      <c r="N34" s="905" t="s">
        <v>189</v>
      </c>
      <c r="O34" s="737"/>
    </row>
    <row r="35" spans="1:15" x14ac:dyDescent="0.2">
      <c r="A35" s="738"/>
      <c r="B35" s="738"/>
      <c r="C35" s="739"/>
      <c r="D35" s="739"/>
      <c r="E35" s="739"/>
      <c r="F35" s="739"/>
      <c r="G35" s="740"/>
      <c r="H35" s="904"/>
      <c r="I35" s="904"/>
      <c r="J35" s="738"/>
      <c r="K35" s="740"/>
      <c r="L35" s="904"/>
      <c r="M35" s="904"/>
      <c r="N35" s="738"/>
      <c r="O35" s="740"/>
    </row>
    <row r="36" spans="1:15" ht="13.5" x14ac:dyDescent="0.2">
      <c r="A36" s="170" t="s">
        <v>216</v>
      </c>
      <c r="B36" s="900" t="s">
        <v>217</v>
      </c>
      <c r="C36" s="725"/>
      <c r="D36" s="725"/>
      <c r="E36" s="725"/>
      <c r="F36" s="725"/>
      <c r="G36" s="726"/>
      <c r="H36" s="165" t="s">
        <v>218</v>
      </c>
      <c r="I36" s="104">
        <v>0</v>
      </c>
      <c r="J36" s="901">
        <v>550000</v>
      </c>
      <c r="K36" s="726"/>
      <c r="L36" s="158">
        <f>Indice!$F$54</f>
        <v>5</v>
      </c>
      <c r="M36" s="109">
        <f t="shared" ref="M36:M48" si="2">N36/$N$53</f>
        <v>0</v>
      </c>
      <c r="N36" s="901">
        <f>J36*I36*L36</f>
        <v>0</v>
      </c>
      <c r="O36" s="726"/>
    </row>
    <row r="37" spans="1:15" ht="13.5" x14ac:dyDescent="0.2">
      <c r="A37" s="170" t="s">
        <v>219</v>
      </c>
      <c r="B37" s="900" t="s">
        <v>220</v>
      </c>
      <c r="C37" s="725"/>
      <c r="D37" s="725"/>
      <c r="E37" s="725"/>
      <c r="F37" s="725"/>
      <c r="G37" s="726"/>
      <c r="H37" s="165" t="s">
        <v>218</v>
      </c>
      <c r="I37" s="104">
        <v>0</v>
      </c>
      <c r="J37" s="901">
        <v>300000</v>
      </c>
      <c r="K37" s="726"/>
      <c r="L37" s="158">
        <f>Indice!$F$54</f>
        <v>5</v>
      </c>
      <c r="M37" s="109">
        <f t="shared" si="2"/>
        <v>0</v>
      </c>
      <c r="N37" s="901">
        <f>J37*I37*L37</f>
        <v>0</v>
      </c>
      <c r="O37" s="726"/>
    </row>
    <row r="38" spans="1:15" ht="13.5" x14ac:dyDescent="0.2">
      <c r="A38" s="170" t="s">
        <v>221</v>
      </c>
      <c r="B38" s="900" t="s">
        <v>222</v>
      </c>
      <c r="C38" s="725"/>
      <c r="D38" s="725"/>
      <c r="E38" s="725"/>
      <c r="F38" s="725"/>
      <c r="G38" s="726"/>
      <c r="H38" s="165" t="s">
        <v>218</v>
      </c>
      <c r="I38" s="104">
        <v>0</v>
      </c>
      <c r="J38" s="901">
        <v>400000</v>
      </c>
      <c r="K38" s="726"/>
      <c r="L38" s="158">
        <f>Indice!$F$54</f>
        <v>5</v>
      </c>
      <c r="M38" s="109">
        <f t="shared" si="2"/>
        <v>0</v>
      </c>
      <c r="N38" s="901">
        <f>J38*I38*L38</f>
        <v>0</v>
      </c>
      <c r="O38" s="726"/>
    </row>
    <row r="39" spans="1:15" ht="13.5" x14ac:dyDescent="0.2">
      <c r="A39" s="170" t="s">
        <v>223</v>
      </c>
      <c r="B39" s="900" t="s">
        <v>224</v>
      </c>
      <c r="C39" s="725"/>
      <c r="D39" s="725"/>
      <c r="E39" s="725"/>
      <c r="F39" s="725"/>
      <c r="G39" s="726"/>
      <c r="H39" s="165" t="s">
        <v>218</v>
      </c>
      <c r="I39" s="104">
        <v>0</v>
      </c>
      <c r="J39" s="901">
        <v>7500000</v>
      </c>
      <c r="K39" s="726"/>
      <c r="L39" s="158">
        <f>Indice!$F$54</f>
        <v>5</v>
      </c>
      <c r="M39" s="109">
        <f t="shared" si="2"/>
        <v>0</v>
      </c>
      <c r="N39" s="901">
        <f>J39*I39*L39</f>
        <v>0</v>
      </c>
      <c r="O39" s="726"/>
    </row>
    <row r="40" spans="1:15" ht="13.5" x14ac:dyDescent="0.2">
      <c r="A40" s="170" t="s">
        <v>225</v>
      </c>
      <c r="B40" s="900" t="s">
        <v>226</v>
      </c>
      <c r="C40" s="725"/>
      <c r="D40" s="725"/>
      <c r="E40" s="725"/>
      <c r="F40" s="725"/>
      <c r="G40" s="726"/>
      <c r="H40" s="165" t="s">
        <v>218</v>
      </c>
      <c r="I40" s="104">
        <v>0</v>
      </c>
      <c r="J40" s="901">
        <v>1500000</v>
      </c>
      <c r="K40" s="726"/>
      <c r="L40" s="158">
        <f>Indice!$F$54</f>
        <v>5</v>
      </c>
      <c r="M40" s="109">
        <f t="shared" si="2"/>
        <v>0</v>
      </c>
      <c r="N40" s="901">
        <f>J40*I40*L40</f>
        <v>0</v>
      </c>
      <c r="O40" s="726"/>
    </row>
    <row r="41" spans="1:15" ht="13.5" x14ac:dyDescent="0.2">
      <c r="A41" s="170" t="s">
        <v>1493</v>
      </c>
      <c r="B41" s="900" t="s">
        <v>1494</v>
      </c>
      <c r="C41" s="725"/>
      <c r="D41" s="725"/>
      <c r="E41" s="725"/>
      <c r="F41" s="725"/>
      <c r="G41" s="726"/>
      <c r="H41" s="165" t="s">
        <v>218</v>
      </c>
      <c r="I41" s="104">
        <v>0</v>
      </c>
      <c r="J41" s="901">
        <v>2000000</v>
      </c>
      <c r="K41" s="726"/>
      <c r="L41" s="158">
        <v>1</v>
      </c>
      <c r="M41" s="109">
        <f t="shared" si="2"/>
        <v>0</v>
      </c>
      <c r="N41" s="901">
        <f>J41*L41*I41</f>
        <v>0</v>
      </c>
      <c r="O41" s="726"/>
    </row>
    <row r="42" spans="1:15" ht="13.5" x14ac:dyDescent="0.2">
      <c r="A42" s="170" t="s">
        <v>227</v>
      </c>
      <c r="B42" s="900" t="s">
        <v>229</v>
      </c>
      <c r="C42" s="725"/>
      <c r="D42" s="725"/>
      <c r="E42" s="725"/>
      <c r="F42" s="725"/>
      <c r="G42" s="726"/>
      <c r="H42" s="165" t="s">
        <v>218</v>
      </c>
      <c r="I42" s="104">
        <v>0</v>
      </c>
      <c r="J42" s="901">
        <v>1600000</v>
      </c>
      <c r="K42" s="726"/>
      <c r="L42" s="158">
        <f>Indice!$F$54</f>
        <v>5</v>
      </c>
      <c r="M42" s="109">
        <f t="shared" si="2"/>
        <v>0</v>
      </c>
      <c r="N42" s="901">
        <f>J42*L42*I42</f>
        <v>0</v>
      </c>
      <c r="O42" s="726"/>
    </row>
    <row r="43" spans="1:15" ht="13.5" x14ac:dyDescent="0.2">
      <c r="A43" s="170" t="s">
        <v>228</v>
      </c>
      <c r="B43" s="900" t="s">
        <v>231</v>
      </c>
      <c r="C43" s="725"/>
      <c r="D43" s="725"/>
      <c r="E43" s="725"/>
      <c r="F43" s="725"/>
      <c r="G43" s="726"/>
      <c r="H43" s="165" t="s">
        <v>218</v>
      </c>
      <c r="I43" s="104">
        <v>0</v>
      </c>
      <c r="J43" s="901">
        <v>2450000</v>
      </c>
      <c r="K43" s="726"/>
      <c r="L43" s="158">
        <f>Indice!$F$54</f>
        <v>5</v>
      </c>
      <c r="M43" s="109">
        <f t="shared" si="2"/>
        <v>0</v>
      </c>
      <c r="N43" s="901">
        <f>J43*L43*I43</f>
        <v>0</v>
      </c>
      <c r="O43" s="726"/>
    </row>
    <row r="44" spans="1:15" ht="13.5" x14ac:dyDescent="0.2">
      <c r="A44" s="170" t="s">
        <v>230</v>
      </c>
      <c r="B44" s="948" t="s">
        <v>1525</v>
      </c>
      <c r="C44" s="949"/>
      <c r="D44" s="949"/>
      <c r="E44" s="949"/>
      <c r="F44" s="949"/>
      <c r="G44" s="950"/>
      <c r="H44" s="165" t="s">
        <v>475</v>
      </c>
      <c r="I44" s="176">
        <v>3</v>
      </c>
      <c r="J44" s="943">
        <f>200000*1.75</f>
        <v>350000</v>
      </c>
      <c r="K44" s="944"/>
      <c r="L44" s="158">
        <f>Indice!$F$54</f>
        <v>5</v>
      </c>
      <c r="M44" s="109">
        <f t="shared" si="2"/>
        <v>2.8145108176667547E-2</v>
      </c>
      <c r="N44" s="901">
        <f>J44*I44</f>
        <v>1050000</v>
      </c>
      <c r="O44" s="726"/>
    </row>
    <row r="45" spans="1:15" ht="13.5" x14ac:dyDescent="0.2">
      <c r="A45" s="170" t="s">
        <v>1496</v>
      </c>
      <c r="B45" s="948" t="s">
        <v>1526</v>
      </c>
      <c r="C45" s="949"/>
      <c r="D45" s="949"/>
      <c r="E45" s="949"/>
      <c r="F45" s="949"/>
      <c r="G45" s="950"/>
      <c r="H45" s="165" t="s">
        <v>475</v>
      </c>
      <c r="I45" s="176">
        <v>2</v>
      </c>
      <c r="J45" s="943">
        <v>450000</v>
      </c>
      <c r="K45" s="944"/>
      <c r="L45" s="158">
        <f>Indice!$F$54</f>
        <v>5</v>
      </c>
      <c r="M45" s="109">
        <f t="shared" si="2"/>
        <v>2.4124378437143611E-2</v>
      </c>
      <c r="N45" s="901">
        <f>J45*I45</f>
        <v>900000</v>
      </c>
      <c r="O45" s="726"/>
    </row>
    <row r="46" spans="1:15" ht="13.5" x14ac:dyDescent="0.2">
      <c r="A46" s="170" t="s">
        <v>1498</v>
      </c>
      <c r="B46" s="948" t="s">
        <v>1527</v>
      </c>
      <c r="C46" s="949"/>
      <c r="D46" s="949"/>
      <c r="E46" s="949"/>
      <c r="F46" s="949"/>
      <c r="G46" s="950"/>
      <c r="H46" s="165" t="s">
        <v>475</v>
      </c>
      <c r="I46" s="176">
        <v>3</v>
      </c>
      <c r="J46" s="943">
        <v>650000</v>
      </c>
      <c r="K46" s="944"/>
      <c r="L46" s="158">
        <f>Indice!$F$54</f>
        <v>5</v>
      </c>
      <c r="M46" s="109">
        <f t="shared" si="2"/>
        <v>5.2269486613811159E-2</v>
      </c>
      <c r="N46" s="901">
        <f>J46*I46</f>
        <v>1950000</v>
      </c>
      <c r="O46" s="726"/>
    </row>
    <row r="47" spans="1:15" ht="13.5" x14ac:dyDescent="0.2">
      <c r="A47" s="170" t="s">
        <v>1500</v>
      </c>
      <c r="B47" s="948" t="s">
        <v>1528</v>
      </c>
      <c r="C47" s="949"/>
      <c r="D47" s="949"/>
      <c r="E47" s="949"/>
      <c r="F47" s="949"/>
      <c r="G47" s="950"/>
      <c r="H47" s="165" t="s">
        <v>475</v>
      </c>
      <c r="I47" s="176">
        <v>3</v>
      </c>
      <c r="J47" s="943">
        <v>250000</v>
      </c>
      <c r="K47" s="944"/>
      <c r="L47" s="158">
        <f>Indice!$F$54</f>
        <v>5</v>
      </c>
      <c r="M47" s="109">
        <f t="shared" si="2"/>
        <v>2.0103648697619676E-2</v>
      </c>
      <c r="N47" s="901">
        <f>J47*I47</f>
        <v>750000</v>
      </c>
      <c r="O47" s="726"/>
    </row>
    <row r="48" spans="1:15" ht="13.5" x14ac:dyDescent="0.2">
      <c r="A48" s="170" t="s">
        <v>1502</v>
      </c>
      <c r="B48" s="948" t="s">
        <v>1529</v>
      </c>
      <c r="C48" s="949"/>
      <c r="D48" s="949"/>
      <c r="E48" s="949"/>
      <c r="F48" s="949"/>
      <c r="G48" s="950"/>
      <c r="H48" s="165" t="s">
        <v>475</v>
      </c>
      <c r="I48" s="176">
        <v>3</v>
      </c>
      <c r="J48" s="943">
        <f>300000*2</f>
        <v>600000</v>
      </c>
      <c r="K48" s="944"/>
      <c r="L48" s="158">
        <f>Indice!$F$54</f>
        <v>5</v>
      </c>
      <c r="M48" s="109">
        <f t="shared" si="2"/>
        <v>4.8248756874287223E-2</v>
      </c>
      <c r="N48" s="901">
        <f>J48*I48</f>
        <v>1800000</v>
      </c>
      <c r="O48" s="726"/>
    </row>
    <row r="49" spans="1:15" ht="13.5" x14ac:dyDescent="0.2">
      <c r="A49" s="105"/>
      <c r="B49" s="105"/>
      <c r="C49" s="105"/>
      <c r="D49" s="105"/>
      <c r="E49" s="105"/>
      <c r="F49" s="166"/>
      <c r="G49" s="105"/>
      <c r="H49" s="899" t="s">
        <v>232</v>
      </c>
      <c r="I49" s="725"/>
      <c r="J49" s="725"/>
      <c r="K49" s="725"/>
      <c r="L49" s="725"/>
      <c r="M49" s="726"/>
      <c r="N49" s="901">
        <f>SUM(N36:N48)</f>
        <v>6450000</v>
      </c>
      <c r="O49" s="726"/>
    </row>
    <row r="50" spans="1:15" ht="14.25" thickBot="1" x14ac:dyDescent="0.3">
      <c r="A50" s="161"/>
      <c r="B50" s="190"/>
      <c r="C50" s="190"/>
      <c r="D50" s="132"/>
      <c r="E50" s="132"/>
      <c r="F50" s="132"/>
      <c r="H50" s="163"/>
      <c r="I50" s="163"/>
      <c r="J50" s="163"/>
      <c r="K50" s="163"/>
      <c r="L50" s="163"/>
      <c r="M50" s="163"/>
      <c r="N50" s="163"/>
      <c r="O50" s="163"/>
    </row>
    <row r="51" spans="1:15" ht="14.25" thickTop="1" x14ac:dyDescent="0.2">
      <c r="A51" s="153"/>
      <c r="B51" s="429" t="s">
        <v>1126</v>
      </c>
      <c r="C51" s="429"/>
      <c r="D51" s="429"/>
      <c r="E51" s="429"/>
      <c r="F51" s="429"/>
      <c r="H51" s="899" t="s">
        <v>250</v>
      </c>
      <c r="I51" s="940"/>
      <c r="J51" s="940"/>
      <c r="K51" s="940"/>
      <c r="L51" s="940"/>
      <c r="M51" s="951"/>
      <c r="N51" s="922">
        <f>ROUNDUP(N27+N49,0)</f>
        <v>33413937</v>
      </c>
      <c r="O51" s="726"/>
    </row>
    <row r="52" spans="1:15" ht="13.5" x14ac:dyDescent="0.25">
      <c r="A52" s="153"/>
      <c r="B52" s="406" t="s">
        <v>1127</v>
      </c>
      <c r="C52" s="406"/>
      <c r="D52" s="406"/>
      <c r="E52" s="406"/>
      <c r="F52" s="406"/>
      <c r="H52" s="946" t="s">
        <v>172</v>
      </c>
      <c r="I52" s="947"/>
      <c r="J52" s="947"/>
      <c r="K52" s="947"/>
      <c r="L52" s="947"/>
      <c r="M52" s="270">
        <v>0.11650000000000001</v>
      </c>
      <c r="N52" s="922">
        <f>N51*M52</f>
        <v>3892723.6605000002</v>
      </c>
      <c r="O52" s="726"/>
    </row>
    <row r="53" spans="1:15" ht="13.5" x14ac:dyDescent="0.25">
      <c r="A53" s="153"/>
      <c r="B53" s="406" t="s">
        <v>1123</v>
      </c>
      <c r="C53" s="406"/>
      <c r="D53" s="406"/>
      <c r="E53" s="406"/>
      <c r="F53" s="406"/>
      <c r="H53" s="899" t="s">
        <v>177</v>
      </c>
      <c r="I53" s="725"/>
      <c r="J53" s="725"/>
      <c r="K53" s="725"/>
      <c r="L53" s="725"/>
      <c r="M53" s="725"/>
      <c r="N53" s="922">
        <f>N52+N51</f>
        <v>37306660.660499997</v>
      </c>
      <c r="O53" s="726"/>
    </row>
  </sheetData>
  <mergeCells count="125">
    <mergeCell ref="A9:A10"/>
    <mergeCell ref="B9:F10"/>
    <mergeCell ref="G9:G10"/>
    <mergeCell ref="H9:H10"/>
    <mergeCell ref="I9:I10"/>
    <mergeCell ref="J9:K10"/>
    <mergeCell ref="A1:J3"/>
    <mergeCell ref="K1:L1"/>
    <mergeCell ref="M1:O3"/>
    <mergeCell ref="K2:L3"/>
    <mergeCell ref="A5:O6"/>
    <mergeCell ref="B8:O8"/>
    <mergeCell ref="B12:F12"/>
    <mergeCell ref="J12:K12"/>
    <mergeCell ref="N12:O12"/>
    <mergeCell ref="B13:F13"/>
    <mergeCell ref="J13:K13"/>
    <mergeCell ref="N13:O13"/>
    <mergeCell ref="L9:L10"/>
    <mergeCell ref="M9:M10"/>
    <mergeCell ref="N9:O10"/>
    <mergeCell ref="B11:F11"/>
    <mergeCell ref="J11:K11"/>
    <mergeCell ref="N11:O11"/>
    <mergeCell ref="B16:F16"/>
    <mergeCell ref="J16:K16"/>
    <mergeCell ref="N16:O16"/>
    <mergeCell ref="B17:F17"/>
    <mergeCell ref="J17:K17"/>
    <mergeCell ref="N17:O17"/>
    <mergeCell ref="B14:F14"/>
    <mergeCell ref="J14:K14"/>
    <mergeCell ref="N14:O14"/>
    <mergeCell ref="B15:F15"/>
    <mergeCell ref="J15:K15"/>
    <mergeCell ref="N15:O15"/>
    <mergeCell ref="B20:F20"/>
    <mergeCell ref="J20:K20"/>
    <mergeCell ref="N20:O20"/>
    <mergeCell ref="B21:F21"/>
    <mergeCell ref="J21:K21"/>
    <mergeCell ref="N21:O21"/>
    <mergeCell ref="B18:F18"/>
    <mergeCell ref="J18:K18"/>
    <mergeCell ref="N18:O18"/>
    <mergeCell ref="B19:F19"/>
    <mergeCell ref="J19:K19"/>
    <mergeCell ref="N19:O19"/>
    <mergeCell ref="B24:F24"/>
    <mergeCell ref="J24:K24"/>
    <mergeCell ref="N24:O24"/>
    <mergeCell ref="H25:M25"/>
    <mergeCell ref="N25:O25"/>
    <mergeCell ref="H26:M26"/>
    <mergeCell ref="N26:O26"/>
    <mergeCell ref="B22:F22"/>
    <mergeCell ref="J22:K22"/>
    <mergeCell ref="N22:O22"/>
    <mergeCell ref="B23:F23"/>
    <mergeCell ref="J23:K23"/>
    <mergeCell ref="N23:O23"/>
    <mergeCell ref="A34:A35"/>
    <mergeCell ref="B34:G35"/>
    <mergeCell ref="H34:H35"/>
    <mergeCell ref="I34:I35"/>
    <mergeCell ref="J34:K35"/>
    <mergeCell ref="L34:L35"/>
    <mergeCell ref="H27:M27"/>
    <mergeCell ref="N27:O27"/>
    <mergeCell ref="A29:O29"/>
    <mergeCell ref="A30:O30"/>
    <mergeCell ref="A31:O31"/>
    <mergeCell ref="B33:O33"/>
    <mergeCell ref="B38:G38"/>
    <mergeCell ref="J38:K38"/>
    <mergeCell ref="N38:O38"/>
    <mergeCell ref="B39:G39"/>
    <mergeCell ref="J39:K39"/>
    <mergeCell ref="N39:O39"/>
    <mergeCell ref="M34:M35"/>
    <mergeCell ref="N34:O35"/>
    <mergeCell ref="B36:G36"/>
    <mergeCell ref="J36:K36"/>
    <mergeCell ref="N36:O36"/>
    <mergeCell ref="B37:G37"/>
    <mergeCell ref="J37:K37"/>
    <mergeCell ref="N37:O37"/>
    <mergeCell ref="B42:G42"/>
    <mergeCell ref="J42:K42"/>
    <mergeCell ref="N42:O42"/>
    <mergeCell ref="B43:G43"/>
    <mergeCell ref="J43:K43"/>
    <mergeCell ref="N43:O43"/>
    <mergeCell ref="B40:G40"/>
    <mergeCell ref="J40:K40"/>
    <mergeCell ref="N40:O40"/>
    <mergeCell ref="B41:G41"/>
    <mergeCell ref="J41:K41"/>
    <mergeCell ref="N41:O41"/>
    <mergeCell ref="B46:G46"/>
    <mergeCell ref="J46:K46"/>
    <mergeCell ref="N46:O46"/>
    <mergeCell ref="B47:G47"/>
    <mergeCell ref="J47:K47"/>
    <mergeCell ref="N47:O47"/>
    <mergeCell ref="B44:G44"/>
    <mergeCell ref="J44:K44"/>
    <mergeCell ref="N44:O44"/>
    <mergeCell ref="B45:G45"/>
    <mergeCell ref="J45:K45"/>
    <mergeCell ref="N45:O45"/>
    <mergeCell ref="B51:F51"/>
    <mergeCell ref="B52:F52"/>
    <mergeCell ref="B53:F53"/>
    <mergeCell ref="H52:L52"/>
    <mergeCell ref="N52:O52"/>
    <mergeCell ref="H53:M53"/>
    <mergeCell ref="N53:O53"/>
    <mergeCell ref="B48:G48"/>
    <mergeCell ref="J48:K48"/>
    <mergeCell ref="N48:O48"/>
    <mergeCell ref="H49:M49"/>
    <mergeCell ref="N49:O49"/>
    <mergeCell ref="H51:M51"/>
    <mergeCell ref="N51:O51"/>
  </mergeCells>
  <conditionalFormatting sqref="M36:M42 M11:M22 M24">
    <cfRule type="colorScale" priority="2">
      <colorScale>
        <cfvo type="min"/>
        <cfvo type="percentile" val="50"/>
        <cfvo type="max"/>
        <color rgb="FF63BE7B"/>
        <color rgb="FFFFEB84"/>
        <color rgb="FFF8696B"/>
      </colorScale>
    </cfRule>
  </conditionalFormatting>
  <conditionalFormatting sqref="M23">
    <cfRule type="colorScale" priority="1">
      <colorScale>
        <cfvo type="min"/>
        <cfvo type="percentile" val="50"/>
        <cfvo type="max"/>
        <color rgb="FF63BE7B"/>
        <color rgb="FFFFEB84"/>
        <color rgb="FFF8696B"/>
      </colorScale>
    </cfRule>
  </conditionalFormatting>
  <conditionalFormatting sqref="M43:M48">
    <cfRule type="colorScale" priority="3">
      <colorScale>
        <cfvo type="min"/>
        <cfvo type="percentile" val="50"/>
        <cfvo type="max"/>
        <color rgb="FF63BE7B"/>
        <color rgb="FFFFEB84"/>
        <color rgb="FFF8696B"/>
      </colorScale>
    </cfRule>
  </conditionalFormatting>
  <pageMargins left="0.7" right="0.7" top="0.75" bottom="0.75" header="0.3" footer="0.3"/>
  <pageSetup paperSize="9" scale="7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dimension ref="A1:N925"/>
  <sheetViews>
    <sheetView view="pageBreakPreview" topLeftCell="D11" zoomScaleNormal="100" zoomScaleSheetLayoutView="100" workbookViewId="0">
      <selection activeCell="A67" sqref="A61:XFD67"/>
    </sheetView>
  </sheetViews>
  <sheetFormatPr baseColWidth="10" defaultColWidth="12.7109375" defaultRowHeight="15" customHeight="1" x14ac:dyDescent="0.2"/>
  <cols>
    <col min="1" max="6" width="10.42578125" customWidth="1"/>
    <col min="7" max="7" width="11.42578125" customWidth="1"/>
    <col min="8" max="9" width="10.42578125" customWidth="1"/>
    <col min="10" max="10" width="12.140625" customWidth="1"/>
    <col min="11" max="12" width="10.42578125" customWidth="1"/>
    <col min="13" max="13" width="11.42578125" bestFit="1" customWidth="1"/>
    <col min="14" max="23" width="12.42578125" customWidth="1"/>
  </cols>
  <sheetData>
    <row r="1" spans="1:14" ht="12.75" customHeight="1" x14ac:dyDescent="0.2">
      <c r="A1" s="466" t="str">
        <f>Indice!$A$1</f>
        <v>CONSTRUCCIÓN DEL SISTEMA DE ACUEDUCTO IDOLOS, EL TIGRE, MUNICIPIO DE ISNOS – DEPARTAMENTO DEL HUILA – FASE I.</v>
      </c>
      <c r="B1" s="410"/>
      <c r="C1" s="410"/>
      <c r="D1" s="410"/>
      <c r="E1" s="410"/>
      <c r="F1" s="410"/>
      <c r="G1" s="410"/>
      <c r="H1" s="410"/>
      <c r="I1" s="410"/>
      <c r="J1" s="410"/>
      <c r="K1" s="411"/>
      <c r="L1" s="470" t="s">
        <v>0</v>
      </c>
      <c r="M1" s="416"/>
    </row>
    <row r="2" spans="1:14" ht="12.75" customHeight="1" x14ac:dyDescent="0.2">
      <c r="A2" s="467"/>
      <c r="B2" s="468"/>
      <c r="C2" s="468"/>
      <c r="D2" s="468"/>
      <c r="E2" s="468"/>
      <c r="F2" s="468"/>
      <c r="G2" s="468"/>
      <c r="H2" s="468"/>
      <c r="I2" s="468"/>
      <c r="J2" s="468"/>
      <c r="K2" s="469"/>
      <c r="L2" s="839">
        <f>Indice!$I$2</f>
        <v>45972</v>
      </c>
      <c r="M2" s="411"/>
    </row>
    <row r="3" spans="1:14" ht="12.75" customHeight="1" x14ac:dyDescent="0.2">
      <c r="A3" s="412"/>
      <c r="B3" s="413"/>
      <c r="C3" s="413"/>
      <c r="D3" s="413"/>
      <c r="E3" s="413"/>
      <c r="F3" s="413"/>
      <c r="G3" s="413"/>
      <c r="H3" s="413"/>
      <c r="I3" s="413"/>
      <c r="J3" s="413"/>
      <c r="K3" s="414"/>
      <c r="L3" s="412"/>
      <c r="M3" s="414"/>
    </row>
    <row r="4" spans="1:14" ht="12.75" customHeight="1" x14ac:dyDescent="0.25">
      <c r="A4" s="5"/>
      <c r="B4" s="5"/>
      <c r="C4" s="5"/>
      <c r="D4" s="5"/>
      <c r="E4" s="5"/>
      <c r="F4" s="5"/>
      <c r="G4" s="5"/>
      <c r="H4" s="5"/>
      <c r="I4" s="5"/>
      <c r="J4" s="5"/>
      <c r="K4" s="5"/>
      <c r="L4" s="5"/>
      <c r="M4" s="14"/>
    </row>
    <row r="5" spans="1:14" ht="12.75" customHeight="1" x14ac:dyDescent="0.2">
      <c r="A5" s="955" t="s">
        <v>346</v>
      </c>
      <c r="B5" s="410"/>
      <c r="C5" s="410"/>
      <c r="D5" s="410"/>
      <c r="E5" s="410"/>
      <c r="F5" s="410"/>
      <c r="G5" s="410"/>
      <c r="H5" s="410"/>
      <c r="I5" s="410"/>
      <c r="J5" s="410"/>
      <c r="K5" s="410"/>
      <c r="L5" s="410"/>
      <c r="M5" s="410"/>
    </row>
    <row r="6" spans="1:14" ht="12.75" customHeight="1" x14ac:dyDescent="0.2">
      <c r="A6" s="412"/>
      <c r="B6" s="413"/>
      <c r="C6" s="413"/>
      <c r="D6" s="413"/>
      <c r="E6" s="413"/>
      <c r="F6" s="413"/>
      <c r="G6" s="413"/>
      <c r="H6" s="413"/>
      <c r="I6" s="413"/>
      <c r="J6" s="413"/>
      <c r="K6" s="413"/>
      <c r="L6" s="413"/>
      <c r="M6" s="413"/>
    </row>
    <row r="7" spans="1:14" ht="12.75" customHeight="1" x14ac:dyDescent="0.2">
      <c r="B7" s="49">
        <v>1</v>
      </c>
      <c r="C7" s="49">
        <v>2</v>
      </c>
      <c r="D7" s="49">
        <v>3</v>
      </c>
      <c r="E7" s="49">
        <v>4</v>
      </c>
      <c r="F7" s="49">
        <v>5</v>
      </c>
      <c r="G7" s="49">
        <v>6</v>
      </c>
      <c r="H7" s="49">
        <v>7</v>
      </c>
      <c r="I7" s="49">
        <v>8</v>
      </c>
      <c r="J7" s="49">
        <v>9</v>
      </c>
      <c r="K7" s="49">
        <v>10</v>
      </c>
      <c r="L7" s="49">
        <v>11</v>
      </c>
      <c r="M7" s="49">
        <v>12</v>
      </c>
    </row>
    <row r="8" spans="1:14" ht="12.75" customHeight="1" x14ac:dyDescent="0.2">
      <c r="A8" s="50" t="s">
        <v>347</v>
      </c>
      <c r="B8" s="872" t="s">
        <v>348</v>
      </c>
      <c r="C8" s="418"/>
      <c r="D8" s="418"/>
      <c r="E8" s="418"/>
      <c r="F8" s="418"/>
      <c r="G8" s="416"/>
      <c r="H8" s="50" t="s">
        <v>40</v>
      </c>
      <c r="I8" s="50" t="s">
        <v>349</v>
      </c>
      <c r="J8" s="50" t="s">
        <v>350</v>
      </c>
      <c r="K8" s="50" t="s">
        <v>351</v>
      </c>
      <c r="L8" s="50" t="s">
        <v>352</v>
      </c>
      <c r="M8" s="50" t="s">
        <v>353</v>
      </c>
    </row>
    <row r="9" spans="1:14" s="219" customFormat="1" ht="40.5" customHeight="1" x14ac:dyDescent="0.2">
      <c r="A9" s="125" t="s">
        <v>354</v>
      </c>
      <c r="B9" s="952" t="s">
        <v>1102</v>
      </c>
      <c r="C9" s="953"/>
      <c r="D9" s="953"/>
      <c r="E9" s="953"/>
      <c r="F9" s="953"/>
      <c r="G9" s="954"/>
      <c r="H9" s="126" t="str">
        <f t="shared" ref="H9:H60" si="0">VLOOKUP(A9,AA_APUS,4,FALSE)</f>
        <v>M</v>
      </c>
      <c r="I9" s="127">
        <f t="shared" ref="I9:I60" si="1">VLOOKUP(A9,AA_APUS,8,FALSE)</f>
        <v>93.317710052199999</v>
      </c>
      <c r="J9" s="127">
        <f t="shared" ref="J9:J60" si="2">VLOOKUP(A9,AA_APUS,10,FALSE)</f>
        <v>2385.1169999999997</v>
      </c>
      <c r="K9" s="127">
        <f t="shared" ref="K9:K60" si="3">VLOOKUP(A9,AA_APUS,12,FALSE)</f>
        <v>123.92173550260998</v>
      </c>
      <c r="L9" s="127">
        <f t="shared" ref="L9:L60" si="4">VLOOKUP(A9,AA_APUS,14,FALSE)</f>
        <v>1866.3542010439999</v>
      </c>
      <c r="M9" s="127">
        <f t="shared" ref="M9:M60" si="5">ROUNDUP(VLOOKUP(A9,AA_APUS,6,FALSE),2)</f>
        <v>4468.72</v>
      </c>
      <c r="N9" s="218" t="str">
        <f t="shared" ref="N9:N17" si="6">A9</f>
        <v>G001</v>
      </c>
    </row>
    <row r="10" spans="1:14" s="219" customFormat="1" ht="40.5" customHeight="1" x14ac:dyDescent="0.2">
      <c r="A10" s="125" t="s">
        <v>355</v>
      </c>
      <c r="B10" s="952" t="s">
        <v>88</v>
      </c>
      <c r="C10" s="953"/>
      <c r="D10" s="953"/>
      <c r="E10" s="953"/>
      <c r="F10" s="953"/>
      <c r="G10" s="954"/>
      <c r="H10" s="126" t="str">
        <f t="shared" ref="H10:H23" si="7">VLOOKUP(A10,AA_APUS,4,FALSE)</f>
        <v>M3</v>
      </c>
      <c r="I10" s="127">
        <f t="shared" ref="I10:I23" si="8">VLOOKUP(A10,AA_APUS,8,FALSE)</f>
        <v>11900</v>
      </c>
      <c r="J10" s="127">
        <f t="shared" ref="J10:J23" si="9">VLOOKUP(A10,AA_APUS,10,FALSE)</f>
        <v>0</v>
      </c>
      <c r="K10" s="127">
        <f t="shared" ref="K10:K23" si="10">VLOOKUP(A10,AA_APUS,12,FALSE)</f>
        <v>0</v>
      </c>
      <c r="L10" s="127">
        <f t="shared" ref="L10:L23" si="11">VLOOKUP(A10,AA_APUS,14,FALSE)</f>
        <v>7353.5854555555561</v>
      </c>
      <c r="M10" s="127">
        <f t="shared" ref="M10:M23" si="12">ROUNDUP(VLOOKUP(A10,AA_APUS,6,FALSE),2)</f>
        <v>19253.59</v>
      </c>
      <c r="N10" s="218" t="str">
        <f t="shared" si="6"/>
        <v>G002</v>
      </c>
    </row>
    <row r="11" spans="1:14" s="219" customFormat="1" ht="40.5" customHeight="1" x14ac:dyDescent="0.2">
      <c r="A11" s="125" t="s">
        <v>356</v>
      </c>
      <c r="B11" s="952" t="s">
        <v>89</v>
      </c>
      <c r="C11" s="953"/>
      <c r="D11" s="953"/>
      <c r="E11" s="953"/>
      <c r="F11" s="953"/>
      <c r="G11" s="954"/>
      <c r="H11" s="126" t="str">
        <f t="shared" si="7"/>
        <v>M3</v>
      </c>
      <c r="I11" s="127">
        <f t="shared" si="8"/>
        <v>1066.2719910000001</v>
      </c>
      <c r="J11" s="127">
        <f t="shared" si="9"/>
        <v>65450</v>
      </c>
      <c r="K11" s="127">
        <f t="shared" si="10"/>
        <v>88267.779395468751</v>
      </c>
      <c r="L11" s="127">
        <f t="shared" si="11"/>
        <v>21325.43982</v>
      </c>
      <c r="M11" s="127">
        <f t="shared" si="12"/>
        <v>176109.5</v>
      </c>
      <c r="N11" s="218" t="str">
        <f t="shared" si="6"/>
        <v>G003</v>
      </c>
    </row>
    <row r="12" spans="1:14" s="219" customFormat="1" ht="40.5" customHeight="1" x14ac:dyDescent="0.2">
      <c r="A12" s="125" t="s">
        <v>357</v>
      </c>
      <c r="B12" s="952" t="s">
        <v>55</v>
      </c>
      <c r="C12" s="953"/>
      <c r="D12" s="953"/>
      <c r="E12" s="953"/>
      <c r="F12" s="953"/>
      <c r="G12" s="954"/>
      <c r="H12" s="126" t="str">
        <f t="shared" si="7"/>
        <v>M3</v>
      </c>
      <c r="I12" s="127">
        <f t="shared" si="8"/>
        <v>4781.8151273333333</v>
      </c>
      <c r="J12" s="127">
        <f t="shared" si="9"/>
        <v>37187.5</v>
      </c>
      <c r="K12" s="127">
        <f t="shared" si="10"/>
        <v>88506.870151835421</v>
      </c>
      <c r="L12" s="127">
        <f t="shared" si="11"/>
        <v>8824.3025466666677</v>
      </c>
      <c r="M12" s="127">
        <f t="shared" si="12"/>
        <v>139300.49000000002</v>
      </c>
      <c r="N12" s="218" t="str">
        <f t="shared" si="6"/>
        <v>G004</v>
      </c>
    </row>
    <row r="13" spans="1:14" s="219" customFormat="1" ht="40.5" customHeight="1" x14ac:dyDescent="0.2">
      <c r="A13" s="125" t="s">
        <v>358</v>
      </c>
      <c r="B13" s="952" t="s">
        <v>56</v>
      </c>
      <c r="C13" s="953"/>
      <c r="D13" s="953"/>
      <c r="E13" s="953"/>
      <c r="F13" s="953"/>
      <c r="G13" s="954"/>
      <c r="H13" s="126" t="str">
        <f t="shared" si="7"/>
        <v>M3</v>
      </c>
      <c r="I13" s="127">
        <f t="shared" si="8"/>
        <v>12439.656991818181</v>
      </c>
      <c r="J13" s="127">
        <f t="shared" si="9"/>
        <v>0</v>
      </c>
      <c r="K13" s="127">
        <f t="shared" si="10"/>
        <v>621.98284959090915</v>
      </c>
      <c r="L13" s="127">
        <f t="shared" si="11"/>
        <v>12033.139836363638</v>
      </c>
      <c r="M13" s="127">
        <f t="shared" si="12"/>
        <v>25094.78</v>
      </c>
      <c r="N13" s="218" t="str">
        <f t="shared" si="6"/>
        <v>G005</v>
      </c>
    </row>
    <row r="14" spans="1:14" s="219" customFormat="1" ht="40.5" customHeight="1" x14ac:dyDescent="0.2">
      <c r="A14" s="125" t="s">
        <v>359</v>
      </c>
      <c r="B14" s="952" t="s">
        <v>84</v>
      </c>
      <c r="C14" s="953"/>
      <c r="D14" s="953"/>
      <c r="E14" s="953"/>
      <c r="F14" s="953"/>
      <c r="G14" s="954"/>
      <c r="H14" s="126" t="str">
        <f t="shared" si="7"/>
        <v>M3</v>
      </c>
      <c r="I14" s="127">
        <f t="shared" si="8"/>
        <v>36573.864792181819</v>
      </c>
      <c r="J14" s="127">
        <f t="shared" si="9"/>
        <v>378547.5</v>
      </c>
      <c r="K14" s="127">
        <f t="shared" si="10"/>
        <v>96697.775339234198</v>
      </c>
      <c r="L14" s="127">
        <f t="shared" si="11"/>
        <v>130359.12943636364</v>
      </c>
      <c r="M14" s="127">
        <f t="shared" si="12"/>
        <v>642178.27</v>
      </c>
      <c r="N14" s="218" t="str">
        <f t="shared" si="6"/>
        <v>G006</v>
      </c>
    </row>
    <row r="15" spans="1:14" s="219" customFormat="1" ht="40.5" customHeight="1" x14ac:dyDescent="0.2">
      <c r="A15" s="125" t="s">
        <v>360</v>
      </c>
      <c r="B15" s="952" t="s">
        <v>66</v>
      </c>
      <c r="C15" s="953"/>
      <c r="D15" s="953"/>
      <c r="E15" s="953"/>
      <c r="F15" s="953"/>
      <c r="G15" s="954"/>
      <c r="H15" s="126" t="str">
        <f t="shared" si="7"/>
        <v>KG</v>
      </c>
      <c r="I15" s="127">
        <f t="shared" si="8"/>
        <v>54.269536260000002</v>
      </c>
      <c r="J15" s="127">
        <f t="shared" si="9"/>
        <v>5014.0650000000005</v>
      </c>
      <c r="K15" s="127">
        <f t="shared" si="10"/>
        <v>250.70325000000003</v>
      </c>
      <c r="L15" s="127">
        <f t="shared" si="11"/>
        <v>1808.9845420000001</v>
      </c>
      <c r="M15" s="127">
        <f t="shared" si="12"/>
        <v>7128.0300000000007</v>
      </c>
      <c r="N15" s="218" t="str">
        <f t="shared" si="6"/>
        <v>G007</v>
      </c>
    </row>
    <row r="16" spans="1:14" s="219" customFormat="1" ht="40.5" customHeight="1" x14ac:dyDescent="0.2">
      <c r="A16" s="125" t="s">
        <v>361</v>
      </c>
      <c r="B16" s="952" t="s">
        <v>90</v>
      </c>
      <c r="C16" s="953"/>
      <c r="D16" s="953"/>
      <c r="E16" s="953"/>
      <c r="F16" s="953"/>
      <c r="G16" s="954"/>
      <c r="H16" s="126" t="str">
        <f t="shared" si="7"/>
        <v>M3-KM</v>
      </c>
      <c r="I16" s="127">
        <f t="shared" si="8"/>
        <v>2578.3333333333335</v>
      </c>
      <c r="J16" s="127">
        <f t="shared" si="9"/>
        <v>0</v>
      </c>
      <c r="K16" s="127">
        <f t="shared" si="10"/>
        <v>2206.6944848867188</v>
      </c>
      <c r="L16" s="127">
        <f t="shared" si="11"/>
        <v>0</v>
      </c>
      <c r="M16" s="127">
        <f t="shared" si="12"/>
        <v>4785.0300000000007</v>
      </c>
      <c r="N16" s="218" t="str">
        <f t="shared" si="6"/>
        <v>G008</v>
      </c>
    </row>
    <row r="17" spans="1:14" s="219" customFormat="1" ht="40.5" customHeight="1" x14ac:dyDescent="0.2">
      <c r="A17" s="125" t="s">
        <v>362</v>
      </c>
      <c r="B17" s="952" t="s">
        <v>92</v>
      </c>
      <c r="C17" s="953"/>
      <c r="D17" s="953"/>
      <c r="E17" s="953"/>
      <c r="F17" s="953"/>
      <c r="G17" s="954"/>
      <c r="H17" s="126" t="str">
        <f t="shared" si="7"/>
        <v>M3</v>
      </c>
      <c r="I17" s="127">
        <f t="shared" si="8"/>
        <v>82.727836375000024</v>
      </c>
      <c r="J17" s="127">
        <f t="shared" si="9"/>
        <v>5000</v>
      </c>
      <c r="K17" s="127">
        <f t="shared" si="10"/>
        <v>0</v>
      </c>
      <c r="L17" s="127">
        <f t="shared" si="11"/>
        <v>1654.5567275000003</v>
      </c>
      <c r="M17" s="127">
        <f t="shared" si="12"/>
        <v>6737.29</v>
      </c>
      <c r="N17" s="218" t="str">
        <f t="shared" si="6"/>
        <v>G009</v>
      </c>
    </row>
    <row r="18" spans="1:14" s="219" customFormat="1" ht="40.5" customHeight="1" x14ac:dyDescent="0.2">
      <c r="A18" s="125" t="s">
        <v>363</v>
      </c>
      <c r="B18" s="956" t="s">
        <v>1702</v>
      </c>
      <c r="C18" s="953"/>
      <c r="D18" s="953"/>
      <c r="E18" s="953"/>
      <c r="F18" s="953"/>
      <c r="G18" s="954"/>
      <c r="H18" s="126" t="e">
        <f t="shared" si="7"/>
        <v>#N/A</v>
      </c>
      <c r="I18" s="127" t="e">
        <f t="shared" si="8"/>
        <v>#N/A</v>
      </c>
      <c r="J18" s="127" t="e">
        <f t="shared" si="9"/>
        <v>#N/A</v>
      </c>
      <c r="K18" s="127" t="e">
        <f t="shared" si="10"/>
        <v>#N/A</v>
      </c>
      <c r="L18" s="127" t="e">
        <f t="shared" si="11"/>
        <v>#N/A</v>
      </c>
      <c r="M18" s="127" t="e">
        <f t="shared" si="12"/>
        <v>#N/A</v>
      </c>
      <c r="N18" s="218"/>
    </row>
    <row r="19" spans="1:14" s="219" customFormat="1" ht="40.5" customHeight="1" x14ac:dyDescent="0.2">
      <c r="A19" s="125" t="s">
        <v>364</v>
      </c>
      <c r="B19" s="952" t="s">
        <v>93</v>
      </c>
      <c r="C19" s="953"/>
      <c r="D19" s="953"/>
      <c r="E19" s="953"/>
      <c r="F19" s="953"/>
      <c r="G19" s="954"/>
      <c r="H19" s="126" t="str">
        <f t="shared" si="7"/>
        <v>UND</v>
      </c>
      <c r="I19" s="127">
        <f t="shared" si="8"/>
        <v>628.73250142500001</v>
      </c>
      <c r="J19" s="127">
        <f t="shared" si="9"/>
        <v>536690</v>
      </c>
      <c r="K19" s="127">
        <f t="shared" si="10"/>
        <v>16100.699999999999</v>
      </c>
      <c r="L19" s="127">
        <f t="shared" si="11"/>
        <v>20957.750047500002</v>
      </c>
      <c r="M19" s="127">
        <f t="shared" si="12"/>
        <v>574377.19000000006</v>
      </c>
      <c r="N19" s="218" t="str">
        <f>A19</f>
        <v>G011</v>
      </c>
    </row>
    <row r="20" spans="1:14" s="219" customFormat="1" ht="40.5" customHeight="1" x14ac:dyDescent="0.2">
      <c r="A20" s="125" t="s">
        <v>365</v>
      </c>
      <c r="B20" s="952" t="s">
        <v>94</v>
      </c>
      <c r="C20" s="953"/>
      <c r="D20" s="953"/>
      <c r="E20" s="953"/>
      <c r="F20" s="953"/>
      <c r="G20" s="954"/>
      <c r="H20" s="126" t="str">
        <f t="shared" si="7"/>
        <v>UND</v>
      </c>
      <c r="I20" s="127">
        <f t="shared" si="8"/>
        <v>628.73250142500001</v>
      </c>
      <c r="J20" s="127">
        <f t="shared" si="9"/>
        <v>548590</v>
      </c>
      <c r="K20" s="127">
        <f t="shared" si="10"/>
        <v>16457.7</v>
      </c>
      <c r="L20" s="127">
        <f t="shared" si="11"/>
        <v>20957.750047500002</v>
      </c>
      <c r="M20" s="127">
        <f t="shared" si="12"/>
        <v>586634.19000000006</v>
      </c>
      <c r="N20" s="218" t="str">
        <f>A20</f>
        <v>G012</v>
      </c>
    </row>
    <row r="21" spans="1:14" s="219" customFormat="1" ht="40.5" customHeight="1" x14ac:dyDescent="0.2">
      <c r="A21" s="125" t="s">
        <v>1703</v>
      </c>
      <c r="B21" s="952" t="s">
        <v>85</v>
      </c>
      <c r="C21" s="953"/>
      <c r="D21" s="953"/>
      <c r="E21" s="953"/>
      <c r="F21" s="953"/>
      <c r="G21" s="954"/>
      <c r="H21" s="126" t="str">
        <f t="shared" si="7"/>
        <v>UND</v>
      </c>
      <c r="I21" s="127">
        <f t="shared" si="8"/>
        <v>628.73250142500001</v>
      </c>
      <c r="J21" s="127">
        <f t="shared" si="9"/>
        <v>599760</v>
      </c>
      <c r="K21" s="127">
        <f t="shared" si="10"/>
        <v>17992.8</v>
      </c>
      <c r="L21" s="127">
        <f t="shared" si="11"/>
        <v>20957.750047500002</v>
      </c>
      <c r="M21" s="127">
        <f t="shared" si="12"/>
        <v>639339.29</v>
      </c>
      <c r="N21" s="218" t="str">
        <f>A21</f>
        <v>G013</v>
      </c>
    </row>
    <row r="22" spans="1:14" s="219" customFormat="1" ht="40.5" customHeight="1" x14ac:dyDescent="0.2">
      <c r="A22" s="125" t="s">
        <v>366</v>
      </c>
      <c r="B22" s="952" t="s">
        <v>95</v>
      </c>
      <c r="C22" s="953"/>
      <c r="D22" s="953"/>
      <c r="E22" s="953"/>
      <c r="F22" s="953"/>
      <c r="G22" s="954"/>
      <c r="H22" s="126" t="str">
        <f t="shared" si="7"/>
        <v>UND</v>
      </c>
      <c r="I22" s="127">
        <f t="shared" si="8"/>
        <v>628.73250142500001</v>
      </c>
      <c r="J22" s="127">
        <f t="shared" si="9"/>
        <v>693770</v>
      </c>
      <c r="K22" s="127">
        <f t="shared" si="10"/>
        <v>20813.099999999999</v>
      </c>
      <c r="L22" s="127">
        <f t="shared" si="11"/>
        <v>20957.750047500002</v>
      </c>
      <c r="M22" s="127">
        <f t="shared" si="12"/>
        <v>736169.59</v>
      </c>
      <c r="N22" s="218" t="str">
        <f>A22</f>
        <v>G014</v>
      </c>
    </row>
    <row r="23" spans="1:14" s="219" customFormat="1" ht="40.5" customHeight="1" x14ac:dyDescent="0.2">
      <c r="A23" s="125" t="s">
        <v>367</v>
      </c>
      <c r="B23" s="952" t="s">
        <v>1583</v>
      </c>
      <c r="C23" s="953"/>
      <c r="D23" s="953"/>
      <c r="E23" s="953"/>
      <c r="F23" s="953"/>
      <c r="G23" s="954"/>
      <c r="H23" s="126" t="str">
        <f t="shared" si="7"/>
        <v>ML</v>
      </c>
      <c r="I23" s="127">
        <f t="shared" si="8"/>
        <v>249.50764589399998</v>
      </c>
      <c r="J23" s="127">
        <f t="shared" si="9"/>
        <v>137208.80166666667</v>
      </c>
      <c r="K23" s="127">
        <f t="shared" si="10"/>
        <v>4123.7492793768197</v>
      </c>
      <c r="L23" s="127">
        <f t="shared" si="11"/>
        <v>8316.9215297999999</v>
      </c>
      <c r="M23" s="127">
        <f t="shared" si="12"/>
        <v>149898.99000000002</v>
      </c>
      <c r="N23" s="218" t="str">
        <f>A23</f>
        <v>G015</v>
      </c>
    </row>
    <row r="24" spans="1:14" s="219" customFormat="1" ht="40.5" customHeight="1" x14ac:dyDescent="0.2">
      <c r="A24" s="125" t="s">
        <v>1701</v>
      </c>
      <c r="B24" s="952" t="s">
        <v>526</v>
      </c>
      <c r="C24" s="953"/>
      <c r="D24" s="953"/>
      <c r="E24" s="953"/>
      <c r="F24" s="953"/>
      <c r="G24" s="954"/>
      <c r="H24" s="126" t="str">
        <f t="shared" si="0"/>
        <v>M2</v>
      </c>
      <c r="I24" s="127">
        <f t="shared" si="1"/>
        <v>124.0926995375</v>
      </c>
      <c r="J24" s="127">
        <f t="shared" si="2"/>
        <v>2431.7649999999999</v>
      </c>
      <c r="K24" s="127">
        <f t="shared" si="3"/>
        <v>127.79288497687499</v>
      </c>
      <c r="L24" s="127">
        <f t="shared" si="4"/>
        <v>2481.8539907499999</v>
      </c>
      <c r="M24" s="127">
        <f t="shared" si="5"/>
        <v>5165.51</v>
      </c>
      <c r="N24" s="218" t="str">
        <f t="shared" ref="N24:N76" si="13">A24</f>
        <v>G016</v>
      </c>
    </row>
    <row r="25" spans="1:14" s="219" customFormat="1" ht="40.5" customHeight="1" x14ac:dyDescent="0.2">
      <c r="A25" s="125" t="s">
        <v>1704</v>
      </c>
      <c r="B25" s="952" t="s">
        <v>87</v>
      </c>
      <c r="C25" s="953"/>
      <c r="D25" s="953"/>
      <c r="E25" s="953"/>
      <c r="F25" s="953"/>
      <c r="G25" s="954"/>
      <c r="H25" s="126" t="str">
        <f t="shared" si="0"/>
        <v>M3</v>
      </c>
      <c r="I25" s="127">
        <f t="shared" si="1"/>
        <v>2057.2857142857142</v>
      </c>
      <c r="J25" s="127">
        <f t="shared" si="2"/>
        <v>0</v>
      </c>
      <c r="K25" s="127">
        <f t="shared" si="3"/>
        <v>0</v>
      </c>
      <c r="L25" s="127">
        <f t="shared" si="4"/>
        <v>41145.714285714283</v>
      </c>
      <c r="M25" s="127">
        <f t="shared" si="5"/>
        <v>43203</v>
      </c>
      <c r="N25" s="218" t="str">
        <f t="shared" si="13"/>
        <v>G017</v>
      </c>
    </row>
    <row r="26" spans="1:14" s="219" customFormat="1" ht="40.5" customHeight="1" x14ac:dyDescent="0.2">
      <c r="A26" s="125" t="s">
        <v>368</v>
      </c>
      <c r="B26" s="952" t="s">
        <v>60</v>
      </c>
      <c r="C26" s="953"/>
      <c r="D26" s="953"/>
      <c r="E26" s="953"/>
      <c r="F26" s="953"/>
      <c r="G26" s="954"/>
      <c r="H26" s="126" t="str">
        <f t="shared" ref="H26:H54" si="14">VLOOKUP(A26,AA_APUS,4,FALSE)</f>
        <v>M3</v>
      </c>
      <c r="I26" s="127">
        <f t="shared" ref="I26:I54" si="15">VLOOKUP(A26,AA_APUS,8,FALSE)</f>
        <v>22756.955701272731</v>
      </c>
      <c r="J26" s="127">
        <f t="shared" ref="J26:J54" si="16">VLOOKUP(A26,AA_APUS,10,FALSE)</f>
        <v>308478</v>
      </c>
      <c r="K26" s="127">
        <f t="shared" ref="K26:K54" si="17">VLOOKUP(A26,AA_APUS,12,FALSE)</f>
        <v>106746.06</v>
      </c>
      <c r="L26" s="127">
        <f t="shared" ref="L26:L54" si="18">VLOOKUP(A26,AA_APUS,14,FALSE)</f>
        <v>130359.12943636364</v>
      </c>
      <c r="M26" s="127">
        <f t="shared" ref="M26:M58" si="19">ROUNDUP(VLOOKUP(A26,AA_APUS,6,FALSE),2)</f>
        <v>568340.15</v>
      </c>
      <c r="N26" s="218" t="str">
        <f t="shared" ref="N26:N58" si="20">A26</f>
        <v>G018</v>
      </c>
    </row>
    <row r="27" spans="1:14" s="219" customFormat="1" ht="40.5" customHeight="1" x14ac:dyDescent="0.2">
      <c r="A27" s="125" t="s">
        <v>1705</v>
      </c>
      <c r="B27" s="952" t="s">
        <v>62</v>
      </c>
      <c r="C27" s="953"/>
      <c r="D27" s="953"/>
      <c r="E27" s="953"/>
      <c r="F27" s="953"/>
      <c r="G27" s="954"/>
      <c r="H27" s="126" t="str">
        <f t="shared" si="14"/>
        <v>M3</v>
      </c>
      <c r="I27" s="127">
        <f t="shared" si="15"/>
        <v>43793.221699815549</v>
      </c>
      <c r="J27" s="127">
        <f t="shared" si="16"/>
        <v>504720.8015</v>
      </c>
      <c r="K27" s="127">
        <f t="shared" si="17"/>
        <v>101897.21452545952</v>
      </c>
      <c r="L27" s="127">
        <f t="shared" si="18"/>
        <v>129055.53814199999</v>
      </c>
      <c r="M27" s="127">
        <f t="shared" si="19"/>
        <v>779466.78</v>
      </c>
      <c r="N27" s="218" t="str">
        <f t="shared" si="20"/>
        <v>G019</v>
      </c>
    </row>
    <row r="28" spans="1:14" s="219" customFormat="1" ht="67.5" customHeight="1" x14ac:dyDescent="0.2">
      <c r="A28" s="125" t="s">
        <v>1706</v>
      </c>
      <c r="B28" s="952" t="s">
        <v>1431</v>
      </c>
      <c r="C28" s="953"/>
      <c r="D28" s="953"/>
      <c r="E28" s="953"/>
      <c r="F28" s="953"/>
      <c r="G28" s="954"/>
      <c r="H28" s="126" t="str">
        <f t="shared" si="14"/>
        <v>UND</v>
      </c>
      <c r="I28" s="127">
        <f t="shared" si="15"/>
        <v>0</v>
      </c>
      <c r="J28" s="127">
        <f t="shared" si="16"/>
        <v>200309600</v>
      </c>
      <c r="K28" s="127">
        <f t="shared" si="17"/>
        <v>0</v>
      </c>
      <c r="L28" s="127">
        <f t="shared" si="18"/>
        <v>0</v>
      </c>
      <c r="M28" s="127">
        <f t="shared" si="19"/>
        <v>200309600</v>
      </c>
      <c r="N28" s="218" t="str">
        <f t="shared" si="20"/>
        <v>G020</v>
      </c>
    </row>
    <row r="29" spans="1:14" s="219" customFormat="1" ht="40.5" customHeight="1" x14ac:dyDescent="0.2">
      <c r="A29" s="125" t="s">
        <v>1707</v>
      </c>
      <c r="B29" s="952" t="s">
        <v>102</v>
      </c>
      <c r="C29" s="953"/>
      <c r="D29" s="953"/>
      <c r="E29" s="953"/>
      <c r="F29" s="953"/>
      <c r="G29" s="954"/>
      <c r="H29" s="126" t="str">
        <f t="shared" si="14"/>
        <v>M3</v>
      </c>
      <c r="I29" s="127">
        <f t="shared" si="15"/>
        <v>21750.911345500001</v>
      </c>
      <c r="J29" s="127">
        <f t="shared" si="16"/>
        <v>0</v>
      </c>
      <c r="K29" s="127">
        <f t="shared" si="17"/>
        <v>1087.5455672750002</v>
      </c>
      <c r="L29" s="127">
        <f t="shared" si="18"/>
        <v>6618.2269100000012</v>
      </c>
      <c r="M29" s="127">
        <f t="shared" si="19"/>
        <v>29456.69</v>
      </c>
      <c r="N29" s="218" t="str">
        <f t="shared" si="20"/>
        <v>G021</v>
      </c>
    </row>
    <row r="30" spans="1:14" s="219" customFormat="1" ht="40.5" customHeight="1" x14ac:dyDescent="0.2">
      <c r="A30" s="125" t="s">
        <v>1708</v>
      </c>
      <c r="B30" s="952" t="s">
        <v>104</v>
      </c>
      <c r="C30" s="953"/>
      <c r="D30" s="953"/>
      <c r="E30" s="953"/>
      <c r="F30" s="953"/>
      <c r="G30" s="954"/>
      <c r="H30" s="126" t="str">
        <f t="shared" si="14"/>
        <v>M2</v>
      </c>
      <c r="I30" s="127">
        <f t="shared" si="15"/>
        <v>1066.2719910000001</v>
      </c>
      <c r="J30" s="127">
        <f t="shared" si="16"/>
        <v>18242.7</v>
      </c>
      <c r="K30" s="127">
        <f t="shared" si="17"/>
        <v>912.1350000000001</v>
      </c>
      <c r="L30" s="127">
        <f t="shared" si="18"/>
        <v>21325.43982</v>
      </c>
      <c r="M30" s="127">
        <f t="shared" si="19"/>
        <v>41546.550000000003</v>
      </c>
      <c r="N30" s="218" t="str">
        <f t="shared" si="20"/>
        <v>G022</v>
      </c>
    </row>
    <row r="31" spans="1:14" s="219" customFormat="1" ht="40.5" customHeight="1" x14ac:dyDescent="0.2">
      <c r="A31" s="125" t="s">
        <v>1709</v>
      </c>
      <c r="B31" s="952" t="s">
        <v>83</v>
      </c>
      <c r="C31" s="953"/>
      <c r="D31" s="953"/>
      <c r="E31" s="953"/>
      <c r="F31" s="953"/>
      <c r="G31" s="954"/>
      <c r="H31" s="126" t="str">
        <f t="shared" si="14"/>
        <v>M2</v>
      </c>
      <c r="I31" s="127">
        <f t="shared" si="15"/>
        <v>1332.83998875</v>
      </c>
      <c r="J31" s="127">
        <f t="shared" si="16"/>
        <v>23597.343000000001</v>
      </c>
      <c r="K31" s="127">
        <f t="shared" si="17"/>
        <v>1179.86715</v>
      </c>
      <c r="L31" s="127">
        <f t="shared" si="18"/>
        <v>26656.799774999999</v>
      </c>
      <c r="M31" s="127">
        <f t="shared" si="19"/>
        <v>52766.85</v>
      </c>
      <c r="N31" s="218" t="str">
        <f t="shared" si="20"/>
        <v>G023</v>
      </c>
    </row>
    <row r="32" spans="1:14" s="219" customFormat="1" ht="40.5" customHeight="1" x14ac:dyDescent="0.2">
      <c r="A32" s="125" t="s">
        <v>1710</v>
      </c>
      <c r="B32" s="952" t="s">
        <v>110</v>
      </c>
      <c r="C32" s="953"/>
      <c r="D32" s="953"/>
      <c r="E32" s="953"/>
      <c r="F32" s="953"/>
      <c r="G32" s="954"/>
      <c r="H32" s="126" t="str">
        <f t="shared" si="14"/>
        <v>M3</v>
      </c>
      <c r="I32" s="127">
        <f t="shared" si="15"/>
        <v>277.4937907756813</v>
      </c>
      <c r="J32" s="127">
        <f t="shared" si="16"/>
        <v>118702.5</v>
      </c>
      <c r="K32" s="127">
        <f t="shared" si="17"/>
        <v>88267.779395468751</v>
      </c>
      <c r="L32" s="127">
        <f t="shared" si="18"/>
        <v>9249.7930258560446</v>
      </c>
      <c r="M32" s="127">
        <f t="shared" si="19"/>
        <v>216497.57</v>
      </c>
      <c r="N32" s="218" t="str">
        <f t="shared" si="20"/>
        <v>G024</v>
      </c>
    </row>
    <row r="33" spans="1:14" s="219" customFormat="1" ht="40.5" customHeight="1" x14ac:dyDescent="0.2">
      <c r="A33" s="125" t="s">
        <v>369</v>
      </c>
      <c r="B33" s="952" t="s">
        <v>115</v>
      </c>
      <c r="C33" s="953"/>
      <c r="D33" s="953"/>
      <c r="E33" s="953"/>
      <c r="F33" s="953"/>
      <c r="G33" s="954"/>
      <c r="H33" s="126" t="str">
        <f t="shared" si="14"/>
        <v>M3</v>
      </c>
      <c r="I33" s="127">
        <f t="shared" si="15"/>
        <v>22529.386144259995</v>
      </c>
      <c r="J33" s="127">
        <f t="shared" si="16"/>
        <v>308138</v>
      </c>
      <c r="K33" s="127">
        <f t="shared" si="17"/>
        <v>94198.700979796544</v>
      </c>
      <c r="L33" s="127">
        <f t="shared" si="18"/>
        <v>129055.53814199999</v>
      </c>
      <c r="M33" s="127">
        <f t="shared" si="19"/>
        <v>553921.63</v>
      </c>
      <c r="N33" s="218" t="str">
        <f t="shared" si="20"/>
        <v>G025</v>
      </c>
    </row>
    <row r="34" spans="1:14" s="219" customFormat="1" ht="40.5" customHeight="1" x14ac:dyDescent="0.2">
      <c r="A34" s="125" t="s">
        <v>370</v>
      </c>
      <c r="B34" s="952" t="s">
        <v>64</v>
      </c>
      <c r="C34" s="953"/>
      <c r="D34" s="953"/>
      <c r="E34" s="953"/>
      <c r="F34" s="953"/>
      <c r="G34" s="954"/>
      <c r="H34" s="126" t="str">
        <f t="shared" si="14"/>
        <v>M3</v>
      </c>
      <c r="I34" s="127">
        <f t="shared" si="15"/>
        <v>38789.236907099999</v>
      </c>
      <c r="J34" s="127">
        <f t="shared" si="16"/>
        <v>1253276.8969932001</v>
      </c>
      <c r="K34" s="127">
        <f t="shared" si="17"/>
        <v>100871.23054768176</v>
      </c>
      <c r="L34" s="127">
        <f t="shared" si="18"/>
        <v>129055.53814199999</v>
      </c>
      <c r="M34" s="127">
        <f t="shared" si="19"/>
        <v>1521992.91</v>
      </c>
      <c r="N34" s="218" t="str">
        <f t="shared" si="20"/>
        <v>G026</v>
      </c>
    </row>
    <row r="35" spans="1:14" s="219" customFormat="1" ht="40.5" customHeight="1" x14ac:dyDescent="0.2">
      <c r="A35" s="125" t="s">
        <v>1711</v>
      </c>
      <c r="B35" s="952" t="s">
        <v>65</v>
      </c>
      <c r="C35" s="953"/>
      <c r="D35" s="953"/>
      <c r="E35" s="953"/>
      <c r="F35" s="953"/>
      <c r="G35" s="954"/>
      <c r="H35" s="126" t="str">
        <f t="shared" si="14"/>
        <v>M3</v>
      </c>
      <c r="I35" s="127">
        <f t="shared" si="15"/>
        <v>36208.126144259993</v>
      </c>
      <c r="J35" s="127">
        <f t="shared" si="16"/>
        <v>794928.80150000006</v>
      </c>
      <c r="K35" s="127">
        <f t="shared" si="17"/>
        <v>109500.03722479656</v>
      </c>
      <c r="L35" s="127">
        <f t="shared" si="18"/>
        <v>129055.53814199999</v>
      </c>
      <c r="M35" s="127">
        <f t="shared" si="19"/>
        <v>1069692.51</v>
      </c>
      <c r="N35" s="218" t="str">
        <f t="shared" si="20"/>
        <v>G027</v>
      </c>
    </row>
    <row r="36" spans="1:14" s="219" customFormat="1" ht="40.5" customHeight="1" x14ac:dyDescent="0.2">
      <c r="A36" s="125" t="s">
        <v>371</v>
      </c>
      <c r="B36" s="952" t="s">
        <v>127</v>
      </c>
      <c r="C36" s="953"/>
      <c r="D36" s="953"/>
      <c r="E36" s="953"/>
      <c r="F36" s="953"/>
      <c r="G36" s="954"/>
      <c r="H36" s="126" t="str">
        <f t="shared" si="14"/>
        <v>UND</v>
      </c>
      <c r="I36" s="127">
        <f t="shared" si="15"/>
        <v>5239.4375118750004</v>
      </c>
      <c r="J36" s="127">
        <f t="shared" si="16"/>
        <v>3034500</v>
      </c>
      <c r="K36" s="127">
        <f t="shared" si="17"/>
        <v>0</v>
      </c>
      <c r="L36" s="127">
        <f t="shared" si="18"/>
        <v>104788.7502375</v>
      </c>
      <c r="M36" s="127">
        <f t="shared" si="19"/>
        <v>3144528.19</v>
      </c>
      <c r="N36" s="218" t="str">
        <f t="shared" si="20"/>
        <v>G028</v>
      </c>
    </row>
    <row r="37" spans="1:14" s="219" customFormat="1" ht="40.5" customHeight="1" x14ac:dyDescent="0.2">
      <c r="A37" s="125" t="s">
        <v>372</v>
      </c>
      <c r="B37" s="952" t="s">
        <v>129</v>
      </c>
      <c r="C37" s="953"/>
      <c r="D37" s="953"/>
      <c r="E37" s="953"/>
      <c r="F37" s="953"/>
      <c r="G37" s="954"/>
      <c r="H37" s="126" t="str">
        <f t="shared" si="14"/>
        <v>UND</v>
      </c>
      <c r="I37" s="127">
        <f t="shared" si="15"/>
        <v>6287.3250142500001</v>
      </c>
      <c r="J37" s="127">
        <f t="shared" si="16"/>
        <v>5462100</v>
      </c>
      <c r="K37" s="127">
        <f t="shared" si="17"/>
        <v>0</v>
      </c>
      <c r="L37" s="127">
        <f t="shared" si="18"/>
        <v>125746.500285</v>
      </c>
      <c r="M37" s="127">
        <f t="shared" si="19"/>
        <v>5594133.8300000001</v>
      </c>
      <c r="N37" s="218" t="str">
        <f t="shared" si="20"/>
        <v>G029</v>
      </c>
    </row>
    <row r="38" spans="1:14" s="219" customFormat="1" ht="40.5" customHeight="1" x14ac:dyDescent="0.2">
      <c r="A38" s="125" t="s">
        <v>373</v>
      </c>
      <c r="B38" s="952" t="s">
        <v>131</v>
      </c>
      <c r="C38" s="953"/>
      <c r="D38" s="953"/>
      <c r="E38" s="953"/>
      <c r="F38" s="953"/>
      <c r="G38" s="954"/>
      <c r="H38" s="126" t="str">
        <f t="shared" si="14"/>
        <v>UND</v>
      </c>
      <c r="I38" s="127">
        <f t="shared" si="15"/>
        <v>5239.4375118750004</v>
      </c>
      <c r="J38" s="127">
        <f t="shared" si="16"/>
        <v>1178100</v>
      </c>
      <c r="K38" s="127">
        <f t="shared" si="17"/>
        <v>0</v>
      </c>
      <c r="L38" s="127">
        <f t="shared" si="18"/>
        <v>104788.7502375</v>
      </c>
      <c r="M38" s="127">
        <f t="shared" si="19"/>
        <v>1288128.19</v>
      </c>
      <c r="N38" s="218" t="str">
        <f t="shared" si="20"/>
        <v>G030</v>
      </c>
    </row>
    <row r="39" spans="1:14" s="219" customFormat="1" ht="40.5" customHeight="1" x14ac:dyDescent="0.2">
      <c r="A39" s="125" t="s">
        <v>374</v>
      </c>
      <c r="B39" s="952" t="s">
        <v>78</v>
      </c>
      <c r="C39" s="953"/>
      <c r="D39" s="953"/>
      <c r="E39" s="953"/>
      <c r="F39" s="953"/>
      <c r="G39" s="954"/>
      <c r="H39" s="126" t="str">
        <f t="shared" si="14"/>
        <v>UND</v>
      </c>
      <c r="I39" s="127">
        <f t="shared" si="15"/>
        <v>5239.4375118750004</v>
      </c>
      <c r="J39" s="127">
        <f t="shared" si="16"/>
        <v>3036880</v>
      </c>
      <c r="K39" s="127">
        <f t="shared" si="17"/>
        <v>0</v>
      </c>
      <c r="L39" s="127">
        <f t="shared" si="18"/>
        <v>104788.7502375</v>
      </c>
      <c r="M39" s="127">
        <f t="shared" si="19"/>
        <v>3146908.19</v>
      </c>
      <c r="N39" s="218" t="str">
        <f t="shared" si="20"/>
        <v>G031</v>
      </c>
    </row>
    <row r="40" spans="1:14" s="219" customFormat="1" ht="40.5" customHeight="1" x14ac:dyDescent="0.2">
      <c r="A40" s="125" t="s">
        <v>375</v>
      </c>
      <c r="B40" s="952" t="s">
        <v>134</v>
      </c>
      <c r="C40" s="953"/>
      <c r="D40" s="953"/>
      <c r="E40" s="953"/>
      <c r="F40" s="953"/>
      <c r="G40" s="954"/>
      <c r="H40" s="126" t="str">
        <f t="shared" si="14"/>
        <v>UND</v>
      </c>
      <c r="I40" s="127">
        <f t="shared" si="15"/>
        <v>3998.5199662500004</v>
      </c>
      <c r="J40" s="127">
        <f t="shared" si="16"/>
        <v>404600</v>
      </c>
      <c r="K40" s="127">
        <f t="shared" si="17"/>
        <v>0</v>
      </c>
      <c r="L40" s="127">
        <f t="shared" si="18"/>
        <v>79970.399325000006</v>
      </c>
      <c r="M40" s="127">
        <f t="shared" si="19"/>
        <v>488568.92</v>
      </c>
      <c r="N40" s="218" t="str">
        <f t="shared" si="20"/>
        <v>G032</v>
      </c>
    </row>
    <row r="41" spans="1:14" s="219" customFormat="1" ht="40.5" customHeight="1" x14ac:dyDescent="0.2">
      <c r="A41" s="125" t="s">
        <v>376</v>
      </c>
      <c r="B41" s="952" t="s">
        <v>136</v>
      </c>
      <c r="C41" s="953"/>
      <c r="D41" s="953"/>
      <c r="E41" s="953"/>
      <c r="F41" s="953"/>
      <c r="G41" s="954"/>
      <c r="H41" s="126" t="str">
        <f t="shared" si="14"/>
        <v>UND</v>
      </c>
      <c r="I41" s="127">
        <f t="shared" si="15"/>
        <v>5239.4375118750004</v>
      </c>
      <c r="J41" s="127">
        <f t="shared" si="16"/>
        <v>618800</v>
      </c>
      <c r="K41" s="127">
        <f t="shared" si="17"/>
        <v>0</v>
      </c>
      <c r="L41" s="127">
        <f t="shared" si="18"/>
        <v>104788.7502375</v>
      </c>
      <c r="M41" s="127">
        <f t="shared" si="19"/>
        <v>728828.19000000006</v>
      </c>
      <c r="N41" s="218" t="str">
        <f t="shared" si="20"/>
        <v>G033</v>
      </c>
    </row>
    <row r="42" spans="1:14" s="219" customFormat="1" ht="40.5" customHeight="1" x14ac:dyDescent="0.2">
      <c r="A42" s="125" t="s">
        <v>377</v>
      </c>
      <c r="B42" s="952" t="s">
        <v>86</v>
      </c>
      <c r="C42" s="953"/>
      <c r="D42" s="953"/>
      <c r="E42" s="953"/>
      <c r="F42" s="953"/>
      <c r="G42" s="954"/>
      <c r="H42" s="126" t="str">
        <f t="shared" si="14"/>
        <v>UND</v>
      </c>
      <c r="I42" s="127">
        <f t="shared" si="15"/>
        <v>5239.4375118750004</v>
      </c>
      <c r="J42" s="127">
        <f t="shared" si="16"/>
        <v>904400</v>
      </c>
      <c r="K42" s="127">
        <f t="shared" si="17"/>
        <v>0</v>
      </c>
      <c r="L42" s="127">
        <f t="shared" si="18"/>
        <v>104788.7502375</v>
      </c>
      <c r="M42" s="127">
        <f t="shared" si="19"/>
        <v>1014428.1900000001</v>
      </c>
      <c r="N42" s="218" t="str">
        <f t="shared" si="20"/>
        <v>G034</v>
      </c>
    </row>
    <row r="43" spans="1:14" s="219" customFormat="1" ht="40.5" customHeight="1" x14ac:dyDescent="0.2">
      <c r="A43" s="125" t="s">
        <v>378</v>
      </c>
      <c r="B43" s="952" t="s">
        <v>139</v>
      </c>
      <c r="C43" s="953"/>
      <c r="D43" s="953"/>
      <c r="E43" s="953"/>
      <c r="F43" s="953"/>
      <c r="G43" s="954"/>
      <c r="H43" s="126" t="str">
        <f t="shared" si="14"/>
        <v>UND</v>
      </c>
      <c r="I43" s="127">
        <f t="shared" si="15"/>
        <v>6287.3250142500001</v>
      </c>
      <c r="J43" s="127">
        <f t="shared" si="16"/>
        <v>3415300</v>
      </c>
      <c r="K43" s="127">
        <f t="shared" si="17"/>
        <v>0</v>
      </c>
      <c r="L43" s="127">
        <f t="shared" si="18"/>
        <v>125746.500285</v>
      </c>
      <c r="M43" s="127">
        <f t="shared" si="19"/>
        <v>3547333.8299999996</v>
      </c>
      <c r="N43" s="218" t="str">
        <f t="shared" si="20"/>
        <v>G035</v>
      </c>
    </row>
    <row r="44" spans="1:14" s="219" customFormat="1" ht="40.5" customHeight="1" x14ac:dyDescent="0.2">
      <c r="A44" s="125" t="s">
        <v>379</v>
      </c>
      <c r="B44" s="952" t="s">
        <v>141</v>
      </c>
      <c r="C44" s="953"/>
      <c r="D44" s="953"/>
      <c r="E44" s="953"/>
      <c r="F44" s="953"/>
      <c r="G44" s="954"/>
      <c r="H44" s="126" t="str">
        <f t="shared" si="14"/>
        <v>UND</v>
      </c>
      <c r="I44" s="127">
        <f t="shared" si="15"/>
        <v>5261.4960633000001</v>
      </c>
      <c r="J44" s="127">
        <f t="shared" si="16"/>
        <v>4998000</v>
      </c>
      <c r="K44" s="127">
        <f t="shared" si="17"/>
        <v>0</v>
      </c>
      <c r="L44" s="127">
        <f t="shared" si="18"/>
        <v>175383.20211000001</v>
      </c>
      <c r="M44" s="127">
        <f t="shared" si="19"/>
        <v>5178644.7</v>
      </c>
      <c r="N44" s="218" t="str">
        <f t="shared" si="20"/>
        <v>G036</v>
      </c>
    </row>
    <row r="45" spans="1:14" s="219" customFormat="1" ht="40.5" customHeight="1" x14ac:dyDescent="0.2">
      <c r="A45" s="125" t="s">
        <v>380</v>
      </c>
      <c r="B45" s="952" t="s">
        <v>143</v>
      </c>
      <c r="C45" s="953"/>
      <c r="D45" s="953"/>
      <c r="E45" s="953"/>
      <c r="F45" s="953"/>
      <c r="G45" s="954"/>
      <c r="H45" s="126" t="str">
        <f t="shared" si="14"/>
        <v>UND</v>
      </c>
      <c r="I45" s="127">
        <f t="shared" si="15"/>
        <v>5956.404219</v>
      </c>
      <c r="J45" s="127">
        <f t="shared" si="16"/>
        <v>4096190.625</v>
      </c>
      <c r="K45" s="127">
        <f t="shared" si="17"/>
        <v>0</v>
      </c>
      <c r="L45" s="127">
        <f t="shared" si="18"/>
        <v>119128.08438</v>
      </c>
      <c r="M45" s="127">
        <f t="shared" si="19"/>
        <v>4221275.12</v>
      </c>
      <c r="N45" s="218" t="str">
        <f t="shared" si="20"/>
        <v>G037</v>
      </c>
    </row>
    <row r="46" spans="1:14" s="219" customFormat="1" ht="40.5" customHeight="1" x14ac:dyDescent="0.2">
      <c r="A46" s="125" t="s">
        <v>381</v>
      </c>
      <c r="B46" s="952" t="s">
        <v>145</v>
      </c>
      <c r="C46" s="953"/>
      <c r="D46" s="953"/>
      <c r="E46" s="953"/>
      <c r="F46" s="953"/>
      <c r="G46" s="954"/>
      <c r="H46" s="126" t="str">
        <f t="shared" si="14"/>
        <v>UND</v>
      </c>
      <c r="I46" s="127">
        <f t="shared" si="15"/>
        <v>3198.8159730000007</v>
      </c>
      <c r="J46" s="127">
        <f t="shared" si="16"/>
        <v>792211.23405861156</v>
      </c>
      <c r="K46" s="127">
        <f t="shared" si="17"/>
        <v>31743.274131983333</v>
      </c>
      <c r="L46" s="127">
        <f t="shared" si="18"/>
        <v>63976.319460000006</v>
      </c>
      <c r="M46" s="127">
        <f t="shared" si="19"/>
        <v>891129.65</v>
      </c>
      <c r="N46" s="218" t="str">
        <f t="shared" si="20"/>
        <v>G038</v>
      </c>
    </row>
    <row r="47" spans="1:14" s="219" customFormat="1" ht="40.5" customHeight="1" x14ac:dyDescent="0.2">
      <c r="A47" s="125" t="s">
        <v>1712</v>
      </c>
      <c r="B47" s="952" t="s">
        <v>77</v>
      </c>
      <c r="C47" s="953"/>
      <c r="D47" s="953"/>
      <c r="E47" s="953"/>
      <c r="F47" s="953"/>
      <c r="G47" s="954"/>
      <c r="H47" s="126" t="str">
        <f t="shared" si="14"/>
        <v>UND</v>
      </c>
      <c r="I47" s="127">
        <f t="shared" si="15"/>
        <v>3049.7039932500002</v>
      </c>
      <c r="J47" s="127">
        <f t="shared" si="16"/>
        <v>91630</v>
      </c>
      <c r="K47" s="127">
        <f t="shared" si="17"/>
        <v>4581.5</v>
      </c>
      <c r="L47" s="127">
        <f t="shared" si="18"/>
        <v>15994.079865000002</v>
      </c>
      <c r="M47" s="127">
        <f t="shared" si="19"/>
        <v>115255.29</v>
      </c>
      <c r="N47" s="218" t="str">
        <f t="shared" si="20"/>
        <v>G039</v>
      </c>
    </row>
    <row r="48" spans="1:14" s="219" customFormat="1" ht="40.5" customHeight="1" x14ac:dyDescent="0.2">
      <c r="A48" s="125" t="s">
        <v>382</v>
      </c>
      <c r="B48" s="952" t="s">
        <v>153</v>
      </c>
      <c r="C48" s="953"/>
      <c r="D48" s="953"/>
      <c r="E48" s="953"/>
      <c r="F48" s="953"/>
      <c r="G48" s="954"/>
      <c r="H48" s="126" t="str">
        <f t="shared" si="14"/>
        <v>UND</v>
      </c>
      <c r="I48" s="127">
        <f t="shared" si="15"/>
        <v>198.54680730000004</v>
      </c>
      <c r="J48" s="127">
        <f t="shared" si="16"/>
        <v>648102</v>
      </c>
      <c r="K48" s="127">
        <f t="shared" si="17"/>
        <v>19443.059999999998</v>
      </c>
      <c r="L48" s="127">
        <f t="shared" si="18"/>
        <v>6618.2269100000012</v>
      </c>
      <c r="M48" s="127">
        <f t="shared" si="19"/>
        <v>674361.84</v>
      </c>
      <c r="N48" s="218" t="str">
        <f t="shared" si="20"/>
        <v>G040</v>
      </c>
    </row>
    <row r="49" spans="1:14" s="219" customFormat="1" ht="40.5" customHeight="1" x14ac:dyDescent="0.2">
      <c r="A49" s="125" t="s">
        <v>383</v>
      </c>
      <c r="B49" s="952" t="s">
        <v>154</v>
      </c>
      <c r="C49" s="953"/>
      <c r="D49" s="953"/>
      <c r="E49" s="953"/>
      <c r="F49" s="953"/>
      <c r="G49" s="954"/>
      <c r="H49" s="126" t="str">
        <f t="shared" si="14"/>
        <v>UND</v>
      </c>
      <c r="I49" s="127">
        <f t="shared" si="15"/>
        <v>0</v>
      </c>
      <c r="J49" s="127">
        <f t="shared" si="16"/>
        <v>783591.07308586792</v>
      </c>
      <c r="K49" s="127">
        <f t="shared" si="17"/>
        <v>0</v>
      </c>
      <c r="L49" s="127">
        <f t="shared" si="18"/>
        <v>158286.147425</v>
      </c>
      <c r="M49" s="127">
        <f t="shared" si="19"/>
        <v>941877.23</v>
      </c>
      <c r="N49" s="218" t="str">
        <f t="shared" si="20"/>
        <v>G041</v>
      </c>
    </row>
    <row r="50" spans="1:14" s="219" customFormat="1" ht="40.5" customHeight="1" x14ac:dyDescent="0.2">
      <c r="A50" s="125" t="s">
        <v>384</v>
      </c>
      <c r="B50" s="952" t="s">
        <v>155</v>
      </c>
      <c r="C50" s="953"/>
      <c r="D50" s="953"/>
      <c r="E50" s="953"/>
      <c r="F50" s="953"/>
      <c r="G50" s="954"/>
      <c r="H50" s="126" t="str">
        <f t="shared" si="14"/>
        <v>UND</v>
      </c>
      <c r="I50" s="127">
        <f t="shared" si="15"/>
        <v>0</v>
      </c>
      <c r="J50" s="127">
        <f t="shared" si="16"/>
        <v>4591769.4784229435</v>
      </c>
      <c r="K50" s="127">
        <f t="shared" si="17"/>
        <v>0</v>
      </c>
      <c r="L50" s="127">
        <f t="shared" si="18"/>
        <v>633144.58970000001</v>
      </c>
      <c r="M50" s="127">
        <f t="shared" si="19"/>
        <v>5224914.0699999994</v>
      </c>
      <c r="N50" s="218" t="str">
        <f t="shared" si="20"/>
        <v>G042</v>
      </c>
    </row>
    <row r="51" spans="1:14" s="219" customFormat="1" ht="40.5" customHeight="1" x14ac:dyDescent="0.2">
      <c r="A51" s="125" t="s">
        <v>385</v>
      </c>
      <c r="B51" s="952" t="s">
        <v>1584</v>
      </c>
      <c r="C51" s="953"/>
      <c r="D51" s="953"/>
      <c r="E51" s="953"/>
      <c r="F51" s="953"/>
      <c r="G51" s="954"/>
      <c r="H51" s="126" t="str">
        <f t="shared" si="14"/>
        <v>ML</v>
      </c>
      <c r="I51" s="127">
        <f t="shared" si="15"/>
        <v>65939.273333333331</v>
      </c>
      <c r="J51" s="127">
        <f t="shared" si="16"/>
        <v>523.94375118750008</v>
      </c>
      <c r="K51" s="127">
        <f t="shared" si="17"/>
        <v>3323.1608542260419</v>
      </c>
      <c r="L51" s="127">
        <f t="shared" si="18"/>
        <v>10478.875023750001</v>
      </c>
      <c r="M51" s="127">
        <f t="shared" si="19"/>
        <v>80265.259999999995</v>
      </c>
      <c r="N51" s="218" t="str">
        <f t="shared" si="20"/>
        <v>G043</v>
      </c>
    </row>
    <row r="52" spans="1:14" s="219" customFormat="1" ht="40.5" customHeight="1" x14ac:dyDescent="0.2">
      <c r="A52" s="125" t="s">
        <v>386</v>
      </c>
      <c r="B52" s="952" t="s">
        <v>148</v>
      </c>
      <c r="C52" s="953"/>
      <c r="D52" s="953"/>
      <c r="E52" s="953"/>
      <c r="F52" s="953"/>
      <c r="G52" s="954"/>
      <c r="H52" s="126" t="str">
        <f t="shared" si="14"/>
        <v>ML</v>
      </c>
      <c r="I52" s="127">
        <f t="shared" si="15"/>
        <v>6783.6920325000001</v>
      </c>
      <c r="J52" s="127">
        <f t="shared" si="16"/>
        <v>346524.61540615582</v>
      </c>
      <c r="K52" s="127">
        <f t="shared" si="17"/>
        <v>17665.415371932791</v>
      </c>
      <c r="L52" s="127">
        <f t="shared" si="18"/>
        <v>135673.84065</v>
      </c>
      <c r="M52" s="127">
        <f t="shared" si="19"/>
        <v>506647.57</v>
      </c>
      <c r="N52" s="218" t="str">
        <f t="shared" si="20"/>
        <v>G044</v>
      </c>
    </row>
    <row r="53" spans="1:14" s="219" customFormat="1" ht="40.5" customHeight="1" x14ac:dyDescent="0.2">
      <c r="A53" s="125" t="s">
        <v>387</v>
      </c>
      <c r="B53" s="952" t="s">
        <v>150</v>
      </c>
      <c r="C53" s="953"/>
      <c r="D53" s="953"/>
      <c r="E53" s="953"/>
      <c r="F53" s="953"/>
      <c r="G53" s="954"/>
      <c r="H53" s="126" t="str">
        <f t="shared" si="14"/>
        <v>UND</v>
      </c>
      <c r="I53" s="127">
        <f t="shared" si="15"/>
        <v>91201.568545999995</v>
      </c>
      <c r="J53" s="127">
        <f t="shared" si="16"/>
        <v>1087839.0109200608</v>
      </c>
      <c r="K53" s="127">
        <f t="shared" si="17"/>
        <v>54391.950546003041</v>
      </c>
      <c r="L53" s="127">
        <f t="shared" si="18"/>
        <v>225020.47091999999</v>
      </c>
      <c r="M53" s="127">
        <f t="shared" si="19"/>
        <v>1458453.01</v>
      </c>
      <c r="N53" s="218" t="str">
        <f t="shared" si="20"/>
        <v>G045</v>
      </c>
    </row>
    <row r="54" spans="1:14" s="219" customFormat="1" ht="40.5" customHeight="1" x14ac:dyDescent="0.2">
      <c r="A54" s="125" t="s">
        <v>388</v>
      </c>
      <c r="B54" s="952" t="s">
        <v>152</v>
      </c>
      <c r="C54" s="953"/>
      <c r="D54" s="953"/>
      <c r="E54" s="953"/>
      <c r="F54" s="953"/>
      <c r="G54" s="954"/>
      <c r="H54" s="126" t="str">
        <f t="shared" si="14"/>
        <v>UND</v>
      </c>
      <c r="I54" s="127">
        <f t="shared" si="15"/>
        <v>198227.675319</v>
      </c>
      <c r="J54" s="127">
        <f t="shared" si="16"/>
        <v>4058620.3225339414</v>
      </c>
      <c r="K54" s="127">
        <f t="shared" si="17"/>
        <v>202931.01612669707</v>
      </c>
      <c r="L54" s="127">
        <f t="shared" si="18"/>
        <v>337530.70637999999</v>
      </c>
      <c r="M54" s="127">
        <f t="shared" si="19"/>
        <v>4797309.7299999995</v>
      </c>
      <c r="N54" s="218" t="str">
        <f t="shared" si="20"/>
        <v>G046</v>
      </c>
    </row>
    <row r="55" spans="1:14" s="220" customFormat="1" ht="40.5" customHeight="1" x14ac:dyDescent="0.2">
      <c r="A55" s="125" t="s">
        <v>1713</v>
      </c>
      <c r="B55" s="952" t="s">
        <v>1530</v>
      </c>
      <c r="C55" s="953"/>
      <c r="D55" s="953"/>
      <c r="E55" s="953"/>
      <c r="F55" s="953"/>
      <c r="G55" s="954"/>
      <c r="H55" s="126" t="str">
        <f t="shared" ref="H55" si="21">VLOOKUP(A55,AA_APUS,4,FALSE)</f>
        <v>M</v>
      </c>
      <c r="I55" s="127">
        <f t="shared" ref="I55" si="22">VLOOKUP(A55,AA_APUS,8,FALSE)</f>
        <v>6713.3079167600008</v>
      </c>
      <c r="J55" s="127">
        <f t="shared" ref="J55" si="23">VLOOKUP(A55,AA_APUS,10,FALSE)</f>
        <v>400</v>
      </c>
      <c r="K55" s="127">
        <f t="shared" ref="K55" si="24">VLOOKUP(A55,AA_APUS,12,FALSE)</f>
        <v>201.39923750280002</v>
      </c>
      <c r="L55" s="127">
        <f t="shared" ref="L55" si="25">VLOOKUP(A55,AA_APUS,14,FALSE)</f>
        <v>12795.263892000001</v>
      </c>
      <c r="M55" s="127">
        <f t="shared" si="19"/>
        <v>20109.98</v>
      </c>
      <c r="N55" s="218" t="str">
        <f t="shared" si="20"/>
        <v>G047</v>
      </c>
    </row>
    <row r="56" spans="1:14" s="220" customFormat="1" ht="40.5" customHeight="1" x14ac:dyDescent="0.2">
      <c r="A56" s="125" t="s">
        <v>1714</v>
      </c>
      <c r="B56" s="952" t="s">
        <v>1531</v>
      </c>
      <c r="C56" s="953"/>
      <c r="D56" s="953"/>
      <c r="E56" s="953"/>
      <c r="F56" s="953"/>
      <c r="G56" s="954"/>
      <c r="H56" s="126" t="str">
        <f>VLOOKUP(A56,AA_APUS,4,FALSE)</f>
        <v>M3</v>
      </c>
      <c r="I56" s="127">
        <f>VLOOKUP(A56,AA_APUS,8,FALSE)</f>
        <v>17103.378931285715</v>
      </c>
      <c r="J56" s="127">
        <f>VLOOKUP(A56,AA_APUS,10,FALSE)</f>
        <v>8000</v>
      </c>
      <c r="K56" s="127">
        <f>VLOOKUP(A56,AA_APUS,12,FALSE)</f>
        <v>513.10136793857146</v>
      </c>
      <c r="L56" s="127">
        <f>VLOOKUP(A56,AA_APUS,14,FALSE)</f>
        <v>45697.371042857143</v>
      </c>
      <c r="M56" s="127">
        <f t="shared" si="19"/>
        <v>71313.86</v>
      </c>
      <c r="N56" s="218" t="str">
        <f t="shared" si="20"/>
        <v>G048</v>
      </c>
    </row>
    <row r="57" spans="1:14" s="220" customFormat="1" ht="40.5" customHeight="1" x14ac:dyDescent="0.2">
      <c r="A57" s="125" t="s">
        <v>389</v>
      </c>
      <c r="B57" s="952" t="s">
        <v>1577</v>
      </c>
      <c r="C57" s="953"/>
      <c r="D57" s="953"/>
      <c r="E57" s="953"/>
      <c r="F57" s="953"/>
      <c r="G57" s="954"/>
      <c r="H57" s="126" t="str">
        <f t="shared" ref="H57" si="26">VLOOKUP(A57,AA_APUS,4,FALSE)</f>
        <v>M3</v>
      </c>
      <c r="I57" s="127">
        <f t="shared" ref="I57" si="27">VLOOKUP(A57,AA_APUS,8,FALSE)</f>
        <v>17501.590725200003</v>
      </c>
      <c r="J57" s="127">
        <f t="shared" ref="J57" si="28">VLOOKUP(A57,AA_APUS,10,FALSE)</f>
        <v>116287.595</v>
      </c>
      <c r="K57" s="127">
        <f t="shared" ref="K57" si="29">VLOOKUP(A57,AA_APUS,12,FALSE)</f>
        <v>88792.827117224748</v>
      </c>
      <c r="L57" s="127">
        <f t="shared" ref="L57" si="30">VLOOKUP(A57,AA_APUS,14,FALSE)</f>
        <v>36179.690840000003</v>
      </c>
      <c r="M57" s="127">
        <f t="shared" si="19"/>
        <v>258761.71000000002</v>
      </c>
      <c r="N57" s="218" t="str">
        <f t="shared" si="20"/>
        <v>G049</v>
      </c>
    </row>
    <row r="58" spans="1:14" s="219" customFormat="1" ht="40.5" customHeight="1" x14ac:dyDescent="0.2">
      <c r="A58" s="125" t="s">
        <v>1715</v>
      </c>
      <c r="B58" s="952" t="s">
        <v>96</v>
      </c>
      <c r="C58" s="953"/>
      <c r="D58" s="953"/>
      <c r="E58" s="953"/>
      <c r="F58" s="953"/>
      <c r="G58" s="954"/>
      <c r="H58" s="126" t="str">
        <f t="shared" ref="H58" si="31">VLOOKUP(A58,AA_APUS,4,FALSE)</f>
        <v>UND</v>
      </c>
      <c r="I58" s="127">
        <f t="shared" ref="I58" si="32">VLOOKUP(A58,AA_APUS,8,FALSE)</f>
        <v>8769.160105500001</v>
      </c>
      <c r="J58" s="127">
        <f t="shared" ref="J58" si="33">VLOOKUP(A58,AA_APUS,10,FALSE)</f>
        <v>13530645.743234135</v>
      </c>
      <c r="K58" s="127">
        <f t="shared" ref="K58" si="34">VLOOKUP(A58,AA_APUS,12,FALSE)</f>
        <v>676532.28716170683</v>
      </c>
      <c r="L58" s="127">
        <f t="shared" ref="L58" si="35">VLOOKUP(A58,AA_APUS,14,FALSE)</f>
        <v>292305.33685000002</v>
      </c>
      <c r="M58" s="127">
        <f t="shared" si="19"/>
        <v>14508252.529999999</v>
      </c>
      <c r="N58" s="218" t="str">
        <f t="shared" si="20"/>
        <v>G050</v>
      </c>
    </row>
    <row r="59" spans="1:14" s="114" customFormat="1" ht="40.5" customHeight="1" x14ac:dyDescent="0.2">
      <c r="A59" s="125" t="s">
        <v>1716</v>
      </c>
      <c r="B59" s="952" t="s">
        <v>51</v>
      </c>
      <c r="C59" s="953"/>
      <c r="D59" s="953"/>
      <c r="E59" s="953"/>
      <c r="F59" s="953"/>
      <c r="G59" s="954"/>
      <c r="H59" s="126" t="str">
        <f t="shared" si="0"/>
        <v>M3</v>
      </c>
      <c r="I59" s="127">
        <f t="shared" si="1"/>
        <v>3291.7142857142862</v>
      </c>
      <c r="J59" s="127">
        <f t="shared" si="2"/>
        <v>0</v>
      </c>
      <c r="K59" s="127">
        <f t="shared" si="3"/>
        <v>0</v>
      </c>
      <c r="L59" s="127">
        <f t="shared" si="4"/>
        <v>65834.285714285725</v>
      </c>
      <c r="M59" s="127">
        <f t="shared" si="5"/>
        <v>69126</v>
      </c>
      <c r="N59" s="217" t="str">
        <f t="shared" si="13"/>
        <v>G051</v>
      </c>
    </row>
    <row r="60" spans="1:14" s="114" customFormat="1" ht="40.5" customHeight="1" x14ac:dyDescent="0.2">
      <c r="A60" s="125" t="s">
        <v>1717</v>
      </c>
      <c r="B60" s="810" t="s">
        <v>1115</v>
      </c>
      <c r="C60" s="811"/>
      <c r="D60" s="811"/>
      <c r="E60" s="811"/>
      <c r="F60" s="811"/>
      <c r="G60" s="812"/>
      <c r="H60" s="126" t="str">
        <f t="shared" si="0"/>
        <v>M2</v>
      </c>
      <c r="I60" s="127">
        <f t="shared" si="1"/>
        <v>1985.468073</v>
      </c>
      <c r="J60" s="127">
        <f t="shared" si="2"/>
        <v>49309.91333333333</v>
      </c>
      <c r="K60" s="127">
        <f t="shared" si="3"/>
        <v>2564.7690703166663</v>
      </c>
      <c r="L60" s="127">
        <f t="shared" si="4"/>
        <v>39709.36146</v>
      </c>
      <c r="M60" s="127">
        <f t="shared" si="5"/>
        <v>93569.51999999999</v>
      </c>
      <c r="N60" s="217" t="str">
        <f t="shared" si="13"/>
        <v>G052</v>
      </c>
    </row>
    <row r="61" spans="1:14" s="114" customFormat="1" ht="40.5" hidden="1" customHeight="1" x14ac:dyDescent="0.2">
      <c r="A61" s="125" t="s">
        <v>390</v>
      </c>
      <c r="B61" s="952" t="s">
        <v>526</v>
      </c>
      <c r="C61" s="953"/>
      <c r="D61" s="953"/>
      <c r="E61" s="953"/>
      <c r="F61" s="953"/>
      <c r="G61" s="954"/>
      <c r="H61" s="126" t="e">
        <f t="shared" ref="H61:H66" si="36">VLOOKUP(A61,AA_APUS,4,FALSE)</f>
        <v>#N/A</v>
      </c>
      <c r="I61" s="127" t="e">
        <f t="shared" ref="I61:I66" si="37">VLOOKUP(A61,AA_APUS,8,FALSE)</f>
        <v>#N/A</v>
      </c>
      <c r="J61" s="127" t="e">
        <f t="shared" ref="J61:J66" si="38">VLOOKUP(A61,AA_APUS,10,FALSE)</f>
        <v>#N/A</v>
      </c>
      <c r="K61" s="127" t="e">
        <f t="shared" ref="K61:K66" si="39">VLOOKUP(A61,AA_APUS,12,FALSE)</f>
        <v>#N/A</v>
      </c>
      <c r="L61" s="127" t="e">
        <f t="shared" ref="L61:L66" si="40">VLOOKUP(A61,AA_APUS,14,FALSE)</f>
        <v>#N/A</v>
      </c>
      <c r="M61" s="127" t="e">
        <f t="shared" ref="M61:M77" si="41">ROUNDUP(VLOOKUP(A61,AA_APUS,6,FALSE),2)</f>
        <v>#N/A</v>
      </c>
      <c r="N61" s="217" t="str">
        <f t="shared" si="13"/>
        <v>G053</v>
      </c>
    </row>
    <row r="62" spans="1:14" s="114" customFormat="1" ht="40.5" hidden="1" customHeight="1" x14ac:dyDescent="0.2">
      <c r="A62" s="125" t="s">
        <v>391</v>
      </c>
      <c r="B62" s="952" t="s">
        <v>158</v>
      </c>
      <c r="C62" s="953"/>
      <c r="D62" s="953"/>
      <c r="E62" s="953"/>
      <c r="F62" s="953"/>
      <c r="G62" s="954"/>
      <c r="H62" s="126" t="e">
        <f t="shared" si="36"/>
        <v>#N/A</v>
      </c>
      <c r="I62" s="127" t="e">
        <f t="shared" si="37"/>
        <v>#N/A</v>
      </c>
      <c r="J62" s="127" t="e">
        <f t="shared" si="38"/>
        <v>#N/A</v>
      </c>
      <c r="K62" s="127" t="e">
        <f t="shared" si="39"/>
        <v>#N/A</v>
      </c>
      <c r="L62" s="127" t="e">
        <f t="shared" si="40"/>
        <v>#N/A</v>
      </c>
      <c r="M62" s="127" t="e">
        <f t="shared" si="41"/>
        <v>#N/A</v>
      </c>
      <c r="N62" s="217" t="str">
        <f t="shared" si="13"/>
        <v>G054</v>
      </c>
    </row>
    <row r="63" spans="1:14" s="114" customFormat="1" ht="40.5" hidden="1" customHeight="1" x14ac:dyDescent="0.2">
      <c r="A63" s="125" t="s">
        <v>1718</v>
      </c>
      <c r="B63" s="952" t="s">
        <v>159</v>
      </c>
      <c r="C63" s="953"/>
      <c r="D63" s="953"/>
      <c r="E63" s="953"/>
      <c r="F63" s="953"/>
      <c r="G63" s="954"/>
      <c r="H63" s="126" t="e">
        <f t="shared" si="36"/>
        <v>#N/A</v>
      </c>
      <c r="I63" s="127" t="e">
        <f t="shared" si="37"/>
        <v>#N/A</v>
      </c>
      <c r="J63" s="127" t="e">
        <f t="shared" si="38"/>
        <v>#N/A</v>
      </c>
      <c r="K63" s="127" t="e">
        <f t="shared" si="39"/>
        <v>#N/A</v>
      </c>
      <c r="L63" s="127" t="e">
        <f t="shared" si="40"/>
        <v>#N/A</v>
      </c>
      <c r="M63" s="127" t="e">
        <f t="shared" si="41"/>
        <v>#N/A</v>
      </c>
      <c r="N63" s="217" t="str">
        <f t="shared" si="13"/>
        <v>G055</v>
      </c>
    </row>
    <row r="64" spans="1:14" s="114" customFormat="1" ht="40.5" hidden="1" customHeight="1" x14ac:dyDescent="0.2">
      <c r="A64" s="125" t="s">
        <v>392</v>
      </c>
      <c r="B64" s="952" t="s">
        <v>160</v>
      </c>
      <c r="C64" s="953"/>
      <c r="D64" s="953"/>
      <c r="E64" s="953"/>
      <c r="F64" s="953"/>
      <c r="G64" s="954"/>
      <c r="H64" s="126" t="e">
        <f t="shared" si="36"/>
        <v>#N/A</v>
      </c>
      <c r="I64" s="127" t="e">
        <f t="shared" si="37"/>
        <v>#N/A</v>
      </c>
      <c r="J64" s="127" t="e">
        <f t="shared" si="38"/>
        <v>#N/A</v>
      </c>
      <c r="K64" s="127" t="e">
        <f t="shared" si="39"/>
        <v>#N/A</v>
      </c>
      <c r="L64" s="127" t="e">
        <f t="shared" si="40"/>
        <v>#N/A</v>
      </c>
      <c r="M64" s="127" t="e">
        <f t="shared" si="41"/>
        <v>#N/A</v>
      </c>
      <c r="N64" s="217" t="str">
        <f t="shared" si="13"/>
        <v>G056</v>
      </c>
    </row>
    <row r="65" spans="1:14" s="114" customFormat="1" ht="40.5" hidden="1" customHeight="1" x14ac:dyDescent="0.2">
      <c r="A65" s="125" t="s">
        <v>393</v>
      </c>
      <c r="B65" s="952" t="s">
        <v>161</v>
      </c>
      <c r="C65" s="953"/>
      <c r="D65" s="953"/>
      <c r="E65" s="953"/>
      <c r="F65" s="953"/>
      <c r="G65" s="954"/>
      <c r="H65" s="126" t="e">
        <f t="shared" si="36"/>
        <v>#N/A</v>
      </c>
      <c r="I65" s="127" t="e">
        <f t="shared" si="37"/>
        <v>#N/A</v>
      </c>
      <c r="J65" s="127" t="e">
        <f t="shared" si="38"/>
        <v>#N/A</v>
      </c>
      <c r="K65" s="127" t="e">
        <f t="shared" si="39"/>
        <v>#N/A</v>
      </c>
      <c r="L65" s="127" t="e">
        <f t="shared" si="40"/>
        <v>#N/A</v>
      </c>
      <c r="M65" s="127" t="e">
        <f t="shared" si="41"/>
        <v>#N/A</v>
      </c>
      <c r="N65" s="217" t="str">
        <f t="shared" si="13"/>
        <v>G057</v>
      </c>
    </row>
    <row r="66" spans="1:14" s="114" customFormat="1" ht="40.5" hidden="1" customHeight="1" x14ac:dyDescent="0.2">
      <c r="A66" s="125" t="s">
        <v>1719</v>
      </c>
      <c r="B66" s="952" t="s">
        <v>162</v>
      </c>
      <c r="C66" s="953"/>
      <c r="D66" s="953"/>
      <c r="E66" s="953"/>
      <c r="F66" s="953"/>
      <c r="G66" s="954"/>
      <c r="H66" s="126" t="e">
        <f t="shared" si="36"/>
        <v>#N/A</v>
      </c>
      <c r="I66" s="127" t="e">
        <f t="shared" si="37"/>
        <v>#N/A</v>
      </c>
      <c r="J66" s="127" t="e">
        <f t="shared" si="38"/>
        <v>#N/A</v>
      </c>
      <c r="K66" s="127" t="e">
        <f t="shared" si="39"/>
        <v>#N/A</v>
      </c>
      <c r="L66" s="127" t="e">
        <f t="shared" si="40"/>
        <v>#N/A</v>
      </c>
      <c r="M66" s="127" t="e">
        <f t="shared" si="41"/>
        <v>#N/A</v>
      </c>
      <c r="N66" s="217" t="str">
        <f t="shared" si="13"/>
        <v>G058</v>
      </c>
    </row>
    <row r="67" spans="1:14" s="114" customFormat="1" ht="40.5" hidden="1" customHeight="1" x14ac:dyDescent="0.2">
      <c r="A67" s="125" t="s">
        <v>394</v>
      </c>
      <c r="B67" s="952" t="s">
        <v>1726</v>
      </c>
      <c r="C67" s="953"/>
      <c r="D67" s="953"/>
      <c r="E67" s="953"/>
      <c r="F67" s="953"/>
      <c r="G67" s="954"/>
      <c r="H67" s="126" t="e">
        <f t="shared" ref="H67:H73" si="42">VLOOKUP(A67,AA_APUS,4,FALSE)</f>
        <v>#N/A</v>
      </c>
      <c r="I67" s="127" t="e">
        <f t="shared" ref="I67:I73" si="43">VLOOKUP(A67,AA_APUS,8,FALSE)</f>
        <v>#N/A</v>
      </c>
      <c r="J67" s="127" t="e">
        <f t="shared" ref="J67:J73" si="44">VLOOKUP(A67,AA_APUS,10,FALSE)</f>
        <v>#N/A</v>
      </c>
      <c r="K67" s="127" t="e">
        <f t="shared" ref="K67:K73" si="45">VLOOKUP(A67,AA_APUS,12,FALSE)</f>
        <v>#N/A</v>
      </c>
      <c r="L67" s="127" t="e">
        <f t="shared" ref="L67:L73" si="46">VLOOKUP(A67,AA_APUS,14,FALSE)</f>
        <v>#N/A</v>
      </c>
      <c r="M67" s="127" t="e">
        <f t="shared" si="41"/>
        <v>#N/A</v>
      </c>
      <c r="N67" s="217" t="str">
        <f t="shared" si="13"/>
        <v>G059</v>
      </c>
    </row>
    <row r="68" spans="1:14" s="114" customFormat="1" ht="40.5" customHeight="1" x14ac:dyDescent="0.2">
      <c r="A68" s="125" t="s">
        <v>1720</v>
      </c>
      <c r="B68" s="956" t="s">
        <v>1752</v>
      </c>
      <c r="C68" s="953"/>
      <c r="D68" s="953"/>
      <c r="E68" s="953"/>
      <c r="F68" s="953"/>
      <c r="G68" s="954"/>
      <c r="H68" s="126" t="str">
        <f t="shared" si="42"/>
        <v>ML</v>
      </c>
      <c r="I68" s="127">
        <f t="shared" si="43"/>
        <v>403.30161653055302</v>
      </c>
      <c r="J68" s="127">
        <f t="shared" si="44"/>
        <v>73895.960000000006</v>
      </c>
      <c r="K68" s="127">
        <f t="shared" si="45"/>
        <v>3714.9630808265283</v>
      </c>
      <c r="L68" s="127">
        <f t="shared" si="46"/>
        <v>8066.0323306110595</v>
      </c>
      <c r="M68" s="127">
        <f t="shared" si="41"/>
        <v>86080.26</v>
      </c>
      <c r="N68" s="217" t="str">
        <f t="shared" si="13"/>
        <v>G060</v>
      </c>
    </row>
    <row r="69" spans="1:14" s="114" customFormat="1" ht="40.5" hidden="1" customHeight="1" x14ac:dyDescent="0.2">
      <c r="A69" s="125" t="s">
        <v>1721</v>
      </c>
      <c r="B69" s="952" t="s">
        <v>1727</v>
      </c>
      <c r="C69" s="953"/>
      <c r="D69" s="953"/>
      <c r="E69" s="953"/>
      <c r="F69" s="953"/>
      <c r="G69" s="954"/>
      <c r="H69" s="126" t="e">
        <f t="shared" si="42"/>
        <v>#N/A</v>
      </c>
      <c r="I69" s="127" t="e">
        <f t="shared" si="43"/>
        <v>#N/A</v>
      </c>
      <c r="J69" s="127" t="e">
        <f t="shared" si="44"/>
        <v>#N/A</v>
      </c>
      <c r="K69" s="127" t="e">
        <f t="shared" si="45"/>
        <v>#N/A</v>
      </c>
      <c r="L69" s="127" t="e">
        <f t="shared" si="46"/>
        <v>#N/A</v>
      </c>
      <c r="M69" s="127" t="e">
        <f t="shared" si="41"/>
        <v>#N/A</v>
      </c>
      <c r="N69" s="217" t="str">
        <f t="shared" si="13"/>
        <v>G061</v>
      </c>
    </row>
    <row r="70" spans="1:14" s="114" customFormat="1" ht="40.5" hidden="1" customHeight="1" x14ac:dyDescent="0.2">
      <c r="A70" s="125" t="s">
        <v>395</v>
      </c>
      <c r="B70" s="952" t="s">
        <v>167</v>
      </c>
      <c r="C70" s="953"/>
      <c r="D70" s="953"/>
      <c r="E70" s="953"/>
      <c r="F70" s="953"/>
      <c r="G70" s="954"/>
      <c r="H70" s="126" t="e">
        <f t="shared" si="42"/>
        <v>#N/A</v>
      </c>
      <c r="I70" s="127" t="e">
        <f t="shared" si="43"/>
        <v>#N/A</v>
      </c>
      <c r="J70" s="127" t="e">
        <f t="shared" si="44"/>
        <v>#N/A</v>
      </c>
      <c r="K70" s="127" t="e">
        <f t="shared" si="45"/>
        <v>#N/A</v>
      </c>
      <c r="L70" s="127" t="e">
        <f t="shared" si="46"/>
        <v>#N/A</v>
      </c>
      <c r="M70" s="127" t="e">
        <f t="shared" si="41"/>
        <v>#N/A</v>
      </c>
      <c r="N70" s="217" t="str">
        <f t="shared" si="13"/>
        <v>G062</v>
      </c>
    </row>
    <row r="71" spans="1:14" s="114" customFormat="1" ht="40.5" hidden="1" customHeight="1" x14ac:dyDescent="0.2">
      <c r="A71" s="125" t="s">
        <v>1722</v>
      </c>
      <c r="B71" s="952" t="s">
        <v>168</v>
      </c>
      <c r="C71" s="953"/>
      <c r="D71" s="953"/>
      <c r="E71" s="953"/>
      <c r="F71" s="953"/>
      <c r="G71" s="954"/>
      <c r="H71" s="126" t="e">
        <f t="shared" si="42"/>
        <v>#N/A</v>
      </c>
      <c r="I71" s="127" t="e">
        <f t="shared" si="43"/>
        <v>#N/A</v>
      </c>
      <c r="J71" s="127" t="e">
        <f t="shared" si="44"/>
        <v>#N/A</v>
      </c>
      <c r="K71" s="127" t="e">
        <f t="shared" si="45"/>
        <v>#N/A</v>
      </c>
      <c r="L71" s="127" t="e">
        <f t="shared" si="46"/>
        <v>#N/A</v>
      </c>
      <c r="M71" s="127" t="e">
        <f t="shared" si="41"/>
        <v>#N/A</v>
      </c>
      <c r="N71" s="217" t="str">
        <f t="shared" si="13"/>
        <v>G063</v>
      </c>
    </row>
    <row r="72" spans="1:14" s="114" customFormat="1" ht="40.5" hidden="1" customHeight="1" x14ac:dyDescent="0.2">
      <c r="A72" s="125" t="s">
        <v>1723</v>
      </c>
      <c r="B72" s="952" t="s">
        <v>166</v>
      </c>
      <c r="C72" s="953"/>
      <c r="D72" s="953"/>
      <c r="E72" s="953"/>
      <c r="F72" s="953"/>
      <c r="G72" s="954"/>
      <c r="H72" s="126" t="e">
        <f t="shared" si="42"/>
        <v>#N/A</v>
      </c>
      <c r="I72" s="127" t="e">
        <f t="shared" si="43"/>
        <v>#N/A</v>
      </c>
      <c r="J72" s="127" t="e">
        <f t="shared" si="44"/>
        <v>#N/A</v>
      </c>
      <c r="K72" s="127" t="e">
        <f t="shared" si="45"/>
        <v>#N/A</v>
      </c>
      <c r="L72" s="127" t="e">
        <f t="shared" si="46"/>
        <v>#N/A</v>
      </c>
      <c r="M72" s="127" t="e">
        <f t="shared" si="41"/>
        <v>#N/A</v>
      </c>
      <c r="N72" s="217" t="str">
        <f t="shared" si="13"/>
        <v>G064</v>
      </c>
    </row>
    <row r="73" spans="1:14" s="114" customFormat="1" ht="40.5" hidden="1" customHeight="1" x14ac:dyDescent="0.2">
      <c r="A73" s="125" t="s">
        <v>1724</v>
      </c>
      <c r="B73" s="952" t="s">
        <v>165</v>
      </c>
      <c r="C73" s="953"/>
      <c r="D73" s="953"/>
      <c r="E73" s="953"/>
      <c r="F73" s="953"/>
      <c r="G73" s="954"/>
      <c r="H73" s="126" t="e">
        <f t="shared" si="42"/>
        <v>#N/A</v>
      </c>
      <c r="I73" s="127" t="e">
        <f t="shared" si="43"/>
        <v>#N/A</v>
      </c>
      <c r="J73" s="127" t="e">
        <f t="shared" si="44"/>
        <v>#N/A</v>
      </c>
      <c r="K73" s="127" t="e">
        <f t="shared" si="45"/>
        <v>#N/A</v>
      </c>
      <c r="L73" s="127" t="e">
        <f t="shared" si="46"/>
        <v>#N/A</v>
      </c>
      <c r="M73" s="127" t="e">
        <f t="shared" si="41"/>
        <v>#N/A</v>
      </c>
      <c r="N73" s="217" t="str">
        <f t="shared" si="13"/>
        <v>G065</v>
      </c>
    </row>
    <row r="74" spans="1:14" s="114" customFormat="1" ht="40.5" hidden="1" customHeight="1" x14ac:dyDescent="0.2">
      <c r="A74" s="125" t="s">
        <v>396</v>
      </c>
      <c r="B74" s="952" t="s">
        <v>1728</v>
      </c>
      <c r="C74" s="953"/>
      <c r="D74" s="953"/>
      <c r="E74" s="953"/>
      <c r="F74" s="953"/>
      <c r="G74" s="954"/>
      <c r="H74" s="126" t="e">
        <f t="shared" ref="H74:H76" si="47">VLOOKUP(A74,AA_APUS,4,FALSE)</f>
        <v>#N/A</v>
      </c>
      <c r="I74" s="127" t="e">
        <f t="shared" ref="I74:I76" si="48">VLOOKUP(A74,AA_APUS,8,FALSE)</f>
        <v>#N/A</v>
      </c>
      <c r="J74" s="127" t="e">
        <f t="shared" ref="J74:J76" si="49">VLOOKUP(A74,AA_APUS,10,FALSE)</f>
        <v>#N/A</v>
      </c>
      <c r="K74" s="127" t="e">
        <f t="shared" ref="K74:K76" si="50">VLOOKUP(A74,AA_APUS,12,FALSE)</f>
        <v>#N/A</v>
      </c>
      <c r="L74" s="127" t="e">
        <f t="shared" ref="L74:L76" si="51">VLOOKUP(A74,AA_APUS,14,FALSE)</f>
        <v>#N/A</v>
      </c>
      <c r="M74" s="127" t="e">
        <f t="shared" si="41"/>
        <v>#N/A</v>
      </c>
      <c r="N74" s="217" t="str">
        <f t="shared" si="13"/>
        <v>G066</v>
      </c>
    </row>
    <row r="75" spans="1:14" s="114" customFormat="1" ht="40.5" hidden="1" customHeight="1" x14ac:dyDescent="0.2">
      <c r="A75" s="125" t="s">
        <v>397</v>
      </c>
      <c r="B75" s="952" t="s">
        <v>163</v>
      </c>
      <c r="C75" s="953"/>
      <c r="D75" s="953"/>
      <c r="E75" s="953"/>
      <c r="F75" s="953"/>
      <c r="G75" s="954"/>
      <c r="H75" s="126" t="e">
        <f t="shared" si="47"/>
        <v>#N/A</v>
      </c>
      <c r="I75" s="127" t="e">
        <f t="shared" si="48"/>
        <v>#N/A</v>
      </c>
      <c r="J75" s="127" t="e">
        <f t="shared" si="49"/>
        <v>#N/A</v>
      </c>
      <c r="K75" s="127" t="e">
        <f t="shared" si="50"/>
        <v>#N/A</v>
      </c>
      <c r="L75" s="127" t="e">
        <f t="shared" si="51"/>
        <v>#N/A</v>
      </c>
      <c r="M75" s="127" t="e">
        <f t="shared" si="41"/>
        <v>#N/A</v>
      </c>
      <c r="N75" s="217" t="str">
        <f t="shared" si="13"/>
        <v>G067</v>
      </c>
    </row>
    <row r="76" spans="1:14" s="114" customFormat="1" ht="40.5" hidden="1" customHeight="1" x14ac:dyDescent="0.2">
      <c r="A76" s="125" t="s">
        <v>1725</v>
      </c>
      <c r="B76" s="952" t="s">
        <v>164</v>
      </c>
      <c r="C76" s="953"/>
      <c r="D76" s="953"/>
      <c r="E76" s="953"/>
      <c r="F76" s="953"/>
      <c r="G76" s="954"/>
      <c r="H76" s="126" t="e">
        <f t="shared" si="47"/>
        <v>#N/A</v>
      </c>
      <c r="I76" s="127" t="e">
        <f t="shared" si="48"/>
        <v>#N/A</v>
      </c>
      <c r="J76" s="127" t="e">
        <f t="shared" si="49"/>
        <v>#N/A</v>
      </c>
      <c r="K76" s="127" t="e">
        <f t="shared" si="50"/>
        <v>#N/A</v>
      </c>
      <c r="L76" s="127" t="e">
        <f t="shared" si="51"/>
        <v>#N/A</v>
      </c>
      <c r="M76" s="127" t="e">
        <f t="shared" si="41"/>
        <v>#N/A</v>
      </c>
      <c r="N76" s="217" t="str">
        <f t="shared" si="13"/>
        <v>G068</v>
      </c>
    </row>
    <row r="77" spans="1:14" s="114" customFormat="1" ht="40.5" hidden="1" customHeight="1" x14ac:dyDescent="0.2">
      <c r="A77" s="125" t="s">
        <v>398</v>
      </c>
      <c r="B77" s="952" t="s">
        <v>1098</v>
      </c>
      <c r="C77" s="953"/>
      <c r="D77" s="953"/>
      <c r="E77" s="953"/>
      <c r="F77" s="953"/>
      <c r="G77" s="954"/>
      <c r="H77" s="126" t="e">
        <f t="shared" ref="H77" si="52">VLOOKUP(A77,AA_APUS,4,FALSE)</f>
        <v>#N/A</v>
      </c>
      <c r="I77" s="127" t="e">
        <f t="shared" ref="I77" si="53">VLOOKUP(A77,AA_APUS,8,FALSE)</f>
        <v>#N/A</v>
      </c>
      <c r="J77" s="127" t="e">
        <f t="shared" ref="J77" si="54">VLOOKUP(A77,AA_APUS,10,FALSE)</f>
        <v>#N/A</v>
      </c>
      <c r="K77" s="127" t="e">
        <f t="shared" ref="K77" si="55">VLOOKUP(A77,AA_APUS,12,FALSE)</f>
        <v>#N/A</v>
      </c>
      <c r="L77" s="127" t="e">
        <f t="shared" ref="L77" si="56">VLOOKUP(A77,AA_APUS,14,FALSE)</f>
        <v>#N/A</v>
      </c>
      <c r="M77" s="127" t="e">
        <f t="shared" si="41"/>
        <v>#N/A</v>
      </c>
      <c r="N77" s="217" t="str">
        <f t="shared" ref="N77:N82" si="57">A77</f>
        <v>G069</v>
      </c>
    </row>
    <row r="78" spans="1:14" s="114" customFormat="1" ht="40.5" customHeight="1" x14ac:dyDescent="0.2">
      <c r="A78" s="125" t="s">
        <v>399</v>
      </c>
      <c r="B78" s="952" t="s">
        <v>1576</v>
      </c>
      <c r="C78" s="953"/>
      <c r="D78" s="953"/>
      <c r="E78" s="953"/>
      <c r="F78" s="953"/>
      <c r="G78" s="954"/>
      <c r="H78" s="126" t="str">
        <f t="shared" ref="H78" si="58">VLOOKUP(A78,AA_APUS,4,FALSE)</f>
        <v>M3-KM</v>
      </c>
      <c r="I78" s="127">
        <f t="shared" ref="I78" si="59">VLOOKUP(A78,AA_APUS,8,FALSE)</f>
        <v>0</v>
      </c>
      <c r="J78" s="127">
        <f t="shared" ref="J78" si="60">VLOOKUP(A78,AA_APUS,10,FALSE)</f>
        <v>1889.1566666666665</v>
      </c>
      <c r="K78" s="127">
        <f t="shared" ref="K78" si="61">VLOOKUP(A78,AA_APUS,12,FALSE)</f>
        <v>0</v>
      </c>
      <c r="L78" s="127">
        <f t="shared" ref="L78" si="62">VLOOKUP(A78,AA_APUS,14,FALSE)</f>
        <v>317.53781822005209</v>
      </c>
      <c r="M78" s="127">
        <f t="shared" ref="M78" si="63">ROUNDUP(VLOOKUP(A78,AA_APUS,6,FALSE),2)</f>
        <v>2206.7000000000003</v>
      </c>
      <c r="N78" s="217" t="str">
        <f t="shared" si="57"/>
        <v>G070</v>
      </c>
    </row>
    <row r="79" spans="1:14" s="114" customFormat="1" ht="54" customHeight="1" x14ac:dyDescent="0.2">
      <c r="A79" s="125" t="s">
        <v>1791</v>
      </c>
      <c r="B79" s="952" t="s">
        <v>1792</v>
      </c>
      <c r="C79" s="953"/>
      <c r="D79" s="953"/>
      <c r="E79" s="953"/>
      <c r="F79" s="953"/>
      <c r="G79" s="954"/>
      <c r="H79" s="126" t="str">
        <f t="shared" ref="H79" si="64">VLOOKUP(A79,AA_APUS,4,FALSE)</f>
        <v>UND</v>
      </c>
      <c r="I79" s="127">
        <f t="shared" ref="I79" si="65">VLOOKUP(A79,AA_APUS,8,FALSE)</f>
        <v>65917.585382399993</v>
      </c>
      <c r="J79" s="127">
        <f t="shared" ref="J79" si="66">VLOOKUP(A79,AA_APUS,10,FALSE)</f>
        <v>28857794.260375224</v>
      </c>
      <c r="K79" s="127">
        <f t="shared" ref="K79" si="67">VLOOKUP(A79,AA_APUS,12,FALSE)</f>
        <v>1115111.8366666667</v>
      </c>
      <c r="L79" s="127">
        <f t="shared" ref="L79" si="68">VLOOKUP(A79,AA_APUS,14,FALSE)</f>
        <v>2197252.84608</v>
      </c>
      <c r="M79" s="127">
        <f t="shared" ref="M79" si="69">ROUNDUP(VLOOKUP(A79,AA_APUS,6,FALSE),2)</f>
        <v>32236076.530000001</v>
      </c>
      <c r="N79" s="217" t="str">
        <f t="shared" si="57"/>
        <v>G071</v>
      </c>
    </row>
    <row r="80" spans="1:14" s="114" customFormat="1" ht="54" customHeight="1" x14ac:dyDescent="0.2">
      <c r="A80" s="125" t="s">
        <v>1797</v>
      </c>
      <c r="B80" s="952" t="s">
        <v>1796</v>
      </c>
      <c r="C80" s="953"/>
      <c r="D80" s="953"/>
      <c r="E80" s="953"/>
      <c r="F80" s="953"/>
      <c r="G80" s="954"/>
      <c r="H80" s="126" t="str">
        <f t="shared" ref="H80" si="70">VLOOKUP(A80,AA_APUS,4,FALSE)</f>
        <v>UND</v>
      </c>
      <c r="I80" s="127">
        <f t="shared" ref="I80" si="71">VLOOKUP(A80,AA_APUS,8,FALSE)</f>
        <v>65917.585382399993</v>
      </c>
      <c r="J80" s="127">
        <f t="shared" ref="J80" si="72">VLOOKUP(A80,AA_APUS,10,FALSE)</f>
        <v>20780137.127041891</v>
      </c>
      <c r="K80" s="127">
        <f t="shared" ref="K80" si="73">VLOOKUP(A80,AA_APUS,12,FALSE)</f>
        <v>426737.38799999998</v>
      </c>
      <c r="L80" s="127">
        <f t="shared" ref="L80" si="74">VLOOKUP(A80,AA_APUS,14,FALSE)</f>
        <v>2197252.84608</v>
      </c>
      <c r="M80" s="127">
        <f t="shared" ref="M80" si="75">ROUNDUP(VLOOKUP(A80,AA_APUS,6,FALSE),2)</f>
        <v>23470044.950000003</v>
      </c>
      <c r="N80" s="217" t="str">
        <f t="shared" si="57"/>
        <v>G072</v>
      </c>
    </row>
    <row r="81" spans="1:14" s="114" customFormat="1" ht="67.5" customHeight="1" x14ac:dyDescent="0.2">
      <c r="A81" s="125" t="s">
        <v>1834</v>
      </c>
      <c r="B81" s="952" t="s">
        <v>1833</v>
      </c>
      <c r="C81" s="953"/>
      <c r="D81" s="953"/>
      <c r="E81" s="953"/>
      <c r="F81" s="953"/>
      <c r="G81" s="954"/>
      <c r="H81" s="126" t="str">
        <f t="shared" ref="H81" si="76">VLOOKUP(A81,AA_APUS,4,FALSE)</f>
        <v>UND</v>
      </c>
      <c r="I81" s="127">
        <f t="shared" ref="I81" si="77">VLOOKUP(A81,AA_APUS,8,FALSE)</f>
        <v>27465.660575999998</v>
      </c>
      <c r="J81" s="127">
        <f t="shared" ref="J81" si="78">VLOOKUP(A81,AA_APUS,10,FALSE)</f>
        <v>8513884.8743671738</v>
      </c>
      <c r="K81" s="127">
        <f t="shared" ref="K81" si="79">VLOOKUP(A81,AA_APUS,12,FALSE)</f>
        <v>50241.9015</v>
      </c>
      <c r="L81" s="127">
        <f t="shared" ref="L81" si="80">VLOOKUP(A81,AA_APUS,14,FALSE)</f>
        <v>915522.01919999998</v>
      </c>
      <c r="M81" s="127">
        <f t="shared" ref="M81" si="81">ROUNDUP(VLOOKUP(A81,AA_APUS,6,FALSE),2)</f>
        <v>9507114.459999999</v>
      </c>
      <c r="N81" s="217" t="str">
        <f t="shared" si="57"/>
        <v>G073</v>
      </c>
    </row>
    <row r="82" spans="1:14" s="114" customFormat="1" ht="67.5" customHeight="1" x14ac:dyDescent="0.2">
      <c r="A82" s="125" t="s">
        <v>1836</v>
      </c>
      <c r="B82" s="952" t="s">
        <v>1835</v>
      </c>
      <c r="C82" s="953"/>
      <c r="D82" s="953"/>
      <c r="E82" s="953"/>
      <c r="F82" s="953"/>
      <c r="G82" s="954"/>
      <c r="H82" s="126" t="str">
        <f t="shared" ref="H82" si="82">VLOOKUP(A82,AA_APUS,4,FALSE)</f>
        <v>UND</v>
      </c>
      <c r="I82" s="127">
        <f t="shared" ref="I82" si="83">VLOOKUP(A82,AA_APUS,8,FALSE)</f>
        <v>21972.5284608</v>
      </c>
      <c r="J82" s="127">
        <f t="shared" ref="J82" si="84">VLOOKUP(A82,AA_APUS,10,FALSE)</f>
        <v>9885313.1493671723</v>
      </c>
      <c r="K82" s="127">
        <f t="shared" ref="K82" si="85">VLOOKUP(A82,AA_APUS,12,FALSE)</f>
        <v>91384.749750000003</v>
      </c>
      <c r="L82" s="127">
        <f t="shared" ref="L82" si="86">VLOOKUP(A82,AA_APUS,14,FALSE)</f>
        <v>732417.61536000005</v>
      </c>
      <c r="M82" s="127">
        <f t="shared" ref="M82" si="87">ROUNDUP(VLOOKUP(A82,AA_APUS,6,FALSE),2)</f>
        <v>10731088.049999999</v>
      </c>
      <c r="N82" s="217" t="str">
        <f t="shared" si="57"/>
        <v>G074</v>
      </c>
    </row>
    <row r="83" spans="1:14" ht="15.75" customHeight="1" x14ac:dyDescent="0.2"/>
    <row r="84" spans="1:14" ht="15.75" customHeight="1" x14ac:dyDescent="0.2"/>
    <row r="85" spans="1:14" ht="15.75" customHeight="1" thickBot="1" x14ac:dyDescent="0.3">
      <c r="I85" s="190"/>
      <c r="J85" s="190"/>
      <c r="K85" s="132"/>
      <c r="L85" s="132"/>
      <c r="M85" s="132"/>
    </row>
    <row r="86" spans="1:14" ht="15.75" customHeight="1" thickTop="1" x14ac:dyDescent="0.2">
      <c r="I86" s="429" t="s">
        <v>1126</v>
      </c>
      <c r="J86" s="429"/>
      <c r="K86" s="429"/>
      <c r="L86" s="429"/>
      <c r="M86" s="429"/>
    </row>
    <row r="87" spans="1:14" ht="15.75" customHeight="1" x14ac:dyDescent="0.25">
      <c r="I87" s="406" t="s">
        <v>1127</v>
      </c>
      <c r="J87" s="406"/>
      <c r="K87" s="406"/>
      <c r="L87" s="406"/>
      <c r="M87" s="406"/>
    </row>
    <row r="88" spans="1:14" ht="15.75" customHeight="1" x14ac:dyDescent="0.25">
      <c r="I88" s="406" t="s">
        <v>1123</v>
      </c>
      <c r="J88" s="406"/>
      <c r="K88" s="406"/>
      <c r="L88" s="406"/>
      <c r="M88" s="406"/>
    </row>
    <row r="89" spans="1:14" ht="15.75" customHeight="1" x14ac:dyDescent="0.2"/>
    <row r="90" spans="1:14" ht="15.75" customHeight="1" x14ac:dyDescent="0.2"/>
    <row r="91" spans="1:14" ht="15.75" customHeight="1" x14ac:dyDescent="0.2"/>
    <row r="92" spans="1:14" ht="15.75" customHeight="1" x14ac:dyDescent="0.2"/>
    <row r="93" spans="1:14" ht="15.75" customHeight="1" x14ac:dyDescent="0.2"/>
    <row r="94" spans="1:14" ht="15.75" customHeight="1" x14ac:dyDescent="0.2"/>
    <row r="95" spans="1:14" ht="15.75" customHeight="1" x14ac:dyDescent="0.2"/>
    <row r="96" spans="1:14"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sheetData>
  <mergeCells count="82">
    <mergeCell ref="I86:M86"/>
    <mergeCell ref="I87:M87"/>
    <mergeCell ref="I88:M88"/>
    <mergeCell ref="B79:G79"/>
    <mergeCell ref="B50:G50"/>
    <mergeCell ref="B80:G80"/>
    <mergeCell ref="B81:G81"/>
    <mergeCell ref="B82:G82"/>
    <mergeCell ref="B78:G78"/>
    <mergeCell ref="B68:G68"/>
    <mergeCell ref="B69:G69"/>
    <mergeCell ref="B70:G70"/>
    <mergeCell ref="B71:G71"/>
    <mergeCell ref="B72:G72"/>
    <mergeCell ref="B77:G77"/>
    <mergeCell ref="B75:G75"/>
    <mergeCell ref="B74:G74"/>
    <mergeCell ref="B49:G49"/>
    <mergeCell ref="B51:G51"/>
    <mergeCell ref="B34:G34"/>
    <mergeCell ref="B53:G53"/>
    <mergeCell ref="B66:G66"/>
    <mergeCell ref="B67:G67"/>
    <mergeCell ref="B61:G61"/>
    <mergeCell ref="B35:G35"/>
    <mergeCell ref="B48:G48"/>
    <mergeCell ref="B52:G52"/>
    <mergeCell ref="B58:G58"/>
    <mergeCell ref="B62:G62"/>
    <mergeCell ref="B63:G63"/>
    <mergeCell ref="B64:G64"/>
    <mergeCell ref="B65:G65"/>
    <mergeCell ref="B76:G76"/>
    <mergeCell ref="B55:G55"/>
    <mergeCell ref="B56:G56"/>
    <mergeCell ref="B57:G57"/>
    <mergeCell ref="B10:G10"/>
    <mergeCell ref="B18:G18"/>
    <mergeCell ref="B29:G29"/>
    <mergeCell ref="B73:G73"/>
    <mergeCell ref="B60:G60"/>
    <mergeCell ref="B36:G36"/>
    <mergeCell ref="B42:G42"/>
    <mergeCell ref="B38:G38"/>
    <mergeCell ref="B41:G41"/>
    <mergeCell ref="B39:G39"/>
    <mergeCell ref="B46:G46"/>
    <mergeCell ref="B54:G54"/>
    <mergeCell ref="B9:G9"/>
    <mergeCell ref="B24:G24"/>
    <mergeCell ref="B25:G25"/>
    <mergeCell ref="B17:G17"/>
    <mergeCell ref="B40:G40"/>
    <mergeCell ref="B19:G19"/>
    <mergeCell ref="B20:G20"/>
    <mergeCell ref="B21:G21"/>
    <mergeCell ref="B22:G22"/>
    <mergeCell ref="B23:G23"/>
    <mergeCell ref="B27:G27"/>
    <mergeCell ref="B28:G28"/>
    <mergeCell ref="B32:G32"/>
    <mergeCell ref="B33:G33"/>
    <mergeCell ref="A1:K3"/>
    <mergeCell ref="L1:M1"/>
    <mergeCell ref="L2:M3"/>
    <mergeCell ref="A5:M6"/>
    <mergeCell ref="B8:G8"/>
    <mergeCell ref="B59:G59"/>
    <mergeCell ref="B30:G30"/>
    <mergeCell ref="B11:G11"/>
    <mergeCell ref="B31:G31"/>
    <mergeCell ref="B13:G13"/>
    <mergeCell ref="B26:G26"/>
    <mergeCell ref="B14:G14"/>
    <mergeCell ref="B15:G15"/>
    <mergeCell ref="B12:G12"/>
    <mergeCell ref="B43:G43"/>
    <mergeCell ref="B45:G45"/>
    <mergeCell ref="B37:G37"/>
    <mergeCell ref="B16:G16"/>
    <mergeCell ref="B47:G47"/>
    <mergeCell ref="B44:G44"/>
  </mergeCells>
  <phoneticPr fontId="43" type="noConversion"/>
  <printOptions horizontalCentered="1"/>
  <pageMargins left="0.78740157480314965" right="0.78740157480314965" top="0.78740157480314965" bottom="0.78740157480314965" header="0" footer="0"/>
  <pageSetup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85"/>
  <sheetViews>
    <sheetView view="pageBreakPreview" topLeftCell="A23" zoomScale="85" zoomScaleNormal="100" zoomScaleSheetLayoutView="85" workbookViewId="0">
      <selection activeCell="M10" sqref="M10:N10"/>
    </sheetView>
  </sheetViews>
  <sheetFormatPr baseColWidth="10" defaultRowHeight="12.75" x14ac:dyDescent="0.2"/>
  <sheetData>
    <row r="1" spans="1:15" x14ac:dyDescent="0.2">
      <c r="A1" s="466" t="str">
        <f>Indice!$A$1</f>
        <v>CONSTRUCCIÓN DEL SISTEMA DE ACUEDUCTO IDOLOS, EL TIGRE, MUNICIPIO DE ISNOS – DEPARTAMENTO DEL HUILA – FASE I.</v>
      </c>
      <c r="B1" s="410"/>
      <c r="C1" s="410"/>
      <c r="D1" s="410"/>
      <c r="E1" s="410"/>
      <c r="F1" s="410"/>
      <c r="G1" s="410"/>
      <c r="H1" s="410"/>
      <c r="I1" s="410"/>
      <c r="J1" s="410"/>
      <c r="K1" s="410"/>
      <c r="L1" s="410"/>
      <c r="M1" s="411"/>
      <c r="N1" s="470" t="s">
        <v>0</v>
      </c>
      <c r="O1" s="416"/>
    </row>
    <row r="2" spans="1:15" x14ac:dyDescent="0.2">
      <c r="A2" s="467"/>
      <c r="B2" s="468"/>
      <c r="C2" s="468"/>
      <c r="D2" s="468"/>
      <c r="E2" s="468"/>
      <c r="F2" s="468"/>
      <c r="G2" s="468"/>
      <c r="H2" s="468"/>
      <c r="I2" s="468"/>
      <c r="J2" s="468"/>
      <c r="K2" s="468"/>
      <c r="L2" s="468"/>
      <c r="M2" s="469"/>
      <c r="N2" s="839">
        <f>Indice!$I$2</f>
        <v>45972</v>
      </c>
      <c r="O2" s="411"/>
    </row>
    <row r="3" spans="1:15" x14ac:dyDescent="0.2">
      <c r="A3" s="412"/>
      <c r="B3" s="413"/>
      <c r="C3" s="413"/>
      <c r="D3" s="413"/>
      <c r="E3" s="413"/>
      <c r="F3" s="413"/>
      <c r="G3" s="413"/>
      <c r="H3" s="413"/>
      <c r="I3" s="413"/>
      <c r="J3" s="413"/>
      <c r="K3" s="413"/>
      <c r="L3" s="413"/>
      <c r="M3" s="414"/>
      <c r="N3" s="412"/>
      <c r="O3" s="414"/>
    </row>
    <row r="4" spans="1:15" ht="13.5" x14ac:dyDescent="0.2">
      <c r="A4" s="10"/>
      <c r="B4" s="10"/>
      <c r="C4" s="10"/>
      <c r="D4" s="10"/>
      <c r="E4" s="10"/>
      <c r="F4" s="10"/>
      <c r="G4" s="10"/>
      <c r="H4" s="10"/>
      <c r="I4" s="10"/>
      <c r="J4" s="10"/>
      <c r="K4" s="10"/>
      <c r="L4" s="10"/>
      <c r="M4" s="10"/>
      <c r="N4" s="10"/>
      <c r="O4" s="10"/>
    </row>
    <row r="5" spans="1:15" x14ac:dyDescent="0.2">
      <c r="A5" s="960" t="s">
        <v>554</v>
      </c>
      <c r="B5" s="428"/>
      <c r="C5" s="428"/>
      <c r="D5" s="428"/>
      <c r="E5" s="428"/>
      <c r="F5" s="428"/>
      <c r="G5" s="428"/>
      <c r="H5" s="428"/>
      <c r="I5" s="428"/>
      <c r="J5" s="428"/>
      <c r="K5" s="428"/>
      <c r="L5" s="428"/>
      <c r="M5" s="428"/>
      <c r="N5" s="428"/>
      <c r="O5" s="856"/>
    </row>
    <row r="6" spans="1:15" ht="13.5" x14ac:dyDescent="0.25">
      <c r="A6" s="5"/>
      <c r="B6" s="5"/>
      <c r="C6" s="5"/>
      <c r="D6" s="5"/>
      <c r="E6" s="5"/>
      <c r="F6" s="5"/>
      <c r="G6" s="5"/>
      <c r="H6" s="5"/>
      <c r="I6" s="5"/>
      <c r="J6" s="5"/>
      <c r="K6" s="5"/>
      <c r="L6" s="5"/>
      <c r="M6" s="5"/>
    </row>
    <row r="7" spans="1:15" ht="13.5" x14ac:dyDescent="0.25">
      <c r="A7" s="5"/>
      <c r="B7" s="10"/>
      <c r="C7" s="10"/>
      <c r="D7" s="10"/>
      <c r="E7" s="10"/>
      <c r="F7" s="10"/>
      <c r="I7" s="5"/>
      <c r="J7" s="10"/>
      <c r="K7" s="5"/>
      <c r="L7" s="5"/>
    </row>
    <row r="8" spans="1:15" ht="13.5" x14ac:dyDescent="0.25">
      <c r="A8" s="5"/>
      <c r="B8" s="6" t="s">
        <v>555</v>
      </c>
      <c r="C8" s="470" t="s">
        <v>39</v>
      </c>
      <c r="D8" s="418"/>
      <c r="E8" s="416"/>
      <c r="F8" s="6" t="s">
        <v>556</v>
      </c>
      <c r="G8" s="479" t="s">
        <v>557</v>
      </c>
      <c r="H8" s="416"/>
      <c r="I8" s="5"/>
      <c r="J8" s="5"/>
      <c r="K8" s="5"/>
      <c r="L8" s="5"/>
    </row>
    <row r="9" spans="1:15" ht="13.5" x14ac:dyDescent="0.25">
      <c r="A9" s="5"/>
      <c r="B9" s="119" t="s">
        <v>558</v>
      </c>
      <c r="C9" s="958" t="s">
        <v>560</v>
      </c>
      <c r="D9" s="418"/>
      <c r="E9" s="416"/>
      <c r="F9" s="74">
        <v>2.5</v>
      </c>
      <c r="G9" s="957">
        <f t="shared" ref="G9:G19" si="0">ROUND(F9*$M$13,0)</f>
        <v>145909</v>
      </c>
      <c r="H9" s="416"/>
      <c r="I9" s="5"/>
      <c r="K9" s="5"/>
      <c r="L9" s="5"/>
    </row>
    <row r="10" spans="1:15" ht="13.5" x14ac:dyDescent="0.25">
      <c r="A10" s="5"/>
      <c r="B10" s="119" t="s">
        <v>559</v>
      </c>
      <c r="C10" s="958" t="s">
        <v>562</v>
      </c>
      <c r="D10" s="418"/>
      <c r="E10" s="416"/>
      <c r="F10" s="74">
        <v>1</v>
      </c>
      <c r="G10" s="957">
        <f t="shared" si="0"/>
        <v>58364</v>
      </c>
      <c r="H10" s="416"/>
      <c r="I10" s="5"/>
      <c r="J10" s="894" t="s">
        <v>563</v>
      </c>
      <c r="K10" s="483"/>
      <c r="L10" s="893"/>
      <c r="M10" s="961">
        <f>'04'!I2</f>
        <v>1.88995</v>
      </c>
      <c r="N10" s="797"/>
    </row>
    <row r="11" spans="1:15" ht="13.5" x14ac:dyDescent="0.25">
      <c r="A11" s="5"/>
      <c r="B11" s="119" t="s">
        <v>561</v>
      </c>
      <c r="C11" s="958" t="s">
        <v>565</v>
      </c>
      <c r="D11" s="418"/>
      <c r="E11" s="416"/>
      <c r="F11" s="74">
        <v>1.2</v>
      </c>
      <c r="G11" s="957">
        <f t="shared" si="0"/>
        <v>70036</v>
      </c>
      <c r="H11" s="416"/>
    </row>
    <row r="12" spans="1:15" ht="13.5" x14ac:dyDescent="0.25">
      <c r="A12" s="5"/>
      <c r="B12" s="119" t="s">
        <v>564</v>
      </c>
      <c r="C12" s="958" t="s">
        <v>567</v>
      </c>
      <c r="D12" s="418"/>
      <c r="E12" s="416"/>
      <c r="F12" s="74">
        <v>1.7</v>
      </c>
      <c r="G12" s="957">
        <f t="shared" si="0"/>
        <v>99218</v>
      </c>
      <c r="H12" s="416"/>
      <c r="I12" s="5"/>
      <c r="J12" s="5"/>
      <c r="K12" s="5"/>
      <c r="L12" s="5"/>
    </row>
    <row r="13" spans="1:15" ht="13.5" x14ac:dyDescent="0.25">
      <c r="A13" s="5"/>
      <c r="B13" s="119" t="s">
        <v>566</v>
      </c>
      <c r="C13" s="958" t="s">
        <v>569</v>
      </c>
      <c r="D13" s="418"/>
      <c r="E13" s="416"/>
      <c r="F13" s="74">
        <v>1.5</v>
      </c>
      <c r="G13" s="957">
        <f t="shared" si="0"/>
        <v>87545</v>
      </c>
      <c r="H13" s="416"/>
      <c r="I13" s="5"/>
      <c r="J13" s="894" t="s">
        <v>570</v>
      </c>
      <c r="K13" s="483"/>
      <c r="L13" s="893"/>
      <c r="M13" s="959">
        <f>'04'!$C$9</f>
        <v>58363.5</v>
      </c>
      <c r="N13" s="416"/>
    </row>
    <row r="14" spans="1:15" ht="13.5" x14ac:dyDescent="0.25">
      <c r="A14" s="5"/>
      <c r="B14" s="119" t="s">
        <v>568</v>
      </c>
      <c r="C14" s="958" t="s">
        <v>572</v>
      </c>
      <c r="D14" s="418"/>
      <c r="E14" s="416"/>
      <c r="F14" s="74">
        <v>2.2999999999999998</v>
      </c>
      <c r="G14" s="957">
        <f t="shared" si="0"/>
        <v>134236</v>
      </c>
      <c r="H14" s="416"/>
      <c r="I14" s="5"/>
      <c r="J14" s="5"/>
      <c r="K14" s="5"/>
      <c r="L14" s="5"/>
    </row>
    <row r="15" spans="1:15" ht="13.5" x14ac:dyDescent="0.25">
      <c r="A15" s="5"/>
      <c r="B15" s="119" t="s">
        <v>571</v>
      </c>
      <c r="C15" s="958" t="s">
        <v>574</v>
      </c>
      <c r="D15" s="418"/>
      <c r="E15" s="416"/>
      <c r="F15" s="74">
        <v>1.4</v>
      </c>
      <c r="G15" s="957">
        <f t="shared" si="0"/>
        <v>81709</v>
      </c>
      <c r="H15" s="416"/>
      <c r="I15" s="5"/>
      <c r="J15" s="5"/>
      <c r="K15" s="5"/>
      <c r="L15" s="5"/>
    </row>
    <row r="16" spans="1:15" ht="13.5" x14ac:dyDescent="0.25">
      <c r="A16" s="5"/>
      <c r="B16" s="119" t="s">
        <v>573</v>
      </c>
      <c r="C16" s="958" t="s">
        <v>576</v>
      </c>
      <c r="D16" s="418"/>
      <c r="E16" s="416"/>
      <c r="F16" s="74">
        <v>2.2999999999999998</v>
      </c>
      <c r="G16" s="957">
        <f t="shared" si="0"/>
        <v>134236</v>
      </c>
      <c r="H16" s="416"/>
      <c r="I16" s="5"/>
      <c r="J16" s="5"/>
      <c r="K16" s="5"/>
      <c r="L16" s="5"/>
    </row>
    <row r="17" spans="1:15" ht="13.5" x14ac:dyDescent="0.25">
      <c r="A17" s="5"/>
      <c r="B17" s="119" t="s">
        <v>575</v>
      </c>
      <c r="C17" s="958" t="s">
        <v>578</v>
      </c>
      <c r="D17" s="418"/>
      <c r="E17" s="416"/>
      <c r="F17" s="74">
        <v>1.4</v>
      </c>
      <c r="G17" s="957">
        <f t="shared" si="0"/>
        <v>81709</v>
      </c>
      <c r="H17" s="416"/>
      <c r="I17" s="5"/>
      <c r="J17" s="5"/>
      <c r="K17" s="5"/>
      <c r="L17" s="5"/>
    </row>
    <row r="18" spans="1:15" ht="13.5" x14ac:dyDescent="0.25">
      <c r="A18" s="5"/>
      <c r="B18" s="119" t="s">
        <v>577</v>
      </c>
      <c r="C18" s="958" t="s">
        <v>580</v>
      </c>
      <c r="D18" s="418"/>
      <c r="E18" s="416"/>
      <c r="F18" s="74">
        <v>2.2999999999999998</v>
      </c>
      <c r="G18" s="957">
        <f t="shared" si="0"/>
        <v>134236</v>
      </c>
      <c r="H18" s="416"/>
      <c r="I18" s="5"/>
      <c r="J18" s="5"/>
      <c r="K18" s="5"/>
      <c r="L18" s="5"/>
    </row>
    <row r="19" spans="1:15" ht="13.5" x14ac:dyDescent="0.25">
      <c r="A19" s="5"/>
      <c r="B19" s="119" t="s">
        <v>579</v>
      </c>
      <c r="C19" s="958" t="s">
        <v>581</v>
      </c>
      <c r="D19" s="418"/>
      <c r="E19" s="416"/>
      <c r="F19" s="74">
        <v>2.7</v>
      </c>
      <c r="G19" s="957">
        <f t="shared" si="0"/>
        <v>157581</v>
      </c>
      <c r="H19" s="416"/>
      <c r="I19" s="5"/>
      <c r="J19" s="5"/>
      <c r="K19" s="5"/>
      <c r="L19" s="5"/>
    </row>
    <row r="20" spans="1:15" ht="13.5" x14ac:dyDescent="0.25">
      <c r="A20" s="5"/>
      <c r="B20" s="10"/>
      <c r="C20" s="10"/>
      <c r="D20" s="10"/>
      <c r="E20" s="10"/>
      <c r="F20" s="10"/>
      <c r="I20" s="5"/>
      <c r="J20" s="10"/>
      <c r="K20" s="5"/>
      <c r="L20" s="5"/>
    </row>
    <row r="21" spans="1:15" ht="13.5" x14ac:dyDescent="0.2">
      <c r="A21" s="75">
        <v>1</v>
      </c>
      <c r="B21" s="75">
        <v>2</v>
      </c>
      <c r="C21" s="75">
        <v>3</v>
      </c>
      <c r="D21" s="75">
        <v>4</v>
      </c>
      <c r="E21" s="75">
        <v>5</v>
      </c>
      <c r="F21" s="75">
        <v>6</v>
      </c>
      <c r="G21" s="75">
        <v>7</v>
      </c>
      <c r="H21" s="75">
        <v>8</v>
      </c>
      <c r="I21" s="75">
        <v>9</v>
      </c>
      <c r="J21" s="75">
        <v>10</v>
      </c>
      <c r="K21" s="75">
        <v>11</v>
      </c>
      <c r="L21" s="75">
        <v>12</v>
      </c>
      <c r="M21" s="75">
        <v>13</v>
      </c>
      <c r="N21" s="75">
        <v>14</v>
      </c>
      <c r="O21" s="75">
        <v>15</v>
      </c>
    </row>
    <row r="22" spans="1:15" x14ac:dyDescent="0.2">
      <c r="A22" s="479" t="s">
        <v>582</v>
      </c>
      <c r="B22" s="418"/>
      <c r="C22" s="418"/>
      <c r="D22" s="416"/>
      <c r="E22" s="479" t="s">
        <v>583</v>
      </c>
      <c r="F22" s="416"/>
      <c r="G22" s="479" t="s">
        <v>584</v>
      </c>
      <c r="H22" s="418"/>
      <c r="I22" s="416"/>
      <c r="J22" s="479" t="s">
        <v>585</v>
      </c>
      <c r="K22" s="418"/>
      <c r="L22" s="416"/>
      <c r="M22" s="479" t="s">
        <v>586</v>
      </c>
      <c r="N22" s="418"/>
      <c r="O22" s="416"/>
    </row>
    <row r="23" spans="1:15" ht="13.5" x14ac:dyDescent="0.25">
      <c r="A23" s="958" t="s">
        <v>417</v>
      </c>
      <c r="B23" s="418"/>
      <c r="C23" s="416"/>
      <c r="D23" s="76" t="s">
        <v>534</v>
      </c>
      <c r="E23" s="838">
        <f t="shared" ref="E23:E56" si="1">(G23*H23)+(J23*K23)+(M23*N23)</f>
        <v>262637</v>
      </c>
      <c r="F23" s="416"/>
      <c r="G23" s="8"/>
      <c r="H23" s="957"/>
      <c r="I23" s="416"/>
      <c r="J23" s="8">
        <v>1</v>
      </c>
      <c r="K23" s="957">
        <f>G9</f>
        <v>145909</v>
      </c>
      <c r="L23" s="416"/>
      <c r="M23" s="8">
        <v>2</v>
      </c>
      <c r="N23" s="957">
        <f>G10</f>
        <v>58364</v>
      </c>
      <c r="O23" s="416"/>
    </row>
    <row r="24" spans="1:15" ht="13.5" x14ac:dyDescent="0.25">
      <c r="A24" s="958" t="s">
        <v>421</v>
      </c>
      <c r="B24" s="418"/>
      <c r="C24" s="416"/>
      <c r="D24" s="76" t="s">
        <v>534</v>
      </c>
      <c r="E24" s="838">
        <f t="shared" si="1"/>
        <v>70036</v>
      </c>
      <c r="F24" s="416"/>
      <c r="G24" s="8"/>
      <c r="H24" s="957"/>
      <c r="I24" s="416"/>
      <c r="J24" s="8"/>
      <c r="K24" s="957"/>
      <c r="L24" s="416"/>
      <c r="M24" s="8">
        <v>1</v>
      </c>
      <c r="N24" s="957">
        <f>$G$11</f>
        <v>70036</v>
      </c>
      <c r="O24" s="416"/>
    </row>
    <row r="25" spans="1:15" ht="13.5" x14ac:dyDescent="0.25">
      <c r="A25" s="958" t="s">
        <v>466</v>
      </c>
      <c r="B25" s="418"/>
      <c r="C25" s="416"/>
      <c r="D25" s="76" t="s">
        <v>534</v>
      </c>
      <c r="E25" s="838">
        <f t="shared" si="1"/>
        <v>140072</v>
      </c>
      <c r="F25" s="416"/>
      <c r="G25" s="8"/>
      <c r="H25" s="957"/>
      <c r="I25" s="416"/>
      <c r="J25" s="8"/>
      <c r="K25" s="957"/>
      <c r="L25" s="416"/>
      <c r="M25" s="8">
        <v>2</v>
      </c>
      <c r="N25" s="957">
        <f>$G$11</f>
        <v>70036</v>
      </c>
      <c r="O25" s="416"/>
    </row>
    <row r="26" spans="1:15" ht="13.5" x14ac:dyDescent="0.25">
      <c r="A26" s="958" t="s">
        <v>488</v>
      </c>
      <c r="B26" s="418"/>
      <c r="C26" s="416"/>
      <c r="D26" s="76" t="s">
        <v>534</v>
      </c>
      <c r="E26" s="838">
        <f t="shared" si="1"/>
        <v>210108</v>
      </c>
      <c r="F26" s="416"/>
      <c r="G26" s="8"/>
      <c r="H26" s="957"/>
      <c r="I26" s="416"/>
      <c r="J26" s="8"/>
      <c r="K26" s="957"/>
      <c r="L26" s="416"/>
      <c r="M26" s="8">
        <v>3</v>
      </c>
      <c r="N26" s="957">
        <f>$G$11</f>
        <v>70036</v>
      </c>
      <c r="O26" s="416"/>
    </row>
    <row r="27" spans="1:15" ht="13.5" x14ac:dyDescent="0.25">
      <c r="A27" s="958" t="s">
        <v>587</v>
      </c>
      <c r="B27" s="418"/>
      <c r="C27" s="416"/>
      <c r="D27" s="76" t="s">
        <v>534</v>
      </c>
      <c r="E27" s="838">
        <f t="shared" si="1"/>
        <v>87545</v>
      </c>
      <c r="F27" s="416"/>
      <c r="G27" s="8"/>
      <c r="H27" s="957"/>
      <c r="I27" s="416"/>
      <c r="J27" s="8"/>
      <c r="K27" s="957"/>
      <c r="L27" s="416"/>
      <c r="M27" s="8">
        <v>1</v>
      </c>
      <c r="N27" s="957">
        <f>$G$13</f>
        <v>87545</v>
      </c>
      <c r="O27" s="416"/>
    </row>
    <row r="28" spans="1:15" ht="13.5" x14ac:dyDescent="0.25">
      <c r="A28" s="958" t="s">
        <v>427</v>
      </c>
      <c r="B28" s="418"/>
      <c r="C28" s="416"/>
      <c r="D28" s="76" t="s">
        <v>534</v>
      </c>
      <c r="E28" s="838">
        <f t="shared" si="1"/>
        <v>169254</v>
      </c>
      <c r="F28" s="416"/>
      <c r="G28" s="8">
        <v>1</v>
      </c>
      <c r="H28" s="957"/>
      <c r="I28" s="416"/>
      <c r="J28" s="8">
        <v>1</v>
      </c>
      <c r="K28" s="957">
        <f t="shared" ref="K28:K39" si="2">$G$12</f>
        <v>99218</v>
      </c>
      <c r="L28" s="416"/>
      <c r="M28" s="8">
        <v>1</v>
      </c>
      <c r="N28" s="957">
        <f t="shared" ref="N28:N39" si="3">$G$11</f>
        <v>70036</v>
      </c>
      <c r="O28" s="416"/>
    </row>
    <row r="29" spans="1:15" ht="13.5" x14ac:dyDescent="0.25">
      <c r="A29" s="958" t="s">
        <v>449</v>
      </c>
      <c r="B29" s="418"/>
      <c r="C29" s="416"/>
      <c r="D29" s="76" t="s">
        <v>534</v>
      </c>
      <c r="E29" s="838">
        <f t="shared" si="1"/>
        <v>239290</v>
      </c>
      <c r="F29" s="416"/>
      <c r="G29" s="8">
        <v>1</v>
      </c>
      <c r="H29" s="957"/>
      <c r="I29" s="416"/>
      <c r="J29" s="8">
        <v>1</v>
      </c>
      <c r="K29" s="957">
        <f t="shared" si="2"/>
        <v>99218</v>
      </c>
      <c r="L29" s="416"/>
      <c r="M29" s="8">
        <v>2</v>
      </c>
      <c r="N29" s="957">
        <f t="shared" si="3"/>
        <v>70036</v>
      </c>
      <c r="O29" s="416"/>
    </row>
    <row r="30" spans="1:15" ht="13.5" x14ac:dyDescent="0.25">
      <c r="A30" s="958" t="s">
        <v>588</v>
      </c>
      <c r="B30" s="418"/>
      <c r="C30" s="416"/>
      <c r="D30" s="76" t="s">
        <v>534</v>
      </c>
      <c r="E30" s="838">
        <f t="shared" si="1"/>
        <v>309326</v>
      </c>
      <c r="F30" s="416"/>
      <c r="G30" s="8">
        <v>1</v>
      </c>
      <c r="H30" s="957"/>
      <c r="I30" s="416"/>
      <c r="J30" s="8">
        <v>1</v>
      </c>
      <c r="K30" s="957">
        <f t="shared" si="2"/>
        <v>99218</v>
      </c>
      <c r="L30" s="416"/>
      <c r="M30" s="8">
        <v>3</v>
      </c>
      <c r="N30" s="957">
        <f t="shared" si="3"/>
        <v>70036</v>
      </c>
      <c r="O30" s="416"/>
    </row>
    <row r="31" spans="1:15" ht="13.5" x14ac:dyDescent="0.25">
      <c r="A31" s="958" t="s">
        <v>439</v>
      </c>
      <c r="B31" s="418"/>
      <c r="C31" s="416"/>
      <c r="D31" s="76" t="s">
        <v>534</v>
      </c>
      <c r="E31" s="838">
        <f t="shared" si="1"/>
        <v>379362</v>
      </c>
      <c r="F31" s="416"/>
      <c r="G31" s="8">
        <v>1</v>
      </c>
      <c r="H31" s="957"/>
      <c r="I31" s="416"/>
      <c r="J31" s="8">
        <v>1</v>
      </c>
      <c r="K31" s="957">
        <f t="shared" si="2"/>
        <v>99218</v>
      </c>
      <c r="L31" s="416"/>
      <c r="M31" s="8">
        <v>4</v>
      </c>
      <c r="N31" s="957">
        <f t="shared" si="3"/>
        <v>70036</v>
      </c>
      <c r="O31" s="416"/>
    </row>
    <row r="32" spans="1:15" ht="13.5" x14ac:dyDescent="0.25">
      <c r="A32" s="958" t="s">
        <v>482</v>
      </c>
      <c r="B32" s="418"/>
      <c r="C32" s="416"/>
      <c r="D32" s="76" t="s">
        <v>534</v>
      </c>
      <c r="E32" s="838">
        <f t="shared" si="1"/>
        <v>449398</v>
      </c>
      <c r="F32" s="416"/>
      <c r="G32" s="8">
        <v>1</v>
      </c>
      <c r="H32" s="957"/>
      <c r="I32" s="416"/>
      <c r="J32" s="8">
        <v>1</v>
      </c>
      <c r="K32" s="957">
        <f t="shared" si="2"/>
        <v>99218</v>
      </c>
      <c r="L32" s="416"/>
      <c r="M32" s="8">
        <v>5</v>
      </c>
      <c r="N32" s="957">
        <f t="shared" si="3"/>
        <v>70036</v>
      </c>
      <c r="O32" s="416"/>
    </row>
    <row r="33" spans="1:15" ht="13.5" x14ac:dyDescent="0.25">
      <c r="A33" s="958" t="s">
        <v>589</v>
      </c>
      <c r="B33" s="418"/>
      <c r="C33" s="416"/>
      <c r="D33" s="76" t="s">
        <v>534</v>
      </c>
      <c r="E33" s="838">
        <f t="shared" si="1"/>
        <v>519434</v>
      </c>
      <c r="F33" s="416"/>
      <c r="G33" s="8">
        <v>1</v>
      </c>
      <c r="H33" s="957"/>
      <c r="I33" s="416"/>
      <c r="J33" s="8">
        <v>1</v>
      </c>
      <c r="K33" s="957">
        <f t="shared" si="2"/>
        <v>99218</v>
      </c>
      <c r="L33" s="416"/>
      <c r="M33" s="8">
        <v>6</v>
      </c>
      <c r="N33" s="957">
        <f t="shared" si="3"/>
        <v>70036</v>
      </c>
      <c r="O33" s="416"/>
    </row>
    <row r="34" spans="1:15" ht="13.5" x14ac:dyDescent="0.25">
      <c r="A34" s="958" t="s">
        <v>590</v>
      </c>
      <c r="B34" s="418"/>
      <c r="C34" s="416"/>
      <c r="D34" s="76" t="s">
        <v>534</v>
      </c>
      <c r="E34" s="838">
        <f t="shared" si="1"/>
        <v>326835</v>
      </c>
      <c r="F34" s="416"/>
      <c r="G34" s="8">
        <v>1</v>
      </c>
      <c r="H34" s="957">
        <f t="shared" ref="H34:H39" si="4">$G$19</f>
        <v>157581</v>
      </c>
      <c r="I34" s="416"/>
      <c r="J34" s="8">
        <v>1</v>
      </c>
      <c r="K34" s="957">
        <f t="shared" si="2"/>
        <v>99218</v>
      </c>
      <c r="L34" s="416"/>
      <c r="M34" s="8">
        <v>1</v>
      </c>
      <c r="N34" s="957">
        <f t="shared" si="3"/>
        <v>70036</v>
      </c>
      <c r="O34" s="416"/>
    </row>
    <row r="35" spans="1:15" ht="13.5" x14ac:dyDescent="0.25">
      <c r="A35" s="958" t="s">
        <v>591</v>
      </c>
      <c r="B35" s="418"/>
      <c r="C35" s="416"/>
      <c r="D35" s="76" t="s">
        <v>534</v>
      </c>
      <c r="E35" s="838">
        <f t="shared" si="1"/>
        <v>396871</v>
      </c>
      <c r="F35" s="416"/>
      <c r="G35" s="8">
        <v>1</v>
      </c>
      <c r="H35" s="957">
        <f t="shared" si="4"/>
        <v>157581</v>
      </c>
      <c r="I35" s="416"/>
      <c r="J35" s="8">
        <v>1</v>
      </c>
      <c r="K35" s="957">
        <f t="shared" si="2"/>
        <v>99218</v>
      </c>
      <c r="L35" s="416"/>
      <c r="M35" s="8">
        <v>2</v>
      </c>
      <c r="N35" s="957">
        <f t="shared" si="3"/>
        <v>70036</v>
      </c>
      <c r="O35" s="416"/>
    </row>
    <row r="36" spans="1:15" ht="13.5" x14ac:dyDescent="0.25">
      <c r="A36" s="958" t="s">
        <v>592</v>
      </c>
      <c r="B36" s="418"/>
      <c r="C36" s="416"/>
      <c r="D36" s="76" t="s">
        <v>534</v>
      </c>
      <c r="E36" s="838">
        <f t="shared" si="1"/>
        <v>466907</v>
      </c>
      <c r="F36" s="416"/>
      <c r="G36" s="8">
        <v>1</v>
      </c>
      <c r="H36" s="957">
        <f t="shared" si="4"/>
        <v>157581</v>
      </c>
      <c r="I36" s="416"/>
      <c r="J36" s="8">
        <v>1</v>
      </c>
      <c r="K36" s="957">
        <f t="shared" si="2"/>
        <v>99218</v>
      </c>
      <c r="L36" s="416"/>
      <c r="M36" s="8">
        <v>3</v>
      </c>
      <c r="N36" s="957">
        <f t="shared" si="3"/>
        <v>70036</v>
      </c>
      <c r="O36" s="416"/>
    </row>
    <row r="37" spans="1:15" ht="13.5" x14ac:dyDescent="0.25">
      <c r="A37" s="958" t="s">
        <v>593</v>
      </c>
      <c r="B37" s="418"/>
      <c r="C37" s="416"/>
      <c r="D37" s="76" t="s">
        <v>534</v>
      </c>
      <c r="E37" s="838">
        <f t="shared" si="1"/>
        <v>536943</v>
      </c>
      <c r="F37" s="416"/>
      <c r="G37" s="8">
        <v>1</v>
      </c>
      <c r="H37" s="957">
        <f t="shared" si="4"/>
        <v>157581</v>
      </c>
      <c r="I37" s="416"/>
      <c r="J37" s="8">
        <v>1</v>
      </c>
      <c r="K37" s="957">
        <f t="shared" si="2"/>
        <v>99218</v>
      </c>
      <c r="L37" s="416"/>
      <c r="M37" s="8">
        <v>4</v>
      </c>
      <c r="N37" s="957">
        <f t="shared" si="3"/>
        <v>70036</v>
      </c>
      <c r="O37" s="416"/>
    </row>
    <row r="38" spans="1:15" ht="13.5" x14ac:dyDescent="0.25">
      <c r="A38" s="958" t="s">
        <v>594</v>
      </c>
      <c r="B38" s="418"/>
      <c r="C38" s="416"/>
      <c r="D38" s="76" t="s">
        <v>534</v>
      </c>
      <c r="E38" s="838">
        <f t="shared" si="1"/>
        <v>606979</v>
      </c>
      <c r="F38" s="416"/>
      <c r="G38" s="8">
        <v>1</v>
      </c>
      <c r="H38" s="957">
        <f t="shared" si="4"/>
        <v>157581</v>
      </c>
      <c r="I38" s="416"/>
      <c r="J38" s="8">
        <v>1</v>
      </c>
      <c r="K38" s="957">
        <f t="shared" si="2"/>
        <v>99218</v>
      </c>
      <c r="L38" s="416"/>
      <c r="M38" s="8">
        <v>5</v>
      </c>
      <c r="N38" s="957">
        <f t="shared" si="3"/>
        <v>70036</v>
      </c>
      <c r="O38" s="416"/>
    </row>
    <row r="39" spans="1:15" ht="13.5" x14ac:dyDescent="0.25">
      <c r="A39" s="958" t="s">
        <v>595</v>
      </c>
      <c r="B39" s="418"/>
      <c r="C39" s="416"/>
      <c r="D39" s="76" t="s">
        <v>534</v>
      </c>
      <c r="E39" s="838">
        <f t="shared" si="1"/>
        <v>677015</v>
      </c>
      <c r="F39" s="416"/>
      <c r="G39" s="8">
        <v>1</v>
      </c>
      <c r="H39" s="957">
        <f t="shared" si="4"/>
        <v>157581</v>
      </c>
      <c r="I39" s="416"/>
      <c r="J39" s="8">
        <v>1</v>
      </c>
      <c r="K39" s="957">
        <f t="shared" si="2"/>
        <v>99218</v>
      </c>
      <c r="L39" s="416"/>
      <c r="M39" s="8">
        <v>6</v>
      </c>
      <c r="N39" s="957">
        <f t="shared" si="3"/>
        <v>70036</v>
      </c>
      <c r="O39" s="416"/>
    </row>
    <row r="40" spans="1:15" ht="13.5" x14ac:dyDescent="0.25">
      <c r="A40" s="958" t="s">
        <v>479</v>
      </c>
      <c r="B40" s="418"/>
      <c r="C40" s="416"/>
      <c r="D40" s="76" t="s">
        <v>534</v>
      </c>
      <c r="E40" s="838">
        <f t="shared" si="1"/>
        <v>221781</v>
      </c>
      <c r="F40" s="416"/>
      <c r="G40" s="8"/>
      <c r="H40" s="957"/>
      <c r="I40" s="416"/>
      <c r="J40" s="8">
        <v>1</v>
      </c>
      <c r="K40" s="957">
        <f>$G$14</f>
        <v>134236</v>
      </c>
      <c r="L40" s="416"/>
      <c r="M40" s="8">
        <v>1</v>
      </c>
      <c r="N40" s="957">
        <f>$G$13</f>
        <v>87545</v>
      </c>
      <c r="O40" s="416"/>
    </row>
    <row r="41" spans="1:15" ht="13.5" x14ac:dyDescent="0.25">
      <c r="A41" s="958" t="s">
        <v>539</v>
      </c>
      <c r="B41" s="418"/>
      <c r="C41" s="416"/>
      <c r="D41" s="76" t="s">
        <v>534</v>
      </c>
      <c r="E41" s="838">
        <f t="shared" si="1"/>
        <v>309326</v>
      </c>
      <c r="F41" s="416"/>
      <c r="G41" s="8"/>
      <c r="H41" s="957"/>
      <c r="I41" s="416"/>
      <c r="J41" s="8">
        <v>1</v>
      </c>
      <c r="K41" s="957">
        <f>$G$14</f>
        <v>134236</v>
      </c>
      <c r="L41" s="416"/>
      <c r="M41" s="8">
        <v>2</v>
      </c>
      <c r="N41" s="957">
        <f>$G$13</f>
        <v>87545</v>
      </c>
      <c r="O41" s="416"/>
    </row>
    <row r="42" spans="1:15" ht="13.5" x14ac:dyDescent="0.25">
      <c r="A42" s="958" t="s">
        <v>596</v>
      </c>
      <c r="B42" s="418"/>
      <c r="C42" s="416"/>
      <c r="D42" s="76" t="s">
        <v>534</v>
      </c>
      <c r="E42" s="838">
        <f t="shared" si="1"/>
        <v>396871</v>
      </c>
      <c r="F42" s="416"/>
      <c r="G42" s="8"/>
      <c r="H42" s="957"/>
      <c r="I42" s="416"/>
      <c r="J42" s="8">
        <v>1</v>
      </c>
      <c r="K42" s="957">
        <f>$G$14</f>
        <v>134236</v>
      </c>
      <c r="L42" s="416"/>
      <c r="M42" s="8">
        <v>3</v>
      </c>
      <c r="N42" s="957">
        <f>$G$13</f>
        <v>87545</v>
      </c>
      <c r="O42" s="416"/>
    </row>
    <row r="43" spans="1:15" ht="13.5" x14ac:dyDescent="0.25">
      <c r="A43" s="958" t="s">
        <v>597</v>
      </c>
      <c r="B43" s="418"/>
      <c r="C43" s="416"/>
      <c r="D43" s="76" t="s">
        <v>534</v>
      </c>
      <c r="E43" s="838">
        <f t="shared" si="1"/>
        <v>484416</v>
      </c>
      <c r="F43" s="416"/>
      <c r="G43" s="8"/>
      <c r="H43" s="957"/>
      <c r="I43" s="416"/>
      <c r="J43" s="8">
        <v>1</v>
      </c>
      <c r="K43" s="957">
        <f>$G$14</f>
        <v>134236</v>
      </c>
      <c r="L43" s="416"/>
      <c r="M43" s="8">
        <v>4</v>
      </c>
      <c r="N43" s="957">
        <f>$G$13</f>
        <v>87545</v>
      </c>
      <c r="O43" s="416"/>
    </row>
    <row r="44" spans="1:15" ht="13.5" x14ac:dyDescent="0.25">
      <c r="A44" s="958" t="s">
        <v>598</v>
      </c>
      <c r="B44" s="418"/>
      <c r="C44" s="416"/>
      <c r="D44" s="76" t="s">
        <v>534</v>
      </c>
      <c r="E44" s="838">
        <f t="shared" si="1"/>
        <v>571961</v>
      </c>
      <c r="F44" s="416"/>
      <c r="G44" s="8"/>
      <c r="H44" s="957"/>
      <c r="I44" s="416"/>
      <c r="J44" s="8">
        <v>1</v>
      </c>
      <c r="K44" s="957">
        <f>$G$14</f>
        <v>134236</v>
      </c>
      <c r="L44" s="416"/>
      <c r="M44" s="8">
        <v>5</v>
      </c>
      <c r="N44" s="957">
        <f>$G$13</f>
        <v>87545</v>
      </c>
      <c r="O44" s="416"/>
    </row>
    <row r="45" spans="1:15" ht="13.5" x14ac:dyDescent="0.25">
      <c r="A45" s="958" t="s">
        <v>599</v>
      </c>
      <c r="B45" s="418"/>
      <c r="C45" s="416"/>
      <c r="D45" s="76" t="s">
        <v>534</v>
      </c>
      <c r="E45" s="838">
        <f t="shared" si="1"/>
        <v>215945</v>
      </c>
      <c r="F45" s="416"/>
      <c r="G45" s="8"/>
      <c r="H45" s="957"/>
      <c r="I45" s="416"/>
      <c r="J45" s="8">
        <v>1</v>
      </c>
      <c r="K45" s="957">
        <f>$G$16</f>
        <v>134236</v>
      </c>
      <c r="L45" s="416"/>
      <c r="M45" s="8">
        <v>1</v>
      </c>
      <c r="N45" s="957">
        <f>$G$15</f>
        <v>81709</v>
      </c>
      <c r="O45" s="416"/>
    </row>
    <row r="46" spans="1:15" ht="13.5" x14ac:dyDescent="0.25">
      <c r="A46" s="958" t="s">
        <v>510</v>
      </c>
      <c r="B46" s="418"/>
      <c r="C46" s="416"/>
      <c r="D46" s="76" t="s">
        <v>534</v>
      </c>
      <c r="E46" s="838">
        <f t="shared" si="1"/>
        <v>297654</v>
      </c>
      <c r="F46" s="416"/>
      <c r="G46" s="8"/>
      <c r="H46" s="957"/>
      <c r="I46" s="416"/>
      <c r="J46" s="8">
        <v>1</v>
      </c>
      <c r="K46" s="957">
        <f>$G$16</f>
        <v>134236</v>
      </c>
      <c r="L46" s="416"/>
      <c r="M46" s="8">
        <v>2</v>
      </c>
      <c r="N46" s="957">
        <f>$G$15</f>
        <v>81709</v>
      </c>
      <c r="O46" s="416"/>
    </row>
    <row r="47" spans="1:15" ht="13.5" x14ac:dyDescent="0.25">
      <c r="A47" s="958" t="s">
        <v>600</v>
      </c>
      <c r="B47" s="418"/>
      <c r="C47" s="416"/>
      <c r="D47" s="76" t="s">
        <v>534</v>
      </c>
      <c r="E47" s="838">
        <f t="shared" si="1"/>
        <v>379363</v>
      </c>
      <c r="F47" s="416"/>
      <c r="G47" s="8"/>
      <c r="H47" s="957"/>
      <c r="I47" s="416"/>
      <c r="J47" s="8">
        <v>1</v>
      </c>
      <c r="K47" s="957">
        <f>$G$16</f>
        <v>134236</v>
      </c>
      <c r="L47" s="416"/>
      <c r="M47" s="8">
        <v>3</v>
      </c>
      <c r="N47" s="957">
        <f>$G$15</f>
        <v>81709</v>
      </c>
      <c r="O47" s="416"/>
    </row>
    <row r="48" spans="1:15" ht="13.5" x14ac:dyDescent="0.25">
      <c r="A48" s="958" t="s">
        <v>601</v>
      </c>
      <c r="B48" s="418"/>
      <c r="C48" s="416"/>
      <c r="D48" s="76" t="s">
        <v>534</v>
      </c>
      <c r="E48" s="838">
        <f t="shared" si="1"/>
        <v>461072</v>
      </c>
      <c r="F48" s="416"/>
      <c r="G48" s="8"/>
      <c r="H48" s="957"/>
      <c r="I48" s="416"/>
      <c r="J48" s="8">
        <v>1</v>
      </c>
      <c r="K48" s="957">
        <f>$G$16</f>
        <v>134236</v>
      </c>
      <c r="L48" s="416"/>
      <c r="M48" s="8">
        <v>4</v>
      </c>
      <c r="N48" s="957">
        <f>$G$17</f>
        <v>81709</v>
      </c>
      <c r="O48" s="416"/>
    </row>
    <row r="49" spans="1:15" ht="13.5" x14ac:dyDescent="0.25">
      <c r="A49" s="958" t="s">
        <v>474</v>
      </c>
      <c r="B49" s="418"/>
      <c r="C49" s="416"/>
      <c r="D49" s="76" t="s">
        <v>534</v>
      </c>
      <c r="E49" s="838">
        <f t="shared" si="1"/>
        <v>215945</v>
      </c>
      <c r="F49" s="416"/>
      <c r="G49" s="8"/>
      <c r="H49" s="957"/>
      <c r="I49" s="416"/>
      <c r="J49" s="8">
        <v>1</v>
      </c>
      <c r="K49" s="957">
        <f>$G$18</f>
        <v>134236</v>
      </c>
      <c r="L49" s="416"/>
      <c r="M49" s="8">
        <v>1</v>
      </c>
      <c r="N49" s="957">
        <f>$G$17</f>
        <v>81709</v>
      </c>
      <c r="O49" s="416"/>
    </row>
    <row r="50" spans="1:15" ht="13.5" x14ac:dyDescent="0.25">
      <c r="A50" s="958" t="s">
        <v>602</v>
      </c>
      <c r="B50" s="418"/>
      <c r="C50" s="416"/>
      <c r="D50" s="76" t="s">
        <v>534</v>
      </c>
      <c r="E50" s="838">
        <f t="shared" si="1"/>
        <v>297654</v>
      </c>
      <c r="F50" s="416"/>
      <c r="G50" s="8"/>
      <c r="H50" s="957"/>
      <c r="I50" s="416"/>
      <c r="J50" s="8">
        <v>1</v>
      </c>
      <c r="K50" s="957">
        <f>$G$18</f>
        <v>134236</v>
      </c>
      <c r="L50" s="416"/>
      <c r="M50" s="8">
        <v>2</v>
      </c>
      <c r="N50" s="957">
        <f>$G$17</f>
        <v>81709</v>
      </c>
      <c r="O50" s="416"/>
    </row>
    <row r="51" spans="1:15" ht="13.5" x14ac:dyDescent="0.25">
      <c r="A51" s="958" t="s">
        <v>603</v>
      </c>
      <c r="B51" s="418"/>
      <c r="C51" s="416"/>
      <c r="D51" s="76" t="s">
        <v>534</v>
      </c>
      <c r="E51" s="838">
        <f t="shared" si="1"/>
        <v>379363</v>
      </c>
      <c r="F51" s="416"/>
      <c r="G51" s="8"/>
      <c r="H51" s="957"/>
      <c r="I51" s="416"/>
      <c r="J51" s="8">
        <v>1</v>
      </c>
      <c r="K51" s="957">
        <f>$G$18</f>
        <v>134236</v>
      </c>
      <c r="L51" s="416"/>
      <c r="M51" s="8">
        <v>3</v>
      </c>
      <c r="N51" s="957">
        <f>$G$17</f>
        <v>81709</v>
      </c>
      <c r="O51" s="416"/>
    </row>
    <row r="52" spans="1:15" ht="13.5" x14ac:dyDescent="0.25">
      <c r="A52" s="958" t="s">
        <v>551</v>
      </c>
      <c r="B52" s="418"/>
      <c r="C52" s="416"/>
      <c r="D52" s="76" t="s">
        <v>534</v>
      </c>
      <c r="E52" s="838">
        <f t="shared" si="1"/>
        <v>461072</v>
      </c>
      <c r="F52" s="416"/>
      <c r="G52" s="8"/>
      <c r="H52" s="957"/>
      <c r="I52" s="416"/>
      <c r="J52" s="8">
        <v>1</v>
      </c>
      <c r="K52" s="957">
        <f>$G$18</f>
        <v>134236</v>
      </c>
      <c r="L52" s="416"/>
      <c r="M52" s="8">
        <v>4</v>
      </c>
      <c r="N52" s="957">
        <f>$G$17</f>
        <v>81709</v>
      </c>
      <c r="O52" s="416"/>
    </row>
    <row r="53" spans="1:15" ht="13.5" x14ac:dyDescent="0.25">
      <c r="A53" s="958" t="s">
        <v>604</v>
      </c>
      <c r="B53" s="418"/>
      <c r="C53" s="416"/>
      <c r="D53" s="76" t="s">
        <v>534</v>
      </c>
      <c r="E53" s="838">
        <f t="shared" si="1"/>
        <v>99218</v>
      </c>
      <c r="F53" s="416"/>
      <c r="G53" s="8"/>
      <c r="H53" s="957"/>
      <c r="I53" s="416"/>
      <c r="J53" s="8">
        <v>1</v>
      </c>
      <c r="K53" s="957">
        <f>$G$12</f>
        <v>99218</v>
      </c>
      <c r="L53" s="416"/>
      <c r="M53" s="8"/>
      <c r="N53" s="957"/>
      <c r="O53" s="416"/>
    </row>
    <row r="54" spans="1:15" ht="13.5" x14ac:dyDescent="0.25">
      <c r="A54" s="958" t="s">
        <v>605</v>
      </c>
      <c r="B54" s="418"/>
      <c r="C54" s="416"/>
      <c r="D54" s="76" t="s">
        <v>534</v>
      </c>
      <c r="E54" s="838">
        <f t="shared" si="1"/>
        <v>134236</v>
      </c>
      <c r="F54" s="416"/>
      <c r="G54" s="8"/>
      <c r="H54" s="957"/>
      <c r="I54" s="416"/>
      <c r="J54" s="8">
        <v>1</v>
      </c>
      <c r="K54" s="957">
        <f>$G$14</f>
        <v>134236</v>
      </c>
      <c r="L54" s="416"/>
      <c r="M54" s="8"/>
      <c r="N54" s="957"/>
      <c r="O54" s="416"/>
    </row>
    <row r="55" spans="1:15" ht="13.5" x14ac:dyDescent="0.25">
      <c r="A55" s="958" t="s">
        <v>606</v>
      </c>
      <c r="B55" s="418"/>
      <c r="C55" s="416"/>
      <c r="D55" s="76" t="s">
        <v>534</v>
      </c>
      <c r="E55" s="838">
        <f t="shared" si="1"/>
        <v>134236</v>
      </c>
      <c r="F55" s="416"/>
      <c r="G55" s="8"/>
      <c r="H55" s="957"/>
      <c r="I55" s="416"/>
      <c r="J55" s="8">
        <v>1</v>
      </c>
      <c r="K55" s="957">
        <f>$G$16</f>
        <v>134236</v>
      </c>
      <c r="L55" s="416"/>
      <c r="M55" s="8"/>
      <c r="N55" s="957"/>
      <c r="O55" s="416"/>
    </row>
    <row r="56" spans="1:15" ht="13.5" x14ac:dyDescent="0.25">
      <c r="A56" s="958" t="s">
        <v>607</v>
      </c>
      <c r="B56" s="418"/>
      <c r="C56" s="416"/>
      <c r="D56" s="76" t="s">
        <v>534</v>
      </c>
      <c r="E56" s="838">
        <f t="shared" si="1"/>
        <v>134236</v>
      </c>
      <c r="F56" s="416"/>
      <c r="G56" s="8"/>
      <c r="H56" s="957"/>
      <c r="I56" s="416"/>
      <c r="J56" s="8">
        <v>1</v>
      </c>
      <c r="K56" s="957">
        <f>$G$18</f>
        <v>134236</v>
      </c>
      <c r="L56" s="416"/>
      <c r="M56" s="8"/>
      <c r="N56" s="957"/>
      <c r="O56" s="416"/>
    </row>
    <row r="57" spans="1:15" ht="13.5" x14ac:dyDescent="0.25">
      <c r="A57" s="958" t="s">
        <v>608</v>
      </c>
      <c r="B57" s="418"/>
      <c r="C57" s="416"/>
      <c r="D57" s="76" t="s">
        <v>534</v>
      </c>
      <c r="E57" s="838">
        <f>G14</f>
        <v>134236</v>
      </c>
      <c r="F57" s="416"/>
      <c r="G57" s="8"/>
      <c r="H57" s="957"/>
      <c r="I57" s="416"/>
      <c r="J57" s="8"/>
      <c r="K57" s="957"/>
      <c r="L57" s="416"/>
      <c r="M57" s="8"/>
      <c r="N57" s="957"/>
      <c r="O57" s="416"/>
    </row>
    <row r="58" spans="1:15" ht="13.5" x14ac:dyDescent="0.25">
      <c r="A58" s="958" t="s">
        <v>609</v>
      </c>
      <c r="B58" s="418"/>
      <c r="C58" s="416"/>
      <c r="D58" s="76" t="s">
        <v>534</v>
      </c>
      <c r="E58" s="838">
        <f>G11</f>
        <v>70036</v>
      </c>
      <c r="F58" s="416"/>
      <c r="G58" s="8"/>
      <c r="H58" s="957"/>
      <c r="I58" s="416"/>
      <c r="J58" s="8"/>
      <c r="K58" s="957"/>
      <c r="L58" s="416"/>
      <c r="M58" s="8"/>
      <c r="N58" s="957"/>
      <c r="O58" s="416"/>
    </row>
    <row r="59" spans="1:15" ht="13.5" x14ac:dyDescent="0.25">
      <c r="A59" s="958" t="s">
        <v>610</v>
      </c>
      <c r="B59" s="418"/>
      <c r="C59" s="416"/>
      <c r="D59" s="76" t="s">
        <v>534</v>
      </c>
      <c r="E59" s="838">
        <f>G12</f>
        <v>99218</v>
      </c>
      <c r="F59" s="416"/>
      <c r="G59" s="8"/>
      <c r="H59" s="957"/>
      <c r="I59" s="416"/>
      <c r="J59" s="8"/>
      <c r="K59" s="957"/>
      <c r="L59" s="416"/>
      <c r="M59" s="8"/>
      <c r="N59" s="957"/>
      <c r="O59" s="416"/>
    </row>
    <row r="60" spans="1:15" ht="13.5" x14ac:dyDescent="0.25">
      <c r="A60" s="958" t="s">
        <v>611</v>
      </c>
      <c r="B60" s="418"/>
      <c r="C60" s="416"/>
      <c r="D60" s="76" t="s">
        <v>534</v>
      </c>
      <c r="E60" s="838">
        <v>145750</v>
      </c>
      <c r="F60" s="416"/>
      <c r="G60" s="8"/>
      <c r="H60" s="957"/>
      <c r="I60" s="416"/>
      <c r="J60" s="8"/>
      <c r="K60" s="957"/>
      <c r="L60" s="416"/>
      <c r="M60" s="8"/>
      <c r="N60" s="957"/>
      <c r="O60" s="416"/>
    </row>
    <row r="61" spans="1:15" ht="13.5" x14ac:dyDescent="0.25">
      <c r="A61" s="958" t="s">
        <v>612</v>
      </c>
      <c r="B61" s="418"/>
      <c r="C61" s="416"/>
      <c r="D61" s="76" t="s">
        <v>534</v>
      </c>
      <c r="E61" s="838">
        <v>178875</v>
      </c>
      <c r="F61" s="416"/>
      <c r="G61" s="8"/>
      <c r="H61" s="957"/>
      <c r="I61" s="416"/>
      <c r="J61" s="8"/>
      <c r="K61" s="957"/>
      <c r="L61" s="416"/>
      <c r="M61" s="8"/>
      <c r="N61" s="957"/>
      <c r="O61" s="416"/>
    </row>
    <row r="62" spans="1:15" ht="13.5" x14ac:dyDescent="0.25">
      <c r="A62" s="958" t="s">
        <v>613</v>
      </c>
      <c r="B62" s="418"/>
      <c r="C62" s="416"/>
      <c r="D62" s="76" t="s">
        <v>534</v>
      </c>
      <c r="E62" s="838">
        <v>245125</v>
      </c>
      <c r="F62" s="416"/>
      <c r="G62" s="8"/>
      <c r="H62" s="957"/>
      <c r="I62" s="416"/>
      <c r="J62" s="8"/>
      <c r="K62" s="957"/>
      <c r="L62" s="416"/>
      <c r="M62" s="8"/>
      <c r="N62" s="957"/>
      <c r="O62" s="416"/>
    </row>
    <row r="63" spans="1:15" ht="13.5" x14ac:dyDescent="0.25">
      <c r="A63" s="958" t="s">
        <v>614</v>
      </c>
      <c r="B63" s="418"/>
      <c r="C63" s="416"/>
      <c r="D63" s="76" t="s">
        <v>534</v>
      </c>
      <c r="E63" s="838">
        <v>165625</v>
      </c>
      <c r="F63" s="416"/>
      <c r="G63" s="8"/>
      <c r="H63" s="957"/>
      <c r="I63" s="416"/>
      <c r="J63" s="8"/>
      <c r="K63" s="957"/>
      <c r="L63" s="416"/>
      <c r="M63" s="8"/>
      <c r="N63" s="957"/>
      <c r="O63" s="416"/>
    </row>
    <row r="64" spans="1:15" ht="13.5" x14ac:dyDescent="0.25">
      <c r="A64" s="958" t="s">
        <v>533</v>
      </c>
      <c r="B64" s="418"/>
      <c r="C64" s="416"/>
      <c r="D64" s="76" t="s">
        <v>534</v>
      </c>
      <c r="E64" s="838">
        <f>2*M13</f>
        <v>116727</v>
      </c>
      <c r="F64" s="416"/>
      <c r="G64" s="8"/>
      <c r="H64" s="957"/>
      <c r="I64" s="416"/>
      <c r="J64" s="8"/>
      <c r="K64" s="957"/>
      <c r="L64" s="416"/>
      <c r="M64" s="8"/>
      <c r="N64" s="957"/>
      <c r="O64" s="416"/>
    </row>
    <row r="65" spans="1:15" ht="13.5" x14ac:dyDescent="0.25">
      <c r="A65" s="958" t="s">
        <v>473</v>
      </c>
      <c r="B65" s="418"/>
      <c r="C65" s="416"/>
      <c r="D65" s="76" t="s">
        <v>534</v>
      </c>
      <c r="E65" s="838">
        <v>207031.25</v>
      </c>
      <c r="F65" s="416"/>
      <c r="G65" s="8"/>
      <c r="H65" s="957"/>
      <c r="I65" s="416"/>
      <c r="J65" s="8"/>
      <c r="K65" s="957"/>
      <c r="L65" s="416"/>
      <c r="M65" s="8"/>
      <c r="N65" s="957"/>
      <c r="O65" s="416"/>
    </row>
    <row r="66" spans="1:15" ht="13.5" x14ac:dyDescent="0.25">
      <c r="A66" s="958" t="s">
        <v>615</v>
      </c>
      <c r="B66" s="418"/>
      <c r="C66" s="416"/>
      <c r="D66" s="76" t="s">
        <v>534</v>
      </c>
      <c r="E66" s="838">
        <v>132500</v>
      </c>
      <c r="F66" s="416"/>
      <c r="G66" s="8"/>
      <c r="H66" s="957"/>
      <c r="I66" s="416"/>
      <c r="J66" s="8"/>
      <c r="K66" s="957"/>
      <c r="L66" s="416"/>
      <c r="M66" s="8"/>
      <c r="N66" s="957"/>
      <c r="O66" s="416"/>
    </row>
    <row r="67" spans="1:15" ht="13.5" x14ac:dyDescent="0.25">
      <c r="A67" s="958" t="s">
        <v>553</v>
      </c>
      <c r="B67" s="418"/>
      <c r="C67" s="416"/>
      <c r="D67" s="76" t="s">
        <v>534</v>
      </c>
      <c r="E67" s="838">
        <f>(G67*H67)+(J67*K67)+(M67*N67)</f>
        <v>58364</v>
      </c>
      <c r="F67" s="416"/>
      <c r="G67" s="8"/>
      <c r="H67" s="957"/>
      <c r="I67" s="416"/>
      <c r="J67" s="8"/>
      <c r="K67" s="957"/>
      <c r="L67" s="416"/>
      <c r="M67" s="8">
        <v>1</v>
      </c>
      <c r="N67" s="957">
        <f>G10</f>
        <v>58364</v>
      </c>
      <c r="O67" s="416"/>
    </row>
    <row r="68" spans="1:15" ht="13.5" x14ac:dyDescent="0.25">
      <c r="A68" s="958" t="s">
        <v>616</v>
      </c>
      <c r="B68" s="418"/>
      <c r="C68" s="416"/>
      <c r="D68" s="76" t="s">
        <v>534</v>
      </c>
      <c r="E68" s="838">
        <f>+E58+E59</f>
        <v>169254</v>
      </c>
      <c r="F68" s="416"/>
      <c r="G68" s="8"/>
      <c r="H68" s="957"/>
      <c r="I68" s="416"/>
      <c r="J68" s="8"/>
      <c r="K68" s="957"/>
      <c r="L68" s="416"/>
      <c r="M68" s="8"/>
      <c r="N68" s="957"/>
      <c r="O68" s="416"/>
    </row>
    <row r="71" spans="1:15" ht="14.25" thickBot="1" x14ac:dyDescent="0.3">
      <c r="K71" s="190"/>
      <c r="L71" s="190"/>
      <c r="M71" s="132"/>
      <c r="N71" s="132"/>
      <c r="O71" s="132"/>
    </row>
    <row r="72" spans="1:15" ht="14.25" thickTop="1" x14ac:dyDescent="0.2">
      <c r="K72" s="429" t="s">
        <v>1126</v>
      </c>
      <c r="L72" s="429"/>
      <c r="M72" s="429"/>
      <c r="N72" s="429"/>
      <c r="O72" s="429"/>
    </row>
    <row r="73" spans="1:15" ht="13.5" x14ac:dyDescent="0.25">
      <c r="K73" s="406" t="s">
        <v>1127</v>
      </c>
      <c r="L73" s="406"/>
      <c r="M73" s="406"/>
      <c r="N73" s="406"/>
      <c r="O73" s="406"/>
    </row>
    <row r="74" spans="1:15" ht="13.5" x14ac:dyDescent="0.25">
      <c r="K74" s="406" t="s">
        <v>1123</v>
      </c>
      <c r="L74" s="406"/>
      <c r="M74" s="406"/>
      <c r="N74" s="406"/>
      <c r="O74" s="406"/>
    </row>
    <row r="79" spans="1:15" x14ac:dyDescent="0.2">
      <c r="D79" s="116"/>
      <c r="E79" s="116"/>
      <c r="F79" s="116"/>
      <c r="G79" s="116"/>
    </row>
    <row r="80" spans="1:15" x14ac:dyDescent="0.2">
      <c r="D80" s="116"/>
      <c r="E80" s="116"/>
      <c r="F80" s="116"/>
      <c r="G80" s="116"/>
    </row>
    <row r="81" spans="4:7" x14ac:dyDescent="0.2">
      <c r="D81" s="116"/>
      <c r="E81" s="116"/>
      <c r="F81" s="116"/>
      <c r="G81" s="116"/>
    </row>
    <row r="82" spans="4:7" x14ac:dyDescent="0.2">
      <c r="D82" s="116"/>
      <c r="E82" s="116"/>
    </row>
    <row r="83" spans="4:7" x14ac:dyDescent="0.2">
      <c r="D83" s="116"/>
      <c r="E83" s="116"/>
    </row>
    <row r="84" spans="4:7" x14ac:dyDescent="0.2">
      <c r="D84" s="116"/>
    </row>
    <row r="85" spans="4:7" x14ac:dyDescent="0.2">
      <c r="D85" s="116"/>
    </row>
  </sheetData>
  <mergeCells count="270">
    <mergeCell ref="C9:E9"/>
    <mergeCell ref="G9:H9"/>
    <mergeCell ref="A28:C28"/>
    <mergeCell ref="K28:L28"/>
    <mergeCell ref="A1:M3"/>
    <mergeCell ref="N1:O1"/>
    <mergeCell ref="N2:O3"/>
    <mergeCell ref="A5:O5"/>
    <mergeCell ref="C8:E8"/>
    <mergeCell ref="G8:H8"/>
    <mergeCell ref="G18:H18"/>
    <mergeCell ref="C14:E14"/>
    <mergeCell ref="C15:E15"/>
    <mergeCell ref="G15:H15"/>
    <mergeCell ref="C16:E16"/>
    <mergeCell ref="G16:H16"/>
    <mergeCell ref="C17:E17"/>
    <mergeCell ref="C18:E18"/>
    <mergeCell ref="J10:L10"/>
    <mergeCell ref="M10:N10"/>
    <mergeCell ref="C11:E11"/>
    <mergeCell ref="G10:H10"/>
    <mergeCell ref="G11:H11"/>
    <mergeCell ref="K25:L25"/>
    <mergeCell ref="C10:E10"/>
    <mergeCell ref="K31:L31"/>
    <mergeCell ref="N31:O31"/>
    <mergeCell ref="C12:E12"/>
    <mergeCell ref="G12:H12"/>
    <mergeCell ref="C13:E13"/>
    <mergeCell ref="G13:H13"/>
    <mergeCell ref="J13:L13"/>
    <mergeCell ref="M13:N13"/>
    <mergeCell ref="G14:H14"/>
    <mergeCell ref="G17:H17"/>
    <mergeCell ref="H31:I31"/>
    <mergeCell ref="H27:I27"/>
    <mergeCell ref="H28:I28"/>
    <mergeCell ref="C19:E19"/>
    <mergeCell ref="G19:H19"/>
    <mergeCell ref="A22:D22"/>
    <mergeCell ref="A23:C23"/>
    <mergeCell ref="A24:C24"/>
    <mergeCell ref="A25:C25"/>
    <mergeCell ref="A26:C26"/>
    <mergeCell ref="A27:C27"/>
    <mergeCell ref="N26:O26"/>
    <mergeCell ref="N27:O27"/>
    <mergeCell ref="H32:I32"/>
    <mergeCell ref="H33:I33"/>
    <mergeCell ref="H34:I34"/>
    <mergeCell ref="H35:I35"/>
    <mergeCell ref="H36:I36"/>
    <mergeCell ref="A36:C36"/>
    <mergeCell ref="E36:F36"/>
    <mergeCell ref="A29:C29"/>
    <mergeCell ref="E31:F31"/>
    <mergeCell ref="E32:F32"/>
    <mergeCell ref="E33:F33"/>
    <mergeCell ref="E34:F34"/>
    <mergeCell ref="E35:F35"/>
    <mergeCell ref="A30:C30"/>
    <mergeCell ref="A31:C31"/>
    <mergeCell ref="A32:C32"/>
    <mergeCell ref="A33:C33"/>
    <mergeCell ref="A34:C34"/>
    <mergeCell ref="A35:C35"/>
    <mergeCell ref="A37:C37"/>
    <mergeCell ref="A38:C38"/>
    <mergeCell ref="A39:C39"/>
    <mergeCell ref="A40:C40"/>
    <mergeCell ref="A41:C41"/>
    <mergeCell ref="A42:C42"/>
    <mergeCell ref="A64:C64"/>
    <mergeCell ref="A46:C46"/>
    <mergeCell ref="A47:C47"/>
    <mergeCell ref="A48:C48"/>
    <mergeCell ref="A49:C49"/>
    <mergeCell ref="A50:C50"/>
    <mergeCell ref="A51:C51"/>
    <mergeCell ref="A52:C52"/>
    <mergeCell ref="A53:C53"/>
    <mergeCell ref="A54:C54"/>
    <mergeCell ref="A55:C55"/>
    <mergeCell ref="A56:C56"/>
    <mergeCell ref="A57:C57"/>
    <mergeCell ref="A43:C43"/>
    <mergeCell ref="A44:C44"/>
    <mergeCell ref="A45:C45"/>
    <mergeCell ref="A65:C65"/>
    <mergeCell ref="A66:C66"/>
    <mergeCell ref="A67:C67"/>
    <mergeCell ref="A68:C68"/>
    <mergeCell ref="A58:C58"/>
    <mergeCell ref="A59:C59"/>
    <mergeCell ref="A60:C60"/>
    <mergeCell ref="A61:C61"/>
    <mergeCell ref="A62:C62"/>
    <mergeCell ref="A63:C63"/>
    <mergeCell ref="K50:L50"/>
    <mergeCell ref="K51:L51"/>
    <mergeCell ref="K52:L52"/>
    <mergeCell ref="E37:F37"/>
    <mergeCell ref="E38:F38"/>
    <mergeCell ref="E39:F39"/>
    <mergeCell ref="E40:F40"/>
    <mergeCell ref="E41:F41"/>
    <mergeCell ref="E42:F42"/>
    <mergeCell ref="E46:F46"/>
    <mergeCell ref="E47:F47"/>
    <mergeCell ref="E48:F48"/>
    <mergeCell ref="E43:F43"/>
    <mergeCell ref="E44:F44"/>
    <mergeCell ref="E45:F45"/>
    <mergeCell ref="E49:F49"/>
    <mergeCell ref="E50:F50"/>
    <mergeCell ref="E51:F51"/>
    <mergeCell ref="H46:I46"/>
    <mergeCell ref="H47:I47"/>
    <mergeCell ref="H48:I48"/>
    <mergeCell ref="H49:I49"/>
    <mergeCell ref="H50:I50"/>
    <mergeCell ref="H51:I51"/>
    <mergeCell ref="E65:F65"/>
    <mergeCell ref="E66:F66"/>
    <mergeCell ref="E67:F67"/>
    <mergeCell ref="E68:F68"/>
    <mergeCell ref="E57:F57"/>
    <mergeCell ref="E58:F58"/>
    <mergeCell ref="E59:F59"/>
    <mergeCell ref="E60:F60"/>
    <mergeCell ref="E61:F61"/>
    <mergeCell ref="E62:F62"/>
    <mergeCell ref="E55:F55"/>
    <mergeCell ref="E56:F56"/>
    <mergeCell ref="E64:F64"/>
    <mergeCell ref="E63:F63"/>
    <mergeCell ref="E52:F52"/>
    <mergeCell ref="E53:F53"/>
    <mergeCell ref="E54:F54"/>
    <mergeCell ref="K53:L53"/>
    <mergeCell ref="K54:L54"/>
    <mergeCell ref="H52:I52"/>
    <mergeCell ref="H53:I53"/>
    <mergeCell ref="H54:I54"/>
    <mergeCell ref="H65:I65"/>
    <mergeCell ref="H67:I67"/>
    <mergeCell ref="K55:L55"/>
    <mergeCell ref="K56:L56"/>
    <mergeCell ref="K57:L57"/>
    <mergeCell ref="K58:L58"/>
    <mergeCell ref="K59:L59"/>
    <mergeCell ref="K60:L60"/>
    <mergeCell ref="K61:L61"/>
    <mergeCell ref="K62:L62"/>
    <mergeCell ref="K63:L63"/>
    <mergeCell ref="H55:I55"/>
    <mergeCell ref="H56:I56"/>
    <mergeCell ref="H57:I57"/>
    <mergeCell ref="H58:I58"/>
    <mergeCell ref="H66:I66"/>
    <mergeCell ref="K67:L67"/>
    <mergeCell ref="K64:L64"/>
    <mergeCell ref="K65:L65"/>
    <mergeCell ref="K66:L66"/>
    <mergeCell ref="H68:I68"/>
    <mergeCell ref="H59:I59"/>
    <mergeCell ref="H60:I60"/>
    <mergeCell ref="H61:I61"/>
    <mergeCell ref="H62:I62"/>
    <mergeCell ref="H63:I63"/>
    <mergeCell ref="H64:I64"/>
    <mergeCell ref="H23:I23"/>
    <mergeCell ref="E22:F22"/>
    <mergeCell ref="E23:F23"/>
    <mergeCell ref="H24:I24"/>
    <mergeCell ref="H25:I25"/>
    <mergeCell ref="H26:I26"/>
    <mergeCell ref="G22:I22"/>
    <mergeCell ref="H45:I45"/>
    <mergeCell ref="H29:I29"/>
    <mergeCell ref="H30:I30"/>
    <mergeCell ref="E29:F29"/>
    <mergeCell ref="E30:F30"/>
    <mergeCell ref="E24:F24"/>
    <mergeCell ref="E25:F25"/>
    <mergeCell ref="E26:F26"/>
    <mergeCell ref="E27:F27"/>
    <mergeCell ref="E28:F28"/>
    <mergeCell ref="H37:I37"/>
    <mergeCell ref="H38:I38"/>
    <mergeCell ref="H39:I39"/>
    <mergeCell ref="H40:I40"/>
    <mergeCell ref="H41:I41"/>
    <mergeCell ref="H42:I42"/>
    <mergeCell ref="H43:I43"/>
    <mergeCell ref="N61:O61"/>
    <mergeCell ref="N62:O62"/>
    <mergeCell ref="N50:O50"/>
    <mergeCell ref="N51:O51"/>
    <mergeCell ref="N52:O52"/>
    <mergeCell ref="N53:O53"/>
    <mergeCell ref="N54:O54"/>
    <mergeCell ref="N55:O55"/>
    <mergeCell ref="N43:O43"/>
    <mergeCell ref="N44:O44"/>
    <mergeCell ref="N45:O45"/>
    <mergeCell ref="N46:O46"/>
    <mergeCell ref="N47:O47"/>
    <mergeCell ref="N48:O48"/>
    <mergeCell ref="H44:I44"/>
    <mergeCell ref="N49:O49"/>
    <mergeCell ref="K38:L38"/>
    <mergeCell ref="N68:O68"/>
    <mergeCell ref="N56:O56"/>
    <mergeCell ref="N57:O57"/>
    <mergeCell ref="N58:O58"/>
    <mergeCell ref="N59:O59"/>
    <mergeCell ref="N60:O60"/>
    <mergeCell ref="N63:O63"/>
    <mergeCell ref="N64:O64"/>
    <mergeCell ref="N65:O65"/>
    <mergeCell ref="N28:O28"/>
    <mergeCell ref="K27:L27"/>
    <mergeCell ref="K39:L39"/>
    <mergeCell ref="K40:L40"/>
    <mergeCell ref="N38:O38"/>
    <mergeCell ref="N39:O39"/>
    <mergeCell ref="N40:O40"/>
    <mergeCell ref="N41:O41"/>
    <mergeCell ref="K72:O72"/>
    <mergeCell ref="N42:O42"/>
    <mergeCell ref="K41:L41"/>
    <mergeCell ref="K42:L42"/>
    <mergeCell ref="K43:L43"/>
    <mergeCell ref="K44:L44"/>
    <mergeCell ref="K45:L45"/>
    <mergeCell ref="K46:L46"/>
    <mergeCell ref="K68:L68"/>
    <mergeCell ref="K47:L47"/>
    <mergeCell ref="K48:L48"/>
    <mergeCell ref="K49:L49"/>
    <mergeCell ref="K29:L29"/>
    <mergeCell ref="K30:L30"/>
    <mergeCell ref="N66:O66"/>
    <mergeCell ref="N67:O67"/>
    <mergeCell ref="K73:O73"/>
    <mergeCell ref="K74:O74"/>
    <mergeCell ref="J22:L22"/>
    <mergeCell ref="M22:O22"/>
    <mergeCell ref="K23:L23"/>
    <mergeCell ref="N23:O23"/>
    <mergeCell ref="K24:L24"/>
    <mergeCell ref="N24:O24"/>
    <mergeCell ref="K35:L35"/>
    <mergeCell ref="K36:L36"/>
    <mergeCell ref="K37:L37"/>
    <mergeCell ref="N35:O35"/>
    <mergeCell ref="N36:O36"/>
    <mergeCell ref="N37:O37"/>
    <mergeCell ref="K32:L32"/>
    <mergeCell ref="N32:O32"/>
    <mergeCell ref="K33:L33"/>
    <mergeCell ref="N33:O33"/>
    <mergeCell ref="N34:O34"/>
    <mergeCell ref="K34:L34"/>
    <mergeCell ref="N25:O25"/>
    <mergeCell ref="N29:O29"/>
    <mergeCell ref="N30:O30"/>
    <mergeCell ref="K26:L26"/>
  </mergeCells>
  <pageMargins left="1.1811023622047245" right="1.1811023622047245" top="0.78740157480314965" bottom="0.78740157480314965" header="0.31496062992125984" footer="0.31496062992125984"/>
  <pageSetup paperSize="9" scale="7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37"/>
  <sheetViews>
    <sheetView view="pageBreakPreview" zoomScaleNormal="100" zoomScaleSheetLayoutView="100" workbookViewId="0">
      <selection activeCell="J23" sqref="J23:K23"/>
    </sheetView>
  </sheetViews>
  <sheetFormatPr baseColWidth="10" defaultRowHeight="12.75" x14ac:dyDescent="0.2"/>
  <sheetData>
    <row r="1" spans="1:11" ht="12.75" customHeight="1" x14ac:dyDescent="0.2">
      <c r="A1" s="840" t="str">
        <f>+Indice!$A$1</f>
        <v>CONSTRUCCIÓN DEL SISTEMA DE ACUEDUCTO IDOLOS, EL TIGRE, MUNICIPIO DE ISNOS – DEPARTAMENTO DEL HUILA – FASE I.</v>
      </c>
      <c r="B1" s="841"/>
      <c r="C1" s="841"/>
      <c r="D1" s="841"/>
      <c r="E1" s="841"/>
      <c r="F1" s="841"/>
      <c r="G1" s="842"/>
      <c r="H1" s="840" t="s">
        <v>702</v>
      </c>
      <c r="I1" s="842"/>
      <c r="J1" s="966" t="s">
        <v>0</v>
      </c>
      <c r="K1" s="967"/>
    </row>
    <row r="2" spans="1:11" x14ac:dyDescent="0.2">
      <c r="A2" s="843"/>
      <c r="B2" s="844"/>
      <c r="C2" s="844"/>
      <c r="D2" s="844"/>
      <c r="E2" s="844"/>
      <c r="F2" s="844"/>
      <c r="G2" s="845"/>
      <c r="H2" s="843"/>
      <c r="I2" s="845"/>
      <c r="J2" s="972">
        <f>Indice!$I$2</f>
        <v>45972</v>
      </c>
      <c r="K2" s="973"/>
    </row>
    <row r="3" spans="1:11" x14ac:dyDescent="0.2">
      <c r="A3" s="846"/>
      <c r="B3" s="847"/>
      <c r="C3" s="847"/>
      <c r="D3" s="847"/>
      <c r="E3" s="847"/>
      <c r="F3" s="847"/>
      <c r="G3" s="848"/>
      <c r="H3" s="846"/>
      <c r="I3" s="848"/>
      <c r="J3" s="974"/>
      <c r="K3" s="975"/>
    </row>
    <row r="4" spans="1:11" x14ac:dyDescent="0.2">
      <c r="C4" s="77">
        <v>1</v>
      </c>
      <c r="D4" s="77">
        <v>2</v>
      </c>
      <c r="E4" s="77">
        <v>3</v>
      </c>
      <c r="F4" s="77">
        <v>4</v>
      </c>
      <c r="G4" s="77">
        <v>5</v>
      </c>
      <c r="H4" s="77">
        <v>6</v>
      </c>
      <c r="I4" s="77">
        <v>7</v>
      </c>
      <c r="J4" s="77">
        <v>8</v>
      </c>
      <c r="K4" s="77">
        <v>9</v>
      </c>
    </row>
    <row r="5" spans="1:11" x14ac:dyDescent="0.2">
      <c r="A5" s="50" t="s">
        <v>555</v>
      </c>
      <c r="B5" s="50" t="s">
        <v>0</v>
      </c>
      <c r="C5" s="968" t="s">
        <v>349</v>
      </c>
      <c r="D5" s="428"/>
      <c r="E5" s="428"/>
      <c r="F5" s="428"/>
      <c r="G5" s="428"/>
      <c r="H5" s="856"/>
      <c r="I5" s="50" t="s">
        <v>40</v>
      </c>
      <c r="J5" s="857" t="s">
        <v>617</v>
      </c>
      <c r="K5" s="483"/>
    </row>
    <row r="6" spans="1:11" ht="13.5" x14ac:dyDescent="0.2">
      <c r="A6" s="12" t="s">
        <v>703</v>
      </c>
      <c r="B6" s="131">
        <v>45539</v>
      </c>
      <c r="C6" s="832" t="s">
        <v>411</v>
      </c>
      <c r="D6" s="833"/>
      <c r="E6" s="833"/>
      <c r="F6" s="833"/>
      <c r="G6" s="833"/>
      <c r="H6" s="834"/>
      <c r="I6" s="79" t="s">
        <v>704</v>
      </c>
      <c r="J6" s="808"/>
      <c r="K6" s="809"/>
    </row>
    <row r="7" spans="1:11" ht="13.15" customHeight="1" x14ac:dyDescent="0.2">
      <c r="A7" s="12" t="s">
        <v>705</v>
      </c>
      <c r="B7" s="131">
        <v>45527</v>
      </c>
      <c r="C7" s="969" t="s">
        <v>412</v>
      </c>
      <c r="D7" s="970"/>
      <c r="E7" s="970"/>
      <c r="F7" s="970"/>
      <c r="G7" s="970"/>
      <c r="H7" s="971"/>
      <c r="I7" s="12" t="s">
        <v>1122</v>
      </c>
      <c r="J7" s="808">
        <v>2261000</v>
      </c>
      <c r="K7" s="809"/>
    </row>
    <row r="8" spans="1:11" ht="13.5" x14ac:dyDescent="0.2">
      <c r="A8" s="12" t="s">
        <v>707</v>
      </c>
      <c r="B8" s="131">
        <v>45525</v>
      </c>
      <c r="C8" s="832" t="s">
        <v>435</v>
      </c>
      <c r="D8" s="833"/>
      <c r="E8" s="833"/>
      <c r="F8" s="833"/>
      <c r="G8" s="833"/>
      <c r="H8" s="834"/>
      <c r="I8" s="12" t="s">
        <v>706</v>
      </c>
      <c r="J8" s="819">
        <f>70000+(3*J17)</f>
        <v>103654</v>
      </c>
      <c r="K8" s="814"/>
    </row>
    <row r="9" spans="1:11" ht="13.5" x14ac:dyDescent="0.2">
      <c r="A9" s="12" t="s">
        <v>708</v>
      </c>
      <c r="B9" s="131">
        <v>45525</v>
      </c>
      <c r="C9" s="832" t="s">
        <v>441</v>
      </c>
      <c r="D9" s="833"/>
      <c r="E9" s="833"/>
      <c r="F9" s="833"/>
      <c r="G9" s="833"/>
      <c r="H9" s="834"/>
      <c r="I9" s="12" t="s">
        <v>706</v>
      </c>
      <c r="J9" s="819">
        <f>(50000*1.19)+J16</f>
        <v>75993</v>
      </c>
      <c r="K9" s="814"/>
    </row>
    <row r="10" spans="1:11" ht="13.5" x14ac:dyDescent="0.2">
      <c r="A10" s="12" t="s">
        <v>709</v>
      </c>
      <c r="B10" s="131">
        <v>45526</v>
      </c>
      <c r="C10" s="832" t="s">
        <v>428</v>
      </c>
      <c r="D10" s="833"/>
      <c r="E10" s="833"/>
      <c r="F10" s="833"/>
      <c r="G10" s="833"/>
      <c r="H10" s="834"/>
      <c r="I10" s="12" t="s">
        <v>706</v>
      </c>
      <c r="J10" s="819">
        <f>(100000*1.19)+(1*J17)</f>
        <v>130218</v>
      </c>
      <c r="K10" s="814"/>
    </row>
    <row r="11" spans="1:11" ht="13.5" x14ac:dyDescent="0.2">
      <c r="A11" s="12" t="s">
        <v>710</v>
      </c>
      <c r="B11" s="131">
        <v>45524</v>
      </c>
      <c r="C11" s="832" t="s">
        <v>468</v>
      </c>
      <c r="D11" s="833"/>
      <c r="E11" s="833"/>
      <c r="F11" s="833"/>
      <c r="G11" s="833"/>
      <c r="H11" s="834"/>
      <c r="I11" s="12" t="s">
        <v>711</v>
      </c>
      <c r="J11" s="819">
        <v>154700</v>
      </c>
      <c r="K11" s="814"/>
    </row>
    <row r="12" spans="1:11" ht="13.5" x14ac:dyDescent="0.2">
      <c r="A12" s="12" t="s">
        <v>712</v>
      </c>
      <c r="B12" s="131">
        <v>45386</v>
      </c>
      <c r="C12" s="832" t="s">
        <v>490</v>
      </c>
      <c r="D12" s="833"/>
      <c r="E12" s="833"/>
      <c r="F12" s="833"/>
      <c r="G12" s="833"/>
      <c r="H12" s="834"/>
      <c r="I12" s="12" t="s">
        <v>711</v>
      </c>
      <c r="J12" s="819">
        <v>214200</v>
      </c>
      <c r="K12" s="814"/>
    </row>
    <row r="13" spans="1:11" ht="13.5" x14ac:dyDescent="0.2">
      <c r="A13" s="12" t="s">
        <v>1874</v>
      </c>
      <c r="B13" s="131">
        <v>45525</v>
      </c>
      <c r="C13" s="832" t="s">
        <v>472</v>
      </c>
      <c r="D13" s="833"/>
      <c r="E13" s="833"/>
      <c r="F13" s="833"/>
      <c r="G13" s="833"/>
      <c r="H13" s="834"/>
      <c r="I13" s="12" t="s">
        <v>706</v>
      </c>
      <c r="J13" s="819">
        <f>150000+J16</f>
        <v>166493</v>
      </c>
      <c r="K13" s="814"/>
    </row>
    <row r="14" spans="1:11" ht="13.5" x14ac:dyDescent="0.2">
      <c r="A14" s="12" t="s">
        <v>713</v>
      </c>
      <c r="B14" s="131">
        <v>45525</v>
      </c>
      <c r="C14" s="832" t="s">
        <v>481</v>
      </c>
      <c r="D14" s="833"/>
      <c r="E14" s="833"/>
      <c r="F14" s="833"/>
      <c r="G14" s="833"/>
      <c r="H14" s="834"/>
      <c r="I14" s="12" t="s">
        <v>706</v>
      </c>
      <c r="J14" s="819">
        <v>40000</v>
      </c>
      <c r="K14" s="814"/>
    </row>
    <row r="15" spans="1:11" ht="13.5" x14ac:dyDescent="0.2">
      <c r="A15" s="12" t="s">
        <v>714</v>
      </c>
      <c r="B15" s="131">
        <v>45050</v>
      </c>
      <c r="C15" s="835" t="s">
        <v>509</v>
      </c>
      <c r="D15" s="836"/>
      <c r="E15" s="836"/>
      <c r="F15" s="836"/>
      <c r="G15" s="836"/>
      <c r="H15" s="837"/>
      <c r="I15" s="12" t="s">
        <v>706</v>
      </c>
      <c r="J15" s="808">
        <f>15100*1.19*1.1</f>
        <v>19765.900000000001</v>
      </c>
      <c r="K15" s="809"/>
    </row>
    <row r="16" spans="1:11" ht="13.5" x14ac:dyDescent="0.2">
      <c r="A16" s="12" t="s">
        <v>1875</v>
      </c>
      <c r="B16" s="131">
        <v>45539</v>
      </c>
      <c r="C16" s="810" t="s">
        <v>717</v>
      </c>
      <c r="D16" s="811"/>
      <c r="E16" s="811"/>
      <c r="F16" s="811"/>
      <c r="G16" s="811"/>
      <c r="H16" s="812"/>
      <c r="I16" s="12" t="s">
        <v>532</v>
      </c>
      <c r="J16" s="819">
        <v>16493</v>
      </c>
      <c r="K16" s="814"/>
    </row>
    <row r="17" spans="1:11" ht="13.5" x14ac:dyDescent="0.2">
      <c r="A17" s="12" t="s">
        <v>1876</v>
      </c>
      <c r="B17" s="131">
        <v>45540</v>
      </c>
      <c r="C17" s="810" t="s">
        <v>719</v>
      </c>
      <c r="D17" s="811"/>
      <c r="E17" s="811"/>
      <c r="F17" s="811"/>
      <c r="G17" s="811"/>
      <c r="H17" s="812"/>
      <c r="I17" s="12" t="s">
        <v>532</v>
      </c>
      <c r="J17" s="819">
        <v>11218</v>
      </c>
      <c r="K17" s="814"/>
    </row>
    <row r="18" spans="1:11" ht="13.5" x14ac:dyDescent="0.2">
      <c r="A18" s="12" t="s">
        <v>715</v>
      </c>
      <c r="B18" s="131">
        <v>45525</v>
      </c>
      <c r="C18" s="810" t="s">
        <v>478</v>
      </c>
      <c r="D18" s="811"/>
      <c r="E18" s="811"/>
      <c r="F18" s="811"/>
      <c r="G18" s="811"/>
      <c r="H18" s="812"/>
      <c r="I18" s="12" t="s">
        <v>711</v>
      </c>
      <c r="J18" s="819">
        <f>(100000/8)</f>
        <v>12500</v>
      </c>
      <c r="K18" s="814"/>
    </row>
    <row r="19" spans="1:11" ht="13.5" x14ac:dyDescent="0.2">
      <c r="A19" s="12" t="s">
        <v>716</v>
      </c>
      <c r="B19" s="131">
        <v>45057</v>
      </c>
      <c r="C19" s="810" t="s">
        <v>477</v>
      </c>
      <c r="D19" s="811"/>
      <c r="E19" s="811"/>
      <c r="F19" s="811"/>
      <c r="G19" s="811"/>
      <c r="H19" s="812"/>
      <c r="I19" s="12" t="s">
        <v>619</v>
      </c>
      <c r="J19" s="819">
        <v>60000</v>
      </c>
      <c r="K19" s="814"/>
    </row>
    <row r="20" spans="1:11" ht="12.75" customHeight="1" x14ac:dyDescent="0.25">
      <c r="A20" s="12" t="s">
        <v>718</v>
      </c>
      <c r="B20" s="152">
        <v>45525</v>
      </c>
      <c r="C20" s="962" t="s">
        <v>1444</v>
      </c>
      <c r="D20" s="963"/>
      <c r="E20" s="963"/>
      <c r="F20" s="963"/>
      <c r="G20" s="963"/>
      <c r="H20" s="964"/>
      <c r="I20" s="119" t="s">
        <v>711</v>
      </c>
      <c r="J20" s="859">
        <v>14543.6445</v>
      </c>
      <c r="K20" s="726"/>
    </row>
    <row r="21" spans="1:11" ht="12.75" customHeight="1" x14ac:dyDescent="0.25">
      <c r="A21" s="12" t="s">
        <v>1445</v>
      </c>
      <c r="B21" s="152">
        <v>45508</v>
      </c>
      <c r="C21" s="962" t="s">
        <v>1443</v>
      </c>
      <c r="D21" s="963"/>
      <c r="E21" s="963"/>
      <c r="F21" s="963"/>
      <c r="G21" s="963"/>
      <c r="H21" s="964"/>
      <c r="I21" s="119" t="s">
        <v>711</v>
      </c>
      <c r="J21" s="859">
        <v>198300</v>
      </c>
      <c r="K21" s="726"/>
    </row>
    <row r="22" spans="1:11" ht="13.5" x14ac:dyDescent="0.25">
      <c r="A22" s="12" t="s">
        <v>720</v>
      </c>
      <c r="B22" s="147">
        <v>45541</v>
      </c>
      <c r="C22" s="962" t="s">
        <v>1440</v>
      </c>
      <c r="D22" s="963"/>
      <c r="E22" s="963"/>
      <c r="F22" s="963"/>
      <c r="G22" s="963"/>
      <c r="H22" s="964"/>
      <c r="I22" s="119" t="s">
        <v>706</v>
      </c>
      <c r="J22" s="965">
        <v>63294.5</v>
      </c>
      <c r="K22" s="726"/>
    </row>
    <row r="23" spans="1:11" ht="13.5" x14ac:dyDescent="0.25">
      <c r="A23" s="12" t="s">
        <v>721</v>
      </c>
      <c r="B23" s="147">
        <v>45542</v>
      </c>
      <c r="C23" s="962" t="s">
        <v>1575</v>
      </c>
      <c r="D23" s="963"/>
      <c r="E23" s="963"/>
      <c r="F23" s="963"/>
      <c r="G23" s="963"/>
      <c r="H23" s="964"/>
      <c r="I23" s="119" t="s">
        <v>711</v>
      </c>
      <c r="J23" s="965">
        <f>900000/6</f>
        <v>150000</v>
      </c>
      <c r="K23" s="726"/>
    </row>
    <row r="26" spans="1:11" ht="14.25" thickBot="1" x14ac:dyDescent="0.3">
      <c r="G26" s="190"/>
      <c r="H26" s="190"/>
      <c r="I26" s="132"/>
      <c r="J26" s="132"/>
      <c r="K26" s="132"/>
    </row>
    <row r="27" spans="1:11" ht="14.25" thickTop="1" x14ac:dyDescent="0.2">
      <c r="G27" s="429" t="s">
        <v>1126</v>
      </c>
      <c r="H27" s="429"/>
      <c r="I27" s="429"/>
      <c r="J27" s="429"/>
      <c r="K27" s="429"/>
    </row>
    <row r="28" spans="1:11" ht="13.5" x14ac:dyDescent="0.25">
      <c r="G28" s="406" t="s">
        <v>1127</v>
      </c>
      <c r="H28" s="406"/>
      <c r="I28" s="406"/>
      <c r="J28" s="406"/>
      <c r="K28" s="406"/>
    </row>
    <row r="29" spans="1:11" ht="13.5" x14ac:dyDescent="0.25">
      <c r="G29" s="406" t="s">
        <v>1123</v>
      </c>
      <c r="H29" s="406"/>
      <c r="I29" s="406"/>
      <c r="J29" s="406"/>
      <c r="K29" s="406"/>
    </row>
    <row r="31" spans="1:11" x14ac:dyDescent="0.2">
      <c r="B31" s="116"/>
      <c r="C31" s="116"/>
      <c r="D31" s="116"/>
      <c r="E31" s="116"/>
    </row>
    <row r="32" spans="1:11" x14ac:dyDescent="0.2">
      <c r="B32" s="116"/>
      <c r="C32" s="116"/>
      <c r="D32" s="116"/>
      <c r="E32" s="116"/>
    </row>
    <row r="33" spans="2:5" x14ac:dyDescent="0.2">
      <c r="B33" s="116"/>
      <c r="C33" s="116"/>
      <c r="D33" s="116"/>
      <c r="E33" s="116"/>
    </row>
    <row r="34" spans="2:5" x14ac:dyDescent="0.2">
      <c r="B34" s="116"/>
      <c r="C34" s="116"/>
    </row>
    <row r="35" spans="2:5" x14ac:dyDescent="0.2">
      <c r="B35" s="116"/>
      <c r="C35" s="116"/>
    </row>
    <row r="36" spans="2:5" x14ac:dyDescent="0.2">
      <c r="B36" s="116"/>
    </row>
    <row r="37" spans="2:5" x14ac:dyDescent="0.2">
      <c r="B37" s="116"/>
    </row>
  </sheetData>
  <mergeCells count="45">
    <mergeCell ref="J7:K7"/>
    <mergeCell ref="C7:H7"/>
    <mergeCell ref="C6:H6"/>
    <mergeCell ref="J6:K6"/>
    <mergeCell ref="J2:K3"/>
    <mergeCell ref="J1:K1"/>
    <mergeCell ref="H1:I3"/>
    <mergeCell ref="A1:G3"/>
    <mergeCell ref="J5:K5"/>
    <mergeCell ref="C5:H5"/>
    <mergeCell ref="J8:K8"/>
    <mergeCell ref="J14:K14"/>
    <mergeCell ref="C14:H14"/>
    <mergeCell ref="J9:K9"/>
    <mergeCell ref="J10:K10"/>
    <mergeCell ref="J13:K13"/>
    <mergeCell ref="C13:H13"/>
    <mergeCell ref="C10:H10"/>
    <mergeCell ref="C11:H11"/>
    <mergeCell ref="J11:K11"/>
    <mergeCell ref="C12:H12"/>
    <mergeCell ref="C9:H9"/>
    <mergeCell ref="C8:H8"/>
    <mergeCell ref="J12:K12"/>
    <mergeCell ref="C22:H22"/>
    <mergeCell ref="J22:K22"/>
    <mergeCell ref="J17:K17"/>
    <mergeCell ref="C16:H16"/>
    <mergeCell ref="J16:K16"/>
    <mergeCell ref="C19:H19"/>
    <mergeCell ref="J19:K19"/>
    <mergeCell ref="C20:H20"/>
    <mergeCell ref="J20:K20"/>
    <mergeCell ref="C21:H21"/>
    <mergeCell ref="J21:K21"/>
    <mergeCell ref="C15:H15"/>
    <mergeCell ref="J15:K15"/>
    <mergeCell ref="C18:H18"/>
    <mergeCell ref="J18:K18"/>
    <mergeCell ref="C17:H17"/>
    <mergeCell ref="G27:K27"/>
    <mergeCell ref="G28:K28"/>
    <mergeCell ref="G29:K29"/>
    <mergeCell ref="C23:H23"/>
    <mergeCell ref="J23:K23"/>
  </mergeCells>
  <pageMargins left="1.1811023622047245" right="1.1811023622047245" top="0.78740157480314965" bottom="0.78740157480314965" header="0.31496062992125984" footer="0.31496062992125984"/>
  <pageSetup paperSize="9" scale="6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959"/>
  <sheetViews>
    <sheetView view="pageBreakPreview" topLeftCell="A168" zoomScaleNormal="100" zoomScaleSheetLayoutView="100" workbookViewId="0">
      <selection activeCell="I29" sqref="I29"/>
    </sheetView>
  </sheetViews>
  <sheetFormatPr baseColWidth="10" defaultColWidth="12.7109375" defaultRowHeight="15" customHeight="1" x14ac:dyDescent="0.25"/>
  <cols>
    <col min="1" max="3" width="10.42578125" style="132" customWidth="1"/>
    <col min="4" max="4" width="22.140625" style="132" customWidth="1"/>
    <col min="5" max="6" width="10.42578125" style="132" customWidth="1"/>
    <col min="7" max="9" width="15.5703125" style="132" bestFit="1" customWidth="1"/>
    <col min="10" max="14" width="16.7109375" style="132" bestFit="1" customWidth="1"/>
    <col min="15" max="15" width="15.5703125" style="132" bestFit="1" customWidth="1"/>
    <col min="16" max="17" width="10.42578125" style="132" customWidth="1"/>
    <col min="18" max="26" width="12.42578125" style="132" customWidth="1"/>
    <col min="27" max="16384" width="12.7109375" style="132"/>
  </cols>
  <sheetData>
    <row r="1" spans="1:17" ht="12.75" customHeight="1" x14ac:dyDescent="0.25">
      <c r="A1" s="977" t="str">
        <f>Indice!$A$1</f>
        <v>CONSTRUCCIÓN DEL SISTEMA DE ACUEDUCTO IDOLOS, EL TIGRE, MUNICIPIO DE ISNOS – DEPARTAMENTO DEL HUILA – FASE I.</v>
      </c>
      <c r="B1" s="498"/>
      <c r="C1" s="498"/>
      <c r="D1" s="498"/>
      <c r="E1" s="498"/>
      <c r="F1" s="498"/>
      <c r="G1" s="498"/>
      <c r="H1" s="498"/>
      <c r="I1" s="498"/>
      <c r="J1" s="498"/>
      <c r="K1" s="498"/>
      <c r="L1" s="499"/>
      <c r="M1" s="492" t="s">
        <v>0</v>
      </c>
      <c r="N1" s="486"/>
      <c r="O1" s="511" t="e">
        <f>Indice!$K$1</f>
        <v>#REF!</v>
      </c>
      <c r="P1" s="498"/>
      <c r="Q1" s="499"/>
    </row>
    <row r="2" spans="1:17" ht="12.75" customHeight="1" x14ac:dyDescent="0.25">
      <c r="A2" s="500"/>
      <c r="B2" s="501"/>
      <c r="C2" s="501"/>
      <c r="D2" s="501"/>
      <c r="E2" s="501"/>
      <c r="F2" s="501"/>
      <c r="G2" s="501"/>
      <c r="H2" s="501"/>
      <c r="I2" s="501"/>
      <c r="J2" s="501"/>
      <c r="K2" s="501"/>
      <c r="L2" s="502"/>
      <c r="M2" s="978">
        <f>Indice!$I$2</f>
        <v>45972</v>
      </c>
      <c r="N2" s="499"/>
      <c r="O2" s="500"/>
      <c r="P2" s="501"/>
      <c r="Q2" s="502"/>
    </row>
    <row r="3" spans="1:17" ht="12.75" customHeight="1" x14ac:dyDescent="0.25">
      <c r="A3" s="503"/>
      <c r="B3" s="504"/>
      <c r="C3" s="504"/>
      <c r="D3" s="504"/>
      <c r="E3" s="504"/>
      <c r="F3" s="504"/>
      <c r="G3" s="504"/>
      <c r="H3" s="504"/>
      <c r="I3" s="504"/>
      <c r="J3" s="504"/>
      <c r="K3" s="504"/>
      <c r="L3" s="505"/>
      <c r="M3" s="503"/>
      <c r="N3" s="505"/>
      <c r="O3" s="503"/>
      <c r="P3" s="504"/>
      <c r="Q3" s="505"/>
    </row>
    <row r="4" spans="1:17" ht="12.75" customHeight="1" x14ac:dyDescent="0.25">
      <c r="A4" s="285"/>
      <c r="B4" s="285"/>
      <c r="C4" s="285"/>
      <c r="D4" s="285"/>
      <c r="E4" s="285"/>
      <c r="F4" s="285"/>
      <c r="G4" s="285"/>
      <c r="H4" s="285"/>
      <c r="I4" s="285"/>
      <c r="J4" s="285"/>
      <c r="K4" s="285"/>
      <c r="L4" s="285"/>
      <c r="M4" s="285"/>
      <c r="N4" s="285"/>
      <c r="O4" s="286"/>
      <c r="P4" s="96"/>
      <c r="Q4" s="96"/>
    </row>
    <row r="5" spans="1:17" ht="12.75" customHeight="1" x14ac:dyDescent="0.25">
      <c r="A5" s="979" t="s">
        <v>722</v>
      </c>
      <c r="B5" s="498"/>
      <c r="C5" s="498"/>
      <c r="D5" s="498"/>
      <c r="E5" s="498"/>
      <c r="F5" s="498"/>
      <c r="G5" s="498"/>
      <c r="H5" s="498"/>
      <c r="I5" s="498"/>
      <c r="J5" s="498"/>
      <c r="K5" s="498"/>
      <c r="L5" s="498"/>
      <c r="M5" s="498"/>
      <c r="N5" s="498"/>
      <c r="O5" s="498"/>
      <c r="P5" s="499"/>
      <c r="Q5" s="980"/>
    </row>
    <row r="6" spans="1:17" ht="12.75" customHeight="1" x14ac:dyDescent="0.25">
      <c r="A6" s="503"/>
      <c r="B6" s="504"/>
      <c r="C6" s="504"/>
      <c r="D6" s="504"/>
      <c r="E6" s="504"/>
      <c r="F6" s="504"/>
      <c r="G6" s="504"/>
      <c r="H6" s="504"/>
      <c r="I6" s="504"/>
      <c r="J6" s="504"/>
      <c r="K6" s="504"/>
      <c r="L6" s="504"/>
      <c r="M6" s="504"/>
      <c r="N6" s="504"/>
      <c r="O6" s="504"/>
      <c r="P6" s="505"/>
      <c r="Q6" s="981"/>
    </row>
    <row r="7" spans="1:17" ht="12.75" customHeight="1" x14ac:dyDescent="0.25">
      <c r="A7" s="285"/>
      <c r="B7" s="285"/>
      <c r="C7" s="285"/>
      <c r="D7" s="285"/>
      <c r="E7" s="285"/>
      <c r="F7" s="285"/>
      <c r="G7" s="285"/>
      <c r="H7" s="285"/>
      <c r="I7" s="285"/>
      <c r="J7" s="310">
        <v>1</v>
      </c>
      <c r="K7" s="310">
        <v>1</v>
      </c>
      <c r="L7" s="310">
        <v>1</v>
      </c>
      <c r="M7" s="310">
        <v>1</v>
      </c>
      <c r="N7" s="310">
        <v>1</v>
      </c>
      <c r="O7" s="285"/>
      <c r="P7" s="285"/>
      <c r="Q7" s="285"/>
    </row>
    <row r="8" spans="1:17" ht="12.75" customHeight="1" x14ac:dyDescent="0.25">
      <c r="A8" s="982" t="s">
        <v>39</v>
      </c>
      <c r="B8" s="982"/>
      <c r="C8" s="982"/>
      <c r="D8" s="982" t="s">
        <v>1881</v>
      </c>
      <c r="E8" s="982" t="s">
        <v>1880</v>
      </c>
      <c r="F8" s="982" t="s">
        <v>723</v>
      </c>
      <c r="G8" s="302">
        <v>1</v>
      </c>
      <c r="H8" s="303">
        <v>2</v>
      </c>
      <c r="I8" s="302">
        <v>3</v>
      </c>
      <c r="J8" s="303">
        <v>4</v>
      </c>
      <c r="K8" s="302">
        <v>5</v>
      </c>
      <c r="L8" s="303">
        <v>6</v>
      </c>
      <c r="M8" s="302">
        <v>7</v>
      </c>
      <c r="N8" s="303">
        <v>8</v>
      </c>
      <c r="O8" s="302">
        <v>9</v>
      </c>
      <c r="P8" s="303">
        <v>10</v>
      </c>
      <c r="Q8" s="302">
        <v>11</v>
      </c>
    </row>
    <row r="9" spans="1:17" ht="12.75" customHeight="1" x14ac:dyDescent="0.25">
      <c r="A9" s="982"/>
      <c r="B9" s="982"/>
      <c r="C9" s="982"/>
      <c r="D9" s="983"/>
      <c r="E9" s="983"/>
      <c r="F9" s="983"/>
      <c r="G9" s="304"/>
      <c r="H9" s="304"/>
      <c r="I9" s="304"/>
      <c r="J9" s="304"/>
      <c r="K9" s="304"/>
      <c r="L9" s="304"/>
      <c r="M9" s="304"/>
      <c r="N9" s="304"/>
      <c r="O9" s="304"/>
      <c r="P9" s="304"/>
      <c r="Q9" s="304"/>
    </row>
    <row r="10" spans="1:17" ht="12.75" customHeight="1" x14ac:dyDescent="0.25">
      <c r="A10" s="491" t="s">
        <v>724</v>
      </c>
      <c r="B10" s="491"/>
      <c r="C10" s="491"/>
      <c r="D10" s="300">
        <v>0</v>
      </c>
      <c r="E10" s="295">
        <v>60</v>
      </c>
      <c r="F10" s="228">
        <f>+E10/30</f>
        <v>2</v>
      </c>
      <c r="G10" s="305"/>
      <c r="H10" s="305"/>
      <c r="I10" s="296"/>
      <c r="J10" s="296"/>
      <c r="K10" s="296"/>
      <c r="L10" s="296"/>
      <c r="M10" s="296"/>
      <c r="N10" s="296"/>
      <c r="O10" s="296"/>
      <c r="P10" s="296"/>
      <c r="Q10" s="296"/>
    </row>
    <row r="11" spans="1:17" ht="12.75" customHeight="1" x14ac:dyDescent="0.25">
      <c r="A11" s="491" t="s">
        <v>725</v>
      </c>
      <c r="B11" s="491"/>
      <c r="C11" s="491"/>
      <c r="D11" s="300">
        <v>0</v>
      </c>
      <c r="E11" s="295">
        <v>30</v>
      </c>
      <c r="F11" s="228">
        <f>+E11/30</f>
        <v>1</v>
      </c>
      <c r="G11" s="296"/>
      <c r="H11" s="296"/>
      <c r="I11" s="305"/>
      <c r="J11" s="296"/>
      <c r="K11" s="296"/>
      <c r="L11" s="296"/>
      <c r="M11" s="296"/>
      <c r="N11" s="296"/>
      <c r="O11" s="296"/>
      <c r="P11" s="296"/>
      <c r="Q11" s="296"/>
    </row>
    <row r="12" spans="1:17" ht="12.75" customHeight="1" x14ac:dyDescent="0.25">
      <c r="A12" s="1010" t="str">
        <f>+A46</f>
        <v>A - EMPATE SOBRE ADUCCIÓN</v>
      </c>
      <c r="B12" s="991"/>
      <c r="C12" s="992"/>
      <c r="D12" s="1004" t="e">
        <f>+'01'!#REF!</f>
        <v>#REF!</v>
      </c>
      <c r="E12" s="1006">
        <f>+VLOOKUP(A12,$A$46:$P$207,15,FALSE)</f>
        <v>4.7080698614458125</v>
      </c>
      <c r="F12" s="1008">
        <f>+E12/30</f>
        <v>0.15693566204819376</v>
      </c>
      <c r="G12" s="296"/>
      <c r="H12" s="296"/>
      <c r="I12" s="297"/>
      <c r="J12" s="309" t="e">
        <f>+J13/$D$43</f>
        <v>#REF!</v>
      </c>
      <c r="K12" s="296"/>
      <c r="L12" s="296"/>
      <c r="M12" s="296"/>
      <c r="N12" s="296"/>
      <c r="O12" s="296"/>
      <c r="P12" s="296"/>
      <c r="Q12" s="296"/>
    </row>
    <row r="13" spans="1:17" ht="12.75" customHeight="1" x14ac:dyDescent="0.25">
      <c r="A13" s="1011"/>
      <c r="B13" s="1012"/>
      <c r="C13" s="1013"/>
      <c r="D13" s="1005"/>
      <c r="E13" s="1007"/>
      <c r="F13" s="1009"/>
      <c r="G13" s="296"/>
      <c r="H13" s="296"/>
      <c r="I13" s="297"/>
      <c r="J13" s="308" t="e">
        <f>+D12</f>
        <v>#REF!</v>
      </c>
      <c r="K13" s="296"/>
      <c r="L13" s="296"/>
      <c r="M13" s="296"/>
      <c r="N13" s="296"/>
      <c r="O13" s="296"/>
      <c r="P13" s="296"/>
      <c r="Q13" s="296"/>
    </row>
    <row r="14" spans="1:17" ht="12.75" customHeight="1" x14ac:dyDescent="0.25">
      <c r="A14" s="1010" t="str">
        <f>+A67</f>
        <v>B - PTAP MÓDULO 1</v>
      </c>
      <c r="B14" s="991"/>
      <c r="C14" s="992"/>
      <c r="D14" s="1004" t="e">
        <f>+'01'!#REF!</f>
        <v>#REF!</v>
      </c>
      <c r="E14" s="1006">
        <f>+VLOOKUP(A14,$A$46:$P$207,15,FALSE)</f>
        <v>64.940556444747841</v>
      </c>
      <c r="F14" s="1008">
        <f t="shared" ref="F14" si="0">+E14/30</f>
        <v>2.164685214824928</v>
      </c>
      <c r="G14" s="296"/>
      <c r="H14" s="296"/>
      <c r="I14" s="297"/>
      <c r="J14" s="309" t="e">
        <f>+J15/$D$43</f>
        <v>#REF!</v>
      </c>
      <c r="K14" s="309" t="e">
        <f t="shared" ref="K14:L16" si="1">+K15/$D$43</f>
        <v>#REF!</v>
      </c>
      <c r="L14" s="309" t="e">
        <f t="shared" si="1"/>
        <v>#REF!</v>
      </c>
      <c r="M14" s="296"/>
      <c r="N14" s="296"/>
      <c r="O14" s="296"/>
      <c r="P14" s="296"/>
      <c r="Q14" s="296"/>
    </row>
    <row r="15" spans="1:17" ht="12.75" customHeight="1" x14ac:dyDescent="0.25">
      <c r="A15" s="1011"/>
      <c r="B15" s="1012"/>
      <c r="C15" s="1013"/>
      <c r="D15" s="1005"/>
      <c r="E15" s="1007"/>
      <c r="F15" s="1009"/>
      <c r="G15" s="296"/>
      <c r="H15" s="296"/>
      <c r="I15" s="297"/>
      <c r="J15" s="308" t="e">
        <f>+D14*0.08</f>
        <v>#REF!</v>
      </c>
      <c r="K15" s="308" t="e">
        <f>+D14*0.46</f>
        <v>#REF!</v>
      </c>
      <c r="L15" s="308" t="e">
        <f>+D14*0.46</f>
        <v>#REF!</v>
      </c>
      <c r="M15" s="296"/>
      <c r="N15" s="296"/>
      <c r="O15" s="296"/>
      <c r="P15" s="296"/>
      <c r="Q15" s="296"/>
    </row>
    <row r="16" spans="1:17" ht="12.75" customHeight="1" x14ac:dyDescent="0.25">
      <c r="A16" s="1010" t="str">
        <f>+A91</f>
        <v>C - ALMACENAMIENTO 250 M³</v>
      </c>
      <c r="B16" s="991"/>
      <c r="C16" s="992"/>
      <c r="D16" s="1004" t="e">
        <f>+'01'!#REF!</f>
        <v>#REF!</v>
      </c>
      <c r="E16" s="1006">
        <f>+VLOOKUP(A16,$A$46:$P$207,15,FALSE)</f>
        <v>81.505643638774757</v>
      </c>
      <c r="F16" s="1008">
        <f t="shared" ref="F16" si="2">+E16/30</f>
        <v>2.7168547879591585</v>
      </c>
      <c r="G16" s="296"/>
      <c r="H16" s="296"/>
      <c r="I16" s="297"/>
      <c r="J16" s="297"/>
      <c r="K16" s="309" t="e">
        <f t="shared" si="1"/>
        <v>#REF!</v>
      </c>
      <c r="L16" s="309" t="e">
        <f t="shared" ref="L16" si="3">+L17/$D$43</f>
        <v>#REF!</v>
      </c>
      <c r="M16" s="309" t="e">
        <f t="shared" ref="M16" si="4">+M17/$D$43</f>
        <v>#REF!</v>
      </c>
      <c r="N16" s="296"/>
      <c r="O16" s="296"/>
      <c r="P16" s="296"/>
      <c r="Q16" s="296"/>
    </row>
    <row r="17" spans="1:17" ht="12.75" customHeight="1" x14ac:dyDescent="0.25">
      <c r="A17" s="1011"/>
      <c r="B17" s="1012"/>
      <c r="C17" s="1013"/>
      <c r="D17" s="1005"/>
      <c r="E17" s="1007"/>
      <c r="F17" s="1009"/>
      <c r="G17" s="296"/>
      <c r="H17" s="296"/>
      <c r="I17" s="297"/>
      <c r="J17" s="297"/>
      <c r="K17" s="308" t="e">
        <f>+D16*0.355</f>
        <v>#REF!</v>
      </c>
      <c r="L17" s="308" t="e">
        <f>+D16*0.355</f>
        <v>#REF!</v>
      </c>
      <c r="M17" s="308" t="e">
        <f>+D16*0.29</f>
        <v>#REF!</v>
      </c>
      <c r="N17" s="296"/>
      <c r="O17" s="296"/>
      <c r="P17" s="296"/>
      <c r="Q17" s="296"/>
    </row>
    <row r="18" spans="1:17" ht="12.75" customHeight="1" x14ac:dyDescent="0.25">
      <c r="A18" s="1010" t="str">
        <f>+A132</f>
        <v xml:space="preserve">D - LAVADO </v>
      </c>
      <c r="B18" s="991"/>
      <c r="C18" s="992"/>
      <c r="D18" s="1004" t="e">
        <f>+'01'!#REF!</f>
        <v>#REF!</v>
      </c>
      <c r="E18" s="1006">
        <f>+VLOOKUP(A18,$A$46:$P$207,15,FALSE)</f>
        <v>14.30977540534748</v>
      </c>
      <c r="F18" s="1008">
        <f t="shared" ref="F18" si="5">+E18/30</f>
        <v>0.47699251351158267</v>
      </c>
      <c r="G18" s="296"/>
      <c r="H18" s="296"/>
      <c r="I18" s="297"/>
      <c r="J18" s="297"/>
      <c r="K18" s="296"/>
      <c r="L18" s="296"/>
      <c r="M18" s="296"/>
      <c r="N18" s="309" t="e">
        <f t="shared" ref="N18" si="6">+N19/$D$43</f>
        <v>#REF!</v>
      </c>
      <c r="O18" s="296"/>
      <c r="P18" s="296"/>
      <c r="Q18" s="297"/>
    </row>
    <row r="19" spans="1:17" ht="12.75" customHeight="1" x14ac:dyDescent="0.25">
      <c r="A19" s="1011"/>
      <c r="B19" s="1012"/>
      <c r="C19" s="1013"/>
      <c r="D19" s="1005"/>
      <c r="E19" s="1007"/>
      <c r="F19" s="1009"/>
      <c r="G19" s="296"/>
      <c r="H19" s="296"/>
      <c r="I19" s="297"/>
      <c r="J19" s="297"/>
      <c r="K19" s="296"/>
      <c r="L19" s="296"/>
      <c r="M19" s="296"/>
      <c r="N19" s="308" t="e">
        <f>+D18</f>
        <v>#REF!</v>
      </c>
      <c r="O19" s="296"/>
      <c r="P19" s="296"/>
      <c r="Q19" s="297"/>
    </row>
    <row r="20" spans="1:17" ht="12.75" customHeight="1" x14ac:dyDescent="0.25">
      <c r="A20" s="1010" t="str">
        <f>+A150</f>
        <v>E - CERRAMIENTO</v>
      </c>
      <c r="B20" s="991"/>
      <c r="C20" s="992"/>
      <c r="D20" s="1004" t="e">
        <f>+'01'!#REF!</f>
        <v>#REF!</v>
      </c>
      <c r="E20" s="1006">
        <f>+VLOOKUP(A20,$A$46:$P$207,15,FALSE)</f>
        <v>6</v>
      </c>
      <c r="F20" s="1008">
        <f t="shared" ref="F20" si="7">+E20/30</f>
        <v>0.2</v>
      </c>
      <c r="G20" s="296"/>
      <c r="H20" s="296"/>
      <c r="I20" s="297"/>
      <c r="J20" s="309" t="e">
        <f>+J21/$D$43</f>
        <v>#REF!</v>
      </c>
      <c r="K20" s="296"/>
      <c r="L20" s="296"/>
      <c r="M20" s="296"/>
      <c r="N20" s="296"/>
      <c r="O20" s="296"/>
      <c r="P20" s="296"/>
      <c r="Q20" s="297"/>
    </row>
    <row r="21" spans="1:17" ht="12.75" customHeight="1" x14ac:dyDescent="0.25">
      <c r="A21" s="1011"/>
      <c r="B21" s="1012"/>
      <c r="C21" s="1013"/>
      <c r="D21" s="1005"/>
      <c r="E21" s="1007"/>
      <c r="F21" s="1009"/>
      <c r="G21" s="296"/>
      <c r="H21" s="296"/>
      <c r="I21" s="297"/>
      <c r="J21" s="308" t="e">
        <f>+D20</f>
        <v>#REF!</v>
      </c>
      <c r="K21" s="296"/>
      <c r="L21" s="296"/>
      <c r="M21" s="296"/>
      <c r="N21" s="296"/>
      <c r="O21" s="296"/>
      <c r="P21" s="296"/>
      <c r="Q21" s="297"/>
    </row>
    <row r="22" spans="1:17" ht="12.75" customHeight="1" x14ac:dyDescent="0.25">
      <c r="A22" s="1010" t="str">
        <f>+A158</f>
        <v>F - RED EXPRESA FASE I - TIGRE</v>
      </c>
      <c r="B22" s="991"/>
      <c r="C22" s="992"/>
      <c r="D22" s="1004" t="e">
        <f>+'01'!#REF!</f>
        <v>#REF!</v>
      </c>
      <c r="E22" s="1006">
        <f>+VLOOKUP(A22,$A$46:$P$207,15,FALSE)</f>
        <v>155.26361721955351</v>
      </c>
      <c r="F22" s="1008">
        <f t="shared" ref="F22" si="8">+E22/30</f>
        <v>5.1754539073184507</v>
      </c>
      <c r="G22" s="296"/>
      <c r="H22" s="296"/>
      <c r="I22" s="297"/>
      <c r="J22" s="297"/>
      <c r="K22" s="309" t="e">
        <f>+K23/$D$43</f>
        <v>#REF!</v>
      </c>
      <c r="L22" s="309" t="e">
        <f t="shared" ref="L22:N22" si="9">+L23/$D$43</f>
        <v>#REF!</v>
      </c>
      <c r="M22" s="309" t="e">
        <f t="shared" si="9"/>
        <v>#REF!</v>
      </c>
      <c r="N22" s="309" t="e">
        <f t="shared" si="9"/>
        <v>#REF!</v>
      </c>
      <c r="O22" s="296"/>
      <c r="P22" s="296"/>
      <c r="Q22" s="296"/>
    </row>
    <row r="23" spans="1:17" ht="12.75" customHeight="1" x14ac:dyDescent="0.25">
      <c r="A23" s="1011"/>
      <c r="B23" s="1012"/>
      <c r="C23" s="1013"/>
      <c r="D23" s="1005"/>
      <c r="E23" s="1007"/>
      <c r="F23" s="1009"/>
      <c r="G23" s="296"/>
      <c r="H23" s="296"/>
      <c r="I23" s="297"/>
      <c r="J23" s="297"/>
      <c r="K23" s="308" t="e">
        <f>+D22*0.262</f>
        <v>#REF!</v>
      </c>
      <c r="L23" s="308" t="e">
        <f>+D22*0.262</f>
        <v>#REF!</v>
      </c>
      <c r="M23" s="308" t="e">
        <f>+D22*0.262</f>
        <v>#REF!</v>
      </c>
      <c r="N23" s="308" t="e">
        <f>+D22*0.214</f>
        <v>#REF!</v>
      </c>
      <c r="O23" s="296"/>
      <c r="P23" s="296"/>
      <c r="Q23" s="296"/>
    </row>
    <row r="24" spans="1:17" ht="12.75" customHeight="1" x14ac:dyDescent="0.25">
      <c r="A24" s="991" t="str">
        <f>+A188</f>
        <v>G - EMPATE EL TIGRE</v>
      </c>
      <c r="B24" s="991"/>
      <c r="C24" s="992"/>
      <c r="D24" s="1004" t="e">
        <f>+'01'!#REF!</f>
        <v>#REF!</v>
      </c>
      <c r="E24" s="1006">
        <f>+VLOOKUP(A24,$A$46:$P$207,15,FALSE)</f>
        <v>2.9982439929225775</v>
      </c>
      <c r="F24" s="1008">
        <f t="shared" ref="F24" si="10">+E24/30</f>
        <v>9.9941466430752579E-2</v>
      </c>
      <c r="G24" s="296"/>
      <c r="H24" s="296"/>
      <c r="I24" s="297"/>
      <c r="J24" s="309" t="e">
        <f>+J25/$D$43</f>
        <v>#REF!</v>
      </c>
      <c r="K24" s="296"/>
      <c r="L24" s="296"/>
      <c r="M24" s="296"/>
      <c r="N24" s="296"/>
      <c r="O24" s="296"/>
      <c r="P24" s="296"/>
      <c r="Q24" s="296"/>
    </row>
    <row r="25" spans="1:17" ht="12.75" customHeight="1" x14ac:dyDescent="0.25">
      <c r="A25" s="993"/>
      <c r="B25" s="993"/>
      <c r="C25" s="994"/>
      <c r="D25" s="1005"/>
      <c r="E25" s="1007"/>
      <c r="F25" s="1009"/>
      <c r="G25" s="296"/>
      <c r="H25" s="296"/>
      <c r="I25" s="297"/>
      <c r="J25" s="308" t="e">
        <f>+D24</f>
        <v>#REF!</v>
      </c>
      <c r="K25" s="296"/>
      <c r="L25" s="296"/>
      <c r="M25" s="296"/>
      <c r="N25" s="296"/>
      <c r="O25" s="296"/>
      <c r="P25" s="296"/>
      <c r="Q25" s="296"/>
    </row>
    <row r="26" spans="1:17" ht="12.75" customHeight="1" x14ac:dyDescent="0.25">
      <c r="A26" s="991" t="s">
        <v>1882</v>
      </c>
      <c r="B26" s="991"/>
      <c r="C26" s="992"/>
      <c r="D26" s="1004" t="e">
        <f>+'01'!#REF!</f>
        <v>#REF!</v>
      </c>
      <c r="E26" s="1019" t="s">
        <v>1886</v>
      </c>
      <c r="F26" s="1019" t="s">
        <v>1886</v>
      </c>
      <c r="G26" s="296"/>
      <c r="H26" s="296"/>
      <c r="I26" s="297"/>
      <c r="J26" s="309" t="e">
        <f t="shared" ref="J26" si="11">+J27/$D$43</f>
        <v>#REF!</v>
      </c>
      <c r="K26" s="309" t="e">
        <f t="shared" ref="K26" si="12">+K27/$D$43</f>
        <v>#REF!</v>
      </c>
      <c r="L26" s="309" t="e">
        <f t="shared" ref="L26" si="13">+L27/$D$43</f>
        <v>#REF!</v>
      </c>
      <c r="M26" s="309" t="e">
        <f t="shared" ref="M26" si="14">+M27/$D$43</f>
        <v>#REF!</v>
      </c>
      <c r="N26" s="309" t="e">
        <f t="shared" ref="N26" si="15">+N27/$D$43</f>
        <v>#REF!</v>
      </c>
      <c r="O26" s="296"/>
      <c r="P26" s="296"/>
      <c r="Q26" s="296"/>
    </row>
    <row r="27" spans="1:17" ht="12.75" customHeight="1" x14ac:dyDescent="0.25">
      <c r="A27" s="993"/>
      <c r="B27" s="993"/>
      <c r="C27" s="994"/>
      <c r="D27" s="1005"/>
      <c r="E27" s="1007"/>
      <c r="F27" s="1007"/>
      <c r="G27" s="296"/>
      <c r="H27" s="296"/>
      <c r="I27" s="297"/>
      <c r="J27" s="308" t="e">
        <f>+$D$26/5</f>
        <v>#REF!</v>
      </c>
      <c r="K27" s="308" t="e">
        <f t="shared" ref="K27:N27" si="16">+$D$26/5</f>
        <v>#REF!</v>
      </c>
      <c r="L27" s="308" t="e">
        <f t="shared" si="16"/>
        <v>#REF!</v>
      </c>
      <c r="M27" s="308" t="e">
        <f t="shared" si="16"/>
        <v>#REF!</v>
      </c>
      <c r="N27" s="308" t="e">
        <f t="shared" si="16"/>
        <v>#REF!</v>
      </c>
      <c r="O27" s="296"/>
      <c r="P27" s="296"/>
      <c r="Q27" s="296"/>
    </row>
    <row r="28" spans="1:17" ht="12.75" customHeight="1" x14ac:dyDescent="0.25">
      <c r="A28" s="991" t="s">
        <v>1106</v>
      </c>
      <c r="B28" s="991"/>
      <c r="C28" s="992"/>
      <c r="D28" s="1004" t="e">
        <f>+'01'!#REF!</f>
        <v>#REF!</v>
      </c>
      <c r="E28" s="1019" t="s">
        <v>1886</v>
      </c>
      <c r="F28" s="1019" t="s">
        <v>1886</v>
      </c>
      <c r="G28" s="296"/>
      <c r="H28" s="296"/>
      <c r="I28" s="297"/>
      <c r="J28" s="309" t="e">
        <f t="shared" ref="J28" si="17">+J29/$D$43</f>
        <v>#REF!</v>
      </c>
      <c r="K28" s="309" t="e">
        <f t="shared" ref="K28" si="18">+K29/$D$43</f>
        <v>#REF!</v>
      </c>
      <c r="L28" s="309" t="e">
        <f t="shared" ref="L28" si="19">+L29/$D$43</f>
        <v>#REF!</v>
      </c>
      <c r="M28" s="309" t="e">
        <f t="shared" ref="M28" si="20">+M29/$D$43</f>
        <v>#REF!</v>
      </c>
      <c r="N28" s="309" t="e">
        <f t="shared" ref="N28" si="21">+N29/$D$43</f>
        <v>#REF!</v>
      </c>
      <c r="O28" s="296"/>
      <c r="P28" s="296"/>
      <c r="Q28" s="296"/>
    </row>
    <row r="29" spans="1:17" ht="12.75" customHeight="1" x14ac:dyDescent="0.25">
      <c r="A29" s="993"/>
      <c r="B29" s="993"/>
      <c r="C29" s="994"/>
      <c r="D29" s="1005"/>
      <c r="E29" s="1007"/>
      <c r="F29" s="1007"/>
      <c r="G29" s="296"/>
      <c r="H29" s="296"/>
      <c r="I29" s="297"/>
      <c r="J29" s="308" t="e">
        <f>+$D$28/5</f>
        <v>#REF!</v>
      </c>
      <c r="K29" s="308" t="e">
        <f t="shared" ref="K29:N29" si="22">+$D$28/5</f>
        <v>#REF!</v>
      </c>
      <c r="L29" s="308" t="e">
        <f t="shared" si="22"/>
        <v>#REF!</v>
      </c>
      <c r="M29" s="308" t="e">
        <f t="shared" si="22"/>
        <v>#REF!</v>
      </c>
      <c r="N29" s="308" t="e">
        <f t="shared" si="22"/>
        <v>#REF!</v>
      </c>
      <c r="O29" s="296"/>
      <c r="P29" s="296"/>
      <c r="Q29" s="296"/>
    </row>
    <row r="30" spans="1:17" ht="12.75" customHeight="1" x14ac:dyDescent="0.25">
      <c r="A30" s="991" t="s">
        <v>1118</v>
      </c>
      <c r="B30" s="991"/>
      <c r="C30" s="992"/>
      <c r="D30" s="1004" t="e">
        <f>+'01'!#REF!</f>
        <v>#REF!</v>
      </c>
      <c r="E30" s="1019" t="s">
        <v>1886</v>
      </c>
      <c r="F30" s="1019" t="s">
        <v>1886</v>
      </c>
      <c r="G30" s="296"/>
      <c r="H30" s="296"/>
      <c r="I30" s="297"/>
      <c r="J30" s="297"/>
      <c r="K30" s="309" t="e">
        <f t="shared" ref="K30:M32" si="23">+K31/$D$43</f>
        <v>#REF!</v>
      </c>
      <c r="L30" s="296"/>
      <c r="M30" s="309" t="e">
        <f t="shared" si="23"/>
        <v>#REF!</v>
      </c>
      <c r="N30" s="296"/>
      <c r="O30" s="296"/>
      <c r="P30" s="296"/>
      <c r="Q30" s="296"/>
    </row>
    <row r="31" spans="1:17" ht="12.75" customHeight="1" x14ac:dyDescent="0.25">
      <c r="A31" s="993"/>
      <c r="B31" s="993"/>
      <c r="C31" s="994"/>
      <c r="D31" s="1005"/>
      <c r="E31" s="1007"/>
      <c r="F31" s="1007"/>
      <c r="G31" s="296"/>
      <c r="H31" s="296"/>
      <c r="I31" s="297"/>
      <c r="J31" s="297"/>
      <c r="K31" s="308" t="e">
        <f>+D30*0.5</f>
        <v>#REF!</v>
      </c>
      <c r="L31" s="296"/>
      <c r="M31" s="308" t="e">
        <f>+D30*0.5</f>
        <v>#REF!</v>
      </c>
      <c r="N31" s="296"/>
      <c r="O31" s="296"/>
      <c r="P31" s="296"/>
      <c r="Q31" s="296"/>
    </row>
    <row r="32" spans="1:17" ht="12.75" customHeight="1" x14ac:dyDescent="0.25">
      <c r="A32" s="991" t="s">
        <v>1883</v>
      </c>
      <c r="B32" s="991"/>
      <c r="C32" s="992"/>
      <c r="D32" s="1004" t="e">
        <f>+'01'!#REF!</f>
        <v>#REF!</v>
      </c>
      <c r="E32" s="1019" t="s">
        <v>1886</v>
      </c>
      <c r="F32" s="1019" t="s">
        <v>1886</v>
      </c>
      <c r="G32" s="296"/>
      <c r="H32" s="296"/>
      <c r="I32" s="309" t="e">
        <f t="shared" ref="I32:J32" si="24">+I33/$D$43</f>
        <v>#REF!</v>
      </c>
      <c r="J32" s="309" t="e">
        <f t="shared" si="24"/>
        <v>#REF!</v>
      </c>
      <c r="K32" s="309" t="e">
        <f t="shared" si="23"/>
        <v>#REF!</v>
      </c>
      <c r="L32" s="309" t="e">
        <f t="shared" ref="L32" si="25">+L33/$D$43</f>
        <v>#REF!</v>
      </c>
      <c r="M32" s="309" t="e">
        <f t="shared" ref="M32" si="26">+M33/$D$43</f>
        <v>#REF!</v>
      </c>
      <c r="N32" s="309" t="e">
        <f t="shared" ref="N32" si="27">+N33/$D$43</f>
        <v>#REF!</v>
      </c>
      <c r="O32" s="296"/>
      <c r="P32" s="296"/>
      <c r="Q32" s="296"/>
    </row>
    <row r="33" spans="1:17" ht="12.75" customHeight="1" x14ac:dyDescent="0.25">
      <c r="A33" s="993"/>
      <c r="B33" s="993"/>
      <c r="C33" s="994"/>
      <c r="D33" s="1005"/>
      <c r="E33" s="1007"/>
      <c r="F33" s="1007"/>
      <c r="G33" s="296"/>
      <c r="H33" s="296"/>
      <c r="I33" s="308" t="e">
        <f>+$D$32/6</f>
        <v>#REF!</v>
      </c>
      <c r="J33" s="308" t="e">
        <f t="shared" ref="J33:N33" si="28">+$D$32/6</f>
        <v>#REF!</v>
      </c>
      <c r="K33" s="308" t="e">
        <f t="shared" si="28"/>
        <v>#REF!</v>
      </c>
      <c r="L33" s="308" t="e">
        <f t="shared" si="28"/>
        <v>#REF!</v>
      </c>
      <c r="M33" s="308" t="e">
        <f t="shared" si="28"/>
        <v>#REF!</v>
      </c>
      <c r="N33" s="308" t="e">
        <f t="shared" si="28"/>
        <v>#REF!</v>
      </c>
      <c r="O33" s="296"/>
      <c r="P33" s="296"/>
      <c r="Q33" s="296"/>
    </row>
    <row r="34" spans="1:17" ht="12.75" customHeight="1" x14ac:dyDescent="0.25">
      <c r="A34" s="991" t="s">
        <v>1884</v>
      </c>
      <c r="B34" s="991"/>
      <c r="C34" s="992"/>
      <c r="D34" s="1004" t="e">
        <f>+'01'!#REF!</f>
        <v>#REF!</v>
      </c>
      <c r="E34" s="1019" t="s">
        <v>1886</v>
      </c>
      <c r="F34" s="1019" t="s">
        <v>1886</v>
      </c>
      <c r="G34" s="296"/>
      <c r="H34" s="296"/>
      <c r="I34" s="297"/>
      <c r="J34" s="309" t="e">
        <f t="shared" ref="J34" si="29">+J35/$D$43</f>
        <v>#REF!</v>
      </c>
      <c r="K34" s="309" t="e">
        <f t="shared" ref="K34" si="30">+K35/$D$43</f>
        <v>#REF!</v>
      </c>
      <c r="L34" s="309" t="e">
        <f t="shared" ref="L34" si="31">+L35/$D$43</f>
        <v>#REF!</v>
      </c>
      <c r="M34" s="309" t="e">
        <f t="shared" ref="M34" si="32">+M35/$D$43</f>
        <v>#REF!</v>
      </c>
      <c r="N34" s="309" t="e">
        <f t="shared" ref="N34" si="33">+N35/$D$43</f>
        <v>#REF!</v>
      </c>
      <c r="O34" s="296"/>
      <c r="P34" s="296"/>
      <c r="Q34" s="296"/>
    </row>
    <row r="35" spans="1:17" ht="12.75" customHeight="1" x14ac:dyDescent="0.25">
      <c r="A35" s="993"/>
      <c r="B35" s="993"/>
      <c r="C35" s="994"/>
      <c r="D35" s="1005"/>
      <c r="E35" s="1007"/>
      <c r="F35" s="1007"/>
      <c r="G35" s="296"/>
      <c r="H35" s="296"/>
      <c r="I35" s="297"/>
      <c r="J35" s="308" t="e">
        <f>+$D$34/5</f>
        <v>#REF!</v>
      </c>
      <c r="K35" s="308" t="e">
        <f t="shared" ref="K35:N35" si="34">+$D$34/5</f>
        <v>#REF!</v>
      </c>
      <c r="L35" s="308" t="e">
        <f t="shared" si="34"/>
        <v>#REF!</v>
      </c>
      <c r="M35" s="308" t="e">
        <f t="shared" si="34"/>
        <v>#REF!</v>
      </c>
      <c r="N35" s="308" t="e">
        <f t="shared" si="34"/>
        <v>#REF!</v>
      </c>
      <c r="O35" s="296"/>
      <c r="P35" s="296"/>
      <c r="Q35" s="296"/>
    </row>
    <row r="36" spans="1:17" ht="12.75" customHeight="1" x14ac:dyDescent="0.25">
      <c r="A36" s="1014" t="s">
        <v>1885</v>
      </c>
      <c r="B36" s="1014"/>
      <c r="C36" s="1015"/>
      <c r="D36" s="1004" t="e">
        <f>+'01'!#REF!</f>
        <v>#REF!</v>
      </c>
      <c r="E36" s="1019" t="s">
        <v>1886</v>
      </c>
      <c r="F36" s="1019" t="s">
        <v>1886</v>
      </c>
      <c r="G36" s="296"/>
      <c r="H36" s="296"/>
      <c r="I36" s="297"/>
      <c r="J36" s="309" t="e">
        <f t="shared" ref="H36:O38" si="35">+J37/$D$43</f>
        <v>#REF!</v>
      </c>
      <c r="K36" s="309" t="e">
        <f t="shared" ref="K36" si="36">+K37/$D$43</f>
        <v>#REF!</v>
      </c>
      <c r="L36" s="309" t="e">
        <f t="shared" ref="L36" si="37">+L37/$D$43</f>
        <v>#REF!</v>
      </c>
      <c r="M36" s="309" t="e">
        <f t="shared" ref="M36" si="38">+M37/$D$43</f>
        <v>#REF!</v>
      </c>
      <c r="N36" s="309" t="e">
        <f t="shared" ref="N36" si="39">+N37/$D$43</f>
        <v>#REF!</v>
      </c>
      <c r="O36" s="296"/>
      <c r="P36" s="296"/>
      <c r="Q36" s="296"/>
    </row>
    <row r="37" spans="1:17" ht="12.75" customHeight="1" x14ac:dyDescent="0.25">
      <c r="A37" s="1016"/>
      <c r="B37" s="1016"/>
      <c r="C37" s="1017"/>
      <c r="D37" s="1005"/>
      <c r="E37" s="1007"/>
      <c r="F37" s="1007"/>
      <c r="G37" s="296"/>
      <c r="H37" s="296"/>
      <c r="I37" s="297"/>
      <c r="J37" s="308" t="e">
        <f>+$D$36/5</f>
        <v>#REF!</v>
      </c>
      <c r="K37" s="308" t="e">
        <f t="shared" ref="K37:N37" si="40">+$D$36/5</f>
        <v>#REF!</v>
      </c>
      <c r="L37" s="308" t="e">
        <f t="shared" si="40"/>
        <v>#REF!</v>
      </c>
      <c r="M37" s="308" t="e">
        <f t="shared" si="40"/>
        <v>#REF!</v>
      </c>
      <c r="N37" s="308" t="e">
        <f t="shared" si="40"/>
        <v>#REF!</v>
      </c>
      <c r="O37" s="296"/>
      <c r="P37" s="296"/>
      <c r="Q37" s="296"/>
    </row>
    <row r="38" spans="1:17" ht="12.75" customHeight="1" x14ac:dyDescent="0.25">
      <c r="A38" s="991" t="s">
        <v>1838</v>
      </c>
      <c r="B38" s="991"/>
      <c r="C38" s="992"/>
      <c r="D38" s="1018" t="e">
        <f>+'01'!#REF!</f>
        <v>#REF!</v>
      </c>
      <c r="E38" s="1019" t="s">
        <v>1886</v>
      </c>
      <c r="F38" s="1019" t="s">
        <v>1886</v>
      </c>
      <c r="G38" s="309" t="e">
        <f>+G39/$D$43</f>
        <v>#REF!</v>
      </c>
      <c r="H38" s="309" t="e">
        <f t="shared" si="35"/>
        <v>#REF!</v>
      </c>
      <c r="I38" s="309" t="e">
        <f t="shared" si="35"/>
        <v>#REF!</v>
      </c>
      <c r="J38" s="309" t="e">
        <f t="shared" si="35"/>
        <v>#REF!</v>
      </c>
      <c r="K38" s="309" t="e">
        <f t="shared" si="35"/>
        <v>#REF!</v>
      </c>
      <c r="L38" s="309" t="e">
        <f t="shared" si="35"/>
        <v>#REF!</v>
      </c>
      <c r="M38" s="309" t="e">
        <f t="shared" si="35"/>
        <v>#REF!</v>
      </c>
      <c r="N38" s="309" t="e">
        <f t="shared" si="35"/>
        <v>#REF!</v>
      </c>
      <c r="O38" s="309" t="e">
        <f t="shared" si="35"/>
        <v>#REF!</v>
      </c>
      <c r="P38" s="296"/>
      <c r="Q38" s="296"/>
    </row>
    <row r="39" spans="1:17" ht="12.75" customHeight="1" x14ac:dyDescent="0.25">
      <c r="A39" s="993"/>
      <c r="B39" s="993"/>
      <c r="C39" s="994"/>
      <c r="D39" s="1018"/>
      <c r="E39" s="1007"/>
      <c r="F39" s="1007"/>
      <c r="G39" s="308" t="e">
        <f>+$D$38/9</f>
        <v>#REF!</v>
      </c>
      <c r="H39" s="308" t="e">
        <f t="shared" ref="H39:O39" si="41">+$D$38/9</f>
        <v>#REF!</v>
      </c>
      <c r="I39" s="308" t="e">
        <f t="shared" si="41"/>
        <v>#REF!</v>
      </c>
      <c r="J39" s="308" t="e">
        <f t="shared" si="41"/>
        <v>#REF!</v>
      </c>
      <c r="K39" s="308" t="e">
        <f t="shared" si="41"/>
        <v>#REF!</v>
      </c>
      <c r="L39" s="308" t="e">
        <f t="shared" si="41"/>
        <v>#REF!</v>
      </c>
      <c r="M39" s="308" t="e">
        <f t="shared" si="41"/>
        <v>#REF!</v>
      </c>
      <c r="N39" s="308" t="e">
        <f t="shared" si="41"/>
        <v>#REF!</v>
      </c>
      <c r="O39" s="308" t="e">
        <f t="shared" si="41"/>
        <v>#REF!</v>
      </c>
      <c r="P39" s="296"/>
      <c r="Q39" s="296"/>
    </row>
    <row r="40" spans="1:17" ht="12.75" customHeight="1" x14ac:dyDescent="0.25">
      <c r="A40" s="491" t="s">
        <v>3</v>
      </c>
      <c r="B40" s="491"/>
      <c r="C40" s="491"/>
      <c r="D40" s="301">
        <v>0</v>
      </c>
      <c r="E40" s="295">
        <v>30</v>
      </c>
      <c r="F40" s="228">
        <f>+E40/30</f>
        <v>1</v>
      </c>
      <c r="G40" s="296"/>
      <c r="H40" s="296"/>
      <c r="I40" s="297"/>
      <c r="J40" s="297"/>
      <c r="K40" s="296"/>
      <c r="L40" s="296"/>
      <c r="M40" s="296"/>
      <c r="N40" s="296"/>
      <c r="O40" s="305"/>
      <c r="P40" s="296"/>
      <c r="Q40" s="296"/>
    </row>
    <row r="41" spans="1:17" ht="12.75" customHeight="1" x14ac:dyDescent="0.25">
      <c r="A41" s="991" t="s">
        <v>2</v>
      </c>
      <c r="B41" s="991"/>
      <c r="C41" s="992"/>
      <c r="D41" s="1018">
        <v>0</v>
      </c>
      <c r="E41" s="1020">
        <f>+SUM(J7:N7)*30</f>
        <v>150</v>
      </c>
      <c r="F41" s="1020">
        <f>+E41/30</f>
        <v>5</v>
      </c>
      <c r="G41" s="299"/>
      <c r="H41" s="299"/>
      <c r="I41" s="299"/>
      <c r="J41" s="299"/>
      <c r="K41" s="299"/>
      <c r="L41" s="299"/>
      <c r="M41" s="299"/>
      <c r="N41" s="299"/>
      <c r="O41" s="299"/>
      <c r="P41" s="299"/>
      <c r="Q41" s="299"/>
    </row>
    <row r="42" spans="1:17" ht="12.75" customHeight="1" x14ac:dyDescent="0.25">
      <c r="A42" s="993"/>
      <c r="B42" s="993"/>
      <c r="C42" s="994"/>
      <c r="D42" s="1004"/>
      <c r="E42" s="1021"/>
      <c r="F42" s="1021"/>
      <c r="G42" s="299"/>
      <c r="H42" s="299"/>
      <c r="I42" s="299"/>
      <c r="J42" s="299"/>
      <c r="K42" s="299"/>
      <c r="L42" s="299"/>
      <c r="M42" s="299"/>
      <c r="N42" s="299"/>
      <c r="O42" s="299"/>
      <c r="P42" s="299"/>
      <c r="Q42" s="299"/>
    </row>
    <row r="43" spans="1:17" ht="12.75" customHeight="1" x14ac:dyDescent="0.25">
      <c r="A43" s="1022" t="s">
        <v>177</v>
      </c>
      <c r="B43" s="1022"/>
      <c r="C43" s="1022"/>
      <c r="D43" s="307" t="e">
        <f>+SUM(D12:D39)</f>
        <v>#REF!</v>
      </c>
      <c r="E43" s="298"/>
      <c r="F43" s="256"/>
      <c r="G43" s="299"/>
      <c r="H43" s="299"/>
      <c r="I43" s="299"/>
      <c r="J43" s="299"/>
      <c r="K43" s="299"/>
      <c r="L43" s="299"/>
      <c r="M43" s="299"/>
      <c r="N43" s="299"/>
      <c r="O43" s="299"/>
      <c r="P43" s="299"/>
      <c r="Q43" s="299"/>
    </row>
    <row r="44" spans="1:17" ht="12.75" customHeight="1" x14ac:dyDescent="0.25"/>
    <row r="45" spans="1:17" ht="12.75" customHeight="1" x14ac:dyDescent="0.3">
      <c r="A45" s="98"/>
      <c r="B45" s="98"/>
      <c r="C45" s="98"/>
      <c r="D45" s="99"/>
      <c r="E45" s="100"/>
      <c r="F45" s="100"/>
      <c r="G45" s="100"/>
      <c r="H45" s="101"/>
      <c r="I45" s="101"/>
      <c r="J45" s="101"/>
      <c r="K45" s="101"/>
      <c r="L45" s="101"/>
      <c r="M45" s="101"/>
      <c r="N45" s="101"/>
      <c r="O45" s="101"/>
      <c r="P45" s="101"/>
      <c r="Q45" s="101"/>
    </row>
    <row r="46" spans="1:17" ht="12.75" customHeight="1" x14ac:dyDescent="0.25">
      <c r="A46" s="984" t="str">
        <f>+'01'!H16</f>
        <v>A - EMPATE SOBRE ADUCCIÓN</v>
      </c>
      <c r="B46" s="498"/>
      <c r="C46" s="498"/>
      <c r="D46" s="498"/>
      <c r="E46" s="498"/>
      <c r="F46" s="498"/>
      <c r="G46" s="498"/>
      <c r="H46" s="498"/>
      <c r="I46" s="498"/>
      <c r="J46" s="498"/>
      <c r="K46" s="498"/>
      <c r="L46" s="498"/>
      <c r="M46" s="498"/>
      <c r="N46" s="499"/>
      <c r="O46" s="988">
        <f>+SUM(M50:M65)</f>
        <v>4.7080698614458125</v>
      </c>
      <c r="P46" s="988" t="s">
        <v>1879</v>
      </c>
    </row>
    <row r="47" spans="1:17" ht="12.75" customHeight="1" x14ac:dyDescent="0.25">
      <c r="A47" s="985"/>
      <c r="B47" s="986"/>
      <c r="C47" s="986"/>
      <c r="D47" s="986"/>
      <c r="E47" s="986"/>
      <c r="F47" s="986"/>
      <c r="G47" s="986"/>
      <c r="H47" s="986"/>
      <c r="I47" s="986"/>
      <c r="J47" s="986"/>
      <c r="K47" s="986"/>
      <c r="L47" s="986"/>
      <c r="M47" s="986"/>
      <c r="N47" s="987"/>
      <c r="O47" s="981"/>
      <c r="P47" s="981"/>
    </row>
    <row r="48" spans="1:17" ht="13.5" customHeight="1" x14ac:dyDescent="0.25">
      <c r="A48" s="982" t="s">
        <v>726</v>
      </c>
      <c r="B48" s="983"/>
      <c r="C48" s="983"/>
      <c r="D48" s="983"/>
      <c r="E48" s="983"/>
      <c r="F48" s="983"/>
      <c r="G48" s="983"/>
      <c r="H48" s="260" t="s">
        <v>40</v>
      </c>
      <c r="I48" s="273" t="s">
        <v>184</v>
      </c>
      <c r="J48" s="995" t="s">
        <v>727</v>
      </c>
      <c r="K48" s="983"/>
      <c r="L48" s="260" t="s">
        <v>582</v>
      </c>
      <c r="M48" s="982" t="s">
        <v>728</v>
      </c>
      <c r="N48" s="983"/>
      <c r="O48" s="102"/>
      <c r="P48" s="285"/>
    </row>
    <row r="49" spans="1:19" s="113" customFormat="1" ht="13.5" customHeight="1" x14ac:dyDescent="0.25">
      <c r="A49" s="274" t="s">
        <v>44</v>
      </c>
      <c r="B49" s="552" t="s">
        <v>45</v>
      </c>
      <c r="C49" s="552"/>
      <c r="D49" s="552"/>
      <c r="E49" s="552"/>
      <c r="F49" s="552"/>
      <c r="G49" s="552"/>
      <c r="H49" s="552"/>
      <c r="I49" s="552"/>
      <c r="J49" s="552"/>
      <c r="K49" s="552"/>
      <c r="L49" s="552"/>
      <c r="M49" s="552"/>
      <c r="N49" s="552"/>
      <c r="O49" s="265"/>
      <c r="P49" s="132"/>
      <c r="Q49" s="132"/>
      <c r="R49" s="132"/>
      <c r="S49" s="132"/>
    </row>
    <row r="50" spans="1:19" s="113" customFormat="1" ht="13.5" customHeight="1" x14ac:dyDescent="0.25">
      <c r="A50" s="275" t="s">
        <v>46</v>
      </c>
      <c r="B50" s="426" t="s">
        <v>1102</v>
      </c>
      <c r="C50" s="553"/>
      <c r="D50" s="553"/>
      <c r="E50" s="553"/>
      <c r="F50" s="553"/>
      <c r="G50" s="553"/>
      <c r="H50" s="279" t="str">
        <f>VLOOKUP(B50,AA_Unitarios,'10'!$H$7,FALSE)</f>
        <v>M</v>
      </c>
      <c r="I50" s="280">
        <f>+VLOOKUP(B50,'01'!$C$17:$N$33,8,FALSE)</f>
        <v>20</v>
      </c>
      <c r="J50" s="989">
        <f>+'11'!$L$35</f>
        <v>3.7599999999999999E-3</v>
      </c>
      <c r="K50" s="990"/>
      <c r="L50" s="280">
        <v>1</v>
      </c>
      <c r="M50" s="996">
        <f>+I50*(J50/L50)</f>
        <v>7.5200000000000003E-2</v>
      </c>
      <c r="N50" s="486"/>
      <c r="O50" s="265"/>
      <c r="P50" s="132"/>
      <c r="Q50" s="132"/>
      <c r="R50" s="132"/>
      <c r="S50" s="132"/>
    </row>
    <row r="51" spans="1:19" s="113" customFormat="1" ht="13.5" customHeight="1" x14ac:dyDescent="0.25">
      <c r="A51" s="274" t="s">
        <v>48</v>
      </c>
      <c r="B51" s="552" t="s">
        <v>49</v>
      </c>
      <c r="C51" s="552"/>
      <c r="D51" s="552"/>
      <c r="E51" s="552"/>
      <c r="F51" s="552"/>
      <c r="G51" s="552"/>
      <c r="H51" s="552"/>
      <c r="I51" s="552"/>
      <c r="J51" s="552"/>
      <c r="K51" s="552"/>
      <c r="L51" s="552"/>
      <c r="M51" s="552"/>
      <c r="N51" s="552"/>
      <c r="O51" s="265"/>
      <c r="P51" s="132"/>
      <c r="Q51" s="132"/>
      <c r="R51" s="132"/>
      <c r="S51" s="132"/>
    </row>
    <row r="52" spans="1:19" s="113" customFormat="1" ht="13.5" customHeight="1" x14ac:dyDescent="0.25">
      <c r="A52" s="275" t="s">
        <v>50</v>
      </c>
      <c r="B52" s="426" t="s">
        <v>87</v>
      </c>
      <c r="C52" s="553"/>
      <c r="D52" s="553"/>
      <c r="E52" s="553"/>
      <c r="F52" s="553"/>
      <c r="G52" s="553"/>
      <c r="H52" s="279" t="str">
        <f>VLOOKUP(B52,AA_Unitarios,'10'!$H$7,FALSE)</f>
        <v>M3</v>
      </c>
      <c r="I52" s="280">
        <f>+VLOOKUP(B52,'01'!$C$17:$N$33,8,FALSE)</f>
        <v>1.19</v>
      </c>
      <c r="J52" s="989">
        <f>+'11'!$L$117</f>
        <v>0.31085149274304863</v>
      </c>
      <c r="K52" s="990"/>
      <c r="L52" s="280">
        <v>1</v>
      </c>
      <c r="M52" s="996">
        <f>+I52*(J52/L52)</f>
        <v>0.36991327636422783</v>
      </c>
      <c r="N52" s="486"/>
      <c r="O52" s="265"/>
      <c r="P52" s="132"/>
      <c r="Q52" s="132"/>
      <c r="R52" s="132"/>
      <c r="S52" s="132"/>
    </row>
    <row r="53" spans="1:19" s="113" customFormat="1" ht="13.5" customHeight="1" x14ac:dyDescent="0.25">
      <c r="A53" s="275" t="s">
        <v>1733</v>
      </c>
      <c r="B53" s="426" t="s">
        <v>88</v>
      </c>
      <c r="C53" s="553"/>
      <c r="D53" s="553"/>
      <c r="E53" s="553"/>
      <c r="F53" s="553"/>
      <c r="G53" s="553"/>
      <c r="H53" s="279" t="str">
        <f>VLOOKUP(B53,AA_Unitarios,'10'!$H$7,FALSE)</f>
        <v>M3</v>
      </c>
      <c r="I53" s="280">
        <f>+VLOOKUP(B53,'01'!$C$17:$N$33,8,FALSE)</f>
        <v>22.66</v>
      </c>
      <c r="J53" s="989">
        <f>+'11'!$K$1521/8</f>
        <v>9.6153846153846159E-3</v>
      </c>
      <c r="K53" s="990"/>
      <c r="L53" s="280">
        <v>1</v>
      </c>
      <c r="M53" s="996">
        <f>+I53*(J53/L53)</f>
        <v>0.2178846153846154</v>
      </c>
      <c r="N53" s="486"/>
      <c r="O53" s="265"/>
      <c r="P53" s="132"/>
      <c r="Q53" s="132"/>
      <c r="R53" s="132"/>
      <c r="S53" s="132"/>
    </row>
    <row r="54" spans="1:19" s="113" customFormat="1" ht="13.5" customHeight="1" x14ac:dyDescent="0.25">
      <c r="A54" s="274" t="s">
        <v>52</v>
      </c>
      <c r="B54" s="552" t="s">
        <v>53</v>
      </c>
      <c r="C54" s="552"/>
      <c r="D54" s="552"/>
      <c r="E54" s="552"/>
      <c r="F54" s="552"/>
      <c r="G54" s="552"/>
      <c r="H54" s="552"/>
      <c r="I54" s="552"/>
      <c r="J54" s="552"/>
      <c r="K54" s="552"/>
      <c r="L54" s="552"/>
      <c r="M54" s="552"/>
      <c r="N54" s="552"/>
      <c r="O54" s="265"/>
      <c r="P54" s="132"/>
      <c r="Q54" s="132"/>
      <c r="R54" s="132"/>
      <c r="S54" s="132"/>
    </row>
    <row r="55" spans="1:19" s="113" customFormat="1" ht="13.5" customHeight="1" x14ac:dyDescent="0.25">
      <c r="A55" s="275" t="s">
        <v>54</v>
      </c>
      <c r="B55" s="426" t="s">
        <v>89</v>
      </c>
      <c r="C55" s="553"/>
      <c r="D55" s="553"/>
      <c r="E55" s="553"/>
      <c r="F55" s="553"/>
      <c r="G55" s="553"/>
      <c r="H55" s="279" t="str">
        <f>VLOOKUP(B55,AA_Unitarios,'10'!$H$7,FALSE)</f>
        <v>M3</v>
      </c>
      <c r="I55" s="280">
        <f>+VLOOKUP(B55,'01'!$C$17:$N$33,8,FALSE)</f>
        <v>1.9</v>
      </c>
      <c r="J55" s="989">
        <f>+'11'!$L$712</f>
        <v>6.6666666666666666E-2</v>
      </c>
      <c r="K55" s="990"/>
      <c r="L55" s="280">
        <v>1</v>
      </c>
      <c r="M55" s="996">
        <f>+I55*(J55/L55)</f>
        <v>0.12666666666666665</v>
      </c>
      <c r="N55" s="486"/>
      <c r="O55" s="265"/>
      <c r="P55" s="132"/>
      <c r="Q55" s="132"/>
      <c r="R55" s="132"/>
      <c r="S55" s="132"/>
    </row>
    <row r="56" spans="1:19" s="113" customFormat="1" ht="13.5" customHeight="1" x14ac:dyDescent="0.25">
      <c r="A56" s="275" t="s">
        <v>1601</v>
      </c>
      <c r="B56" s="426" t="s">
        <v>55</v>
      </c>
      <c r="C56" s="553"/>
      <c r="D56" s="553"/>
      <c r="E56" s="553"/>
      <c r="F56" s="553"/>
      <c r="G56" s="553"/>
      <c r="H56" s="279" t="str">
        <f>VLOOKUP(B56,AA_Unitarios,'10'!$H$7,FALSE)</f>
        <v>M3</v>
      </c>
      <c r="I56" s="280">
        <f>+VLOOKUP(B56,'01'!$C$17:$N$33,8,FALSE)</f>
        <v>5.71</v>
      </c>
      <c r="J56" s="989">
        <f>+'11'!$L$502</f>
        <v>3.3333333333333333E-2</v>
      </c>
      <c r="K56" s="990"/>
      <c r="L56" s="280">
        <v>2</v>
      </c>
      <c r="M56" s="996">
        <f t="shared" ref="M56:M57" si="42">+I56*(J56/L56)</f>
        <v>9.5166666666666663E-2</v>
      </c>
      <c r="N56" s="486"/>
      <c r="O56" s="265"/>
      <c r="P56" s="132"/>
      <c r="Q56" s="132"/>
      <c r="R56" s="132"/>
      <c r="S56" s="132"/>
    </row>
    <row r="57" spans="1:19" s="113" customFormat="1" ht="13.5" customHeight="1" x14ac:dyDescent="0.25">
      <c r="A57" s="275" t="s">
        <v>1602</v>
      </c>
      <c r="B57" s="426" t="s">
        <v>56</v>
      </c>
      <c r="C57" s="553"/>
      <c r="D57" s="553"/>
      <c r="E57" s="553"/>
      <c r="F57" s="553"/>
      <c r="G57" s="553"/>
      <c r="H57" s="279" t="str">
        <f>VLOOKUP(B57,AA_Unitarios,'10'!$H$7,FALSE)</f>
        <v>M3</v>
      </c>
      <c r="I57" s="280">
        <f>+VLOOKUP(B57,'01'!$C$17:$N$33,8,FALSE)</f>
        <v>16.239999999999998</v>
      </c>
      <c r="J57" s="989">
        <f>+'11'!$L$284</f>
        <v>9.0909090909090912E-2</v>
      </c>
      <c r="K57" s="990"/>
      <c r="L57" s="280">
        <v>1</v>
      </c>
      <c r="M57" s="996">
        <f t="shared" si="42"/>
        <v>1.4763636363636363</v>
      </c>
      <c r="N57" s="486"/>
      <c r="O57" s="265"/>
      <c r="P57" s="132"/>
      <c r="Q57" s="132"/>
      <c r="R57" s="132"/>
      <c r="S57" s="132"/>
    </row>
    <row r="58" spans="1:19" s="113" customFormat="1" ht="13.5" customHeight="1" x14ac:dyDescent="0.25">
      <c r="A58" s="274" t="s">
        <v>57</v>
      </c>
      <c r="B58" s="552" t="s">
        <v>68</v>
      </c>
      <c r="C58" s="552"/>
      <c r="D58" s="552"/>
      <c r="E58" s="552"/>
      <c r="F58" s="552"/>
      <c r="G58" s="552"/>
      <c r="H58" s="552"/>
      <c r="I58" s="552"/>
      <c r="J58" s="552"/>
      <c r="K58" s="552"/>
      <c r="L58" s="552"/>
      <c r="M58" s="552"/>
      <c r="N58" s="552"/>
      <c r="O58" s="265"/>
      <c r="P58" s="132"/>
      <c r="Q58" s="132"/>
      <c r="R58" s="132"/>
      <c r="S58" s="132"/>
    </row>
    <row r="59" spans="1:19" s="113" customFormat="1" ht="13.5" customHeight="1" x14ac:dyDescent="0.25">
      <c r="A59" s="275" t="s">
        <v>59</v>
      </c>
      <c r="B59" s="426" t="s">
        <v>90</v>
      </c>
      <c r="C59" s="553"/>
      <c r="D59" s="553"/>
      <c r="E59" s="553"/>
      <c r="F59" s="553"/>
      <c r="G59" s="553"/>
      <c r="H59" s="279" t="str">
        <f>VLOOKUP(B59,AA_Unitarios,'10'!$H$7,FALSE)</f>
        <v>M3-KM</v>
      </c>
      <c r="I59" s="280">
        <f>+VLOOKUP(B59,'01'!$C$17:$N$33,8,FALSE)</f>
        <v>49.5</v>
      </c>
      <c r="J59" s="989">
        <f>+'11'!$K$526/8</f>
        <v>2.0833333333333333E-3</v>
      </c>
      <c r="K59" s="990"/>
      <c r="L59" s="280">
        <v>1</v>
      </c>
      <c r="M59" s="996">
        <f t="shared" ref="M59" si="43">+I59*(J59/L59)</f>
        <v>0.10312499999999999</v>
      </c>
      <c r="N59" s="486"/>
      <c r="O59" s="265"/>
      <c r="P59" s="132"/>
      <c r="Q59" s="132"/>
      <c r="R59" s="132"/>
      <c r="S59" s="132"/>
    </row>
    <row r="60" spans="1:19" s="113" customFormat="1" ht="13.5" customHeight="1" x14ac:dyDescent="0.25">
      <c r="A60" s="275" t="s">
        <v>61</v>
      </c>
      <c r="B60" s="426" t="s">
        <v>92</v>
      </c>
      <c r="C60" s="553"/>
      <c r="D60" s="553"/>
      <c r="E60" s="553"/>
      <c r="F60" s="553"/>
      <c r="G60" s="553"/>
      <c r="H60" s="279" t="str">
        <f>VLOOKUP(B60,AA_Unitarios,'10'!$H$7,FALSE)</f>
        <v>M3</v>
      </c>
      <c r="I60" s="280">
        <f>+VLOOKUP(B60,'01'!$C$17:$N$33,8,FALSE)</f>
        <v>9.9</v>
      </c>
      <c r="J60" s="989">
        <f>+'11'!$L$586</f>
        <v>1.2500000000000001E-2</v>
      </c>
      <c r="K60" s="990"/>
      <c r="L60" s="280">
        <v>1</v>
      </c>
      <c r="M60" s="996">
        <f t="shared" ref="M60" si="44">+I60*(J60/L60)</f>
        <v>0.12375000000000001</v>
      </c>
      <c r="N60" s="486"/>
      <c r="O60" s="265"/>
      <c r="P60" s="132"/>
      <c r="Q60" s="132"/>
      <c r="R60" s="132"/>
      <c r="S60" s="132"/>
    </row>
    <row r="61" spans="1:19" s="113" customFormat="1" ht="13.5" customHeight="1" x14ac:dyDescent="0.25">
      <c r="A61" s="274" t="s">
        <v>67</v>
      </c>
      <c r="B61" s="552" t="s">
        <v>157</v>
      </c>
      <c r="C61" s="552"/>
      <c r="D61" s="552"/>
      <c r="E61" s="552"/>
      <c r="F61" s="552"/>
      <c r="G61" s="552"/>
      <c r="H61" s="552"/>
      <c r="I61" s="552"/>
      <c r="J61" s="552"/>
      <c r="K61" s="552"/>
      <c r="L61" s="552"/>
      <c r="M61" s="552"/>
      <c r="N61" s="552"/>
      <c r="O61" s="265"/>
      <c r="P61" s="132"/>
      <c r="Q61" s="132"/>
      <c r="R61" s="132"/>
      <c r="S61" s="132"/>
    </row>
    <row r="62" spans="1:19" s="113" customFormat="1" ht="13.5" customHeight="1" x14ac:dyDescent="0.25">
      <c r="A62" s="275" t="s">
        <v>69</v>
      </c>
      <c r="B62" s="426" t="s">
        <v>1792</v>
      </c>
      <c r="C62" s="553"/>
      <c r="D62" s="553"/>
      <c r="E62" s="553"/>
      <c r="F62" s="553"/>
      <c r="G62" s="553"/>
      <c r="H62" s="279" t="str">
        <f>VLOOKUP(B62,AA_Unitarios,'10'!$H$7,FALSE)</f>
        <v>UND</v>
      </c>
      <c r="I62" s="280">
        <f>+VLOOKUP(B62,'01'!$C$17:$N$33,8,FALSE)</f>
        <v>1</v>
      </c>
      <c r="J62" s="989">
        <f>+'11'!$L$2368</f>
        <v>2.4</v>
      </c>
      <c r="K62" s="990"/>
      <c r="L62" s="280">
        <v>2</v>
      </c>
      <c r="M62" s="996">
        <f t="shared" ref="M62" si="45">+I62*(J62/L62)</f>
        <v>1.2</v>
      </c>
      <c r="N62" s="486"/>
      <c r="O62" s="265"/>
      <c r="P62" s="132"/>
      <c r="Q62" s="132"/>
      <c r="R62" s="132"/>
      <c r="S62" s="132"/>
    </row>
    <row r="63" spans="1:19" s="113" customFormat="1" ht="13.5" customHeight="1" x14ac:dyDescent="0.25">
      <c r="A63" s="275" t="s">
        <v>70</v>
      </c>
      <c r="B63" s="426" t="s">
        <v>1835</v>
      </c>
      <c r="C63" s="553"/>
      <c r="D63" s="553"/>
      <c r="E63" s="553"/>
      <c r="F63" s="553"/>
      <c r="G63" s="553"/>
      <c r="H63" s="279" t="str">
        <f>VLOOKUP(B63,AA_Unitarios,'10'!$H$7,FALSE)</f>
        <v>UND</v>
      </c>
      <c r="I63" s="280">
        <f>+VLOOKUP(B63,'01'!$C$17:$N$33,8,FALSE)</f>
        <v>1</v>
      </c>
      <c r="J63" s="989">
        <f>+'11'!$L$2534</f>
        <v>0.8</v>
      </c>
      <c r="K63" s="990"/>
      <c r="L63" s="280">
        <v>2</v>
      </c>
      <c r="M63" s="996">
        <f t="shared" ref="M63" si="46">+I63*(J63/L63)</f>
        <v>0.4</v>
      </c>
      <c r="N63" s="486"/>
      <c r="O63" s="265"/>
      <c r="P63" s="132"/>
      <c r="Q63" s="132"/>
      <c r="R63" s="132"/>
      <c r="S63" s="132"/>
    </row>
    <row r="64" spans="1:19" s="113" customFormat="1" ht="13.5" customHeight="1" x14ac:dyDescent="0.25">
      <c r="A64" s="274" t="s">
        <v>71</v>
      </c>
      <c r="B64" s="552" t="s">
        <v>79</v>
      </c>
      <c r="C64" s="552"/>
      <c r="D64" s="552"/>
      <c r="E64" s="552"/>
      <c r="F64" s="552"/>
      <c r="G64" s="552"/>
      <c r="H64" s="552"/>
      <c r="I64" s="552"/>
      <c r="J64" s="552"/>
      <c r="K64" s="552"/>
      <c r="L64" s="552"/>
      <c r="M64" s="552"/>
      <c r="N64" s="552"/>
      <c r="O64" s="265"/>
      <c r="P64" s="132"/>
      <c r="Q64" s="132"/>
      <c r="R64" s="132"/>
      <c r="S64" s="132"/>
    </row>
    <row r="65" spans="1:19" s="113" customFormat="1" ht="13.5" customHeight="1" x14ac:dyDescent="0.25">
      <c r="A65" s="275" t="s">
        <v>73</v>
      </c>
      <c r="B65" s="426" t="s">
        <v>1583</v>
      </c>
      <c r="C65" s="553"/>
      <c r="D65" s="553"/>
      <c r="E65" s="553"/>
      <c r="F65" s="553"/>
      <c r="G65" s="553"/>
      <c r="H65" s="279" t="str">
        <f>VLOOKUP(B65,AA_Unitarios,'10'!$H$7,FALSE)</f>
        <v>ML</v>
      </c>
      <c r="I65" s="280">
        <f>+VLOOKUP(B65,'01'!$C$17:$N$33,8,FALSE)</f>
        <v>20</v>
      </c>
      <c r="J65" s="989">
        <f>+'11'!$L$1974</f>
        <v>2.5999999999999999E-2</v>
      </c>
      <c r="K65" s="990"/>
      <c r="L65" s="280">
        <v>1</v>
      </c>
      <c r="M65" s="996">
        <f t="shared" ref="M65" si="47">+I65*(J65/L65)</f>
        <v>0.52</v>
      </c>
      <c r="N65" s="486"/>
      <c r="O65" s="265"/>
      <c r="P65" s="132"/>
      <c r="Q65" s="132"/>
      <c r="R65" s="132"/>
      <c r="S65" s="132"/>
    </row>
    <row r="66" spans="1:19" ht="12.75" customHeight="1" x14ac:dyDescent="0.25">
      <c r="A66" s="285"/>
      <c r="B66" s="285"/>
      <c r="C66" s="285"/>
      <c r="D66" s="285"/>
      <c r="E66" s="285"/>
      <c r="F66" s="285"/>
      <c r="G66" s="285"/>
      <c r="H66" s="285"/>
      <c r="I66" s="285"/>
      <c r="J66" s="285"/>
      <c r="K66" s="285"/>
      <c r="L66" s="285"/>
      <c r="M66" s="285"/>
      <c r="N66" s="285"/>
      <c r="O66" s="285"/>
      <c r="P66" s="285"/>
      <c r="Q66" s="285"/>
    </row>
    <row r="67" spans="1:19" ht="12.75" customHeight="1" x14ac:dyDescent="0.25">
      <c r="A67" s="984" t="str">
        <f>+'01'!H35</f>
        <v>B - PTAP MÓDULO 1</v>
      </c>
      <c r="B67" s="498"/>
      <c r="C67" s="498"/>
      <c r="D67" s="498"/>
      <c r="E67" s="498"/>
      <c r="F67" s="498"/>
      <c r="G67" s="498"/>
      <c r="H67" s="498"/>
      <c r="I67" s="498"/>
      <c r="J67" s="498"/>
      <c r="K67" s="498"/>
      <c r="L67" s="498"/>
      <c r="M67" s="498"/>
      <c r="N67" s="499"/>
      <c r="O67" s="988">
        <f>+SUM(M71:N89)</f>
        <v>64.940556444747841</v>
      </c>
      <c r="P67" s="988" t="s">
        <v>1880</v>
      </c>
      <c r="Q67" s="285"/>
    </row>
    <row r="68" spans="1:19" ht="12.75" customHeight="1" x14ac:dyDescent="0.25">
      <c r="A68" s="985"/>
      <c r="B68" s="986"/>
      <c r="C68" s="986"/>
      <c r="D68" s="986"/>
      <c r="E68" s="986"/>
      <c r="F68" s="986"/>
      <c r="G68" s="986"/>
      <c r="H68" s="986"/>
      <c r="I68" s="986"/>
      <c r="J68" s="986"/>
      <c r="K68" s="986"/>
      <c r="L68" s="986"/>
      <c r="M68" s="986"/>
      <c r="N68" s="987"/>
      <c r="O68" s="981"/>
      <c r="P68" s="981"/>
      <c r="Q68" s="285"/>
    </row>
    <row r="69" spans="1:19" ht="12.75" customHeight="1" x14ac:dyDescent="0.25">
      <c r="A69" s="982" t="s">
        <v>726</v>
      </c>
      <c r="B69" s="983"/>
      <c r="C69" s="983"/>
      <c r="D69" s="983"/>
      <c r="E69" s="983"/>
      <c r="F69" s="983"/>
      <c r="G69" s="983"/>
      <c r="H69" s="260" t="s">
        <v>40</v>
      </c>
      <c r="I69" s="273" t="s">
        <v>184</v>
      </c>
      <c r="J69" s="995" t="s">
        <v>727</v>
      </c>
      <c r="K69" s="983"/>
      <c r="L69" s="259" t="s">
        <v>582</v>
      </c>
      <c r="M69" s="982" t="s">
        <v>728</v>
      </c>
      <c r="N69" s="983"/>
      <c r="O69" s="285"/>
    </row>
    <row r="70" spans="1:19" s="113" customFormat="1" ht="13.5" customHeight="1" x14ac:dyDescent="0.25">
      <c r="A70" s="274" t="s">
        <v>1603</v>
      </c>
      <c r="B70" s="552" t="s">
        <v>45</v>
      </c>
      <c r="C70" s="552"/>
      <c r="D70" s="552"/>
      <c r="E70" s="552"/>
      <c r="F70" s="552"/>
      <c r="G70" s="552"/>
      <c r="H70" s="552"/>
      <c r="I70" s="552"/>
      <c r="J70" s="552"/>
      <c r="K70" s="552"/>
      <c r="L70" s="552"/>
      <c r="M70" s="552"/>
      <c r="N70" s="552"/>
      <c r="Q70" s="132"/>
      <c r="R70" s="132"/>
      <c r="S70" s="132"/>
    </row>
    <row r="71" spans="1:19" s="113" customFormat="1" ht="13.5" customHeight="1" x14ac:dyDescent="0.25">
      <c r="A71" s="275" t="s">
        <v>1604</v>
      </c>
      <c r="B71" s="426" t="s">
        <v>526</v>
      </c>
      <c r="C71" s="426"/>
      <c r="D71" s="426"/>
      <c r="E71" s="426"/>
      <c r="F71" s="426"/>
      <c r="G71" s="426"/>
      <c r="H71" s="279" t="str">
        <f>VLOOKUP(B71,AA_Unitarios,'10'!$H$7,FALSE)</f>
        <v>M2</v>
      </c>
      <c r="I71" s="280">
        <f>+VLOOKUP(B71,'01'!$C$37:$N$56,8,FALSE)</f>
        <v>31.5</v>
      </c>
      <c r="J71" s="989">
        <f>+'11'!$L$76</f>
        <v>5.0000000000000001E-3</v>
      </c>
      <c r="K71" s="989"/>
      <c r="L71" s="280">
        <v>1</v>
      </c>
      <c r="M71" s="996">
        <f t="shared" ref="M71" si="48">+I71*(J71/L71)</f>
        <v>0.1575</v>
      </c>
      <c r="N71" s="486"/>
      <c r="Q71" s="132"/>
      <c r="R71" s="132"/>
      <c r="S71" s="132"/>
    </row>
    <row r="72" spans="1:19" s="113" customFormat="1" ht="13.5" customHeight="1" x14ac:dyDescent="0.25">
      <c r="A72" s="275" t="s">
        <v>1738</v>
      </c>
      <c r="B72" s="426" t="s">
        <v>1102</v>
      </c>
      <c r="C72" s="426"/>
      <c r="D72" s="426"/>
      <c r="E72" s="426"/>
      <c r="F72" s="426"/>
      <c r="G72" s="426"/>
      <c r="H72" s="279" t="str">
        <f>VLOOKUP(B72,AA_Unitarios,'10'!$H$7,FALSE)</f>
        <v>M</v>
      </c>
      <c r="I72" s="280">
        <f>+VLOOKUP(B72,'01'!$C$37:$N$56,8,FALSE)</f>
        <v>20</v>
      </c>
      <c r="J72" s="989">
        <f>+VLOOKUP(B72,$B$49:$N$65,9,FALSE)</f>
        <v>3.7599999999999999E-3</v>
      </c>
      <c r="K72" s="989"/>
      <c r="L72" s="280">
        <v>1</v>
      </c>
      <c r="M72" s="996">
        <f t="shared" ref="M72" si="49">+I72*(J72/L72)</f>
        <v>7.5200000000000003E-2</v>
      </c>
      <c r="N72" s="486"/>
      <c r="Q72" s="132"/>
      <c r="R72" s="132"/>
      <c r="S72" s="132"/>
    </row>
    <row r="73" spans="1:19" s="113" customFormat="1" ht="13.5" customHeight="1" x14ac:dyDescent="0.25">
      <c r="A73" s="274" t="s">
        <v>1605</v>
      </c>
      <c r="B73" s="552" t="s">
        <v>49</v>
      </c>
      <c r="C73" s="552"/>
      <c r="D73" s="552"/>
      <c r="E73" s="552"/>
      <c r="F73" s="552"/>
      <c r="G73" s="552"/>
      <c r="H73" s="552"/>
      <c r="I73" s="552"/>
      <c r="J73" s="552"/>
      <c r="K73" s="552"/>
      <c r="L73" s="552"/>
      <c r="M73" s="552"/>
      <c r="N73" s="552"/>
      <c r="Q73" s="132"/>
      <c r="R73" s="132"/>
      <c r="S73" s="132"/>
    </row>
    <row r="74" spans="1:19" s="113" customFormat="1" ht="13.5" customHeight="1" x14ac:dyDescent="0.25">
      <c r="A74" s="275" t="s">
        <v>1606</v>
      </c>
      <c r="B74" s="426" t="s">
        <v>87</v>
      </c>
      <c r="C74" s="426"/>
      <c r="D74" s="426"/>
      <c r="E74" s="426"/>
      <c r="F74" s="426"/>
      <c r="G74" s="426"/>
      <c r="H74" s="279" t="str">
        <f>VLOOKUP(B74,AA_Unitarios,'10'!$H$7,FALSE)</f>
        <v>M3</v>
      </c>
      <c r="I74" s="280">
        <f>+VLOOKUP(B74,'01'!$C$37:$N$56,8,FALSE)</f>
        <v>40.01</v>
      </c>
      <c r="J74" s="989">
        <f>+VLOOKUP(B74,$B$49:$N$65,9,FALSE)</f>
        <v>0.31085149274304863</v>
      </c>
      <c r="K74" s="989"/>
      <c r="L74" s="280">
        <v>8</v>
      </c>
      <c r="M74" s="996">
        <f t="shared" ref="M74" si="50">+I74*(J74/L74)</f>
        <v>1.5546460280811718</v>
      </c>
      <c r="N74" s="486"/>
    </row>
    <row r="75" spans="1:19" s="113" customFormat="1" ht="13.5" customHeight="1" x14ac:dyDescent="0.25">
      <c r="A75" s="274" t="s">
        <v>1607</v>
      </c>
      <c r="B75" s="552" t="s">
        <v>53</v>
      </c>
      <c r="C75" s="552"/>
      <c r="D75" s="552"/>
      <c r="E75" s="552"/>
      <c r="F75" s="552"/>
      <c r="G75" s="552"/>
      <c r="H75" s="552"/>
      <c r="I75" s="552"/>
      <c r="J75" s="552"/>
      <c r="K75" s="552"/>
      <c r="L75" s="552"/>
      <c r="M75" s="552"/>
      <c r="N75" s="552"/>
      <c r="Q75" s="132"/>
      <c r="R75" s="132"/>
      <c r="S75" s="132"/>
    </row>
    <row r="76" spans="1:19" s="113" customFormat="1" ht="13.5" customHeight="1" x14ac:dyDescent="0.25">
      <c r="A76" s="275" t="s">
        <v>1608</v>
      </c>
      <c r="B76" s="426" t="s">
        <v>89</v>
      </c>
      <c r="C76" s="426"/>
      <c r="D76" s="426"/>
      <c r="E76" s="426"/>
      <c r="F76" s="426"/>
      <c r="G76" s="426"/>
      <c r="H76" s="279" t="str">
        <f>VLOOKUP(B76,AA_Unitarios,'10'!$H$7,FALSE)</f>
        <v>M3</v>
      </c>
      <c r="I76" s="280">
        <f>+VLOOKUP(B76,'01'!$C$37:$N$56,8,FALSE)</f>
        <v>2.1</v>
      </c>
      <c r="J76" s="989">
        <f>+VLOOKUP(B76,$B$49:$N$65,9,FALSE)</f>
        <v>6.6666666666666666E-2</v>
      </c>
      <c r="K76" s="989"/>
      <c r="L76" s="280">
        <v>1</v>
      </c>
      <c r="M76" s="996">
        <f t="shared" ref="M76" si="51">+I76*(J76/L76)</f>
        <v>0.14000000000000001</v>
      </c>
      <c r="N76" s="486"/>
    </row>
    <row r="77" spans="1:19" s="113" customFormat="1" ht="13.5" customHeight="1" x14ac:dyDescent="0.25">
      <c r="A77" s="275" t="s">
        <v>1739</v>
      </c>
      <c r="B77" s="426" t="s">
        <v>55</v>
      </c>
      <c r="C77" s="426"/>
      <c r="D77" s="426"/>
      <c r="E77" s="426"/>
      <c r="F77" s="426"/>
      <c r="G77" s="426"/>
      <c r="H77" s="279" t="str">
        <f>VLOOKUP(B77,AA_Unitarios,'10'!$H$7,FALSE)</f>
        <v>M3</v>
      </c>
      <c r="I77" s="280">
        <f>+VLOOKUP(B77,'01'!$C$37:$N$56,8,FALSE)</f>
        <v>9.4499999999999993</v>
      </c>
      <c r="J77" s="989">
        <f t="shared" ref="J77:J78" si="52">+VLOOKUP(B77,$B$49:$N$65,9,FALSE)</f>
        <v>3.3333333333333333E-2</v>
      </c>
      <c r="K77" s="989"/>
      <c r="L77" s="280">
        <v>2</v>
      </c>
      <c r="M77" s="996">
        <f t="shared" ref="M77:M78" si="53">+I77*(J77/L77)</f>
        <v>0.15749999999999997</v>
      </c>
      <c r="N77" s="486"/>
    </row>
    <row r="78" spans="1:19" s="113" customFormat="1" ht="13.5" customHeight="1" x14ac:dyDescent="0.25">
      <c r="A78" s="275" t="s">
        <v>1740</v>
      </c>
      <c r="B78" s="426" t="s">
        <v>56</v>
      </c>
      <c r="C78" s="426"/>
      <c r="D78" s="426"/>
      <c r="E78" s="426"/>
      <c r="F78" s="426"/>
      <c r="G78" s="426"/>
      <c r="H78" s="279" t="str">
        <f>VLOOKUP(B78,AA_Unitarios,'10'!$H$7,FALSE)</f>
        <v>M3</v>
      </c>
      <c r="I78" s="280">
        <f>+VLOOKUP(B78,'01'!$C$37:$N$56,8,FALSE)</f>
        <v>22.15</v>
      </c>
      <c r="J78" s="989">
        <f t="shared" si="52"/>
        <v>9.0909090909090912E-2</v>
      </c>
      <c r="K78" s="989"/>
      <c r="L78" s="280">
        <v>5</v>
      </c>
      <c r="M78" s="996">
        <f t="shared" si="53"/>
        <v>0.40272727272727266</v>
      </c>
      <c r="N78" s="486"/>
    </row>
    <row r="79" spans="1:19" s="113" customFormat="1" ht="13.5" customHeight="1" x14ac:dyDescent="0.25">
      <c r="A79" s="274" t="s">
        <v>1609</v>
      </c>
      <c r="B79" s="552" t="s">
        <v>58</v>
      </c>
      <c r="C79" s="552"/>
      <c r="D79" s="552"/>
      <c r="E79" s="552"/>
      <c r="F79" s="552"/>
      <c r="G79" s="552"/>
      <c r="H79" s="552"/>
      <c r="I79" s="552"/>
      <c r="J79" s="552"/>
      <c r="K79" s="552"/>
      <c r="L79" s="552"/>
      <c r="M79" s="552"/>
      <c r="N79" s="552"/>
      <c r="Q79" s="132"/>
      <c r="R79" s="132"/>
      <c r="S79" s="132"/>
    </row>
    <row r="80" spans="1:19" s="113" customFormat="1" ht="13.5" customHeight="1" x14ac:dyDescent="0.25">
      <c r="A80" s="275" t="s">
        <v>1610</v>
      </c>
      <c r="B80" s="426" t="s">
        <v>60</v>
      </c>
      <c r="C80" s="426"/>
      <c r="D80" s="426"/>
      <c r="E80" s="426"/>
      <c r="F80" s="426"/>
      <c r="G80" s="426"/>
      <c r="H80" s="279" t="str">
        <f>VLOOKUP(B80,AA_Unitarios,'10'!$H$7,FALSE)</f>
        <v>M3</v>
      </c>
      <c r="I80" s="280">
        <f>+VLOOKUP(B80,'01'!$C$37:$N$56,8,FALSE)</f>
        <v>1.58</v>
      </c>
      <c r="J80" s="989">
        <f>+'11'!$L$325</f>
        <v>0.18181818181818182</v>
      </c>
      <c r="K80" s="989"/>
      <c r="L80" s="280">
        <v>1</v>
      </c>
      <c r="M80" s="996">
        <f t="shared" ref="M80" si="54">+I80*(J80/L80)</f>
        <v>0.28727272727272729</v>
      </c>
      <c r="N80" s="486"/>
    </row>
    <row r="81" spans="1:19" s="113" customFormat="1" ht="13.5" customHeight="1" x14ac:dyDescent="0.25">
      <c r="A81" s="275" t="s">
        <v>1611</v>
      </c>
      <c r="B81" s="426" t="s">
        <v>62</v>
      </c>
      <c r="C81" s="426"/>
      <c r="D81" s="426"/>
      <c r="E81" s="426"/>
      <c r="F81" s="426"/>
      <c r="G81" s="426"/>
      <c r="H81" s="279" t="str">
        <f>VLOOKUP(B81,AA_Unitarios,'10'!$H$7,FALSE)</f>
        <v>M3</v>
      </c>
      <c r="I81" s="280">
        <f>+VLOOKUP(B81,'01'!$C$37:$N$56,8,FALSE)</f>
        <v>7.88</v>
      </c>
      <c r="J81" s="989">
        <f>+'11'!$L$1366</f>
        <v>0.18</v>
      </c>
      <c r="K81" s="989"/>
      <c r="L81" s="280">
        <v>2</v>
      </c>
      <c r="M81" s="996">
        <f t="shared" ref="M81:M82" si="55">+I81*(J81/L81)</f>
        <v>0.70919999999999994</v>
      </c>
      <c r="N81" s="486"/>
    </row>
    <row r="82" spans="1:19" s="113" customFormat="1" ht="13.5" customHeight="1" x14ac:dyDescent="0.25">
      <c r="A82" s="275" t="s">
        <v>1617</v>
      </c>
      <c r="B82" s="426" t="s">
        <v>66</v>
      </c>
      <c r="C82" s="426"/>
      <c r="D82" s="426"/>
      <c r="E82" s="426"/>
      <c r="F82" s="426"/>
      <c r="G82" s="426"/>
      <c r="H82" s="279" t="str">
        <f>VLOOKUP(B82,AA_Unitarios,'10'!$H$7,FALSE)</f>
        <v>KG</v>
      </c>
      <c r="I82" s="280">
        <f>+VLOOKUP(B82,'01'!$C$37:$N$56,8,FALSE)</f>
        <v>530</v>
      </c>
      <c r="J82" s="989">
        <f>+'11'!$L$410</f>
        <v>4.0000000000000001E-3</v>
      </c>
      <c r="K82" s="989"/>
      <c r="L82" s="280">
        <v>3</v>
      </c>
      <c r="M82" s="996">
        <f t="shared" si="55"/>
        <v>0.70666666666666667</v>
      </c>
      <c r="N82" s="486"/>
    </row>
    <row r="83" spans="1:19" s="113" customFormat="1" ht="13.5" customHeight="1" x14ac:dyDescent="0.25">
      <c r="A83" s="274" t="s">
        <v>1612</v>
      </c>
      <c r="B83" s="552" t="s">
        <v>1104</v>
      </c>
      <c r="C83" s="552"/>
      <c r="D83" s="552"/>
      <c r="E83" s="552"/>
      <c r="F83" s="552"/>
      <c r="G83" s="552"/>
      <c r="H83" s="552"/>
      <c r="I83" s="552"/>
      <c r="J83" s="552"/>
      <c r="K83" s="552"/>
      <c r="L83" s="552"/>
      <c r="M83" s="552"/>
      <c r="N83" s="552"/>
      <c r="Q83" s="132"/>
      <c r="R83" s="132"/>
      <c r="S83" s="132"/>
    </row>
    <row r="84" spans="1:19" s="113" customFormat="1" ht="13.5" customHeight="1" x14ac:dyDescent="0.25">
      <c r="A84" s="275" t="s">
        <v>1613</v>
      </c>
      <c r="B84" s="426" t="s">
        <v>90</v>
      </c>
      <c r="C84" s="426"/>
      <c r="D84" s="426"/>
      <c r="E84" s="426"/>
      <c r="F84" s="426"/>
      <c r="G84" s="426"/>
      <c r="H84" s="279" t="str">
        <f>VLOOKUP(B84,AA_Unitarios,'10'!$H$7,FALSE)</f>
        <v>M3-KM</v>
      </c>
      <c r="I84" s="280">
        <f>+VLOOKUP(B84,'01'!$C$37:$N$56,8,FALSE)</f>
        <v>213.75</v>
      </c>
      <c r="J84" s="989">
        <f t="shared" ref="J84" si="56">+VLOOKUP(B84,$B$49:$N$65,9,FALSE)</f>
        <v>2.0833333333333333E-3</v>
      </c>
      <c r="K84" s="989"/>
      <c r="L84" s="280">
        <v>2</v>
      </c>
      <c r="M84" s="996">
        <f t="shared" ref="M84" si="57">+I84*(J84/L84)</f>
        <v>0.22265625</v>
      </c>
      <c r="N84" s="486"/>
    </row>
    <row r="85" spans="1:19" s="113" customFormat="1" ht="13.5" customHeight="1" x14ac:dyDescent="0.25">
      <c r="A85" s="275" t="s">
        <v>1614</v>
      </c>
      <c r="B85" s="426" t="s">
        <v>92</v>
      </c>
      <c r="C85" s="426"/>
      <c r="D85" s="426"/>
      <c r="E85" s="426"/>
      <c r="F85" s="426"/>
      <c r="G85" s="426"/>
      <c r="H85" s="279" t="str">
        <f>VLOOKUP(B85,AA_Unitarios,'10'!$H$7,FALSE)</f>
        <v>M3</v>
      </c>
      <c r="I85" s="280">
        <f>+VLOOKUP(B85,'01'!$C$37:$N$56,8,FALSE)</f>
        <v>42.75</v>
      </c>
      <c r="J85" s="989">
        <f t="shared" ref="J85" si="58">+VLOOKUP(B85,$B$49:$N$65,9,FALSE)</f>
        <v>1.2500000000000001E-2</v>
      </c>
      <c r="K85" s="989"/>
      <c r="L85" s="280">
        <v>2</v>
      </c>
      <c r="M85" s="996">
        <f t="shared" ref="M85" si="59">+I85*(J85/L85)</f>
        <v>0.26718750000000002</v>
      </c>
      <c r="N85" s="486"/>
    </row>
    <row r="86" spans="1:19" s="113" customFormat="1" ht="13.5" customHeight="1" x14ac:dyDescent="0.25">
      <c r="A86" s="274" t="s">
        <v>1615</v>
      </c>
      <c r="B86" s="552" t="s">
        <v>72</v>
      </c>
      <c r="C86" s="552"/>
      <c r="D86" s="552"/>
      <c r="E86" s="552"/>
      <c r="F86" s="552"/>
      <c r="G86" s="552"/>
      <c r="H86" s="552"/>
      <c r="I86" s="552"/>
      <c r="J86" s="552"/>
      <c r="K86" s="552"/>
      <c r="L86" s="552"/>
      <c r="M86" s="552"/>
      <c r="N86" s="552"/>
      <c r="Q86" s="132"/>
      <c r="R86" s="132"/>
      <c r="S86" s="132"/>
    </row>
    <row r="87" spans="1:19" s="113" customFormat="1" ht="13.5" customHeight="1" x14ac:dyDescent="0.25">
      <c r="A87" s="275" t="s">
        <v>1616</v>
      </c>
      <c r="B87" s="426" t="s">
        <v>1594</v>
      </c>
      <c r="C87" s="426"/>
      <c r="D87" s="426"/>
      <c r="E87" s="426"/>
      <c r="F87" s="426"/>
      <c r="G87" s="426"/>
      <c r="H87" s="279" t="str">
        <f>VLOOKUP(B87,AA_Unitarios,'10'!$H$7,FALSE)</f>
        <v>UND</v>
      </c>
      <c r="I87" s="280">
        <f>+VLOOKUP(B87,'01'!$C$37:$N$56,8,FALSE)</f>
        <v>1</v>
      </c>
      <c r="J87" s="989">
        <v>60</v>
      </c>
      <c r="K87" s="989"/>
      <c r="L87" s="280">
        <v>1</v>
      </c>
      <c r="M87" s="996">
        <f t="shared" ref="M87" si="60">+I87*(J87/L87)</f>
        <v>60</v>
      </c>
      <c r="N87" s="486"/>
    </row>
    <row r="88" spans="1:19" s="113" customFormat="1" ht="13.5" customHeight="1" x14ac:dyDescent="0.25">
      <c r="A88" s="274" t="s">
        <v>1741</v>
      </c>
      <c r="B88" s="552" t="s">
        <v>79</v>
      </c>
      <c r="C88" s="552"/>
      <c r="D88" s="552"/>
      <c r="E88" s="552"/>
      <c r="F88" s="552"/>
      <c r="G88" s="552"/>
      <c r="H88" s="552"/>
      <c r="I88" s="552"/>
      <c r="J88" s="552"/>
      <c r="K88" s="552"/>
      <c r="L88" s="552"/>
      <c r="M88" s="552"/>
      <c r="N88" s="552"/>
      <c r="Q88" s="132"/>
      <c r="R88" s="132"/>
      <c r="S88" s="132"/>
    </row>
    <row r="89" spans="1:19" s="113" customFormat="1" ht="13.5" customHeight="1" x14ac:dyDescent="0.25">
      <c r="A89" s="275" t="s">
        <v>1618</v>
      </c>
      <c r="B89" s="426" t="s">
        <v>1583</v>
      </c>
      <c r="C89" s="426"/>
      <c r="D89" s="426"/>
      <c r="E89" s="426"/>
      <c r="F89" s="426"/>
      <c r="G89" s="426"/>
      <c r="H89" s="279" t="str">
        <f>VLOOKUP(B89,AA_Unitarios,'10'!$H$7,FALSE)</f>
        <v>ML</v>
      </c>
      <c r="I89" s="280">
        <f>+VLOOKUP(B89,'01'!$C$37:$N$56,8,FALSE)</f>
        <v>20</v>
      </c>
      <c r="J89" s="989">
        <f>+'11'!$L$1974</f>
        <v>2.5999999999999999E-2</v>
      </c>
      <c r="K89" s="989"/>
      <c r="L89" s="280">
        <v>2</v>
      </c>
      <c r="M89" s="996">
        <f t="shared" ref="M89" si="61">+I89*(J89/L89)</f>
        <v>0.26</v>
      </c>
      <c r="N89" s="486"/>
    </row>
    <row r="90" spans="1:19" ht="12.75" customHeight="1" x14ac:dyDescent="0.25">
      <c r="A90" s="285"/>
      <c r="B90" s="285"/>
      <c r="C90" s="285"/>
      <c r="D90" s="285"/>
      <c r="E90" s="285"/>
      <c r="F90" s="285"/>
      <c r="G90" s="285"/>
      <c r="H90" s="285"/>
      <c r="I90" s="285"/>
      <c r="J90" s="285"/>
      <c r="K90" s="285"/>
      <c r="L90" s="285"/>
      <c r="M90" s="285"/>
      <c r="N90" s="285"/>
      <c r="O90" s="285"/>
      <c r="P90" s="285"/>
      <c r="Q90" s="285"/>
    </row>
    <row r="91" spans="1:19" ht="12.75" customHeight="1" x14ac:dyDescent="0.25">
      <c r="A91" s="984" t="str">
        <f>+'01'!H58</f>
        <v>C - ALMACENAMIENTO 250 M³</v>
      </c>
      <c r="B91" s="498"/>
      <c r="C91" s="498"/>
      <c r="D91" s="498"/>
      <c r="E91" s="498"/>
      <c r="F91" s="498"/>
      <c r="G91" s="498"/>
      <c r="H91" s="498"/>
      <c r="I91" s="498"/>
      <c r="J91" s="498"/>
      <c r="K91" s="498"/>
      <c r="L91" s="498"/>
      <c r="M91" s="498"/>
      <c r="N91" s="499"/>
      <c r="O91" s="988">
        <f>+SUM(M95:N130)</f>
        <v>81.505643638774757</v>
      </c>
      <c r="P91" s="988" t="s">
        <v>1880</v>
      </c>
    </row>
    <row r="92" spans="1:19" ht="12.75" customHeight="1" x14ac:dyDescent="0.25">
      <c r="A92" s="503"/>
      <c r="B92" s="504"/>
      <c r="C92" s="504"/>
      <c r="D92" s="504"/>
      <c r="E92" s="504"/>
      <c r="F92" s="504"/>
      <c r="G92" s="504"/>
      <c r="H92" s="504"/>
      <c r="I92" s="504"/>
      <c r="J92" s="504"/>
      <c r="K92" s="504"/>
      <c r="L92" s="504"/>
      <c r="M92" s="504"/>
      <c r="N92" s="505"/>
      <c r="O92" s="981"/>
      <c r="P92" s="981"/>
    </row>
    <row r="93" spans="1:19" ht="12.75" customHeight="1" x14ac:dyDescent="0.25">
      <c r="A93" s="999" t="s">
        <v>726</v>
      </c>
      <c r="B93" s="986"/>
      <c r="C93" s="986"/>
      <c r="D93" s="986"/>
      <c r="E93" s="986"/>
      <c r="F93" s="986"/>
      <c r="G93" s="987"/>
      <c r="H93" s="277" t="s">
        <v>40</v>
      </c>
      <c r="I93" s="277" t="s">
        <v>184</v>
      </c>
      <c r="J93" s="494" t="s">
        <v>727</v>
      </c>
      <c r="K93" s="987"/>
      <c r="L93" s="278" t="s">
        <v>582</v>
      </c>
      <c r="M93" s="999" t="s">
        <v>728</v>
      </c>
      <c r="N93" s="987"/>
      <c r="O93" s="285"/>
      <c r="P93" s="285"/>
      <c r="Q93" s="285"/>
    </row>
    <row r="94" spans="1:19" s="113" customFormat="1" ht="13.5" customHeight="1" x14ac:dyDescent="0.25">
      <c r="A94" s="274" t="s">
        <v>1619</v>
      </c>
      <c r="B94" s="552" t="s">
        <v>45</v>
      </c>
      <c r="C94" s="552"/>
      <c r="D94" s="552"/>
      <c r="E94" s="552"/>
      <c r="F94" s="552"/>
      <c r="G94" s="552"/>
      <c r="H94" s="552"/>
      <c r="I94" s="552"/>
      <c r="J94" s="552"/>
      <c r="K94" s="552"/>
      <c r="L94" s="552"/>
      <c r="M94" s="552"/>
      <c r="N94" s="552"/>
      <c r="O94" s="265"/>
      <c r="P94" s="132"/>
      <c r="Q94" s="132"/>
      <c r="R94" s="132"/>
      <c r="S94" s="132"/>
    </row>
    <row r="95" spans="1:19" s="113" customFormat="1" ht="13.5" customHeight="1" x14ac:dyDescent="0.25">
      <c r="A95" s="275" t="s">
        <v>1620</v>
      </c>
      <c r="B95" s="426" t="s">
        <v>526</v>
      </c>
      <c r="C95" s="553"/>
      <c r="D95" s="553"/>
      <c r="E95" s="553"/>
      <c r="F95" s="553"/>
      <c r="G95" s="553"/>
      <c r="H95" s="279" t="str">
        <f>VLOOKUP(B95,AA_Unitarios,'10'!$H$7,FALSE)</f>
        <v>M2</v>
      </c>
      <c r="I95" s="280">
        <f>+VLOOKUP(B95,'01'!$C$60:$N$96,8,FALSE)</f>
        <v>241.35</v>
      </c>
      <c r="J95" s="997">
        <f>+VLOOKUP(B95,$B$49:$N$89,9,FALSE)</f>
        <v>5.0000000000000001E-3</v>
      </c>
      <c r="K95" s="998"/>
      <c r="L95" s="291">
        <v>2</v>
      </c>
      <c r="M95" s="996">
        <f t="shared" ref="M95" si="62">+I95*(J95/L95)</f>
        <v>0.60337499999999999</v>
      </c>
      <c r="N95" s="486"/>
    </row>
    <row r="96" spans="1:19" s="113" customFormat="1" ht="13.5" customHeight="1" x14ac:dyDescent="0.25">
      <c r="A96" s="274" t="s">
        <v>1621</v>
      </c>
      <c r="B96" s="552" t="s">
        <v>49</v>
      </c>
      <c r="C96" s="552"/>
      <c r="D96" s="552"/>
      <c r="E96" s="552"/>
      <c r="F96" s="552"/>
      <c r="G96" s="552"/>
      <c r="H96" s="552"/>
      <c r="I96" s="552"/>
      <c r="J96" s="552"/>
      <c r="K96" s="552"/>
      <c r="L96" s="552"/>
      <c r="M96" s="552"/>
      <c r="N96" s="552"/>
    </row>
    <row r="97" spans="1:14" s="113" customFormat="1" ht="13.5" customHeight="1" x14ac:dyDescent="0.25">
      <c r="A97" s="275" t="s">
        <v>1622</v>
      </c>
      <c r="B97" s="426" t="s">
        <v>87</v>
      </c>
      <c r="C97" s="553"/>
      <c r="D97" s="553"/>
      <c r="E97" s="553"/>
      <c r="F97" s="553"/>
      <c r="G97" s="553"/>
      <c r="H97" s="279" t="str">
        <f>VLOOKUP(B97,AA_Unitarios,'10'!$H$7,FALSE)</f>
        <v>M3</v>
      </c>
      <c r="I97" s="280">
        <f>+VLOOKUP(B97,'01'!$C$60:$N$96,8,FALSE)</f>
        <v>275.10000000000002</v>
      </c>
      <c r="J97" s="997">
        <f>+VLOOKUP(B97,$B$49:$N$89,9,FALSE)</f>
        <v>0.31085149274304863</v>
      </c>
      <c r="K97" s="998"/>
      <c r="L97" s="291">
        <v>5</v>
      </c>
      <c r="M97" s="996">
        <f t="shared" ref="M97" si="63">+I97*(J97/L97)</f>
        <v>17.103049130722535</v>
      </c>
      <c r="N97" s="486"/>
    </row>
    <row r="98" spans="1:14" s="113" customFormat="1" ht="13.5" customHeight="1" x14ac:dyDescent="0.25">
      <c r="A98" s="275" t="s">
        <v>1623</v>
      </c>
      <c r="B98" s="426" t="s">
        <v>102</v>
      </c>
      <c r="C98" s="553"/>
      <c r="D98" s="553"/>
      <c r="E98" s="553"/>
      <c r="F98" s="553"/>
      <c r="G98" s="553"/>
      <c r="H98" s="279" t="str">
        <f>VLOOKUP(B98,AA_Unitarios,'10'!$H$7,FALSE)</f>
        <v>M3</v>
      </c>
      <c r="I98" s="280">
        <f>+VLOOKUP(B98,'01'!$C$60:$N$96,8,FALSE)</f>
        <v>830.27</v>
      </c>
      <c r="J98" s="996">
        <f>+'11'!$K$868/8</f>
        <v>1.2500000000000001E-2</v>
      </c>
      <c r="K98" s="486"/>
      <c r="L98" s="291">
        <v>4</v>
      </c>
      <c r="M98" s="996">
        <f t="shared" ref="M98:M100" si="64">+I98*(J98/L98)</f>
        <v>2.59459375</v>
      </c>
      <c r="N98" s="486"/>
    </row>
    <row r="99" spans="1:14" s="113" customFormat="1" ht="13.5" customHeight="1" x14ac:dyDescent="0.25">
      <c r="A99" s="275" t="s">
        <v>1624</v>
      </c>
      <c r="B99" s="426" t="s">
        <v>104</v>
      </c>
      <c r="C99" s="553"/>
      <c r="D99" s="553"/>
      <c r="E99" s="553"/>
      <c r="F99" s="553"/>
      <c r="G99" s="553"/>
      <c r="H99" s="279" t="str">
        <f>VLOOKUP(B99,AA_Unitarios,'10'!$H$7,FALSE)</f>
        <v>M2</v>
      </c>
      <c r="I99" s="280">
        <f>+VLOOKUP(B99,'01'!$C$60:$N$96,8,FALSE)</f>
        <v>111.52</v>
      </c>
      <c r="J99" s="996">
        <f>+'11'!$L$201</f>
        <v>6.6666666666666666E-2</v>
      </c>
      <c r="K99" s="486"/>
      <c r="L99" s="291">
        <v>4</v>
      </c>
      <c r="M99" s="996">
        <f t="shared" si="64"/>
        <v>1.8586666666666665</v>
      </c>
      <c r="N99" s="486"/>
    </row>
    <row r="100" spans="1:14" s="113" customFormat="1" ht="13.5" customHeight="1" x14ac:dyDescent="0.25">
      <c r="A100" s="275" t="s">
        <v>1625</v>
      </c>
      <c r="B100" s="426" t="s">
        <v>83</v>
      </c>
      <c r="C100" s="553"/>
      <c r="D100" s="553"/>
      <c r="E100" s="553"/>
      <c r="F100" s="553"/>
      <c r="G100" s="553"/>
      <c r="H100" s="279" t="str">
        <f>VLOOKUP(B100,AA_Unitarios,'10'!$H$7,FALSE)</f>
        <v>M2</v>
      </c>
      <c r="I100" s="280">
        <f>+VLOOKUP(B100,'01'!$C$60:$N$96,8,FALSE)</f>
        <v>125.98</v>
      </c>
      <c r="J100" s="996">
        <f>+'11'!$L$243</f>
        <v>8.3333333333333329E-2</v>
      </c>
      <c r="K100" s="486"/>
      <c r="L100" s="291">
        <v>4</v>
      </c>
      <c r="M100" s="996">
        <f t="shared" si="64"/>
        <v>2.6245833333333333</v>
      </c>
      <c r="N100" s="486"/>
    </row>
    <row r="101" spans="1:14" s="113" customFormat="1" ht="13.5" customHeight="1" x14ac:dyDescent="0.25">
      <c r="A101" s="274" t="s">
        <v>1626</v>
      </c>
      <c r="B101" s="552" t="s">
        <v>53</v>
      </c>
      <c r="C101" s="552"/>
      <c r="D101" s="552"/>
      <c r="E101" s="552"/>
      <c r="F101" s="552"/>
      <c r="G101" s="552"/>
      <c r="H101" s="552"/>
      <c r="I101" s="552"/>
      <c r="J101" s="552"/>
      <c r="K101" s="552"/>
      <c r="L101" s="552"/>
      <c r="M101" s="552"/>
      <c r="N101" s="552"/>
    </row>
    <row r="102" spans="1:14" s="113" customFormat="1" ht="13.5" customHeight="1" x14ac:dyDescent="0.25">
      <c r="A102" s="275" t="s">
        <v>1627</v>
      </c>
      <c r="B102" s="426" t="s">
        <v>55</v>
      </c>
      <c r="C102" s="553"/>
      <c r="D102" s="553"/>
      <c r="E102" s="553"/>
      <c r="F102" s="553"/>
      <c r="G102" s="553"/>
      <c r="H102" s="279" t="str">
        <f>VLOOKUP(B102,AA_Unitarios,'10'!$H$7,FALSE)</f>
        <v>M3</v>
      </c>
      <c r="I102" s="280">
        <f>+VLOOKUP(B102,'01'!$C$60:$N$96,8,FALSE)</f>
        <v>19.89</v>
      </c>
      <c r="J102" s="997">
        <f t="shared" ref="J102" si="65">+VLOOKUP(B102,$B$49:$N$89,9,FALSE)</f>
        <v>3.3333333333333333E-2</v>
      </c>
      <c r="K102" s="998"/>
      <c r="L102" s="291">
        <v>1</v>
      </c>
      <c r="M102" s="996">
        <f t="shared" ref="M102" si="66">+I102*(J102/L102)</f>
        <v>0.66300000000000003</v>
      </c>
      <c r="N102" s="486"/>
    </row>
    <row r="103" spans="1:14" s="113" customFormat="1" ht="13.5" customHeight="1" x14ac:dyDescent="0.25">
      <c r="A103" s="275" t="s">
        <v>1628</v>
      </c>
      <c r="B103" s="426" t="s">
        <v>56</v>
      </c>
      <c r="C103" s="553"/>
      <c r="D103" s="553"/>
      <c r="E103" s="553"/>
      <c r="F103" s="553"/>
      <c r="G103" s="553"/>
      <c r="H103" s="279" t="str">
        <f>VLOOKUP(B103,AA_Unitarios,'10'!$H$7,FALSE)</f>
        <v>M3</v>
      </c>
      <c r="I103" s="280">
        <f>+VLOOKUP(B103,'01'!$C$60:$N$96,8,FALSE)</f>
        <v>450.87</v>
      </c>
      <c r="J103" s="997">
        <f t="shared" ref="J103" si="67">+VLOOKUP(B103,$B$49:$N$89,9,FALSE)</f>
        <v>9.0909090909090912E-2</v>
      </c>
      <c r="K103" s="998"/>
      <c r="L103" s="291">
        <v>4</v>
      </c>
      <c r="M103" s="996">
        <f t="shared" ref="M103:M104" si="68">+I103*(J103/L103)</f>
        <v>10.247045454545455</v>
      </c>
      <c r="N103" s="486"/>
    </row>
    <row r="104" spans="1:14" s="113" customFormat="1" ht="13.5" customHeight="1" x14ac:dyDescent="0.25">
      <c r="A104" s="275" t="s">
        <v>1629</v>
      </c>
      <c r="B104" s="426" t="s">
        <v>110</v>
      </c>
      <c r="C104" s="553"/>
      <c r="D104" s="553"/>
      <c r="E104" s="553"/>
      <c r="F104" s="553"/>
      <c r="G104" s="553"/>
      <c r="H104" s="279" t="str">
        <f>VLOOKUP(B104,AA_Unitarios,'10'!$H$7,FALSE)</f>
        <v>M3</v>
      </c>
      <c r="I104" s="280">
        <f>+VLOOKUP(B104,'01'!$C$60:$N$96,8,FALSE)</f>
        <v>21.12</v>
      </c>
      <c r="J104" s="996">
        <f>+'11'!$L$1411</f>
        <v>6.9881201956673647E-2</v>
      </c>
      <c r="K104" s="486"/>
      <c r="L104" s="291">
        <v>1</v>
      </c>
      <c r="M104" s="996">
        <f t="shared" si="68"/>
        <v>1.4758909853249476</v>
      </c>
      <c r="N104" s="486"/>
    </row>
    <row r="105" spans="1:14" s="113" customFormat="1" ht="13.5" customHeight="1" x14ac:dyDescent="0.25">
      <c r="A105" s="274" t="s">
        <v>1630</v>
      </c>
      <c r="B105" s="552" t="s">
        <v>112</v>
      </c>
      <c r="C105" s="552"/>
      <c r="D105" s="552"/>
      <c r="E105" s="552"/>
      <c r="F105" s="552"/>
      <c r="G105" s="552"/>
      <c r="H105" s="552"/>
      <c r="I105" s="552"/>
      <c r="J105" s="552"/>
      <c r="K105" s="552"/>
      <c r="L105" s="552"/>
      <c r="M105" s="552"/>
      <c r="N105" s="552"/>
    </row>
    <row r="106" spans="1:14" s="113" customFormat="1" ht="13.5" customHeight="1" x14ac:dyDescent="0.25">
      <c r="A106" s="275" t="s">
        <v>1631</v>
      </c>
      <c r="B106" s="426" t="s">
        <v>60</v>
      </c>
      <c r="C106" s="553"/>
      <c r="D106" s="553"/>
      <c r="E106" s="553"/>
      <c r="F106" s="553"/>
      <c r="G106" s="553"/>
      <c r="H106" s="279" t="str">
        <f>VLOOKUP(B106,AA_Unitarios,'10'!$H$7,FALSE)</f>
        <v>M3</v>
      </c>
      <c r="I106" s="280">
        <f>+VLOOKUP(B106,'01'!$C$60:$N$96,8,FALSE)</f>
        <v>11.88</v>
      </c>
      <c r="J106" s="997">
        <f t="shared" ref="J106" si="69">+VLOOKUP(B106,$B$49:$N$89,9,FALSE)</f>
        <v>0.18181818181818182</v>
      </c>
      <c r="K106" s="998"/>
      <c r="L106" s="291">
        <v>1</v>
      </c>
      <c r="M106" s="996">
        <f t="shared" ref="M106" si="70">+I106*(J106/L106)</f>
        <v>2.16</v>
      </c>
      <c r="N106" s="486"/>
    </row>
    <row r="107" spans="1:14" s="113" customFormat="1" ht="13.5" customHeight="1" x14ac:dyDescent="0.25">
      <c r="A107" s="275" t="s">
        <v>1632</v>
      </c>
      <c r="B107" s="426" t="s">
        <v>115</v>
      </c>
      <c r="C107" s="553"/>
      <c r="D107" s="553"/>
      <c r="E107" s="553"/>
      <c r="F107" s="553"/>
      <c r="G107" s="553"/>
      <c r="H107" s="279" t="str">
        <f>VLOOKUP(B107,AA_Unitarios,'10'!$H$7,FALSE)</f>
        <v>M3</v>
      </c>
      <c r="I107" s="280">
        <f>+VLOOKUP(B107,'01'!$C$60:$N$96,8,FALSE)</f>
        <v>3.37</v>
      </c>
      <c r="J107" s="996">
        <f>+'11'!$L$1497</f>
        <v>0.18</v>
      </c>
      <c r="K107" s="486"/>
      <c r="L107" s="291">
        <v>1</v>
      </c>
      <c r="M107" s="996">
        <f t="shared" ref="M107:M112" si="71">+I107*(J107/L107)</f>
        <v>0.60660000000000003</v>
      </c>
      <c r="N107" s="486"/>
    </row>
    <row r="108" spans="1:14" s="113" customFormat="1" ht="13.5" customHeight="1" x14ac:dyDescent="0.25">
      <c r="A108" s="275" t="s">
        <v>1633</v>
      </c>
      <c r="B108" s="426" t="s">
        <v>84</v>
      </c>
      <c r="C108" s="553"/>
      <c r="D108" s="553"/>
      <c r="E108" s="553"/>
      <c r="F108" s="553"/>
      <c r="G108" s="553"/>
      <c r="H108" s="279" t="str">
        <f>VLOOKUP(B108,AA_Unitarios,'10'!$H$7,FALSE)</f>
        <v>M3</v>
      </c>
      <c r="I108" s="280">
        <f>+VLOOKUP(B108,'01'!$C$60:$N$96,8,FALSE)</f>
        <v>10.1</v>
      </c>
      <c r="J108" s="996">
        <f>+'11'!$L$369</f>
        <v>0.18181818181818182</v>
      </c>
      <c r="K108" s="486"/>
      <c r="L108" s="291">
        <v>2</v>
      </c>
      <c r="M108" s="996">
        <f t="shared" si="71"/>
        <v>0.91818181818181821</v>
      </c>
      <c r="N108" s="486"/>
    </row>
    <row r="109" spans="1:14" s="113" customFormat="1" ht="13.5" customHeight="1" x14ac:dyDescent="0.25">
      <c r="A109" s="275" t="s">
        <v>1634</v>
      </c>
      <c r="B109" s="426" t="s">
        <v>62</v>
      </c>
      <c r="C109" s="553"/>
      <c r="D109" s="553"/>
      <c r="E109" s="553"/>
      <c r="F109" s="553"/>
      <c r="G109" s="553"/>
      <c r="H109" s="279" t="str">
        <f>VLOOKUP(B109,AA_Unitarios,'10'!$H$7,FALSE)</f>
        <v>M3</v>
      </c>
      <c r="I109" s="280">
        <f>+VLOOKUP(B109,'01'!$C$60:$N$96,8,FALSE)</f>
        <v>30.54</v>
      </c>
      <c r="J109" s="997">
        <f t="shared" ref="J109:J112" si="72">+VLOOKUP(B109,$B$49:$N$89,9,FALSE)</f>
        <v>0.18</v>
      </c>
      <c r="K109" s="998"/>
      <c r="L109" s="291">
        <v>3</v>
      </c>
      <c r="M109" s="996">
        <f t="shared" si="71"/>
        <v>1.8323999999999998</v>
      </c>
      <c r="N109" s="486"/>
    </row>
    <row r="110" spans="1:14" s="113" customFormat="1" ht="13.5" customHeight="1" x14ac:dyDescent="0.25">
      <c r="A110" s="275" t="s">
        <v>1635</v>
      </c>
      <c r="B110" s="426" t="s">
        <v>64</v>
      </c>
      <c r="C110" s="553"/>
      <c r="D110" s="553"/>
      <c r="E110" s="553"/>
      <c r="F110" s="553"/>
      <c r="G110" s="553"/>
      <c r="H110" s="279" t="str">
        <f>VLOOKUP(B110,AA_Unitarios,'10'!$H$7,FALSE)</f>
        <v>M3</v>
      </c>
      <c r="I110" s="280">
        <f>+VLOOKUP(B110,'01'!$C$60:$N$96,8,FALSE)</f>
        <v>97.29</v>
      </c>
      <c r="J110" s="996">
        <f>+'11'!$L$1321</f>
        <v>0.18</v>
      </c>
      <c r="K110" s="486"/>
      <c r="L110" s="291">
        <v>3</v>
      </c>
      <c r="M110" s="996">
        <f t="shared" si="71"/>
        <v>5.8374000000000006</v>
      </c>
      <c r="N110" s="486"/>
    </row>
    <row r="111" spans="1:14" s="113" customFormat="1" ht="13.5" customHeight="1" x14ac:dyDescent="0.25">
      <c r="A111" s="275" t="s">
        <v>1636</v>
      </c>
      <c r="B111" s="426" t="s">
        <v>65</v>
      </c>
      <c r="C111" s="553"/>
      <c r="D111" s="553"/>
      <c r="E111" s="553"/>
      <c r="F111" s="553"/>
      <c r="G111" s="553"/>
      <c r="H111" s="279" t="str">
        <f>VLOOKUP(B111,AA_Unitarios,'10'!$H$7,FALSE)</f>
        <v>M3</v>
      </c>
      <c r="I111" s="280">
        <f>+VLOOKUP(B111,'01'!$C$60:$N$96,8,FALSE)</f>
        <v>19.23</v>
      </c>
      <c r="J111" s="996">
        <f>+'11'!$L$1276</f>
        <v>0.18</v>
      </c>
      <c r="K111" s="486"/>
      <c r="L111" s="291">
        <v>2</v>
      </c>
      <c r="M111" s="996">
        <f t="shared" si="71"/>
        <v>1.7306999999999999</v>
      </c>
      <c r="N111" s="486"/>
    </row>
    <row r="112" spans="1:14" s="113" customFormat="1" ht="13.5" customHeight="1" x14ac:dyDescent="0.25">
      <c r="A112" s="275" t="s">
        <v>1637</v>
      </c>
      <c r="B112" s="426" t="s">
        <v>66</v>
      </c>
      <c r="C112" s="553"/>
      <c r="D112" s="553"/>
      <c r="E112" s="553"/>
      <c r="F112" s="553"/>
      <c r="G112" s="553"/>
      <c r="H112" s="279" t="str">
        <f>VLOOKUP(B112,AA_Unitarios,'10'!$H$7,FALSE)</f>
        <v>KG</v>
      </c>
      <c r="I112" s="280">
        <f>+VLOOKUP(B112,'01'!$C$60:$N$96,8,FALSE)</f>
        <v>11988.47</v>
      </c>
      <c r="J112" s="989">
        <f t="shared" si="72"/>
        <v>4.0000000000000001E-3</v>
      </c>
      <c r="K112" s="990"/>
      <c r="L112" s="291">
        <v>4</v>
      </c>
      <c r="M112" s="996">
        <f t="shared" si="71"/>
        <v>11.98847</v>
      </c>
      <c r="N112" s="486"/>
    </row>
    <row r="113" spans="1:14" s="113" customFormat="1" ht="13.5" customHeight="1" x14ac:dyDescent="0.25">
      <c r="A113" s="274" t="s">
        <v>1638</v>
      </c>
      <c r="B113" s="552" t="s">
        <v>68</v>
      </c>
      <c r="C113" s="552"/>
      <c r="D113" s="552"/>
      <c r="E113" s="552"/>
      <c r="F113" s="552"/>
      <c r="G113" s="552"/>
      <c r="H113" s="552"/>
      <c r="I113" s="552"/>
      <c r="J113" s="552"/>
      <c r="K113" s="552"/>
      <c r="L113" s="552"/>
      <c r="M113" s="552"/>
      <c r="N113" s="552"/>
    </row>
    <row r="114" spans="1:14" s="113" customFormat="1" ht="13.5" customHeight="1" x14ac:dyDescent="0.25">
      <c r="A114" s="275" t="s">
        <v>1639</v>
      </c>
      <c r="B114" s="426" t="s">
        <v>90</v>
      </c>
      <c r="C114" s="553"/>
      <c r="D114" s="553"/>
      <c r="E114" s="553"/>
      <c r="F114" s="553"/>
      <c r="G114" s="553"/>
      <c r="H114" s="279" t="str">
        <f>VLOOKUP(B114,AA_Unitarios,'10'!$H$7,FALSE)</f>
        <v>M3-KM</v>
      </c>
      <c r="I114" s="280">
        <f>+VLOOKUP(B114,'01'!$C$60:$N$96,8,FALSE)</f>
        <v>3247.65</v>
      </c>
      <c r="J114" s="989">
        <f t="shared" ref="J114" si="73">+VLOOKUP(B114,$B$49:$N$89,9,FALSE)</f>
        <v>2.0833333333333333E-3</v>
      </c>
      <c r="K114" s="990"/>
      <c r="L114" s="291">
        <v>3</v>
      </c>
      <c r="M114" s="996">
        <f t="shared" ref="M114" si="74">+I114*(J114/L114)</f>
        <v>2.2553125000000001</v>
      </c>
      <c r="N114" s="486"/>
    </row>
    <row r="115" spans="1:14" s="113" customFormat="1" ht="13.5" customHeight="1" x14ac:dyDescent="0.25">
      <c r="A115" s="275" t="s">
        <v>1640</v>
      </c>
      <c r="B115" s="426" t="s">
        <v>92</v>
      </c>
      <c r="C115" s="553"/>
      <c r="D115" s="553"/>
      <c r="E115" s="553"/>
      <c r="F115" s="553"/>
      <c r="G115" s="553"/>
      <c r="H115" s="279" t="str">
        <f>VLOOKUP(B115,AA_Unitarios,'10'!$H$7,FALSE)</f>
        <v>M3</v>
      </c>
      <c r="I115" s="280">
        <f>+VLOOKUP(B115,'01'!$C$60:$N$96,8,FALSE)</f>
        <v>649.53</v>
      </c>
      <c r="J115" s="997">
        <f t="shared" ref="J115" si="75">+VLOOKUP(B115,$B$49:$N$89,9,FALSE)</f>
        <v>1.2500000000000001E-2</v>
      </c>
      <c r="K115" s="998"/>
      <c r="L115" s="291">
        <v>3</v>
      </c>
      <c r="M115" s="996">
        <f t="shared" ref="M115" si="76">+I115*(J115/L115)</f>
        <v>2.706375</v>
      </c>
      <c r="N115" s="486"/>
    </row>
    <row r="116" spans="1:14" s="113" customFormat="1" ht="13.5" customHeight="1" x14ac:dyDescent="0.25">
      <c r="A116" s="274" t="s">
        <v>1641</v>
      </c>
      <c r="B116" s="552" t="s">
        <v>125</v>
      </c>
      <c r="C116" s="552"/>
      <c r="D116" s="552"/>
      <c r="E116" s="552"/>
      <c r="F116" s="552"/>
      <c r="G116" s="552"/>
      <c r="H116" s="552"/>
      <c r="I116" s="552"/>
      <c r="J116" s="552"/>
      <c r="K116" s="552"/>
      <c r="L116" s="552"/>
      <c r="M116" s="552"/>
      <c r="N116" s="552"/>
    </row>
    <row r="117" spans="1:14" s="113" customFormat="1" ht="13.5" customHeight="1" x14ac:dyDescent="0.25">
      <c r="A117" s="275" t="s">
        <v>1642</v>
      </c>
      <c r="B117" s="426" t="s">
        <v>127</v>
      </c>
      <c r="C117" s="553"/>
      <c r="D117" s="553"/>
      <c r="E117" s="553"/>
      <c r="F117" s="553"/>
      <c r="G117" s="553"/>
      <c r="H117" s="279" t="str">
        <f>VLOOKUP(B117,AA_Unitarios,'10'!$H$7,FALSE)</f>
        <v>UND</v>
      </c>
      <c r="I117" s="280">
        <f>+VLOOKUP(B117,'01'!$C$60:$N$96,8,FALSE)</f>
        <v>3</v>
      </c>
      <c r="J117" s="996">
        <f>+'11'!$L$972</f>
        <v>0.25</v>
      </c>
      <c r="K117" s="486"/>
      <c r="L117" s="291">
        <v>1</v>
      </c>
      <c r="M117" s="996">
        <f t="shared" ref="M117" si="77">+I117*(J117/L117)</f>
        <v>0.75</v>
      </c>
      <c r="N117" s="486"/>
    </row>
    <row r="118" spans="1:14" s="113" customFormat="1" ht="13.5" customHeight="1" x14ac:dyDescent="0.25">
      <c r="A118" s="275" t="s">
        <v>1643</v>
      </c>
      <c r="B118" s="426" t="s">
        <v>129</v>
      </c>
      <c r="C118" s="553"/>
      <c r="D118" s="553"/>
      <c r="E118" s="553"/>
      <c r="F118" s="553"/>
      <c r="G118" s="553"/>
      <c r="H118" s="279" t="str">
        <f>VLOOKUP(B118,AA_Unitarios,'10'!$H$7,FALSE)</f>
        <v>UND</v>
      </c>
      <c r="I118" s="280">
        <f>+VLOOKUP(B118,'01'!$C$60:$N$96,8,FALSE)</f>
        <v>1</v>
      </c>
      <c r="J118" s="996">
        <f>+'11'!$L$844</f>
        <v>0.3</v>
      </c>
      <c r="K118" s="486"/>
      <c r="L118" s="291">
        <v>1</v>
      </c>
      <c r="M118" s="996">
        <f t="shared" ref="M118:M130" si="78">+I118*(J118/L118)</f>
        <v>0.3</v>
      </c>
      <c r="N118" s="486"/>
    </row>
    <row r="119" spans="1:14" s="113" customFormat="1" ht="13.5" customHeight="1" x14ac:dyDescent="0.25">
      <c r="A119" s="275" t="s">
        <v>1644</v>
      </c>
      <c r="B119" s="426" t="s">
        <v>131</v>
      </c>
      <c r="C119" s="553"/>
      <c r="D119" s="553"/>
      <c r="E119" s="553"/>
      <c r="F119" s="553"/>
      <c r="G119" s="553"/>
      <c r="H119" s="279" t="str">
        <f>VLOOKUP(B119,AA_Unitarios,'10'!$H$7,FALSE)</f>
        <v>UND</v>
      </c>
      <c r="I119" s="280">
        <f>+VLOOKUP(B119,'01'!$C$60:$N$96,8,FALSE)</f>
        <v>3</v>
      </c>
      <c r="J119" s="996">
        <f>+'11'!$L$1058</f>
        <v>0.25</v>
      </c>
      <c r="K119" s="486"/>
      <c r="L119" s="291">
        <v>1</v>
      </c>
      <c r="M119" s="996">
        <f t="shared" si="78"/>
        <v>0.75</v>
      </c>
      <c r="N119" s="486"/>
    </row>
    <row r="120" spans="1:14" s="113" customFormat="1" ht="13.5" customHeight="1" x14ac:dyDescent="0.25">
      <c r="A120" s="275" t="s">
        <v>1645</v>
      </c>
      <c r="B120" s="426" t="s">
        <v>78</v>
      </c>
      <c r="C120" s="553"/>
      <c r="D120" s="553"/>
      <c r="E120" s="553"/>
      <c r="F120" s="553"/>
      <c r="G120" s="553"/>
      <c r="H120" s="279" t="str">
        <f>VLOOKUP(B120,AA_Unitarios,'10'!$H$7,FALSE)</f>
        <v>UND</v>
      </c>
      <c r="I120" s="280">
        <f>+VLOOKUP(B120,'01'!$C$60:$N$96,8,FALSE)</f>
        <v>1</v>
      </c>
      <c r="J120" s="996">
        <f>+'11'!$L$1142</f>
        <v>0.25</v>
      </c>
      <c r="K120" s="486"/>
      <c r="L120" s="291">
        <v>1</v>
      </c>
      <c r="M120" s="996">
        <f t="shared" si="78"/>
        <v>0.25</v>
      </c>
      <c r="N120" s="486"/>
    </row>
    <row r="121" spans="1:14" s="113" customFormat="1" ht="13.5" customHeight="1" x14ac:dyDescent="0.25">
      <c r="A121" s="275" t="s">
        <v>1646</v>
      </c>
      <c r="B121" s="426" t="s">
        <v>134</v>
      </c>
      <c r="C121" s="553"/>
      <c r="D121" s="553"/>
      <c r="E121" s="553"/>
      <c r="F121" s="553"/>
      <c r="G121" s="553"/>
      <c r="H121" s="279" t="str">
        <f>VLOOKUP(B121,AA_Unitarios,'10'!$H$7,FALSE)</f>
        <v>UND</v>
      </c>
      <c r="I121" s="280">
        <f>+VLOOKUP(B121,'01'!$C$60:$N$96,8,FALSE)</f>
        <v>3</v>
      </c>
      <c r="J121" s="996">
        <f>+'11'!$L$670</f>
        <v>0.25</v>
      </c>
      <c r="K121" s="486"/>
      <c r="L121" s="291">
        <v>1</v>
      </c>
      <c r="M121" s="996">
        <f t="shared" si="78"/>
        <v>0.75</v>
      </c>
      <c r="N121" s="486"/>
    </row>
    <row r="122" spans="1:14" s="113" customFormat="1" ht="13.5" customHeight="1" x14ac:dyDescent="0.25">
      <c r="A122" s="275" t="s">
        <v>1647</v>
      </c>
      <c r="B122" s="426" t="s">
        <v>136</v>
      </c>
      <c r="C122" s="553"/>
      <c r="D122" s="553"/>
      <c r="E122" s="553"/>
      <c r="F122" s="553"/>
      <c r="G122" s="553"/>
      <c r="H122" s="279" t="str">
        <f>VLOOKUP(B122,AA_Unitarios,'10'!$H$7,FALSE)</f>
        <v>UND</v>
      </c>
      <c r="I122" s="280">
        <f>+VLOOKUP(B122,'01'!$C$60:$N$96,8,FALSE)</f>
        <v>2</v>
      </c>
      <c r="J122" s="996">
        <f>+'11'!$L$1100</f>
        <v>0.25</v>
      </c>
      <c r="K122" s="486"/>
      <c r="L122" s="291">
        <v>1</v>
      </c>
      <c r="M122" s="996">
        <f t="shared" si="78"/>
        <v>0.5</v>
      </c>
      <c r="N122" s="486"/>
    </row>
    <row r="123" spans="1:14" s="113" customFormat="1" ht="13.5" customHeight="1" x14ac:dyDescent="0.25">
      <c r="A123" s="275" t="s">
        <v>1648</v>
      </c>
      <c r="B123" s="426" t="s">
        <v>86</v>
      </c>
      <c r="C123" s="553"/>
      <c r="D123" s="553"/>
      <c r="E123" s="553"/>
      <c r="F123" s="553"/>
      <c r="G123" s="553"/>
      <c r="H123" s="279" t="str">
        <f>VLOOKUP(B123,AA_Unitarios,'10'!$H$7,FALSE)</f>
        <v>UND</v>
      </c>
      <c r="I123" s="280">
        <f>+VLOOKUP(B123,'01'!$C$60:$N$96,8,FALSE)</f>
        <v>9</v>
      </c>
      <c r="J123" s="996">
        <f>+'11'!$L$1016</f>
        <v>0.25</v>
      </c>
      <c r="K123" s="486"/>
      <c r="L123" s="291">
        <v>1</v>
      </c>
      <c r="M123" s="996">
        <f t="shared" si="78"/>
        <v>2.25</v>
      </c>
      <c r="N123" s="486"/>
    </row>
    <row r="124" spans="1:14" s="113" customFormat="1" ht="13.5" customHeight="1" x14ac:dyDescent="0.25">
      <c r="A124" s="275" t="s">
        <v>1649</v>
      </c>
      <c r="B124" s="426" t="s">
        <v>139</v>
      </c>
      <c r="C124" s="553"/>
      <c r="D124" s="553"/>
      <c r="E124" s="553"/>
      <c r="F124" s="553"/>
      <c r="G124" s="553"/>
      <c r="H124" s="279" t="str">
        <f>VLOOKUP(B124,AA_Unitarios,'10'!$H$7,FALSE)</f>
        <v>UND</v>
      </c>
      <c r="I124" s="280">
        <f>+VLOOKUP(B124,'01'!$C$60:$N$96,8,FALSE)</f>
        <v>1</v>
      </c>
      <c r="J124" s="996">
        <f>+'11'!$L$756</f>
        <v>0.3</v>
      </c>
      <c r="K124" s="486"/>
      <c r="L124" s="291">
        <v>1</v>
      </c>
      <c r="M124" s="996">
        <f t="shared" si="78"/>
        <v>0.3</v>
      </c>
      <c r="N124" s="486"/>
    </row>
    <row r="125" spans="1:14" s="113" customFormat="1" ht="13.5" customHeight="1" x14ac:dyDescent="0.25">
      <c r="A125" s="275" t="s">
        <v>1650</v>
      </c>
      <c r="B125" s="426" t="s">
        <v>141</v>
      </c>
      <c r="C125" s="553"/>
      <c r="D125" s="553"/>
      <c r="E125" s="553"/>
      <c r="F125" s="553"/>
      <c r="G125" s="553"/>
      <c r="H125" s="279" t="str">
        <f>VLOOKUP(B125,AA_Unitarios,'10'!$H$7,FALSE)</f>
        <v>UND</v>
      </c>
      <c r="I125" s="280">
        <f>+VLOOKUP(B125,'01'!$C$60:$N$96,8,FALSE)</f>
        <v>1</v>
      </c>
      <c r="J125" s="996">
        <f>+'11'!$L$2018</f>
        <v>0.3</v>
      </c>
      <c r="K125" s="486"/>
      <c r="L125" s="291">
        <v>1</v>
      </c>
      <c r="M125" s="996">
        <f t="shared" si="78"/>
        <v>0.3</v>
      </c>
      <c r="N125" s="486"/>
    </row>
    <row r="126" spans="1:14" s="113" customFormat="1" ht="13.5" customHeight="1" x14ac:dyDescent="0.25">
      <c r="A126" s="275" t="s">
        <v>1651</v>
      </c>
      <c r="B126" s="426" t="s">
        <v>143</v>
      </c>
      <c r="C126" s="553"/>
      <c r="D126" s="553"/>
      <c r="E126" s="553"/>
      <c r="F126" s="553"/>
      <c r="G126" s="553"/>
      <c r="H126" s="279" t="str">
        <f>VLOOKUP(B126,AA_Unitarios,'10'!$H$7,FALSE)</f>
        <v>UND</v>
      </c>
      <c r="I126" s="280">
        <f>+VLOOKUP(B126,'01'!$C$60:$N$96,8,FALSE)</f>
        <v>1</v>
      </c>
      <c r="J126" s="996">
        <f>+'11'!$L$800</f>
        <v>0.3</v>
      </c>
      <c r="K126" s="486"/>
      <c r="L126" s="291">
        <v>1</v>
      </c>
      <c r="M126" s="996">
        <f t="shared" si="78"/>
        <v>0.3</v>
      </c>
      <c r="N126" s="486"/>
    </row>
    <row r="127" spans="1:14" s="113" customFormat="1" ht="13.5" customHeight="1" x14ac:dyDescent="0.25">
      <c r="A127" s="275" t="s">
        <v>1652</v>
      </c>
      <c r="B127" s="426" t="s">
        <v>145</v>
      </c>
      <c r="C127" s="553"/>
      <c r="D127" s="553"/>
      <c r="E127" s="553"/>
      <c r="F127" s="553"/>
      <c r="G127" s="553"/>
      <c r="H127" s="279" t="str">
        <f>VLOOKUP(B127,AA_Unitarios,'10'!$H$7,FALSE)</f>
        <v>UND</v>
      </c>
      <c r="I127" s="280">
        <f>+VLOOKUP(B127,'01'!$C$60:$N$96,8,FALSE)</f>
        <v>5</v>
      </c>
      <c r="J127" s="996">
        <f>+'11'!$L$1186</f>
        <v>0.2</v>
      </c>
      <c r="K127" s="486"/>
      <c r="L127" s="291">
        <v>1</v>
      </c>
      <c r="M127" s="996">
        <f t="shared" si="78"/>
        <v>1</v>
      </c>
      <c r="N127" s="486"/>
    </row>
    <row r="128" spans="1:14" s="113" customFormat="1" ht="13.5" customHeight="1" x14ac:dyDescent="0.25">
      <c r="A128" s="275" t="s">
        <v>1653</v>
      </c>
      <c r="B128" s="426" t="s">
        <v>77</v>
      </c>
      <c r="C128" s="553"/>
      <c r="D128" s="553"/>
      <c r="E128" s="553"/>
      <c r="F128" s="553"/>
      <c r="G128" s="553"/>
      <c r="H128" s="279" t="str">
        <f>VLOOKUP(B128,AA_Unitarios,'10'!$H$7,FALSE)</f>
        <v>UND</v>
      </c>
      <c r="I128" s="280">
        <f>+VLOOKUP(B128,'01'!$C$60:$N$96,8,FALSE)</f>
        <v>66</v>
      </c>
      <c r="J128" s="996">
        <f>+'11'!$L$628</f>
        <v>0.05</v>
      </c>
      <c r="K128" s="486"/>
      <c r="L128" s="291">
        <v>2</v>
      </c>
      <c r="M128" s="996">
        <f t="shared" si="78"/>
        <v>1.6500000000000001</v>
      </c>
      <c r="N128" s="486"/>
    </row>
    <row r="129" spans="1:19" s="113" customFormat="1" ht="13.5" customHeight="1" x14ac:dyDescent="0.25">
      <c r="A129" s="275" t="s">
        <v>1654</v>
      </c>
      <c r="B129" s="426" t="s">
        <v>153</v>
      </c>
      <c r="C129" s="553"/>
      <c r="D129" s="553"/>
      <c r="E129" s="553"/>
      <c r="F129" s="553"/>
      <c r="G129" s="553"/>
      <c r="H129" s="279" t="str">
        <f>VLOOKUP(B129,AA_Unitarios,'10'!$H$7,FALSE)</f>
        <v>UND</v>
      </c>
      <c r="I129" s="280">
        <f>+VLOOKUP(B129,'01'!$C$60:$N$96,8,FALSE)</f>
        <v>4</v>
      </c>
      <c r="J129" s="996">
        <f>+'11'!$L$1233</f>
        <v>0.6</v>
      </c>
      <c r="K129" s="486"/>
      <c r="L129" s="291">
        <v>1</v>
      </c>
      <c r="M129" s="996">
        <f t="shared" si="78"/>
        <v>2.4</v>
      </c>
      <c r="N129" s="486"/>
    </row>
    <row r="130" spans="1:19" s="113" customFormat="1" ht="13.5" customHeight="1" x14ac:dyDescent="0.25">
      <c r="A130" s="275" t="s">
        <v>1655</v>
      </c>
      <c r="B130" s="426" t="s">
        <v>155</v>
      </c>
      <c r="C130" s="1000"/>
      <c r="D130" s="1000"/>
      <c r="E130" s="1000"/>
      <c r="F130" s="1000"/>
      <c r="G130" s="1000"/>
      <c r="H130" s="279" t="str">
        <f>VLOOKUP(B130,AA_Unitarios,'10'!$H$7,FALSE)</f>
        <v>UND</v>
      </c>
      <c r="I130" s="280">
        <f>+VLOOKUP(B130,'01'!$C$60:$N$96,8,FALSE)</f>
        <v>2</v>
      </c>
      <c r="J130" s="996">
        <f>+'11'!$L$1758</f>
        <v>1.4</v>
      </c>
      <c r="K130" s="486"/>
      <c r="L130" s="291">
        <v>1</v>
      </c>
      <c r="M130" s="996">
        <f t="shared" si="78"/>
        <v>2.8</v>
      </c>
      <c r="N130" s="486"/>
    </row>
    <row r="131" spans="1:19" s="113" customFormat="1" ht="13.5" customHeight="1" x14ac:dyDescent="0.25">
      <c r="A131" s="287"/>
      <c r="B131" s="281"/>
      <c r="C131" s="282"/>
      <c r="D131" s="282"/>
      <c r="E131" s="282"/>
      <c r="F131" s="282"/>
      <c r="G131" s="282"/>
      <c r="H131" s="283"/>
      <c r="I131" s="284"/>
      <c r="J131" s="288"/>
      <c r="K131" s="257"/>
      <c r="L131" s="261"/>
      <c r="M131" s="288"/>
      <c r="N131" s="288"/>
    </row>
    <row r="132" spans="1:19" ht="12.75" customHeight="1" x14ac:dyDescent="0.25">
      <c r="A132" s="984" t="str">
        <f>+'01'!H98</f>
        <v xml:space="preserve">D - LAVADO </v>
      </c>
      <c r="B132" s="498"/>
      <c r="C132" s="498"/>
      <c r="D132" s="498"/>
      <c r="E132" s="498"/>
      <c r="F132" s="498"/>
      <c r="G132" s="498"/>
      <c r="H132" s="498"/>
      <c r="I132" s="498"/>
      <c r="J132" s="498"/>
      <c r="K132" s="498"/>
      <c r="L132" s="498"/>
      <c r="M132" s="498"/>
      <c r="N132" s="499"/>
      <c r="O132" s="988">
        <f>+SUM(M136:M148)</f>
        <v>14.30977540534748</v>
      </c>
      <c r="P132" s="988" t="s">
        <v>1880</v>
      </c>
      <c r="Q132" s="285"/>
    </row>
    <row r="133" spans="1:19" ht="12.75" customHeight="1" x14ac:dyDescent="0.25">
      <c r="A133" s="503"/>
      <c r="B133" s="504"/>
      <c r="C133" s="504"/>
      <c r="D133" s="504"/>
      <c r="E133" s="504"/>
      <c r="F133" s="504"/>
      <c r="G133" s="504"/>
      <c r="H133" s="504"/>
      <c r="I133" s="504"/>
      <c r="J133" s="504"/>
      <c r="K133" s="504"/>
      <c r="L133" s="504"/>
      <c r="M133" s="504"/>
      <c r="N133" s="505"/>
      <c r="O133" s="981"/>
      <c r="P133" s="981"/>
    </row>
    <row r="134" spans="1:19" ht="12.75" customHeight="1" x14ac:dyDescent="0.25">
      <c r="A134" s="999" t="s">
        <v>726</v>
      </c>
      <c r="B134" s="986"/>
      <c r="C134" s="986"/>
      <c r="D134" s="986"/>
      <c r="E134" s="986"/>
      <c r="F134" s="986"/>
      <c r="G134" s="987"/>
      <c r="H134" s="277" t="s">
        <v>40</v>
      </c>
      <c r="I134" s="277" t="s">
        <v>184</v>
      </c>
      <c r="J134" s="494" t="s">
        <v>727</v>
      </c>
      <c r="K134" s="987"/>
      <c r="L134" s="278" t="s">
        <v>582</v>
      </c>
      <c r="M134" s="999" t="s">
        <v>728</v>
      </c>
      <c r="N134" s="987"/>
      <c r="O134" s="285"/>
      <c r="P134" s="285"/>
      <c r="Q134" s="285"/>
    </row>
    <row r="135" spans="1:19" s="113" customFormat="1" ht="13.5" customHeight="1" x14ac:dyDescent="0.25">
      <c r="A135" s="274" t="s">
        <v>97</v>
      </c>
      <c r="B135" s="552" t="s">
        <v>45</v>
      </c>
      <c r="C135" s="552"/>
      <c r="D135" s="552"/>
      <c r="E135" s="552"/>
      <c r="F135" s="552"/>
      <c r="G135" s="552"/>
      <c r="H135" s="552"/>
      <c r="I135" s="552"/>
      <c r="J135" s="552"/>
      <c r="K135" s="552"/>
      <c r="L135" s="552"/>
      <c r="M135" s="552"/>
      <c r="N135" s="552"/>
      <c r="O135" s="265"/>
      <c r="P135" s="132"/>
      <c r="Q135" s="132"/>
      <c r="R135" s="132"/>
      <c r="S135" s="132"/>
    </row>
    <row r="136" spans="1:19" s="113" customFormat="1" ht="13.5" customHeight="1" x14ac:dyDescent="0.25">
      <c r="A136" s="275" t="s">
        <v>98</v>
      </c>
      <c r="B136" s="426" t="s">
        <v>1102</v>
      </c>
      <c r="C136" s="553"/>
      <c r="D136" s="553"/>
      <c r="E136" s="553"/>
      <c r="F136" s="553"/>
      <c r="G136" s="553"/>
      <c r="H136" s="279" t="str">
        <f>VLOOKUP(B136,AA_Unitarios,'10'!$H$7,FALSE)</f>
        <v>M</v>
      </c>
      <c r="I136" s="280">
        <f>+VLOOKUP(B136,'01'!$C$100:$N$113,8,FALSE)</f>
        <v>83.73</v>
      </c>
      <c r="J136" s="989">
        <f>+VLOOKUP(B136,B49:N130,9,FALSE)</f>
        <v>3.7599999999999999E-3</v>
      </c>
      <c r="K136" s="990"/>
      <c r="L136" s="291">
        <v>1</v>
      </c>
      <c r="M136" s="996">
        <f t="shared" ref="M136" si="79">+I136*(J136/L136)</f>
        <v>0.31482480000000002</v>
      </c>
      <c r="N136" s="486"/>
      <c r="O136" s="265"/>
    </row>
    <row r="137" spans="1:19" s="113" customFormat="1" ht="13.5" customHeight="1" x14ac:dyDescent="0.25">
      <c r="A137" s="274" t="s">
        <v>99</v>
      </c>
      <c r="B137" s="552" t="s">
        <v>49</v>
      </c>
      <c r="C137" s="552"/>
      <c r="D137" s="552"/>
      <c r="E137" s="552"/>
      <c r="F137" s="552"/>
      <c r="G137" s="552"/>
      <c r="H137" s="552"/>
      <c r="I137" s="552"/>
      <c r="J137" s="552"/>
      <c r="K137" s="552"/>
      <c r="L137" s="552"/>
      <c r="M137" s="552"/>
      <c r="N137" s="552"/>
      <c r="O137" s="265"/>
    </row>
    <row r="138" spans="1:19" s="113" customFormat="1" ht="13.5" customHeight="1" x14ac:dyDescent="0.25">
      <c r="A138" s="275" t="s">
        <v>100</v>
      </c>
      <c r="B138" s="426" t="s">
        <v>87</v>
      </c>
      <c r="C138" s="553"/>
      <c r="D138" s="553"/>
      <c r="E138" s="553"/>
      <c r="F138" s="553"/>
      <c r="G138" s="553"/>
      <c r="H138" s="279" t="str">
        <f>VLOOKUP(B138,AA_Unitarios,'10'!$H$7,FALSE)</f>
        <v>M3</v>
      </c>
      <c r="I138" s="280">
        <f>+VLOOKUP(B138,'01'!$C$100:$N$113,8,FALSE)</f>
        <v>101.55</v>
      </c>
      <c r="J138" s="989">
        <f>+VLOOKUP(B138,B51:N131,9,FALSE)</f>
        <v>0.31085149274304863</v>
      </c>
      <c r="K138" s="990"/>
      <c r="L138" s="291">
        <v>4</v>
      </c>
      <c r="M138" s="996">
        <f t="shared" ref="M138" si="80">+I138*(J138/L138)</f>
        <v>7.891742272014147</v>
      </c>
      <c r="N138" s="486"/>
      <c r="O138" s="265"/>
    </row>
    <row r="139" spans="1:19" s="113" customFormat="1" ht="13.5" customHeight="1" x14ac:dyDescent="0.25">
      <c r="A139" s="274" t="s">
        <v>106</v>
      </c>
      <c r="B139" s="552" t="s">
        <v>53</v>
      </c>
      <c r="C139" s="552"/>
      <c r="D139" s="552"/>
      <c r="E139" s="552"/>
      <c r="F139" s="552"/>
      <c r="G139" s="552"/>
      <c r="H139" s="552"/>
      <c r="I139" s="552"/>
      <c r="J139" s="552"/>
      <c r="K139" s="552"/>
      <c r="L139" s="552"/>
      <c r="M139" s="552"/>
      <c r="N139" s="552"/>
      <c r="O139" s="265"/>
    </row>
    <row r="140" spans="1:19" s="113" customFormat="1" ht="13.5" customHeight="1" x14ac:dyDescent="0.25">
      <c r="A140" s="275" t="s">
        <v>107</v>
      </c>
      <c r="B140" s="426" t="s">
        <v>89</v>
      </c>
      <c r="C140" s="553"/>
      <c r="D140" s="553"/>
      <c r="E140" s="553"/>
      <c r="F140" s="553"/>
      <c r="G140" s="553"/>
      <c r="H140" s="279" t="str">
        <f>VLOOKUP(B140,AA_Unitarios,'10'!$H$7,FALSE)</f>
        <v>M3</v>
      </c>
      <c r="I140" s="280">
        <f>+VLOOKUP(B140,'01'!$C$100:$N$113,8,FALSE)</f>
        <v>8.81</v>
      </c>
      <c r="J140" s="989">
        <f>+VLOOKUP(B140,B53:N131,9,FALSE)</f>
        <v>6.6666666666666666E-2</v>
      </c>
      <c r="K140" s="990"/>
      <c r="L140" s="291">
        <v>1</v>
      </c>
      <c r="M140" s="996">
        <f t="shared" ref="M140" si="81">+I140*(J140/L140)</f>
        <v>0.58733333333333337</v>
      </c>
      <c r="N140" s="486"/>
      <c r="O140" s="265"/>
    </row>
    <row r="141" spans="1:19" s="113" customFormat="1" ht="13.5" customHeight="1" x14ac:dyDescent="0.25">
      <c r="A141" s="275" t="s">
        <v>108</v>
      </c>
      <c r="B141" s="426" t="s">
        <v>56</v>
      </c>
      <c r="C141" s="553"/>
      <c r="D141" s="553"/>
      <c r="E141" s="553"/>
      <c r="F141" s="553"/>
      <c r="G141" s="553"/>
      <c r="H141" s="279" t="str">
        <f>VLOOKUP(B141,AA_Unitarios,'10'!$H$7,FALSE)</f>
        <v>M3</v>
      </c>
      <c r="I141" s="280">
        <f>+VLOOKUP(B141,'01'!$C$100:$N$113,8,FALSE)</f>
        <v>92.73</v>
      </c>
      <c r="J141" s="989">
        <f>+VLOOKUP(B141,B54:N131,9,FALSE)</f>
        <v>9.0909090909090912E-2</v>
      </c>
      <c r="K141" s="990"/>
      <c r="L141" s="291">
        <v>3</v>
      </c>
      <c r="M141" s="996">
        <f t="shared" ref="M141" si="82">+I141*(J141/L141)</f>
        <v>2.81</v>
      </c>
      <c r="N141" s="486"/>
      <c r="O141" s="265"/>
    </row>
    <row r="142" spans="1:19" s="113" customFormat="1" ht="13.5" customHeight="1" x14ac:dyDescent="0.25">
      <c r="A142" s="274" t="s">
        <v>111</v>
      </c>
      <c r="B142" s="552" t="s">
        <v>1104</v>
      </c>
      <c r="C142" s="552"/>
      <c r="D142" s="552"/>
      <c r="E142" s="552"/>
      <c r="F142" s="552"/>
      <c r="G142" s="552"/>
      <c r="H142" s="552"/>
      <c r="I142" s="552"/>
      <c r="J142" s="552"/>
      <c r="K142" s="552"/>
      <c r="L142" s="552"/>
      <c r="M142" s="552"/>
      <c r="N142" s="552"/>
      <c r="O142" s="265"/>
    </row>
    <row r="143" spans="1:19" s="113" customFormat="1" ht="13.5" customHeight="1" x14ac:dyDescent="0.25">
      <c r="A143" s="275" t="s">
        <v>113</v>
      </c>
      <c r="B143" s="426" t="s">
        <v>90</v>
      </c>
      <c r="C143" s="553"/>
      <c r="D143" s="553"/>
      <c r="E143" s="553"/>
      <c r="F143" s="553"/>
      <c r="G143" s="553"/>
      <c r="H143" s="279" t="str">
        <f>VLOOKUP(B143,AA_Unitarios,'10'!$H$7,FALSE)</f>
        <v>M3-KM</v>
      </c>
      <c r="I143" s="280">
        <f>+VLOOKUP(B143,'01'!$C$100:$N$113,8,FALSE)</f>
        <v>57.3</v>
      </c>
      <c r="J143" s="989">
        <f>+VLOOKUP(B143,B56:N131,9,FALSE)</f>
        <v>2.0833333333333333E-3</v>
      </c>
      <c r="K143" s="990"/>
      <c r="L143" s="291">
        <v>1</v>
      </c>
      <c r="M143" s="996">
        <f t="shared" ref="M143" si="83">+I143*(J143/L143)</f>
        <v>0.119375</v>
      </c>
      <c r="N143" s="486"/>
      <c r="O143" s="265"/>
    </row>
    <row r="144" spans="1:19" s="113" customFormat="1" ht="13.5" customHeight="1" x14ac:dyDescent="0.25">
      <c r="A144" s="275" t="s">
        <v>114</v>
      </c>
      <c r="B144" s="426" t="s">
        <v>92</v>
      </c>
      <c r="C144" s="553"/>
      <c r="D144" s="553"/>
      <c r="E144" s="553"/>
      <c r="F144" s="553"/>
      <c r="G144" s="553"/>
      <c r="H144" s="279" t="str">
        <f>VLOOKUP(B144,AA_Unitarios,'10'!$H$7,FALSE)</f>
        <v>M3</v>
      </c>
      <c r="I144" s="280">
        <f>+VLOOKUP(B144,'01'!$C$100:$N$113,8,FALSE)</f>
        <v>11.46</v>
      </c>
      <c r="J144" s="989">
        <f>+VLOOKUP(B144,B57:N131,9,FALSE)</f>
        <v>1.2500000000000001E-2</v>
      </c>
      <c r="K144" s="990"/>
      <c r="L144" s="291">
        <v>1</v>
      </c>
      <c r="M144" s="996">
        <f t="shared" ref="M144" si="84">+I144*(J144/L144)</f>
        <v>0.14325000000000002</v>
      </c>
      <c r="N144" s="486"/>
      <c r="O144" s="265"/>
    </row>
    <row r="145" spans="1:17" s="113" customFormat="1" ht="13.5" customHeight="1" x14ac:dyDescent="0.25">
      <c r="A145" s="274" t="s">
        <v>121</v>
      </c>
      <c r="B145" s="552" t="s">
        <v>72</v>
      </c>
      <c r="C145" s="552"/>
      <c r="D145" s="552"/>
      <c r="E145" s="552"/>
      <c r="F145" s="552"/>
      <c r="G145" s="552"/>
      <c r="H145" s="552"/>
      <c r="I145" s="552"/>
      <c r="J145" s="552"/>
      <c r="K145" s="552"/>
      <c r="L145" s="552"/>
      <c r="M145" s="552"/>
      <c r="N145" s="552"/>
      <c r="O145" s="265"/>
    </row>
    <row r="146" spans="1:17" s="113" customFormat="1" ht="13.5" customHeight="1" x14ac:dyDescent="0.25">
      <c r="A146" s="275" t="s">
        <v>122</v>
      </c>
      <c r="B146" s="426" t="s">
        <v>154</v>
      </c>
      <c r="C146" s="553"/>
      <c r="D146" s="553"/>
      <c r="E146" s="553"/>
      <c r="F146" s="553"/>
      <c r="G146" s="553"/>
      <c r="H146" s="279" t="str">
        <f>VLOOKUP(B146,AA_Unitarios,'10'!$H$7,FALSE)</f>
        <v>UND</v>
      </c>
      <c r="I146" s="280">
        <f>+VLOOKUP(B146,'01'!$C$100:$N$113,8,FALSE)</f>
        <v>1</v>
      </c>
      <c r="J146" s="989">
        <f>+'11'!$L$1668</f>
        <v>0.35</v>
      </c>
      <c r="K146" s="990"/>
      <c r="L146" s="291">
        <v>1</v>
      </c>
      <c r="M146" s="996">
        <f t="shared" ref="M146" si="85">+I146*(J146/L146)</f>
        <v>0.35</v>
      </c>
      <c r="N146" s="486"/>
      <c r="O146" s="265"/>
    </row>
    <row r="147" spans="1:17" s="113" customFormat="1" ht="13.5" customHeight="1" x14ac:dyDescent="0.25">
      <c r="A147" s="274" t="s">
        <v>124</v>
      </c>
      <c r="B147" s="552" t="s">
        <v>79</v>
      </c>
      <c r="C147" s="552"/>
      <c r="D147" s="552"/>
      <c r="E147" s="552"/>
      <c r="F147" s="552"/>
      <c r="G147" s="552"/>
      <c r="H147" s="552"/>
      <c r="I147" s="552"/>
      <c r="J147" s="552"/>
      <c r="K147" s="552"/>
      <c r="L147" s="552"/>
      <c r="M147" s="552"/>
      <c r="N147" s="552"/>
      <c r="O147" s="261"/>
    </row>
    <row r="148" spans="1:17" s="113" customFormat="1" ht="13.5" customHeight="1" x14ac:dyDescent="0.25">
      <c r="A148" s="275" t="s">
        <v>126</v>
      </c>
      <c r="B148" s="426" t="s">
        <v>1584</v>
      </c>
      <c r="C148" s="553"/>
      <c r="D148" s="553"/>
      <c r="E148" s="553"/>
      <c r="F148" s="553"/>
      <c r="G148" s="553"/>
      <c r="H148" s="279" t="str">
        <f>VLOOKUP(B148,AA_Unitarios,'10'!$H$7,FALSE)</f>
        <v>ML</v>
      </c>
      <c r="I148" s="280">
        <f>+VLOOKUP(B148,'01'!$C$100:$N$113,8,FALSE)</f>
        <v>83.73</v>
      </c>
      <c r="J148" s="989">
        <f>+'11'!$L$1710</f>
        <v>2.5000000000000001E-2</v>
      </c>
      <c r="K148" s="990"/>
      <c r="L148" s="291">
        <v>1</v>
      </c>
      <c r="M148" s="996">
        <f t="shared" ref="M148" si="86">+I148*(J148/L148)</f>
        <v>2.0932500000000003</v>
      </c>
      <c r="N148" s="486"/>
      <c r="O148" s="265"/>
    </row>
    <row r="149" spans="1:17" s="113" customFormat="1" ht="13.5" customHeight="1" x14ac:dyDescent="0.25">
      <c r="A149" s="287"/>
      <c r="B149" s="281"/>
      <c r="C149" s="257"/>
      <c r="D149" s="257"/>
      <c r="E149" s="257"/>
      <c r="F149" s="257"/>
      <c r="G149" s="257"/>
      <c r="H149" s="283"/>
      <c r="I149" s="284"/>
      <c r="J149" s="306"/>
      <c r="K149" s="292"/>
      <c r="L149" s="293"/>
      <c r="M149" s="294"/>
      <c r="N149" s="258"/>
      <c r="O149" s="265"/>
    </row>
    <row r="150" spans="1:17" s="113" customFormat="1" ht="13.5" customHeight="1" x14ac:dyDescent="0.25">
      <c r="A150" s="984" t="str">
        <f>+'01'!H115</f>
        <v>E - CERRAMIENTO</v>
      </c>
      <c r="B150" s="498"/>
      <c r="C150" s="498"/>
      <c r="D150" s="498"/>
      <c r="E150" s="498"/>
      <c r="F150" s="498"/>
      <c r="G150" s="498"/>
      <c r="H150" s="498"/>
      <c r="I150" s="498"/>
      <c r="J150" s="498"/>
      <c r="K150" s="498"/>
      <c r="L150" s="498"/>
      <c r="M150" s="498"/>
      <c r="N150" s="499"/>
      <c r="O150" s="988">
        <f>+SUM(M154:M156)</f>
        <v>6</v>
      </c>
      <c r="P150" s="988" t="s">
        <v>1880</v>
      </c>
    </row>
    <row r="151" spans="1:17" s="113" customFormat="1" ht="13.5" customHeight="1" x14ac:dyDescent="0.25">
      <c r="A151" s="503"/>
      <c r="B151" s="504"/>
      <c r="C151" s="504"/>
      <c r="D151" s="504"/>
      <c r="E151" s="504"/>
      <c r="F151" s="504"/>
      <c r="G151" s="504"/>
      <c r="H151" s="504"/>
      <c r="I151" s="504"/>
      <c r="J151" s="504"/>
      <c r="K151" s="504"/>
      <c r="L151" s="504"/>
      <c r="M151" s="504"/>
      <c r="N151" s="505"/>
      <c r="O151" s="981"/>
      <c r="P151" s="981"/>
    </row>
    <row r="152" spans="1:17" s="113" customFormat="1" ht="13.5" customHeight="1" x14ac:dyDescent="0.25">
      <c r="A152" s="999" t="s">
        <v>726</v>
      </c>
      <c r="B152" s="986"/>
      <c r="C152" s="986"/>
      <c r="D152" s="986"/>
      <c r="E152" s="986"/>
      <c r="F152" s="986"/>
      <c r="G152" s="987"/>
      <c r="H152" s="277" t="s">
        <v>40</v>
      </c>
      <c r="I152" s="277" t="s">
        <v>184</v>
      </c>
      <c r="J152" s="494" t="s">
        <v>727</v>
      </c>
      <c r="K152" s="987"/>
      <c r="L152" s="276" t="s">
        <v>582</v>
      </c>
      <c r="M152" s="999" t="s">
        <v>728</v>
      </c>
      <c r="N152" s="987"/>
      <c r="O152" s="285"/>
      <c r="P152" s="285"/>
    </row>
    <row r="153" spans="1:17" ht="12.75" customHeight="1" x14ac:dyDescent="0.25">
      <c r="A153" s="1001" t="s">
        <v>125</v>
      </c>
      <c r="B153" s="1002"/>
      <c r="C153" s="1002"/>
      <c r="D153" s="1002"/>
      <c r="E153" s="1002"/>
      <c r="F153" s="1002"/>
      <c r="G153" s="1002"/>
      <c r="H153" s="1002"/>
      <c r="I153" s="1002"/>
      <c r="J153" s="1002"/>
      <c r="K153" s="1002"/>
      <c r="L153" s="1002"/>
      <c r="M153" s="1002"/>
      <c r="N153" s="1003"/>
      <c r="O153" s="285"/>
    </row>
    <row r="154" spans="1:17" ht="12.75" customHeight="1" x14ac:dyDescent="0.25">
      <c r="A154" s="956" t="s">
        <v>148</v>
      </c>
      <c r="B154" s="485"/>
      <c r="C154" s="485"/>
      <c r="D154" s="485"/>
      <c r="E154" s="485"/>
      <c r="F154" s="485"/>
      <c r="G154" s="486"/>
      <c r="H154" s="289" t="str">
        <f>VLOOKUP(A154,AA_Unitarios,'10'!$H$7,FALSE)</f>
        <v>ML</v>
      </c>
      <c r="I154" s="290">
        <f>+VLOOKUP(A154,'01'!$C$117:$N$120,8,FALSE)</f>
        <v>150</v>
      </c>
      <c r="J154" s="996">
        <f>+'11'!$L$460</f>
        <v>0.3</v>
      </c>
      <c r="K154" s="486"/>
      <c r="L154" s="291">
        <v>9</v>
      </c>
      <c r="M154" s="996">
        <f t="shared" ref="M154:M156" si="87">+I154*(J154/L154)</f>
        <v>5</v>
      </c>
      <c r="N154" s="486"/>
      <c r="O154" s="285"/>
    </row>
    <row r="155" spans="1:17" ht="12.75" customHeight="1" x14ac:dyDescent="0.25">
      <c r="A155" s="956" t="s">
        <v>150</v>
      </c>
      <c r="B155" s="485"/>
      <c r="C155" s="485"/>
      <c r="D155" s="485"/>
      <c r="E155" s="485"/>
      <c r="F155" s="485"/>
      <c r="G155" s="486"/>
      <c r="H155" s="289" t="str">
        <f>VLOOKUP(A155,AA_Unitarios,'10'!$H$7,FALSE)</f>
        <v>UND</v>
      </c>
      <c r="I155" s="290">
        <f>+VLOOKUP(A155,'01'!$C$117:$N$120,8,FALSE)</f>
        <v>1</v>
      </c>
      <c r="J155" s="996">
        <f>+'11'!$L$1625</f>
        <v>0.4</v>
      </c>
      <c r="K155" s="486"/>
      <c r="L155" s="291">
        <v>1</v>
      </c>
      <c r="M155" s="996">
        <f t="shared" si="87"/>
        <v>0.4</v>
      </c>
      <c r="N155" s="486"/>
      <c r="O155" s="285"/>
    </row>
    <row r="156" spans="1:17" ht="12.75" customHeight="1" x14ac:dyDescent="0.25">
      <c r="A156" s="956" t="s">
        <v>152</v>
      </c>
      <c r="B156" s="485"/>
      <c r="C156" s="485"/>
      <c r="D156" s="485"/>
      <c r="E156" s="485"/>
      <c r="F156" s="485"/>
      <c r="G156" s="486"/>
      <c r="H156" s="289" t="str">
        <f>VLOOKUP(A156,AA_Unitarios,'10'!$H$7,FALSE)</f>
        <v>UND</v>
      </c>
      <c r="I156" s="290">
        <f>+VLOOKUP(A156,'01'!$C$117:$N$120,8,FALSE)</f>
        <v>1</v>
      </c>
      <c r="J156" s="996">
        <f>+'11'!$L$1233</f>
        <v>0.6</v>
      </c>
      <c r="K156" s="486"/>
      <c r="L156" s="291">
        <v>1</v>
      </c>
      <c r="M156" s="996">
        <f t="shared" si="87"/>
        <v>0.6</v>
      </c>
      <c r="N156" s="486"/>
      <c r="O156" s="285"/>
    </row>
    <row r="157" spans="1:17" ht="12.75" customHeight="1" x14ac:dyDescent="0.25">
      <c r="A157" s="285"/>
      <c r="B157" s="285"/>
      <c r="C157" s="285"/>
      <c r="D157" s="285"/>
      <c r="E157" s="285"/>
      <c r="F157" s="285"/>
      <c r="G157" s="285"/>
      <c r="H157" s="285"/>
      <c r="I157" s="285"/>
      <c r="J157" s="285"/>
      <c r="K157" s="285"/>
      <c r="L157" s="285"/>
      <c r="M157" s="285"/>
      <c r="N157" s="285"/>
      <c r="O157" s="285"/>
    </row>
    <row r="158" spans="1:17" ht="12.75" customHeight="1" x14ac:dyDescent="0.25">
      <c r="A158" s="984" t="str">
        <f>+'01'!H122</f>
        <v>F - RED EXPRESA FASE I - TIGRE</v>
      </c>
      <c r="B158" s="498"/>
      <c r="C158" s="498"/>
      <c r="D158" s="498"/>
      <c r="E158" s="498"/>
      <c r="F158" s="498"/>
      <c r="G158" s="498"/>
      <c r="H158" s="498"/>
      <c r="I158" s="498"/>
      <c r="J158" s="498"/>
      <c r="K158" s="498"/>
      <c r="L158" s="498"/>
      <c r="M158" s="498"/>
      <c r="N158" s="499"/>
      <c r="O158" s="988">
        <f>+SUM(M162:N186)</f>
        <v>155.26361721955351</v>
      </c>
      <c r="P158" s="988" t="s">
        <v>1880</v>
      </c>
      <c r="Q158" s="285"/>
    </row>
    <row r="159" spans="1:17" ht="12.75" customHeight="1" x14ac:dyDescent="0.25">
      <c r="A159" s="503"/>
      <c r="B159" s="504"/>
      <c r="C159" s="504"/>
      <c r="D159" s="504"/>
      <c r="E159" s="504"/>
      <c r="F159" s="504"/>
      <c r="G159" s="504"/>
      <c r="H159" s="504"/>
      <c r="I159" s="504"/>
      <c r="J159" s="504"/>
      <c r="K159" s="504"/>
      <c r="L159" s="504"/>
      <c r="M159" s="504"/>
      <c r="N159" s="505"/>
      <c r="O159" s="981"/>
      <c r="P159" s="981"/>
    </row>
    <row r="160" spans="1:17" ht="12.75" customHeight="1" x14ac:dyDescent="0.25">
      <c r="A160" s="999" t="s">
        <v>726</v>
      </c>
      <c r="B160" s="986"/>
      <c r="C160" s="986"/>
      <c r="D160" s="986"/>
      <c r="E160" s="986"/>
      <c r="F160" s="986"/>
      <c r="G160" s="987"/>
      <c r="H160" s="277" t="s">
        <v>40</v>
      </c>
      <c r="I160" s="277" t="s">
        <v>184</v>
      </c>
      <c r="J160" s="494" t="s">
        <v>727</v>
      </c>
      <c r="K160" s="987"/>
      <c r="L160" s="278" t="s">
        <v>582</v>
      </c>
      <c r="M160" s="999" t="s">
        <v>728</v>
      </c>
      <c r="N160" s="987"/>
      <c r="O160" s="285"/>
      <c r="P160" s="285"/>
      <c r="Q160" s="285"/>
    </row>
    <row r="161" spans="1:19" s="113" customFormat="1" ht="13.5" customHeight="1" x14ac:dyDescent="0.25">
      <c r="A161" s="274" t="s">
        <v>1658</v>
      </c>
      <c r="B161" s="552" t="s">
        <v>45</v>
      </c>
      <c r="C161" s="552"/>
      <c r="D161" s="552"/>
      <c r="E161" s="552"/>
      <c r="F161" s="552"/>
      <c r="G161" s="552"/>
      <c r="H161" s="552"/>
      <c r="I161" s="552"/>
      <c r="J161" s="552"/>
      <c r="K161" s="552"/>
      <c r="L161" s="552"/>
      <c r="M161" s="552"/>
      <c r="N161" s="552"/>
      <c r="O161" s="265"/>
      <c r="P161" s="132"/>
      <c r="Q161" s="132"/>
      <c r="R161" s="132"/>
      <c r="S161" s="132"/>
    </row>
    <row r="162" spans="1:19" s="113" customFormat="1" ht="13.5" customHeight="1" x14ac:dyDescent="0.25">
      <c r="A162" s="275" t="s">
        <v>1659</v>
      </c>
      <c r="B162" s="426" t="s">
        <v>1102</v>
      </c>
      <c r="C162" s="553"/>
      <c r="D162" s="553"/>
      <c r="E162" s="553"/>
      <c r="F162" s="553"/>
      <c r="G162" s="553"/>
      <c r="H162" s="279" t="str">
        <f>VLOOKUP(B162,AA_Unitarios,'10'!$H$7,FALSE)</f>
        <v>M</v>
      </c>
      <c r="I162" s="280">
        <f>+VLOOKUP(B162,'01'!$C$124:$N$149,8,FALSE)</f>
        <v>5565.13</v>
      </c>
      <c r="J162" s="996">
        <f>+VLOOKUP(B162,$B$49:$N$156,9,FALSE)</f>
        <v>3.7599999999999999E-3</v>
      </c>
      <c r="K162" s="486"/>
      <c r="L162" s="291">
        <v>5</v>
      </c>
      <c r="M162" s="996">
        <f t="shared" ref="M162" si="88">+I162*(J162/L162)</f>
        <v>4.1849777599999998</v>
      </c>
      <c r="N162" s="486"/>
      <c r="O162" s="265"/>
      <c r="P162" s="132"/>
    </row>
    <row r="163" spans="1:19" s="113" customFormat="1" ht="13.5" customHeight="1" x14ac:dyDescent="0.25">
      <c r="A163" s="274" t="s">
        <v>1660</v>
      </c>
      <c r="B163" s="552" t="s">
        <v>49</v>
      </c>
      <c r="C163" s="552"/>
      <c r="D163" s="552"/>
      <c r="E163" s="552"/>
      <c r="F163" s="552"/>
      <c r="G163" s="552"/>
      <c r="H163" s="552"/>
      <c r="I163" s="552"/>
      <c r="J163" s="552"/>
      <c r="K163" s="552"/>
      <c r="L163" s="552"/>
      <c r="M163" s="552"/>
      <c r="N163" s="552"/>
      <c r="O163" s="265"/>
      <c r="P163" s="132"/>
    </row>
    <row r="164" spans="1:19" s="113" customFormat="1" ht="13.5" customHeight="1" x14ac:dyDescent="0.25">
      <c r="A164" s="275" t="s">
        <v>1661</v>
      </c>
      <c r="B164" s="426" t="s">
        <v>1530</v>
      </c>
      <c r="C164" s="553"/>
      <c r="D164" s="553"/>
      <c r="E164" s="553"/>
      <c r="F164" s="553"/>
      <c r="G164" s="553"/>
      <c r="H164" s="279" t="str">
        <f>VLOOKUP(B164,AA_Unitarios,'10'!$H$7,FALSE)</f>
        <v>M</v>
      </c>
      <c r="I164" s="280">
        <f>+VLOOKUP(B164,'01'!$C$124:$N$149,8,FALSE)</f>
        <v>6618.52</v>
      </c>
      <c r="J164" s="996">
        <f>+'11'!$K$2146</f>
        <v>0.1</v>
      </c>
      <c r="K164" s="486"/>
      <c r="L164" s="291">
        <v>10</v>
      </c>
      <c r="M164" s="996">
        <f t="shared" ref="M164" si="89">+I164*(J164/L164)</f>
        <v>66.185200000000009</v>
      </c>
      <c r="N164" s="486"/>
      <c r="O164" s="265"/>
    </row>
    <row r="165" spans="1:19" s="113" customFormat="1" ht="13.5" customHeight="1" x14ac:dyDescent="0.25">
      <c r="A165" s="275" t="s">
        <v>1678</v>
      </c>
      <c r="B165" s="426" t="s">
        <v>1531</v>
      </c>
      <c r="C165" s="553"/>
      <c r="D165" s="553"/>
      <c r="E165" s="553"/>
      <c r="F165" s="553"/>
      <c r="G165" s="553"/>
      <c r="H165" s="279" t="str">
        <f>VLOOKUP(B165,AA_Unitarios,'10'!$H$7,FALSE)</f>
        <v>M3</v>
      </c>
      <c r="I165" s="280">
        <f>+VLOOKUP(B165,'01'!$C$124:$N$149,8,FALSE)</f>
        <v>372.29</v>
      </c>
      <c r="J165" s="996">
        <f>+'11'!$L$2204</f>
        <v>0.14285714285714285</v>
      </c>
      <c r="K165" s="486"/>
      <c r="L165" s="291">
        <v>10</v>
      </c>
      <c r="M165" s="996">
        <f t="shared" ref="M165" si="90">+I165*(J165/L165)</f>
        <v>5.3184285714285719</v>
      </c>
      <c r="N165" s="486"/>
      <c r="O165" s="265"/>
    </row>
    <row r="166" spans="1:19" s="113" customFormat="1" ht="13.5" customHeight="1" x14ac:dyDescent="0.25">
      <c r="A166" s="275" t="s">
        <v>1662</v>
      </c>
      <c r="B166" s="426" t="s">
        <v>87</v>
      </c>
      <c r="C166" s="553"/>
      <c r="D166" s="553"/>
      <c r="E166" s="553"/>
      <c r="F166" s="553"/>
      <c r="G166" s="553"/>
      <c r="H166" s="279" t="str">
        <f>VLOOKUP(B166,AA_Unitarios,'10'!$H$7,FALSE)</f>
        <v>M3</v>
      </c>
      <c r="I166" s="280">
        <f>+VLOOKUP(B166,'01'!$C$124:$N$149,8,FALSE)</f>
        <v>261.37</v>
      </c>
      <c r="J166" s="996">
        <f>+VLOOKUP(B166,$B$49:$N$156,9,FALSE)</f>
        <v>0.31085149274304863</v>
      </c>
      <c r="K166" s="486"/>
      <c r="L166" s="291">
        <v>10</v>
      </c>
      <c r="M166" s="996">
        <f t="shared" ref="M166" si="91">+I166*(J166/L166)</f>
        <v>8.1247254658250618</v>
      </c>
      <c r="N166" s="486"/>
      <c r="O166" s="265"/>
    </row>
    <row r="167" spans="1:19" s="113" customFormat="1" ht="13.5" customHeight="1" x14ac:dyDescent="0.25">
      <c r="A167" s="275" t="s">
        <v>1679</v>
      </c>
      <c r="B167" s="426" t="s">
        <v>88</v>
      </c>
      <c r="C167" s="553"/>
      <c r="D167" s="553"/>
      <c r="E167" s="553"/>
      <c r="F167" s="553"/>
      <c r="G167" s="553"/>
      <c r="H167" s="279" t="str">
        <f>VLOOKUP(B167,AA_Unitarios,'10'!$H$7,FALSE)</f>
        <v>M3</v>
      </c>
      <c r="I167" s="280">
        <f>+VLOOKUP(B167,'01'!$C$124:$N$149,8,FALSE)</f>
        <v>4965.96</v>
      </c>
      <c r="J167" s="996">
        <f>+VLOOKUP(B167,$B$49:$N$156,9,FALSE)</f>
        <v>9.6153846153846159E-3</v>
      </c>
      <c r="K167" s="486"/>
      <c r="L167" s="291">
        <v>10</v>
      </c>
      <c r="M167" s="996">
        <f t="shared" ref="M167" si="92">+I167*(J167/L167)</f>
        <v>4.7749615384615387</v>
      </c>
      <c r="N167" s="486"/>
      <c r="O167" s="265"/>
    </row>
    <row r="168" spans="1:19" s="113" customFormat="1" ht="13.5" customHeight="1" x14ac:dyDescent="0.25">
      <c r="A168" s="274" t="s">
        <v>1663</v>
      </c>
      <c r="B168" s="552" t="s">
        <v>53</v>
      </c>
      <c r="C168" s="552"/>
      <c r="D168" s="552"/>
      <c r="E168" s="552"/>
      <c r="F168" s="552"/>
      <c r="G168" s="552"/>
      <c r="H168" s="552"/>
      <c r="I168" s="552"/>
      <c r="J168" s="552"/>
      <c r="K168" s="552"/>
      <c r="L168" s="552"/>
      <c r="M168" s="552"/>
      <c r="N168" s="552"/>
      <c r="O168" s="265"/>
    </row>
    <row r="169" spans="1:19" s="113" customFormat="1" ht="13.5" customHeight="1" x14ac:dyDescent="0.25">
      <c r="A169" s="275" t="s">
        <v>1664</v>
      </c>
      <c r="B169" s="426" t="s">
        <v>89</v>
      </c>
      <c r="C169" s="553"/>
      <c r="D169" s="553"/>
      <c r="E169" s="553"/>
      <c r="F169" s="553"/>
      <c r="G169" s="553"/>
      <c r="H169" s="279" t="str">
        <f>VLOOKUP(B169,AA_Unitarios,'10'!$H$7,FALSE)</f>
        <v>M3</v>
      </c>
      <c r="I169" s="280">
        <f>+VLOOKUP(B169,'01'!$C$124:$N$149,8,FALSE)</f>
        <v>417.38</v>
      </c>
      <c r="J169" s="996">
        <f>+VLOOKUP(B169,$B$49:$N$156,9,FALSE)</f>
        <v>6.6666666666666666E-2</v>
      </c>
      <c r="K169" s="486"/>
      <c r="L169" s="291">
        <v>10</v>
      </c>
      <c r="M169" s="996">
        <f t="shared" ref="M169" si="93">+I169*(J169/L169)</f>
        <v>2.7825333333333333</v>
      </c>
      <c r="N169" s="486"/>
      <c r="O169" s="265"/>
    </row>
    <row r="170" spans="1:19" s="113" customFormat="1" ht="13.5" customHeight="1" x14ac:dyDescent="0.25">
      <c r="A170" s="275" t="s">
        <v>1665</v>
      </c>
      <c r="B170" s="426" t="s">
        <v>55</v>
      </c>
      <c r="C170" s="553"/>
      <c r="D170" s="553"/>
      <c r="E170" s="553"/>
      <c r="F170" s="553"/>
      <c r="G170" s="553"/>
      <c r="H170" s="279" t="str">
        <f>VLOOKUP(B170,AA_Unitarios,'10'!$H$7,FALSE)</f>
        <v>M3</v>
      </c>
      <c r="I170" s="280">
        <f>+VLOOKUP(B170,'01'!$C$124:$N$149,8,FALSE)</f>
        <v>1003.96</v>
      </c>
      <c r="J170" s="996">
        <f>+VLOOKUP(B170,$B$49:$N$156,9,FALSE)</f>
        <v>3.3333333333333333E-2</v>
      </c>
      <c r="K170" s="486"/>
      <c r="L170" s="291">
        <v>10</v>
      </c>
      <c r="M170" s="996">
        <f t="shared" ref="M170" si="94">+I170*(J170/L170)</f>
        <v>3.3465333333333334</v>
      </c>
      <c r="N170" s="486"/>
      <c r="O170" s="265"/>
    </row>
    <row r="171" spans="1:19" s="113" customFormat="1" ht="13.5" customHeight="1" x14ac:dyDescent="0.25">
      <c r="A171" s="275" t="s">
        <v>1666</v>
      </c>
      <c r="B171" s="426" t="s">
        <v>56</v>
      </c>
      <c r="C171" s="553"/>
      <c r="D171" s="553"/>
      <c r="E171" s="553"/>
      <c r="F171" s="553"/>
      <c r="G171" s="553"/>
      <c r="H171" s="279" t="str">
        <f>VLOOKUP(B171,AA_Unitarios,'10'!$H$7,FALSE)</f>
        <v>M3</v>
      </c>
      <c r="I171" s="280">
        <f>+VLOOKUP(B171,'01'!$C$124:$N$149,8,FALSE)</f>
        <v>3433.69</v>
      </c>
      <c r="J171" s="996">
        <f>+VLOOKUP(B171,$B$49:$N$156,9,FALSE)</f>
        <v>9.0909090909090912E-2</v>
      </c>
      <c r="K171" s="486"/>
      <c r="L171" s="291">
        <v>10</v>
      </c>
      <c r="M171" s="996">
        <f t="shared" ref="M171" si="95">+I171*(J171/L171)</f>
        <v>31.215363636363634</v>
      </c>
      <c r="N171" s="486"/>
      <c r="O171" s="265"/>
    </row>
    <row r="172" spans="1:19" s="113" customFormat="1" ht="13.5" customHeight="1" x14ac:dyDescent="0.25">
      <c r="A172" s="274" t="s">
        <v>1667</v>
      </c>
      <c r="B172" s="552" t="s">
        <v>58</v>
      </c>
      <c r="C172" s="552"/>
      <c r="D172" s="552"/>
      <c r="E172" s="552"/>
      <c r="F172" s="552"/>
      <c r="G172" s="552"/>
      <c r="H172" s="552"/>
      <c r="I172" s="552"/>
      <c r="J172" s="552"/>
      <c r="K172" s="552"/>
      <c r="L172" s="552"/>
      <c r="M172" s="552"/>
      <c r="N172" s="552"/>
      <c r="O172" s="265"/>
    </row>
    <row r="173" spans="1:19" s="113" customFormat="1" ht="13.5" customHeight="1" x14ac:dyDescent="0.25">
      <c r="A173" s="275" t="s">
        <v>1668</v>
      </c>
      <c r="B173" s="426" t="s">
        <v>84</v>
      </c>
      <c r="C173" s="553"/>
      <c r="D173" s="553"/>
      <c r="E173" s="553"/>
      <c r="F173" s="553"/>
      <c r="G173" s="553"/>
      <c r="H173" s="279" t="str">
        <f>VLOOKUP(B173,AA_Unitarios,'10'!$H$7,FALSE)</f>
        <v>M3</v>
      </c>
      <c r="I173" s="280">
        <f>+VLOOKUP(B173,'01'!$C$124:$N$149,8,FALSE)</f>
        <v>4.2699999999999996</v>
      </c>
      <c r="J173" s="996">
        <f>+VLOOKUP(B173,$B$49:$N$156,9,FALSE)</f>
        <v>0.18181818181818182</v>
      </c>
      <c r="K173" s="486"/>
      <c r="L173" s="291">
        <v>1</v>
      </c>
      <c r="M173" s="996">
        <f t="shared" ref="M173" si="96">+I173*(J173/L173)</f>
        <v>0.77636363636363626</v>
      </c>
      <c r="N173" s="486"/>
      <c r="O173" s="265"/>
    </row>
    <row r="174" spans="1:19" s="113" customFormat="1" ht="13.5" customHeight="1" x14ac:dyDescent="0.25">
      <c r="A174" s="275" t="s">
        <v>1669</v>
      </c>
      <c r="B174" s="426" t="s">
        <v>66</v>
      </c>
      <c r="C174" s="553"/>
      <c r="D174" s="553"/>
      <c r="E174" s="553"/>
      <c r="F174" s="553"/>
      <c r="G174" s="553"/>
      <c r="H174" s="279" t="str">
        <f>VLOOKUP(B174,AA_Unitarios,'10'!$H$7,FALSE)</f>
        <v>KG</v>
      </c>
      <c r="I174" s="280">
        <f>+VLOOKUP(B174,'01'!$C$124:$N$149,8,FALSE)</f>
        <v>370.99</v>
      </c>
      <c r="J174" s="996">
        <f>+VLOOKUP(B174,$B$49:$N$156,9,FALSE)</f>
        <v>4.0000000000000001E-3</v>
      </c>
      <c r="K174" s="486"/>
      <c r="L174" s="291">
        <v>1</v>
      </c>
      <c r="M174" s="996">
        <f t="shared" ref="M174" si="97">+I174*(J174/L174)</f>
        <v>1.4839600000000002</v>
      </c>
      <c r="N174" s="486"/>
      <c r="O174" s="265"/>
    </row>
    <row r="175" spans="1:19" s="113" customFormat="1" ht="13.5" customHeight="1" x14ac:dyDescent="0.25">
      <c r="A175" s="275" t="s">
        <v>1670</v>
      </c>
      <c r="B175" s="426" t="s">
        <v>1577</v>
      </c>
      <c r="C175" s="553"/>
      <c r="D175" s="553"/>
      <c r="E175" s="553"/>
      <c r="F175" s="553"/>
      <c r="G175" s="553"/>
      <c r="H175" s="279" t="str">
        <f>VLOOKUP(B175,AA_Unitarios,'10'!$H$7,FALSE)</f>
        <v>M3</v>
      </c>
      <c r="I175" s="280">
        <f>+VLOOKUP(B175,'01'!$C$124:$N$149,8,FALSE)</f>
        <v>372.29</v>
      </c>
      <c r="J175" s="996">
        <f>+'11'!$K$2230</f>
        <v>6.6666666666666666E-2</v>
      </c>
      <c r="K175" s="486"/>
      <c r="L175" s="291">
        <v>5</v>
      </c>
      <c r="M175" s="996">
        <f t="shared" ref="M175" si="98">+I175*(J175/L175)</f>
        <v>4.9638666666666662</v>
      </c>
      <c r="N175" s="486"/>
      <c r="O175" s="265"/>
    </row>
    <row r="176" spans="1:19" s="113" customFormat="1" ht="13.5" customHeight="1" x14ac:dyDescent="0.25">
      <c r="A176" s="274" t="s">
        <v>1671</v>
      </c>
      <c r="B176" s="552" t="s">
        <v>68</v>
      </c>
      <c r="C176" s="552"/>
      <c r="D176" s="552"/>
      <c r="E176" s="552"/>
      <c r="F176" s="552"/>
      <c r="G176" s="552"/>
      <c r="H176" s="552"/>
      <c r="I176" s="552"/>
      <c r="J176" s="552"/>
      <c r="K176" s="552"/>
      <c r="L176" s="552"/>
      <c r="M176" s="552"/>
      <c r="N176" s="552"/>
      <c r="O176" s="265"/>
    </row>
    <row r="177" spans="1:19" s="113" customFormat="1" ht="13.5" customHeight="1" x14ac:dyDescent="0.25">
      <c r="A177" s="275" t="s">
        <v>1672</v>
      </c>
      <c r="B177" s="426" t="s">
        <v>90</v>
      </c>
      <c r="C177" s="553"/>
      <c r="D177" s="553"/>
      <c r="E177" s="553"/>
      <c r="F177" s="553"/>
      <c r="G177" s="553"/>
      <c r="H177" s="279" t="str">
        <f>VLOOKUP(B177,AA_Unitarios,'10'!$H$7,FALSE)</f>
        <v>M3-KM</v>
      </c>
      <c r="I177" s="280">
        <f>+VLOOKUP(B177,'01'!$C$124:$N$149,8,FALSE)</f>
        <v>11658.65</v>
      </c>
      <c r="J177" s="996">
        <f>+VLOOKUP(B177,$B$49:$N$156,9,FALSE)</f>
        <v>2.0833333333333333E-3</v>
      </c>
      <c r="K177" s="486"/>
      <c r="L177" s="291">
        <v>15</v>
      </c>
      <c r="M177" s="996">
        <f t="shared" ref="M177" si="99">+I177*(J177/L177)</f>
        <v>1.6192569444444445</v>
      </c>
      <c r="N177" s="486"/>
      <c r="O177" s="265"/>
    </row>
    <row r="178" spans="1:19" s="113" customFormat="1" ht="13.5" customHeight="1" x14ac:dyDescent="0.25">
      <c r="A178" s="275" t="s">
        <v>1673</v>
      </c>
      <c r="B178" s="426" t="s">
        <v>92</v>
      </c>
      <c r="C178" s="553"/>
      <c r="D178" s="553"/>
      <c r="E178" s="553"/>
      <c r="F178" s="553"/>
      <c r="G178" s="553"/>
      <c r="H178" s="279" t="str">
        <f>VLOOKUP(B178,AA_Unitarios,'10'!$H$7,FALSE)</f>
        <v>M3</v>
      </c>
      <c r="I178" s="280">
        <f>+VLOOKUP(B178,'01'!$C$124:$N$149,8,FALSE)</f>
        <v>2331.73</v>
      </c>
      <c r="J178" s="996">
        <f>+VLOOKUP(B178,$B$49:$N$156,9,FALSE)</f>
        <v>1.2500000000000001E-2</v>
      </c>
      <c r="K178" s="486"/>
      <c r="L178" s="291">
        <v>15</v>
      </c>
      <c r="M178" s="996">
        <f t="shared" ref="M178" si="100">+I178*(J178/L178)</f>
        <v>1.9431083333333334</v>
      </c>
      <c r="N178" s="486"/>
      <c r="O178" s="265"/>
    </row>
    <row r="179" spans="1:19" s="113" customFormat="1" ht="13.5" customHeight="1" x14ac:dyDescent="0.25">
      <c r="A179" s="274" t="s">
        <v>1674</v>
      </c>
      <c r="B179" s="552" t="s">
        <v>157</v>
      </c>
      <c r="C179" s="552"/>
      <c r="D179" s="552"/>
      <c r="E179" s="552"/>
      <c r="F179" s="552"/>
      <c r="G179" s="552"/>
      <c r="H179" s="552"/>
      <c r="I179" s="552"/>
      <c r="J179" s="552"/>
      <c r="K179" s="552"/>
      <c r="L179" s="552"/>
      <c r="M179" s="552"/>
      <c r="N179" s="552"/>
      <c r="O179" s="261"/>
    </row>
    <row r="180" spans="1:19" s="113" customFormat="1" ht="13.5" customHeight="1" x14ac:dyDescent="0.25">
      <c r="A180" s="275" t="s">
        <v>1675</v>
      </c>
      <c r="B180" s="426" t="s">
        <v>96</v>
      </c>
      <c r="C180" s="553"/>
      <c r="D180" s="553"/>
      <c r="E180" s="553"/>
      <c r="F180" s="553"/>
      <c r="G180" s="553"/>
      <c r="H180" s="279" t="str">
        <f>VLOOKUP(B180,AA_Unitarios,'10'!$H$7,FALSE)</f>
        <v>UND</v>
      </c>
      <c r="I180" s="280">
        <f>+VLOOKUP(B180,'01'!$C$124:$N$149,8,FALSE)</f>
        <v>3</v>
      </c>
      <c r="J180" s="996">
        <f>+'11'!$L$2079</f>
        <v>0.5</v>
      </c>
      <c r="K180" s="486"/>
      <c r="L180" s="291">
        <v>1</v>
      </c>
      <c r="M180" s="996">
        <f t="shared" ref="M180" si="101">+I180*(J180/L180)</f>
        <v>1.5</v>
      </c>
      <c r="N180" s="486"/>
      <c r="O180" s="265"/>
    </row>
    <row r="181" spans="1:19" s="113" customFormat="1" ht="13.5" customHeight="1" x14ac:dyDescent="0.25">
      <c r="A181" s="275" t="s">
        <v>1680</v>
      </c>
      <c r="B181" s="426" t="s">
        <v>93</v>
      </c>
      <c r="C181" s="553"/>
      <c r="D181" s="553"/>
      <c r="E181" s="553"/>
      <c r="F181" s="553"/>
      <c r="G181" s="553"/>
      <c r="H181" s="279" t="str">
        <f>VLOOKUP(B181,AA_Unitarios,'10'!$H$7,FALSE)</f>
        <v>UND</v>
      </c>
      <c r="I181" s="280">
        <f>+VLOOKUP(B181,'01'!$C$124:$N$149,8,FALSE)</f>
        <v>33</v>
      </c>
      <c r="J181" s="996">
        <f>+'11'!$L$1802</f>
        <v>0.05</v>
      </c>
      <c r="K181" s="486"/>
      <c r="L181" s="291">
        <v>2</v>
      </c>
      <c r="M181" s="996">
        <f t="shared" ref="M181" si="102">+I181*(J181/L181)</f>
        <v>0.82500000000000007</v>
      </c>
      <c r="N181" s="486"/>
      <c r="O181" s="265"/>
    </row>
    <row r="182" spans="1:19" s="113" customFormat="1" ht="13.5" customHeight="1" x14ac:dyDescent="0.25">
      <c r="A182" s="275" t="s">
        <v>1681</v>
      </c>
      <c r="B182" s="426" t="s">
        <v>94</v>
      </c>
      <c r="C182" s="553"/>
      <c r="D182" s="553"/>
      <c r="E182" s="553"/>
      <c r="F182" s="553"/>
      <c r="G182" s="553"/>
      <c r="H182" s="279" t="str">
        <f>VLOOKUP(B182,AA_Unitarios,'10'!$H$7,FALSE)</f>
        <v>UND</v>
      </c>
      <c r="I182" s="280">
        <f>+VLOOKUP(B182,'01'!$C$124:$N$149,8,FALSE)</f>
        <v>20</v>
      </c>
      <c r="J182" s="996">
        <f>+'11'!$L$1846</f>
        <v>0.05</v>
      </c>
      <c r="K182" s="486"/>
      <c r="L182" s="291">
        <v>1</v>
      </c>
      <c r="M182" s="996">
        <f t="shared" ref="M182" si="103">+I182*(J182/L182)</f>
        <v>1</v>
      </c>
      <c r="N182" s="486"/>
      <c r="O182" s="265"/>
    </row>
    <row r="183" spans="1:19" s="113" customFormat="1" ht="13.5" customHeight="1" x14ac:dyDescent="0.25">
      <c r="A183" s="275" t="s">
        <v>1682</v>
      </c>
      <c r="B183" s="426" t="s">
        <v>85</v>
      </c>
      <c r="C183" s="553"/>
      <c r="D183" s="553"/>
      <c r="E183" s="553"/>
      <c r="F183" s="553"/>
      <c r="G183" s="553"/>
      <c r="H183" s="279" t="str">
        <f>VLOOKUP(B183,AA_Unitarios,'10'!$H$7,FALSE)</f>
        <v>UND</v>
      </c>
      <c r="I183" s="280">
        <f>+VLOOKUP(B183,'01'!$C$124:$N$149,8,FALSE)</f>
        <v>24</v>
      </c>
      <c r="J183" s="996">
        <f>+'11'!$L$1890</f>
        <v>0.05</v>
      </c>
      <c r="K183" s="486"/>
      <c r="L183" s="291">
        <v>2</v>
      </c>
      <c r="M183" s="996">
        <f t="shared" ref="M183" si="104">+I183*(J183/L183)</f>
        <v>0.60000000000000009</v>
      </c>
      <c r="N183" s="486"/>
      <c r="O183" s="265"/>
    </row>
    <row r="184" spans="1:19" s="113" customFormat="1" ht="13.5" customHeight="1" x14ac:dyDescent="0.25">
      <c r="A184" s="275" t="s">
        <v>1683</v>
      </c>
      <c r="B184" s="426" t="s">
        <v>95</v>
      </c>
      <c r="C184" s="553"/>
      <c r="D184" s="553"/>
      <c r="E184" s="553"/>
      <c r="F184" s="553"/>
      <c r="G184" s="553"/>
      <c r="H184" s="279" t="str">
        <f>VLOOKUP(B184,AA_Unitarios,'10'!$H$7,FALSE)</f>
        <v>UND</v>
      </c>
      <c r="I184" s="280">
        <f>+VLOOKUP(B184,'01'!$C$124:$N$149,8,FALSE)</f>
        <v>3</v>
      </c>
      <c r="J184" s="996">
        <f>+'11'!$L$1934</f>
        <v>0.05</v>
      </c>
      <c r="K184" s="486"/>
      <c r="L184" s="291">
        <v>1</v>
      </c>
      <c r="M184" s="996">
        <f t="shared" ref="M184" si="105">+I184*(J184/L184)</f>
        <v>0.15000000000000002</v>
      </c>
      <c r="N184" s="486"/>
      <c r="O184" s="265"/>
    </row>
    <row r="185" spans="1:19" s="113" customFormat="1" ht="13.5" customHeight="1" x14ac:dyDescent="0.25">
      <c r="A185" s="274" t="s">
        <v>1676</v>
      </c>
      <c r="B185" s="552" t="s">
        <v>79</v>
      </c>
      <c r="C185" s="552"/>
      <c r="D185" s="552"/>
      <c r="E185" s="552"/>
      <c r="F185" s="552"/>
      <c r="G185" s="552"/>
      <c r="H185" s="552"/>
      <c r="I185" s="552"/>
      <c r="J185" s="552"/>
      <c r="K185" s="552"/>
      <c r="L185" s="552"/>
      <c r="M185" s="552"/>
      <c r="N185" s="552"/>
      <c r="O185" s="261"/>
    </row>
    <row r="186" spans="1:19" s="113" customFormat="1" ht="13.15" customHeight="1" x14ac:dyDescent="0.25">
      <c r="A186" s="275" t="s">
        <v>1677</v>
      </c>
      <c r="B186" s="426" t="s">
        <v>1583</v>
      </c>
      <c r="C186" s="553"/>
      <c r="D186" s="553"/>
      <c r="E186" s="553"/>
      <c r="F186" s="553"/>
      <c r="G186" s="553"/>
      <c r="H186" s="279" t="str">
        <f>VLOOKUP(B186,AA_Unitarios,'10'!$H$7,FALSE)</f>
        <v>ML</v>
      </c>
      <c r="I186" s="280">
        <f>+VLOOKUP(B186,'01'!$C$124:$N$149,8,FALSE)</f>
        <v>5565.13</v>
      </c>
      <c r="J186" s="996">
        <f>+VLOOKUP(B186,$B$49:$N$156,9,FALSE)</f>
        <v>2.5999999999999999E-2</v>
      </c>
      <c r="K186" s="486"/>
      <c r="L186" s="291">
        <v>10</v>
      </c>
      <c r="M186" s="996">
        <f t="shared" ref="M186" si="106">+I186*(J186/L186)</f>
        <v>14.469338</v>
      </c>
      <c r="N186" s="486"/>
      <c r="O186" s="265"/>
    </row>
    <row r="187" spans="1:19" ht="12.75" customHeight="1" x14ac:dyDescent="0.25">
      <c r="B187" s="285"/>
      <c r="L187" s="285"/>
      <c r="N187" s="285"/>
      <c r="O187" s="285"/>
    </row>
    <row r="188" spans="1:19" ht="12.75" customHeight="1" x14ac:dyDescent="0.25">
      <c r="A188" s="984" t="str">
        <f>+'01'!H151</f>
        <v>G - EMPATE EL TIGRE</v>
      </c>
      <c r="B188" s="498"/>
      <c r="C188" s="498"/>
      <c r="D188" s="498"/>
      <c r="E188" s="498"/>
      <c r="F188" s="498"/>
      <c r="G188" s="498"/>
      <c r="H188" s="498"/>
      <c r="I188" s="498"/>
      <c r="J188" s="498"/>
      <c r="K188" s="498"/>
      <c r="L188" s="498"/>
      <c r="M188" s="498"/>
      <c r="N188" s="499"/>
      <c r="O188" s="988">
        <f>+SUM(M192:N207)</f>
        <v>2.9982439929225775</v>
      </c>
      <c r="P188" s="988" t="s">
        <v>1880</v>
      </c>
      <c r="Q188" s="285"/>
    </row>
    <row r="189" spans="1:19" ht="12.75" customHeight="1" x14ac:dyDescent="0.25">
      <c r="A189" s="503"/>
      <c r="B189" s="504"/>
      <c r="C189" s="504"/>
      <c r="D189" s="504"/>
      <c r="E189" s="504"/>
      <c r="F189" s="504"/>
      <c r="G189" s="504"/>
      <c r="H189" s="504"/>
      <c r="I189" s="504"/>
      <c r="J189" s="504"/>
      <c r="K189" s="504"/>
      <c r="L189" s="504"/>
      <c r="M189" s="504"/>
      <c r="N189" s="505"/>
      <c r="O189" s="981"/>
      <c r="P189" s="981"/>
    </row>
    <row r="190" spans="1:19" ht="12.75" customHeight="1" x14ac:dyDescent="0.25">
      <c r="A190" s="999" t="s">
        <v>726</v>
      </c>
      <c r="B190" s="986"/>
      <c r="C190" s="986"/>
      <c r="D190" s="986"/>
      <c r="E190" s="986"/>
      <c r="F190" s="986"/>
      <c r="G190" s="987"/>
      <c r="H190" s="277" t="s">
        <v>40</v>
      </c>
      <c r="I190" s="277" t="s">
        <v>184</v>
      </c>
      <c r="J190" s="494" t="s">
        <v>727</v>
      </c>
      <c r="K190" s="987"/>
      <c r="L190" s="278" t="s">
        <v>582</v>
      </c>
      <c r="M190" s="999" t="s">
        <v>728</v>
      </c>
      <c r="N190" s="987"/>
      <c r="O190" s="285"/>
      <c r="P190" s="285"/>
      <c r="Q190" s="285"/>
    </row>
    <row r="191" spans="1:19" s="113" customFormat="1" ht="13.5" customHeight="1" x14ac:dyDescent="0.25">
      <c r="A191" s="274" t="s">
        <v>1684</v>
      </c>
      <c r="B191" s="552" t="s">
        <v>45</v>
      </c>
      <c r="C191" s="552"/>
      <c r="D191" s="552"/>
      <c r="E191" s="552"/>
      <c r="F191" s="552"/>
      <c r="G191" s="552"/>
      <c r="H191" s="552"/>
      <c r="I191" s="552"/>
      <c r="J191" s="552"/>
      <c r="K191" s="552"/>
      <c r="L191" s="552"/>
      <c r="M191" s="552"/>
      <c r="N191" s="552"/>
      <c r="O191" s="265"/>
      <c r="P191" s="132"/>
      <c r="Q191" s="132"/>
      <c r="R191" s="132"/>
      <c r="S191" s="132"/>
    </row>
    <row r="192" spans="1:19" s="113" customFormat="1" ht="13.5" customHeight="1" x14ac:dyDescent="0.25">
      <c r="A192" s="275" t="s">
        <v>1685</v>
      </c>
      <c r="B192" s="426" t="s">
        <v>1102</v>
      </c>
      <c r="C192" s="553"/>
      <c r="D192" s="553"/>
      <c r="E192" s="553"/>
      <c r="F192" s="553"/>
      <c r="G192" s="553"/>
      <c r="H192" s="279" t="str">
        <f>VLOOKUP(B192,AA_Unitarios,'10'!$H$7,FALSE)</f>
        <v>M</v>
      </c>
      <c r="I192" s="280">
        <f>+VLOOKUP(B192,'01'!C153:N169,8,FALSE)</f>
        <v>5</v>
      </c>
      <c r="J192" s="989">
        <f>+VLOOKUP(B192,$B$49:$N$186,9,FALSE)</f>
        <v>3.7599999999999999E-3</v>
      </c>
      <c r="K192" s="990"/>
      <c r="L192" s="291">
        <v>1</v>
      </c>
      <c r="M192" s="996">
        <f t="shared" ref="M192" si="107">+I192*(J192/L192)</f>
        <v>1.8800000000000001E-2</v>
      </c>
      <c r="N192" s="486"/>
      <c r="O192" s="265"/>
      <c r="P192" s="132"/>
      <c r="Q192" s="132"/>
      <c r="R192" s="132"/>
      <c r="S192" s="132"/>
    </row>
    <row r="193" spans="1:19" s="113" customFormat="1" ht="13.5" customHeight="1" x14ac:dyDescent="0.25">
      <c r="A193" s="274" t="s">
        <v>1686</v>
      </c>
      <c r="B193" s="552" t="s">
        <v>49</v>
      </c>
      <c r="C193" s="552"/>
      <c r="D193" s="552"/>
      <c r="E193" s="552"/>
      <c r="F193" s="552"/>
      <c r="G193" s="552"/>
      <c r="H193" s="552"/>
      <c r="I193" s="552"/>
      <c r="J193" s="552"/>
      <c r="K193" s="552"/>
      <c r="L193" s="552"/>
      <c r="M193" s="552"/>
      <c r="N193" s="552"/>
      <c r="O193" s="265"/>
      <c r="P193" s="132"/>
      <c r="Q193" s="132"/>
      <c r="R193" s="132"/>
      <c r="S193" s="132"/>
    </row>
    <row r="194" spans="1:19" s="113" customFormat="1" ht="13.5" customHeight="1" x14ac:dyDescent="0.25">
      <c r="A194" s="275" t="s">
        <v>1699</v>
      </c>
      <c r="B194" s="426" t="s">
        <v>87</v>
      </c>
      <c r="C194" s="553"/>
      <c r="D194" s="553"/>
      <c r="E194" s="553"/>
      <c r="F194" s="553"/>
      <c r="G194" s="553"/>
      <c r="H194" s="279" t="str">
        <f>VLOOKUP(B194,AA_Unitarios,'10'!$H$7,FALSE)</f>
        <v>M3</v>
      </c>
      <c r="I194" s="280">
        <f>+VLOOKUP(B194,'01'!C155:N171,8,FALSE)</f>
        <v>0.3</v>
      </c>
      <c r="J194" s="989">
        <f>+VLOOKUP(B194,$B$49:$N$186,9,FALSE)</f>
        <v>0.31085149274304863</v>
      </c>
      <c r="K194" s="990"/>
      <c r="L194" s="291">
        <v>1</v>
      </c>
      <c r="M194" s="996">
        <f t="shared" ref="M194" si="108">+I194*(J194/L194)</f>
        <v>9.3255447822914589E-2</v>
      </c>
      <c r="N194" s="486"/>
      <c r="O194" s="265"/>
    </row>
    <row r="195" spans="1:19" s="113" customFormat="1" ht="13.5" customHeight="1" x14ac:dyDescent="0.25">
      <c r="A195" s="275" t="s">
        <v>1750</v>
      </c>
      <c r="B195" s="426" t="s">
        <v>88</v>
      </c>
      <c r="C195" s="553"/>
      <c r="D195" s="553"/>
      <c r="E195" s="553"/>
      <c r="F195" s="553"/>
      <c r="G195" s="553"/>
      <c r="H195" s="279" t="str">
        <f>VLOOKUP(B195,AA_Unitarios,'10'!$H$7,FALSE)</f>
        <v>M3</v>
      </c>
      <c r="I195" s="280">
        <f>+VLOOKUP(B195,'01'!C156:N172,8,FALSE)</f>
        <v>5.67</v>
      </c>
      <c r="J195" s="989">
        <f>+VLOOKUP(B195,$B$49:$N$186,9,FALSE)</f>
        <v>9.6153846153846159E-3</v>
      </c>
      <c r="K195" s="990"/>
      <c r="L195" s="291">
        <v>1</v>
      </c>
      <c r="M195" s="996">
        <f t="shared" ref="M195" si="109">+I195*(J195/L195)</f>
        <v>5.4519230769230771E-2</v>
      </c>
      <c r="N195" s="486"/>
      <c r="O195" s="265"/>
    </row>
    <row r="196" spans="1:19" s="113" customFormat="1" ht="13.5" customHeight="1" x14ac:dyDescent="0.25">
      <c r="A196" s="274" t="s">
        <v>1687</v>
      </c>
      <c r="B196" s="552" t="s">
        <v>53</v>
      </c>
      <c r="C196" s="552"/>
      <c r="D196" s="552"/>
      <c r="E196" s="552"/>
      <c r="F196" s="552"/>
      <c r="G196" s="552"/>
      <c r="H196" s="552"/>
      <c r="I196" s="552"/>
      <c r="J196" s="552"/>
      <c r="K196" s="552"/>
      <c r="L196" s="552"/>
      <c r="M196" s="552"/>
      <c r="N196" s="552"/>
      <c r="O196" s="265"/>
    </row>
    <row r="197" spans="1:19" s="113" customFormat="1" ht="13.5" customHeight="1" x14ac:dyDescent="0.25">
      <c r="A197" s="275" t="s">
        <v>1688</v>
      </c>
      <c r="B197" s="426" t="s">
        <v>89</v>
      </c>
      <c r="C197" s="553"/>
      <c r="D197" s="553"/>
      <c r="E197" s="553"/>
      <c r="F197" s="553"/>
      <c r="G197" s="553"/>
      <c r="H197" s="279" t="str">
        <f>VLOOKUP(B197,AA_Unitarios,'10'!$H$7,FALSE)</f>
        <v>M3</v>
      </c>
      <c r="I197" s="280">
        <f>+VLOOKUP(B197,'01'!C158:N174,8,FALSE)</f>
        <v>0.48</v>
      </c>
      <c r="J197" s="989">
        <f>+VLOOKUP(B197,$B$49:$N$186,9,FALSE)</f>
        <v>6.6666666666666666E-2</v>
      </c>
      <c r="K197" s="990"/>
      <c r="L197" s="291">
        <v>1</v>
      </c>
      <c r="M197" s="996">
        <f t="shared" ref="M197" si="110">+I197*(J197/L197)</f>
        <v>3.2000000000000001E-2</v>
      </c>
      <c r="N197" s="486"/>
      <c r="O197" s="265"/>
    </row>
    <row r="198" spans="1:19" s="113" customFormat="1" ht="13.5" customHeight="1" x14ac:dyDescent="0.25">
      <c r="A198" s="275" t="s">
        <v>1689</v>
      </c>
      <c r="B198" s="426" t="s">
        <v>55</v>
      </c>
      <c r="C198" s="553"/>
      <c r="D198" s="553"/>
      <c r="E198" s="553"/>
      <c r="F198" s="553"/>
      <c r="G198" s="553"/>
      <c r="H198" s="279" t="str">
        <f>VLOOKUP(B198,AA_Unitarios,'10'!$H$7,FALSE)</f>
        <v>M3</v>
      </c>
      <c r="I198" s="280">
        <f>+VLOOKUP(B198,'01'!C159:N175,8,FALSE)</f>
        <v>1.43</v>
      </c>
      <c r="J198" s="989">
        <f>+VLOOKUP(B198,$B$49:$N$186,9,FALSE)</f>
        <v>3.3333333333333333E-2</v>
      </c>
      <c r="K198" s="990"/>
      <c r="L198" s="291">
        <v>1</v>
      </c>
      <c r="M198" s="996">
        <f t="shared" ref="M198" si="111">+I198*(J198/L198)</f>
        <v>4.7666666666666663E-2</v>
      </c>
      <c r="N198" s="486"/>
      <c r="O198" s="265"/>
    </row>
    <row r="199" spans="1:19" s="113" customFormat="1" ht="13.5" customHeight="1" x14ac:dyDescent="0.25">
      <c r="A199" s="275" t="s">
        <v>1690</v>
      </c>
      <c r="B199" s="426" t="s">
        <v>56</v>
      </c>
      <c r="C199" s="553"/>
      <c r="D199" s="553"/>
      <c r="E199" s="553"/>
      <c r="F199" s="553"/>
      <c r="G199" s="553"/>
      <c r="H199" s="279" t="str">
        <f>VLOOKUP(B199,AA_Unitarios,'10'!$H$7,FALSE)</f>
        <v>M3</v>
      </c>
      <c r="I199" s="280">
        <f>+VLOOKUP(B199,'01'!C160:N176,8,FALSE)</f>
        <v>4.0599999999999996</v>
      </c>
      <c r="J199" s="989">
        <f>+VLOOKUP(B199,$B$49:$N$186,9,FALSE)</f>
        <v>9.0909090909090912E-2</v>
      </c>
      <c r="K199" s="990"/>
      <c r="L199" s="291">
        <v>1</v>
      </c>
      <c r="M199" s="996">
        <f t="shared" ref="M199" si="112">+I199*(J199/L199)</f>
        <v>0.36909090909090908</v>
      </c>
      <c r="N199" s="486"/>
      <c r="O199" s="265"/>
    </row>
    <row r="200" spans="1:19" s="113" customFormat="1" ht="13.5" customHeight="1" x14ac:dyDescent="0.25">
      <c r="A200" s="274" t="s">
        <v>1691</v>
      </c>
      <c r="B200" s="552" t="s">
        <v>68</v>
      </c>
      <c r="C200" s="552"/>
      <c r="D200" s="552"/>
      <c r="E200" s="552"/>
      <c r="F200" s="552"/>
      <c r="G200" s="552"/>
      <c r="H200" s="552"/>
      <c r="I200" s="552"/>
      <c r="J200" s="552"/>
      <c r="K200" s="552"/>
      <c r="L200" s="552"/>
      <c r="M200" s="552"/>
      <c r="N200" s="552"/>
      <c r="O200" s="265"/>
    </row>
    <row r="201" spans="1:19" s="113" customFormat="1" ht="13.5" customHeight="1" x14ac:dyDescent="0.25">
      <c r="A201" s="275" t="s">
        <v>1692</v>
      </c>
      <c r="B201" s="426" t="s">
        <v>90</v>
      </c>
      <c r="C201" s="553"/>
      <c r="D201" s="553"/>
      <c r="E201" s="553"/>
      <c r="F201" s="553"/>
      <c r="G201" s="553"/>
      <c r="H201" s="279" t="str">
        <f>VLOOKUP(B201,AA_Unitarios,'10'!$H$7,FALSE)</f>
        <v>M3-KM</v>
      </c>
      <c r="I201" s="280">
        <f>+VLOOKUP(B201,'01'!C162:N178,8,FALSE)</f>
        <v>12.4</v>
      </c>
      <c r="J201" s="989">
        <f>+VLOOKUP(B201,$B$49:$N$186,9,FALSE)</f>
        <v>2.0833333333333333E-3</v>
      </c>
      <c r="K201" s="990"/>
      <c r="L201" s="291">
        <v>1</v>
      </c>
      <c r="M201" s="996">
        <f t="shared" ref="M201" si="113">+I201*(J201/L201)</f>
        <v>2.5833333333333333E-2</v>
      </c>
      <c r="N201" s="486"/>
      <c r="O201" s="265"/>
    </row>
    <row r="202" spans="1:19" s="113" customFormat="1" ht="13.5" customHeight="1" x14ac:dyDescent="0.25">
      <c r="A202" s="275" t="s">
        <v>1693</v>
      </c>
      <c r="B202" s="426" t="s">
        <v>92</v>
      </c>
      <c r="C202" s="553"/>
      <c r="D202" s="553"/>
      <c r="E202" s="553"/>
      <c r="F202" s="553"/>
      <c r="G202" s="553"/>
      <c r="H202" s="279" t="str">
        <f>VLOOKUP(B202,AA_Unitarios,'10'!$H$7,FALSE)</f>
        <v>M3</v>
      </c>
      <c r="I202" s="280">
        <f>+VLOOKUP(B202,'01'!C163:N179,8,FALSE)</f>
        <v>2.48</v>
      </c>
      <c r="J202" s="989">
        <f>+VLOOKUP(B202,$B$49:$N$186,9,FALSE)</f>
        <v>1.2500000000000001E-2</v>
      </c>
      <c r="K202" s="990"/>
      <c r="L202" s="291">
        <v>1</v>
      </c>
      <c r="M202" s="996">
        <f t="shared" ref="M202" si="114">+I202*(J202/L202)</f>
        <v>3.1E-2</v>
      </c>
      <c r="N202" s="486"/>
      <c r="O202" s="265"/>
    </row>
    <row r="203" spans="1:19" s="113" customFormat="1" ht="13.5" customHeight="1" x14ac:dyDescent="0.25">
      <c r="A203" s="274" t="s">
        <v>1694</v>
      </c>
      <c r="B203" s="552" t="s">
        <v>157</v>
      </c>
      <c r="C203" s="552"/>
      <c r="D203" s="552"/>
      <c r="E203" s="552"/>
      <c r="F203" s="552"/>
      <c r="G203" s="552"/>
      <c r="H203" s="552"/>
      <c r="I203" s="552"/>
      <c r="J203" s="552"/>
      <c r="K203" s="552"/>
      <c r="L203" s="552"/>
      <c r="M203" s="552"/>
      <c r="N203" s="552"/>
      <c r="O203" s="261"/>
    </row>
    <row r="204" spans="1:19" s="113" customFormat="1" ht="13.5" customHeight="1" x14ac:dyDescent="0.25">
      <c r="A204" s="275" t="s">
        <v>1695</v>
      </c>
      <c r="B204" s="426" t="s">
        <v>1796</v>
      </c>
      <c r="C204" s="553"/>
      <c r="D204" s="553"/>
      <c r="E204" s="553"/>
      <c r="F204" s="553"/>
      <c r="G204" s="553"/>
      <c r="H204" s="279" t="str">
        <f>VLOOKUP(B204,AA_Unitarios,'10'!$H$7,FALSE)</f>
        <v>UND</v>
      </c>
      <c r="I204" s="280">
        <f>+VLOOKUP(B204,'01'!C165:N181,8,FALSE)</f>
        <v>1</v>
      </c>
      <c r="J204" s="989">
        <f>+'11'!$L$2428</f>
        <v>2.4</v>
      </c>
      <c r="K204" s="990"/>
      <c r="L204" s="291">
        <v>2</v>
      </c>
      <c r="M204" s="996">
        <f t="shared" ref="M204" si="115">+I204*(J204/L204)</f>
        <v>1.2</v>
      </c>
      <c r="N204" s="486"/>
      <c r="O204" s="265"/>
    </row>
    <row r="205" spans="1:19" s="113" customFormat="1" ht="13.5" customHeight="1" x14ac:dyDescent="0.25">
      <c r="A205" s="275" t="s">
        <v>1696</v>
      </c>
      <c r="B205" s="426" t="s">
        <v>1833</v>
      </c>
      <c r="C205" s="553"/>
      <c r="D205" s="553"/>
      <c r="E205" s="553"/>
      <c r="F205" s="553"/>
      <c r="G205" s="553"/>
      <c r="H205" s="279" t="str">
        <f>VLOOKUP(B205,AA_Unitarios,'10'!$H$7,FALSE)</f>
        <v>UND</v>
      </c>
      <c r="I205" s="280">
        <f>+VLOOKUP(B205,'01'!C166:N182,8,FALSE)</f>
        <v>3</v>
      </c>
      <c r="J205" s="989">
        <f>+'11'!$L$2481</f>
        <v>1</v>
      </c>
      <c r="K205" s="990"/>
      <c r="L205" s="291">
        <v>3</v>
      </c>
      <c r="M205" s="996">
        <f t="shared" ref="M205" si="116">+I205*(J205/L205)</f>
        <v>1</v>
      </c>
      <c r="N205" s="486"/>
      <c r="O205" s="265"/>
    </row>
    <row r="206" spans="1:19" s="113" customFormat="1" ht="13.5" customHeight="1" x14ac:dyDescent="0.25">
      <c r="A206" s="274" t="s">
        <v>1697</v>
      </c>
      <c r="B206" s="552" t="s">
        <v>79</v>
      </c>
      <c r="C206" s="552"/>
      <c r="D206" s="552"/>
      <c r="E206" s="552"/>
      <c r="F206" s="552"/>
      <c r="G206" s="552"/>
      <c r="H206" s="552"/>
      <c r="I206" s="552"/>
      <c r="J206" s="552"/>
      <c r="K206" s="552"/>
      <c r="L206" s="552"/>
      <c r="M206" s="552"/>
      <c r="N206" s="552"/>
      <c r="O206" s="261"/>
    </row>
    <row r="207" spans="1:19" s="113" customFormat="1" ht="13.5" customHeight="1" x14ac:dyDescent="0.25">
      <c r="A207" s="275" t="s">
        <v>1698</v>
      </c>
      <c r="B207" s="426" t="s">
        <v>1752</v>
      </c>
      <c r="C207" s="553"/>
      <c r="D207" s="553"/>
      <c r="E207" s="553"/>
      <c r="F207" s="553"/>
      <c r="G207" s="553"/>
      <c r="H207" s="279" t="str">
        <f>VLOOKUP(B207,AA_Unitarios,'10'!$H$7,FALSE)</f>
        <v>ML</v>
      </c>
      <c r="I207" s="280">
        <f>+VLOOKUP(B207,'01'!C168:N184,8,FALSE)</f>
        <v>5</v>
      </c>
      <c r="J207" s="989">
        <f>+'11'!$L$1579</f>
        <v>2.5215681047904594E-2</v>
      </c>
      <c r="K207" s="990"/>
      <c r="L207" s="291">
        <v>1</v>
      </c>
      <c r="M207" s="996">
        <f t="shared" ref="M207" si="117">+I207*(J207/L207)</f>
        <v>0.12607840523952296</v>
      </c>
      <c r="N207" s="486"/>
      <c r="O207" s="265"/>
    </row>
    <row r="208" spans="1:19" ht="12.75" customHeight="1" x14ac:dyDescent="0.25">
      <c r="B208" s="285"/>
      <c r="L208" s="285"/>
      <c r="N208" s="285"/>
      <c r="O208" s="285"/>
    </row>
    <row r="209" spans="1:15" ht="12.75" customHeight="1" x14ac:dyDescent="0.25">
      <c r="B209" s="285"/>
      <c r="L209" s="285"/>
      <c r="N209" s="285"/>
      <c r="O209" s="285"/>
    </row>
    <row r="210" spans="1:15" ht="12.75" customHeight="1" x14ac:dyDescent="0.25"/>
    <row r="211" spans="1:15" ht="12.75" customHeight="1" thickBot="1" x14ac:dyDescent="0.3">
      <c r="A211" s="190"/>
      <c r="B211" s="190"/>
    </row>
    <row r="212" spans="1:15" ht="12.75" customHeight="1" thickTop="1" x14ac:dyDescent="0.25">
      <c r="A212" s="976" t="s">
        <v>1126</v>
      </c>
      <c r="B212" s="976"/>
      <c r="C212" s="976"/>
      <c r="D212" s="976"/>
      <c r="E212" s="976"/>
    </row>
    <row r="213" spans="1:15" ht="12.75" customHeight="1" x14ac:dyDescent="0.25">
      <c r="A213" s="406" t="s">
        <v>1127</v>
      </c>
      <c r="B213" s="406"/>
      <c r="C213" s="406"/>
      <c r="D213" s="406"/>
      <c r="E213" s="406"/>
    </row>
    <row r="214" spans="1:15" ht="12.75" customHeight="1" x14ac:dyDescent="0.25">
      <c r="A214" s="406" t="s">
        <v>1123</v>
      </c>
      <c r="B214" s="406"/>
      <c r="C214" s="406"/>
      <c r="D214" s="406"/>
      <c r="E214" s="406"/>
    </row>
    <row r="215" spans="1:15" ht="12.75" customHeight="1" x14ac:dyDescent="0.25"/>
    <row r="216" spans="1:15" ht="12.75" customHeight="1" x14ac:dyDescent="0.25"/>
    <row r="217" spans="1:15" ht="12.75" customHeight="1" x14ac:dyDescent="0.25"/>
    <row r="218" spans="1:15" ht="12.75" customHeight="1" x14ac:dyDescent="0.25">
      <c r="D218" s="190"/>
      <c r="E218" s="190"/>
      <c r="F218" s="190"/>
      <c r="G218" s="190"/>
    </row>
    <row r="219" spans="1:15" ht="12.75" customHeight="1" x14ac:dyDescent="0.25">
      <c r="D219" s="190"/>
      <c r="E219" s="190"/>
      <c r="F219" s="190"/>
      <c r="G219" s="190"/>
    </row>
    <row r="220" spans="1:15" ht="12.75" customHeight="1" x14ac:dyDescent="0.25">
      <c r="D220" s="190"/>
      <c r="E220" s="190"/>
      <c r="F220" s="190"/>
      <c r="G220" s="190"/>
    </row>
    <row r="221" spans="1:15" ht="12.75" customHeight="1" x14ac:dyDescent="0.25">
      <c r="D221" s="190"/>
      <c r="E221" s="190"/>
    </row>
    <row r="222" spans="1:15" ht="12.75" customHeight="1" x14ac:dyDescent="0.25">
      <c r="D222" s="190"/>
      <c r="E222" s="190"/>
    </row>
    <row r="223" spans="1:15" ht="12.75" customHeight="1" x14ac:dyDescent="0.25">
      <c r="D223" s="190"/>
    </row>
    <row r="224" spans="1:15" ht="12.75" customHeight="1" x14ac:dyDescent="0.25">
      <c r="D224" s="190"/>
    </row>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sheetData>
  <mergeCells count="446">
    <mergeCell ref="A38:C39"/>
    <mergeCell ref="D41:D42"/>
    <mergeCell ref="E36:E37"/>
    <mergeCell ref="F36:F37"/>
    <mergeCell ref="E38:E39"/>
    <mergeCell ref="F38:F39"/>
    <mergeCell ref="E41:E42"/>
    <mergeCell ref="F41:F42"/>
    <mergeCell ref="A43:C43"/>
    <mergeCell ref="E26:E27"/>
    <mergeCell ref="F26:F27"/>
    <mergeCell ref="E28:E29"/>
    <mergeCell ref="F28:F29"/>
    <mergeCell ref="E30:E31"/>
    <mergeCell ref="F30:F31"/>
    <mergeCell ref="E32:E33"/>
    <mergeCell ref="F32:F33"/>
    <mergeCell ref="E34:E35"/>
    <mergeCell ref="F34:F35"/>
    <mergeCell ref="D18:D19"/>
    <mergeCell ref="E18:E19"/>
    <mergeCell ref="A26:C27"/>
    <mergeCell ref="A28:C29"/>
    <mergeCell ref="A30:C31"/>
    <mergeCell ref="A32:C33"/>
    <mergeCell ref="A34:C35"/>
    <mergeCell ref="A36:C37"/>
    <mergeCell ref="B191:N191"/>
    <mergeCell ref="B186:G186"/>
    <mergeCell ref="J186:K186"/>
    <mergeCell ref="M186:N186"/>
    <mergeCell ref="B185:N185"/>
    <mergeCell ref="B179:N179"/>
    <mergeCell ref="A40:C40"/>
    <mergeCell ref="D26:D27"/>
    <mergeCell ref="D28:D29"/>
    <mergeCell ref="B181:G181"/>
    <mergeCell ref="J181:K181"/>
    <mergeCell ref="M181:N181"/>
    <mergeCell ref="D34:D35"/>
    <mergeCell ref="D36:D37"/>
    <mergeCell ref="D38:D39"/>
    <mergeCell ref="B177:G177"/>
    <mergeCell ref="B205:G205"/>
    <mergeCell ref="J205:K205"/>
    <mergeCell ref="B207:G207"/>
    <mergeCell ref="J207:K207"/>
    <mergeCell ref="B206:N206"/>
    <mergeCell ref="B203:N203"/>
    <mergeCell ref="B200:N200"/>
    <mergeCell ref="B196:N196"/>
    <mergeCell ref="B192:G192"/>
    <mergeCell ref="J192:K192"/>
    <mergeCell ref="B194:G194"/>
    <mergeCell ref="J194:K194"/>
    <mergeCell ref="B195:G195"/>
    <mergeCell ref="J195:K195"/>
    <mergeCell ref="B193:N193"/>
    <mergeCell ref="M192:N192"/>
    <mergeCell ref="B198:G198"/>
    <mergeCell ref="J198:K198"/>
    <mergeCell ref="M195:N195"/>
    <mergeCell ref="M197:N197"/>
    <mergeCell ref="M198:N198"/>
    <mergeCell ref="B199:G199"/>
    <mergeCell ref="B201:G201"/>
    <mergeCell ref="B202:G202"/>
    <mergeCell ref="D8:D9"/>
    <mergeCell ref="F8:F9"/>
    <mergeCell ref="A8:C9"/>
    <mergeCell ref="A11:C11"/>
    <mergeCell ref="A10:C10"/>
    <mergeCell ref="A12:C13"/>
    <mergeCell ref="D12:D13"/>
    <mergeCell ref="E12:E13"/>
    <mergeCell ref="F12:F13"/>
    <mergeCell ref="D24:D25"/>
    <mergeCell ref="E24:E25"/>
    <mergeCell ref="F24:F25"/>
    <mergeCell ref="A14:C15"/>
    <mergeCell ref="D14:D15"/>
    <mergeCell ref="E14:E15"/>
    <mergeCell ref="F14:F15"/>
    <mergeCell ref="D30:D31"/>
    <mergeCell ref="D32:D33"/>
    <mergeCell ref="A24:C25"/>
    <mergeCell ref="A22:C23"/>
    <mergeCell ref="A20:C21"/>
    <mergeCell ref="A18:C19"/>
    <mergeCell ref="A16:C17"/>
    <mergeCell ref="F18:F19"/>
    <mergeCell ref="D20:D21"/>
    <mergeCell ref="E20:E21"/>
    <mergeCell ref="F20:F21"/>
    <mergeCell ref="D22:D23"/>
    <mergeCell ref="E22:E23"/>
    <mergeCell ref="F22:F23"/>
    <mergeCell ref="D16:D17"/>
    <mergeCell ref="E16:E17"/>
    <mergeCell ref="F16:F17"/>
    <mergeCell ref="B168:N168"/>
    <mergeCell ref="A188:N189"/>
    <mergeCell ref="O188:O189"/>
    <mergeCell ref="P188:P189"/>
    <mergeCell ref="B182:G182"/>
    <mergeCell ref="J182:K182"/>
    <mergeCell ref="M182:N182"/>
    <mergeCell ref="B183:G183"/>
    <mergeCell ref="J183:K183"/>
    <mergeCell ref="M183:N183"/>
    <mergeCell ref="B184:G184"/>
    <mergeCell ref="J184:K184"/>
    <mergeCell ref="M184:N184"/>
    <mergeCell ref="B178:G178"/>
    <mergeCell ref="J178:K178"/>
    <mergeCell ref="M178:N178"/>
    <mergeCell ref="B180:G180"/>
    <mergeCell ref="J180:K180"/>
    <mergeCell ref="M180:N180"/>
    <mergeCell ref="B173:G173"/>
    <mergeCell ref="J173:K173"/>
    <mergeCell ref="M173:N173"/>
    <mergeCell ref="J177:K177"/>
    <mergeCell ref="M177:N177"/>
    <mergeCell ref="J169:K169"/>
    <mergeCell ref="M169:N169"/>
    <mergeCell ref="B170:G170"/>
    <mergeCell ref="J170:K170"/>
    <mergeCell ref="M170:N170"/>
    <mergeCell ref="B171:G171"/>
    <mergeCell ref="J171:K171"/>
    <mergeCell ref="M171:N171"/>
    <mergeCell ref="B176:N176"/>
    <mergeCell ref="B172:N172"/>
    <mergeCell ref="J138:K138"/>
    <mergeCell ref="J141:K141"/>
    <mergeCell ref="M141:N141"/>
    <mergeCell ref="J165:K165"/>
    <mergeCell ref="M165:N165"/>
    <mergeCell ref="B163:N163"/>
    <mergeCell ref="B166:G166"/>
    <mergeCell ref="J166:K166"/>
    <mergeCell ref="M166:N166"/>
    <mergeCell ref="M155:N155"/>
    <mergeCell ref="M156:N156"/>
    <mergeCell ref="M144:N144"/>
    <mergeCell ref="J144:K144"/>
    <mergeCell ref="B141:G141"/>
    <mergeCell ref="B143:G143"/>
    <mergeCell ref="J143:K143"/>
    <mergeCell ref="B144:G144"/>
    <mergeCell ref="A153:N153"/>
    <mergeCell ref="J155:K155"/>
    <mergeCell ref="J156:K156"/>
    <mergeCell ref="B162:G162"/>
    <mergeCell ref="J162:K162"/>
    <mergeCell ref="M162:N162"/>
    <mergeCell ref="B164:G164"/>
    <mergeCell ref="B116:N116"/>
    <mergeCell ref="B113:N113"/>
    <mergeCell ref="M114:N114"/>
    <mergeCell ref="M115:N115"/>
    <mergeCell ref="B145:N145"/>
    <mergeCell ref="B142:N142"/>
    <mergeCell ref="B139:N139"/>
    <mergeCell ref="B137:N137"/>
    <mergeCell ref="B135:N135"/>
    <mergeCell ref="B118:G118"/>
    <mergeCell ref="J118:K118"/>
    <mergeCell ref="M118:N118"/>
    <mergeCell ref="B119:G119"/>
    <mergeCell ref="J119:K119"/>
    <mergeCell ref="M119:N119"/>
    <mergeCell ref="B120:G120"/>
    <mergeCell ref="J120:K120"/>
    <mergeCell ref="M120:N120"/>
    <mergeCell ref="B140:G140"/>
    <mergeCell ref="J140:K140"/>
    <mergeCell ref="M136:N136"/>
    <mergeCell ref="B136:G136"/>
    <mergeCell ref="J136:K136"/>
    <mergeCell ref="B138:G138"/>
    <mergeCell ref="B73:N73"/>
    <mergeCell ref="B75:N75"/>
    <mergeCell ref="B79:N79"/>
    <mergeCell ref="B83:N83"/>
    <mergeCell ref="B86:N86"/>
    <mergeCell ref="B88:N88"/>
    <mergeCell ref="B95:G95"/>
    <mergeCell ref="J95:K95"/>
    <mergeCell ref="M95:N95"/>
    <mergeCell ref="B85:G85"/>
    <mergeCell ref="J85:K85"/>
    <mergeCell ref="M85:N85"/>
    <mergeCell ref="B87:G87"/>
    <mergeCell ref="J87:K87"/>
    <mergeCell ref="M87:N87"/>
    <mergeCell ref="B89:G89"/>
    <mergeCell ref="J89:K89"/>
    <mergeCell ref="M89:N89"/>
    <mergeCell ref="B81:G81"/>
    <mergeCell ref="J81:K81"/>
    <mergeCell ref="M81:N81"/>
    <mergeCell ref="B82:G82"/>
    <mergeCell ref="J82:K82"/>
    <mergeCell ref="M82:N82"/>
    <mergeCell ref="B97:G97"/>
    <mergeCell ref="J97:K97"/>
    <mergeCell ref="M97:N97"/>
    <mergeCell ref="B98:G98"/>
    <mergeCell ref="J98:K98"/>
    <mergeCell ref="M98:N98"/>
    <mergeCell ref="B101:N101"/>
    <mergeCell ref="B96:N96"/>
    <mergeCell ref="B94:N94"/>
    <mergeCell ref="M53:N53"/>
    <mergeCell ref="M55:N55"/>
    <mergeCell ref="M56:N56"/>
    <mergeCell ref="M57:N57"/>
    <mergeCell ref="M59:N59"/>
    <mergeCell ref="M60:N60"/>
    <mergeCell ref="M62:N62"/>
    <mergeCell ref="M63:N63"/>
    <mergeCell ref="M65:N65"/>
    <mergeCell ref="B57:G57"/>
    <mergeCell ref="J57:K57"/>
    <mergeCell ref="B59:G59"/>
    <mergeCell ref="J59:K59"/>
    <mergeCell ref="B60:G60"/>
    <mergeCell ref="J60:K60"/>
    <mergeCell ref="B62:G62"/>
    <mergeCell ref="J62:K62"/>
    <mergeCell ref="B63:G63"/>
    <mergeCell ref="J63:K63"/>
    <mergeCell ref="B84:G84"/>
    <mergeCell ref="J84:K84"/>
    <mergeCell ref="M84:N84"/>
    <mergeCell ref="B77:G77"/>
    <mergeCell ref="J77:K77"/>
    <mergeCell ref="M77:N77"/>
    <mergeCell ref="B78:G78"/>
    <mergeCell ref="J78:K78"/>
    <mergeCell ref="M78:N78"/>
    <mergeCell ref="B80:G80"/>
    <mergeCell ref="J80:K80"/>
    <mergeCell ref="M80:N80"/>
    <mergeCell ref="B204:G204"/>
    <mergeCell ref="J197:K197"/>
    <mergeCell ref="B197:G197"/>
    <mergeCell ref="M194:N194"/>
    <mergeCell ref="O158:O159"/>
    <mergeCell ref="P158:P159"/>
    <mergeCell ref="A160:G160"/>
    <mergeCell ref="J160:K160"/>
    <mergeCell ref="M160:N160"/>
    <mergeCell ref="B161:N161"/>
    <mergeCell ref="A158:N159"/>
    <mergeCell ref="B167:G167"/>
    <mergeCell ref="J167:K167"/>
    <mergeCell ref="M167:N167"/>
    <mergeCell ref="B174:G174"/>
    <mergeCell ref="J174:K174"/>
    <mergeCell ref="M174:N174"/>
    <mergeCell ref="B175:G175"/>
    <mergeCell ref="J175:K175"/>
    <mergeCell ref="M175:N175"/>
    <mergeCell ref="B169:G169"/>
    <mergeCell ref="A190:G190"/>
    <mergeCell ref="M190:N190"/>
    <mergeCell ref="J190:K190"/>
    <mergeCell ref="M205:N205"/>
    <mergeCell ref="M207:N207"/>
    <mergeCell ref="J204:K204"/>
    <mergeCell ref="J202:K202"/>
    <mergeCell ref="M202:N202"/>
    <mergeCell ref="M204:N204"/>
    <mergeCell ref="J201:K201"/>
    <mergeCell ref="J199:K199"/>
    <mergeCell ref="M199:N199"/>
    <mergeCell ref="M201:N201"/>
    <mergeCell ref="J164:K164"/>
    <mergeCell ref="M164:N164"/>
    <mergeCell ref="B165:G165"/>
    <mergeCell ref="M154:N154"/>
    <mergeCell ref="J154:K154"/>
    <mergeCell ref="A154:G154"/>
    <mergeCell ref="A155:G155"/>
    <mergeCell ref="A156:G156"/>
    <mergeCell ref="O150:O151"/>
    <mergeCell ref="P150:P151"/>
    <mergeCell ref="A152:G152"/>
    <mergeCell ref="M152:N152"/>
    <mergeCell ref="J152:K152"/>
    <mergeCell ref="J146:K146"/>
    <mergeCell ref="M146:N146"/>
    <mergeCell ref="B146:G146"/>
    <mergeCell ref="B148:G148"/>
    <mergeCell ref="M148:N148"/>
    <mergeCell ref="J148:K148"/>
    <mergeCell ref="B147:N147"/>
    <mergeCell ref="A150:N151"/>
    <mergeCell ref="M138:N138"/>
    <mergeCell ref="O91:O92"/>
    <mergeCell ref="P91:P92"/>
    <mergeCell ref="A93:G93"/>
    <mergeCell ref="J93:K93"/>
    <mergeCell ref="M93:N93"/>
    <mergeCell ref="B99:G99"/>
    <mergeCell ref="J99:K99"/>
    <mergeCell ref="M99:N99"/>
    <mergeCell ref="B100:G100"/>
    <mergeCell ref="J100:K100"/>
    <mergeCell ref="M100:N100"/>
    <mergeCell ref="B102:G102"/>
    <mergeCell ref="J102:K102"/>
    <mergeCell ref="M102:N102"/>
    <mergeCell ref="B103:G103"/>
    <mergeCell ref="J103:K103"/>
    <mergeCell ref="B104:G104"/>
    <mergeCell ref="J104:K104"/>
    <mergeCell ref="J107:K107"/>
    <mergeCell ref="M107:N107"/>
    <mergeCell ref="J108:K108"/>
    <mergeCell ref="M108:N108"/>
    <mergeCell ref="B106:G106"/>
    <mergeCell ref="O67:O68"/>
    <mergeCell ref="P67:P68"/>
    <mergeCell ref="A69:G69"/>
    <mergeCell ref="J69:K69"/>
    <mergeCell ref="M69:N69"/>
    <mergeCell ref="B71:G71"/>
    <mergeCell ref="J71:K71"/>
    <mergeCell ref="M71:N71"/>
    <mergeCell ref="B72:G72"/>
    <mergeCell ref="J72:K72"/>
    <mergeCell ref="M72:N72"/>
    <mergeCell ref="B70:N70"/>
    <mergeCell ref="A67:N68"/>
    <mergeCell ref="P132:P133"/>
    <mergeCell ref="J134:K134"/>
    <mergeCell ref="M134:N134"/>
    <mergeCell ref="A134:G134"/>
    <mergeCell ref="M143:N143"/>
    <mergeCell ref="A132:N133"/>
    <mergeCell ref="O132:O133"/>
    <mergeCell ref="M140:N140"/>
    <mergeCell ref="A91:N92"/>
    <mergeCell ref="B130:G130"/>
    <mergeCell ref="J130:K130"/>
    <mergeCell ref="J129:K129"/>
    <mergeCell ref="J128:K128"/>
    <mergeCell ref="M128:N128"/>
    <mergeCell ref="M129:N129"/>
    <mergeCell ref="M130:N130"/>
    <mergeCell ref="B127:G127"/>
    <mergeCell ref="J127:K127"/>
    <mergeCell ref="B128:G128"/>
    <mergeCell ref="B129:G129"/>
    <mergeCell ref="J126:K126"/>
    <mergeCell ref="J125:K125"/>
    <mergeCell ref="M125:N125"/>
    <mergeCell ref="M126:N126"/>
    <mergeCell ref="J106:K106"/>
    <mergeCell ref="M106:N106"/>
    <mergeCell ref="B107:G107"/>
    <mergeCell ref="B108:G108"/>
    <mergeCell ref="B105:N105"/>
    <mergeCell ref="M127:N127"/>
    <mergeCell ref="B124:G124"/>
    <mergeCell ref="J124:K124"/>
    <mergeCell ref="B125:G125"/>
    <mergeCell ref="B126:G126"/>
    <mergeCell ref="J123:K123"/>
    <mergeCell ref="J122:K122"/>
    <mergeCell ref="M122:N122"/>
    <mergeCell ref="M123:N123"/>
    <mergeCell ref="M124:N124"/>
    <mergeCell ref="B123:G123"/>
    <mergeCell ref="B122:G122"/>
    <mergeCell ref="B114:G114"/>
    <mergeCell ref="J114:K114"/>
    <mergeCell ref="B115:G115"/>
    <mergeCell ref="J115:K115"/>
    <mergeCell ref="B117:G117"/>
    <mergeCell ref="J117:K117"/>
    <mergeCell ref="M117:N117"/>
    <mergeCell ref="J111:K111"/>
    <mergeCell ref="J112:K112"/>
    <mergeCell ref="J110:K110"/>
    <mergeCell ref="M110:N110"/>
    <mergeCell ref="M111:N111"/>
    <mergeCell ref="M112:N112"/>
    <mergeCell ref="B109:G109"/>
    <mergeCell ref="J109:K109"/>
    <mergeCell ref="M109:N109"/>
    <mergeCell ref="B110:G110"/>
    <mergeCell ref="B111:G111"/>
    <mergeCell ref="B112:G112"/>
    <mergeCell ref="M50:N50"/>
    <mergeCell ref="B49:N49"/>
    <mergeCell ref="B51:N51"/>
    <mergeCell ref="M52:N52"/>
    <mergeCell ref="B121:G121"/>
    <mergeCell ref="J121:K121"/>
    <mergeCell ref="M121:N121"/>
    <mergeCell ref="J74:K74"/>
    <mergeCell ref="M74:N74"/>
    <mergeCell ref="B76:G76"/>
    <mergeCell ref="J76:K76"/>
    <mergeCell ref="M76:N76"/>
    <mergeCell ref="B50:G50"/>
    <mergeCell ref="J50:K50"/>
    <mergeCell ref="B52:G52"/>
    <mergeCell ref="J52:K52"/>
    <mergeCell ref="B53:G53"/>
    <mergeCell ref="J53:K53"/>
    <mergeCell ref="B55:G55"/>
    <mergeCell ref="J55:K55"/>
    <mergeCell ref="B56:G56"/>
    <mergeCell ref="J56:K56"/>
    <mergeCell ref="M103:N103"/>
    <mergeCell ref="M104:N104"/>
    <mergeCell ref="A212:E212"/>
    <mergeCell ref="A213:E213"/>
    <mergeCell ref="A214:E214"/>
    <mergeCell ref="A1:L3"/>
    <mergeCell ref="M1:N1"/>
    <mergeCell ref="O1:Q3"/>
    <mergeCell ref="M2:N3"/>
    <mergeCell ref="A5:P6"/>
    <mergeCell ref="Q5:Q6"/>
    <mergeCell ref="E8:E9"/>
    <mergeCell ref="A46:N47"/>
    <mergeCell ref="O46:O47"/>
    <mergeCell ref="B65:G65"/>
    <mergeCell ref="J65:K65"/>
    <mergeCell ref="A41:C42"/>
    <mergeCell ref="B64:N64"/>
    <mergeCell ref="B54:N54"/>
    <mergeCell ref="B58:N58"/>
    <mergeCell ref="B61:N61"/>
    <mergeCell ref="P46:P47"/>
    <mergeCell ref="J48:K48"/>
    <mergeCell ref="M48:N48"/>
    <mergeCell ref="B74:G74"/>
    <mergeCell ref="A48:G48"/>
  </mergeCells>
  <conditionalFormatting sqref="Q22:Q23 Q12:Q17 M12:M15 K12:K13 O12:O37 K18:K21 K24:K25 M24:M25 M18:M21 M40 K40 O40">
    <cfRule type="expression" dxfId="354" priority="24">
      <formula>"Y(H$6&gt;=$E10;H$6&lt;=$G10)"</formula>
    </cfRule>
  </conditionalFormatting>
  <conditionalFormatting sqref="I10:I11 K10:K11 M10:M11 O10:O11 G10:G37 G40">
    <cfRule type="expression" dxfId="353" priority="25">
      <formula>"Y(H$6&gt;=$E10;H$6&lt;=$G10)"</formula>
    </cfRule>
  </conditionalFormatting>
  <conditionalFormatting sqref="I10:I11 G10:G37 K10:K13 M10:M15 O10:O37 K18:K21 K24:K25 M24:M25 M18:M21 G40 M40 K40 O40">
    <cfRule type="expression" dxfId="352" priority="26">
      <formula>AND(#REF!&gt;=#REF!,#REF!&lt;=#REF!)</formula>
    </cfRule>
  </conditionalFormatting>
  <conditionalFormatting sqref="Q12:Q17 Q22:Q23">
    <cfRule type="expression" dxfId="351" priority="30">
      <formula>AND(#REF!&gt;=#REF!,#REF!&lt;=#REF!)</formula>
    </cfRule>
  </conditionalFormatting>
  <conditionalFormatting sqref="J41:N43 P41:Q43 Q24:Q40">
    <cfRule type="expression" dxfId="350" priority="35">
      <formula>"Y(H$6&gt;=$E10;H$6&lt;=$G10)"</formula>
    </cfRule>
  </conditionalFormatting>
  <conditionalFormatting sqref="G41:I43">
    <cfRule type="expression" dxfId="349" priority="36">
      <formula>"Y(H$6&gt;=$E10;H$6&lt;=$G10)"</formula>
    </cfRule>
  </conditionalFormatting>
  <conditionalFormatting sqref="G41:I43 P41:P43">
    <cfRule type="expression" dxfId="348" priority="37">
      <formula>AND(#REF!&gt;=#REF!,#REF!&lt;=#REF!)</formula>
    </cfRule>
  </conditionalFormatting>
  <conditionalFormatting sqref="Q24:Q43">
    <cfRule type="expression" dxfId="347" priority="38">
      <formula>AND(#REF!&gt;=#REF!,#REF!&lt;=#REF!)</formula>
    </cfRule>
  </conditionalFormatting>
  <conditionalFormatting sqref="J41:N43">
    <cfRule type="expression" dxfId="346" priority="39">
      <formula>AND(#REF!&gt;=#REF!,#REF!&lt;=#REF!)</formula>
    </cfRule>
  </conditionalFormatting>
  <conditionalFormatting sqref="O41:O43">
    <cfRule type="expression" dxfId="345" priority="16">
      <formula>"Y(H$6&gt;=$E10;H$6&lt;=$G10)"</formula>
    </cfRule>
  </conditionalFormatting>
  <conditionalFormatting sqref="O41:O43">
    <cfRule type="expression" dxfId="344" priority="17">
      <formula>AND(#REF!&gt;=#REF!,#REF!&lt;=#REF!)</formula>
    </cfRule>
  </conditionalFormatting>
  <dataValidations disablePrompts="1" count="3">
    <dataValidation type="list" allowBlank="1" showErrorMessage="1" sqref="B87 B59:B60 B74 B84:B85" xr:uid="{00000000-0002-0000-0F00-000000000000}">
      <formula1>$C$48:$C$65</formula1>
    </dataValidation>
    <dataValidation type="list" allowBlank="1" showErrorMessage="1" sqref="B95 B143:B144 B128 B138 B97 B102 B106 B114:B115 B146:B149" xr:uid="{00000000-0002-0000-0F00-000001000000}">
      <formula1>$C$48:$C$69</formula1>
    </dataValidation>
    <dataValidation type="list" allowBlank="1" showErrorMessage="1" sqref="B177:B178 B201:B202" xr:uid="{00000000-0002-0000-0F00-000002000000}">
      <formula1>$C$47:$C$68</formula1>
    </dataValidation>
  </dataValidations>
  <pageMargins left="0.7" right="0.7" top="0.75" bottom="0.75" header="0" footer="0"/>
  <pageSetup orientation="landscape" r:id="rId1"/>
  <drawing r:id="rId2"/>
  <extLst>
    <ext xmlns:x14="http://schemas.microsoft.com/office/spreadsheetml/2009/9/main" uri="{CCE6A557-97BC-4b89-ADB6-D9C93CAAB3DF}">
      <x14:dataValidations xmlns:xm="http://schemas.microsoft.com/office/excel/2006/main" disablePrompts="1" count="7">
        <x14:dataValidation type="list" allowBlank="1" showErrorMessage="1" xr:uid="{00000000-0002-0000-0F00-000003000000}">
          <x14:formula1>
            <xm:f>'10'!$B$24:$B$76</xm:f>
          </x14:formula1>
          <xm:sqref>B65 B89 B98:B100 B126:B127 B103 B117:B124 B141 B186 B181:B184 B207</xm:sqref>
        </x14:dataValidation>
        <x14:dataValidation type="list" allowBlank="1" showErrorMessage="1" xr:uid="{00000000-0002-0000-0F00-000004000000}">
          <x14:formula1>
            <xm:f>'10'!$B$8:$B$76</xm:f>
          </x14:formula1>
          <xm:sqref>A154 B180</xm:sqref>
        </x14:dataValidation>
        <x14:dataValidation type="list" allowBlank="1" showErrorMessage="1" xr:uid="{00000000-0002-0000-0F00-000005000000}">
          <x14:formula1>
            <xm:f>'10'!$B$9:$B$76</xm:f>
          </x14:formula1>
          <xm:sqref>A155:A156 B52:B53 B55:B57 B50 B76:B78 B80:B82 B71:B72 B125 B107:B112 B104 B129:B131 B140 B136 B146 B148:B149 B173:B174 B169:B171 B162 B166:B167 B197:B199 B192 B194:B195</xm:sqref>
        </x14:dataValidation>
        <x14:dataValidation type="list" allowBlank="1" showErrorMessage="1" xr:uid="{00000000-0002-0000-0F00-000006000000}">
          <x14:formula1>
            <xm:f>'10'!$B$24:$B$449</xm:f>
          </x14:formula1>
          <xm:sqref>B62:G63 B204:G205</xm:sqref>
        </x14:dataValidation>
        <x14:dataValidation type="list" allowBlank="1" showErrorMessage="1" xr:uid="{00000000-0002-0000-0F00-000007000000}">
          <x14:formula1>
            <xm:f>'10'!$B$9:$B$109</xm:f>
          </x14:formula1>
          <xm:sqref>B175:G175</xm:sqref>
        </x14:dataValidation>
        <x14:dataValidation type="list" allowBlank="1" showErrorMessage="1" xr:uid="{00000000-0002-0000-0F00-000008000000}">
          <x14:formula1>
            <xm:f>'10'!$B$9:$B$111</xm:f>
          </x14:formula1>
          <xm:sqref>B164:G164</xm:sqref>
        </x14:dataValidation>
        <x14:dataValidation type="list" allowBlank="1" showErrorMessage="1" xr:uid="{00000000-0002-0000-0F00-000009000000}">
          <x14:formula1>
            <xm:f>'10'!$B$9:$B135</xm:f>
          </x14:formula1>
          <xm:sqref>B165:G165</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5"/>
  <dimension ref="A1:Y624"/>
  <sheetViews>
    <sheetView view="pageBreakPreview" topLeftCell="A177" zoomScaleNormal="100" zoomScaleSheetLayoutView="100" workbookViewId="0">
      <selection activeCell="B353" sqref="B353"/>
    </sheetView>
  </sheetViews>
  <sheetFormatPr baseColWidth="10" defaultColWidth="12.7109375" defaultRowHeight="15" customHeight="1" x14ac:dyDescent="0.2"/>
  <cols>
    <col min="1" max="13" width="11.42578125" customWidth="1"/>
    <col min="14" max="14" width="18.140625" bestFit="1" customWidth="1"/>
    <col min="15" max="25" width="11.42578125" customWidth="1"/>
  </cols>
  <sheetData>
    <row r="1" spans="1:12" ht="12.75" customHeight="1" x14ac:dyDescent="0.2">
      <c r="A1" s="1032" t="s">
        <v>729</v>
      </c>
      <c r="B1" s="1029"/>
      <c r="C1" s="1029"/>
      <c r="D1" s="1029"/>
      <c r="E1" s="1029"/>
      <c r="F1" s="1029"/>
      <c r="G1" s="1029"/>
      <c r="H1" s="1029"/>
      <c r="I1" s="1029"/>
      <c r="J1" s="1029"/>
      <c r="K1" s="1029"/>
      <c r="L1" s="1029"/>
    </row>
    <row r="2" spans="1:12" ht="12.75" customHeight="1" x14ac:dyDescent="0.2">
      <c r="A2" s="887"/>
      <c r="B2" s="468"/>
      <c r="C2" s="468"/>
      <c r="D2" s="468"/>
      <c r="E2" s="468"/>
      <c r="F2" s="468"/>
      <c r="G2" s="468"/>
      <c r="H2" s="468"/>
      <c r="I2" s="468"/>
      <c r="J2" s="468"/>
      <c r="K2" s="468"/>
      <c r="L2" s="468"/>
    </row>
    <row r="3" spans="1:12" ht="12.75" customHeight="1" x14ac:dyDescent="0.2">
      <c r="A3" s="79"/>
      <c r="B3" s="79"/>
      <c r="C3" s="79"/>
      <c r="D3" s="79"/>
      <c r="E3" s="79"/>
      <c r="F3" s="79"/>
      <c r="G3" s="79"/>
      <c r="H3" s="79"/>
      <c r="I3" s="79"/>
      <c r="J3" s="79"/>
      <c r="K3" s="79"/>
      <c r="L3" s="79"/>
    </row>
    <row r="4" spans="1:12" ht="12.75" customHeight="1" x14ac:dyDescent="0.2">
      <c r="A4" s="1028" t="s">
        <v>1428</v>
      </c>
      <c r="B4" s="1029"/>
      <c r="C4" s="1029"/>
      <c r="D4" s="1029"/>
      <c r="E4" s="1029"/>
      <c r="F4" s="1029"/>
      <c r="G4" s="1029"/>
      <c r="H4" s="1029"/>
      <c r="I4" s="1029"/>
      <c r="J4" s="1029"/>
      <c r="K4" s="1029"/>
      <c r="L4" s="1029"/>
    </row>
    <row r="5" spans="1:12" ht="12.75" customHeight="1" x14ac:dyDescent="0.2">
      <c r="A5" s="887"/>
      <c r="B5" s="468"/>
      <c r="C5" s="468"/>
      <c r="D5" s="468"/>
      <c r="E5" s="468"/>
      <c r="F5" s="468"/>
      <c r="G5" s="468"/>
      <c r="H5" s="468"/>
      <c r="I5" s="468"/>
      <c r="J5" s="468"/>
      <c r="K5" s="468"/>
      <c r="L5" s="468"/>
    </row>
    <row r="6" spans="1:12" ht="12.75" customHeight="1" x14ac:dyDescent="0.2"/>
    <row r="7" spans="1:12" ht="12.75" customHeight="1" x14ac:dyDescent="0.2">
      <c r="A7" s="470" t="s">
        <v>39</v>
      </c>
      <c r="B7" s="418"/>
      <c r="C7" s="418"/>
      <c r="D7" s="418"/>
      <c r="E7" s="6" t="s">
        <v>40</v>
      </c>
      <c r="F7" s="6" t="s">
        <v>41</v>
      </c>
      <c r="G7" s="1030" t="s">
        <v>730</v>
      </c>
      <c r="H7" s="459"/>
      <c r="I7" s="492" t="s">
        <v>1427</v>
      </c>
      <c r="J7" s="418"/>
      <c r="K7" s="418"/>
      <c r="L7" s="416"/>
    </row>
    <row r="8" spans="1:12" ht="12.75" customHeight="1" x14ac:dyDescent="0.2">
      <c r="A8" s="1027" t="s">
        <v>46</v>
      </c>
      <c r="B8" s="1026" t="s">
        <v>526</v>
      </c>
      <c r="C8" s="410"/>
      <c r="D8" s="411"/>
      <c r="E8" s="1027" t="s">
        <v>418</v>
      </c>
      <c r="F8" s="1025">
        <f>I8</f>
        <v>31.5</v>
      </c>
      <c r="G8" s="479" t="s">
        <v>261</v>
      </c>
      <c r="H8" s="416"/>
      <c r="I8" s="81">
        <f>I9*I10*I11</f>
        <v>31.5</v>
      </c>
      <c r="J8" s="1034"/>
      <c r="K8" s="410"/>
      <c r="L8" s="411"/>
    </row>
    <row r="9" spans="1:12" ht="12.75" customHeight="1" x14ac:dyDescent="0.2">
      <c r="A9" s="1024"/>
      <c r="B9" s="467"/>
      <c r="C9" s="468"/>
      <c r="D9" s="469"/>
      <c r="E9" s="1024"/>
      <c r="F9" s="1024"/>
      <c r="G9" s="479" t="s">
        <v>184</v>
      </c>
      <c r="H9" s="416"/>
      <c r="I9" s="81">
        <v>1</v>
      </c>
      <c r="J9" s="467"/>
      <c r="K9" s="468"/>
      <c r="L9" s="469"/>
    </row>
    <row r="10" spans="1:12" ht="12.75" customHeight="1" x14ac:dyDescent="0.2">
      <c r="A10" s="1024"/>
      <c r="B10" s="467"/>
      <c r="C10" s="468"/>
      <c r="D10" s="469"/>
      <c r="E10" s="1024"/>
      <c r="F10" s="1024"/>
      <c r="G10" s="479" t="s">
        <v>731</v>
      </c>
      <c r="H10" s="416"/>
      <c r="I10" s="81">
        <v>9</v>
      </c>
      <c r="J10" s="467"/>
      <c r="K10" s="468"/>
      <c r="L10" s="469"/>
    </row>
    <row r="11" spans="1:12" ht="12.75" customHeight="1" x14ac:dyDescent="0.2">
      <c r="A11" s="1024"/>
      <c r="B11" s="467"/>
      <c r="C11" s="468"/>
      <c r="D11" s="469"/>
      <c r="E11" s="1024"/>
      <c r="F11" s="1024"/>
      <c r="G11" s="479" t="s">
        <v>732</v>
      </c>
      <c r="H11" s="416"/>
      <c r="I11" s="81">
        <v>3.5</v>
      </c>
      <c r="J11" s="467"/>
      <c r="K11" s="468"/>
      <c r="L11" s="469"/>
    </row>
    <row r="12" spans="1:12" ht="12.75" customHeight="1" x14ac:dyDescent="0.2">
      <c r="A12" s="1024"/>
      <c r="B12" s="467"/>
      <c r="C12" s="468"/>
      <c r="D12" s="469"/>
      <c r="E12" s="1024"/>
      <c r="F12" s="1024"/>
      <c r="G12" s="479" t="s">
        <v>733</v>
      </c>
      <c r="H12" s="416"/>
      <c r="I12" s="81"/>
      <c r="J12" s="467"/>
      <c r="K12" s="468"/>
      <c r="L12" s="469"/>
    </row>
    <row r="13" spans="1:12" ht="12.75" customHeight="1" x14ac:dyDescent="0.2">
      <c r="A13" s="1024"/>
      <c r="B13" s="467"/>
      <c r="C13" s="468"/>
      <c r="D13" s="469"/>
      <c r="E13" s="1024"/>
      <c r="F13" s="1024"/>
      <c r="G13" s="479" t="s">
        <v>734</v>
      </c>
      <c r="H13" s="416"/>
      <c r="I13" s="81"/>
      <c r="J13" s="467"/>
      <c r="K13" s="468"/>
      <c r="L13" s="469"/>
    </row>
    <row r="14" spans="1:12" ht="12.75" customHeight="1" x14ac:dyDescent="0.2">
      <c r="A14" s="1024"/>
      <c r="B14" s="467"/>
      <c r="C14" s="468"/>
      <c r="D14" s="469"/>
      <c r="E14" s="1024"/>
      <c r="F14" s="1024"/>
      <c r="G14" s="479" t="s">
        <v>735</v>
      </c>
      <c r="H14" s="416"/>
      <c r="I14" s="81"/>
      <c r="J14" s="467"/>
      <c r="K14" s="468"/>
      <c r="L14" s="469"/>
    </row>
    <row r="15" spans="1:12" ht="12.75" customHeight="1" x14ac:dyDescent="0.2">
      <c r="A15" s="1024"/>
      <c r="B15" s="467"/>
      <c r="C15" s="468"/>
      <c r="D15" s="469"/>
      <c r="E15" s="1024"/>
      <c r="F15" s="1024"/>
      <c r="G15" s="479" t="s">
        <v>736</v>
      </c>
      <c r="H15" s="416"/>
      <c r="I15" s="81"/>
      <c r="J15" s="467"/>
      <c r="K15" s="468"/>
      <c r="L15" s="469"/>
    </row>
    <row r="16" spans="1:12" ht="12.75" customHeight="1" x14ac:dyDescent="0.2">
      <c r="A16" s="408"/>
      <c r="B16" s="412"/>
      <c r="C16" s="413"/>
      <c r="D16" s="414"/>
      <c r="E16" s="408"/>
      <c r="F16" s="408"/>
      <c r="G16" s="479" t="s">
        <v>737</v>
      </c>
      <c r="H16" s="416"/>
      <c r="I16" s="81"/>
      <c r="J16" s="412"/>
      <c r="K16" s="413"/>
      <c r="L16" s="414"/>
    </row>
    <row r="17" spans="1:12" ht="12.75" customHeight="1" x14ac:dyDescent="0.25">
      <c r="A17" s="80"/>
      <c r="B17" s="80"/>
      <c r="C17" s="80"/>
      <c r="D17" s="80"/>
      <c r="E17" s="80"/>
      <c r="F17" s="80"/>
      <c r="G17" s="80"/>
      <c r="H17" s="80"/>
      <c r="I17" s="80"/>
      <c r="J17" s="80"/>
      <c r="K17" s="80"/>
      <c r="L17" s="80"/>
    </row>
    <row r="18" spans="1:12" ht="12.75" customHeight="1" x14ac:dyDescent="0.2">
      <c r="A18" s="470" t="s">
        <v>39</v>
      </c>
      <c r="B18" s="418"/>
      <c r="C18" s="418"/>
      <c r="D18" s="418"/>
      <c r="E18" s="6" t="s">
        <v>40</v>
      </c>
      <c r="F18" s="6" t="s">
        <v>41</v>
      </c>
      <c r="G18" s="1030" t="s">
        <v>730</v>
      </c>
      <c r="H18" s="459"/>
      <c r="I18" s="470" t="s">
        <v>1427</v>
      </c>
      <c r="J18" s="418"/>
      <c r="K18" s="418"/>
      <c r="L18" s="416"/>
    </row>
    <row r="19" spans="1:12" ht="12.75" customHeight="1" x14ac:dyDescent="0.2">
      <c r="A19" s="1023" t="s">
        <v>50</v>
      </c>
      <c r="B19" s="1026" t="s">
        <v>51</v>
      </c>
      <c r="C19" s="410"/>
      <c r="D19" s="411"/>
      <c r="E19" s="1023" t="s">
        <v>420</v>
      </c>
      <c r="F19" s="1025">
        <f>I19</f>
        <v>15.75</v>
      </c>
      <c r="G19" s="479" t="s">
        <v>261</v>
      </c>
      <c r="H19" s="416"/>
      <c r="I19" s="81">
        <f>I20*I27</f>
        <v>15.75</v>
      </c>
      <c r="J19" s="1034"/>
      <c r="K19" s="410"/>
      <c r="L19" s="411"/>
    </row>
    <row r="20" spans="1:12" ht="12.75" customHeight="1" x14ac:dyDescent="0.2">
      <c r="A20" s="1024"/>
      <c r="B20" s="467"/>
      <c r="C20" s="468"/>
      <c r="D20" s="469"/>
      <c r="E20" s="1024"/>
      <c r="F20" s="1024"/>
      <c r="G20" s="479" t="s">
        <v>184</v>
      </c>
      <c r="H20" s="416"/>
      <c r="I20" s="81">
        <v>1</v>
      </c>
      <c r="J20" s="467"/>
      <c r="K20" s="468"/>
      <c r="L20" s="469"/>
    </row>
    <row r="21" spans="1:12" ht="12.75" customHeight="1" x14ac:dyDescent="0.2">
      <c r="A21" s="1024"/>
      <c r="B21" s="467"/>
      <c r="C21" s="468"/>
      <c r="D21" s="469"/>
      <c r="E21" s="1024"/>
      <c r="F21" s="1024"/>
      <c r="G21" s="479" t="s">
        <v>731</v>
      </c>
      <c r="H21" s="416"/>
      <c r="I21" s="81">
        <v>9</v>
      </c>
      <c r="J21" s="467"/>
      <c r="K21" s="468"/>
      <c r="L21" s="469"/>
    </row>
    <row r="22" spans="1:12" ht="12.75" customHeight="1" x14ac:dyDescent="0.2">
      <c r="A22" s="1024"/>
      <c r="B22" s="467"/>
      <c r="C22" s="468"/>
      <c r="D22" s="469"/>
      <c r="E22" s="1024"/>
      <c r="F22" s="1024"/>
      <c r="G22" s="479" t="s">
        <v>732</v>
      </c>
      <c r="H22" s="416"/>
      <c r="I22" s="81">
        <v>3.5</v>
      </c>
      <c r="J22" s="467"/>
      <c r="K22" s="468"/>
      <c r="L22" s="469"/>
    </row>
    <row r="23" spans="1:12" ht="12.75" customHeight="1" x14ac:dyDescent="0.2">
      <c r="A23" s="1024"/>
      <c r="B23" s="467"/>
      <c r="C23" s="468"/>
      <c r="D23" s="469"/>
      <c r="E23" s="1024"/>
      <c r="F23" s="1024"/>
      <c r="G23" s="479" t="s">
        <v>733</v>
      </c>
      <c r="H23" s="416"/>
      <c r="I23" s="81">
        <v>0.5</v>
      </c>
      <c r="J23" s="467"/>
      <c r="K23" s="468"/>
      <c r="L23" s="469"/>
    </row>
    <row r="24" spans="1:12" ht="12.75" customHeight="1" x14ac:dyDescent="0.2">
      <c r="A24" s="1024"/>
      <c r="B24" s="467"/>
      <c r="C24" s="468"/>
      <c r="D24" s="469"/>
      <c r="E24" s="1024"/>
      <c r="F24" s="1024"/>
      <c r="G24" s="479" t="s">
        <v>734</v>
      </c>
      <c r="H24" s="416"/>
      <c r="I24" s="81"/>
      <c r="J24" s="467"/>
      <c r="K24" s="468"/>
      <c r="L24" s="469"/>
    </row>
    <row r="25" spans="1:12" ht="12.75" customHeight="1" x14ac:dyDescent="0.2">
      <c r="A25" s="1024"/>
      <c r="B25" s="467"/>
      <c r="C25" s="468"/>
      <c r="D25" s="469"/>
      <c r="E25" s="1024"/>
      <c r="F25" s="1024"/>
      <c r="G25" s="479" t="s">
        <v>735</v>
      </c>
      <c r="H25" s="416"/>
      <c r="I25" s="81"/>
      <c r="J25" s="467"/>
      <c r="K25" s="468"/>
      <c r="L25" s="469"/>
    </row>
    <row r="26" spans="1:12" ht="12.75" customHeight="1" x14ac:dyDescent="0.2">
      <c r="A26" s="1024"/>
      <c r="B26" s="467"/>
      <c r="C26" s="468"/>
      <c r="D26" s="469"/>
      <c r="E26" s="1024"/>
      <c r="F26" s="1024"/>
      <c r="G26" s="479" t="s">
        <v>738</v>
      </c>
      <c r="H26" s="416"/>
      <c r="I26" s="81">
        <f>+I21*I22</f>
        <v>31.5</v>
      </c>
      <c r="J26" s="467"/>
      <c r="K26" s="468"/>
      <c r="L26" s="469"/>
    </row>
    <row r="27" spans="1:12" ht="12.75" customHeight="1" x14ac:dyDescent="0.2">
      <c r="A27" s="408"/>
      <c r="B27" s="412"/>
      <c r="C27" s="413"/>
      <c r="D27" s="414"/>
      <c r="E27" s="408"/>
      <c r="F27" s="408"/>
      <c r="G27" s="479" t="s">
        <v>739</v>
      </c>
      <c r="H27" s="416"/>
      <c r="I27" s="81">
        <f>+I26*I23</f>
        <v>15.75</v>
      </c>
      <c r="J27" s="412"/>
      <c r="K27" s="413"/>
      <c r="L27" s="414"/>
    </row>
    <row r="28" spans="1:12" ht="12.75" customHeight="1" x14ac:dyDescent="0.25">
      <c r="A28" s="80"/>
      <c r="B28" s="80"/>
      <c r="C28" s="80"/>
      <c r="D28" s="80"/>
      <c r="E28" s="80"/>
      <c r="F28" s="80"/>
      <c r="G28" s="80"/>
      <c r="H28" s="80"/>
      <c r="I28" s="80"/>
      <c r="J28" s="80"/>
      <c r="K28" s="80"/>
      <c r="L28" s="80"/>
    </row>
    <row r="29" spans="1:12" ht="12.75" customHeight="1" x14ac:dyDescent="0.2">
      <c r="A29" s="470" t="s">
        <v>39</v>
      </c>
      <c r="B29" s="418"/>
      <c r="C29" s="418"/>
      <c r="D29" s="418"/>
      <c r="E29" s="6" t="s">
        <v>40</v>
      </c>
      <c r="F29" s="6" t="s">
        <v>41</v>
      </c>
      <c r="G29" s="1030" t="s">
        <v>730</v>
      </c>
      <c r="H29" s="459"/>
      <c r="I29" s="470" t="s">
        <v>1427</v>
      </c>
      <c r="J29" s="418"/>
      <c r="K29" s="418"/>
      <c r="L29" s="416"/>
    </row>
    <row r="30" spans="1:12" ht="12.75" customHeight="1" x14ac:dyDescent="0.2">
      <c r="A30" s="1023" t="s">
        <v>54</v>
      </c>
      <c r="B30" s="1026" t="s">
        <v>55</v>
      </c>
      <c r="C30" s="410"/>
      <c r="D30" s="411"/>
      <c r="E30" s="1023" t="s">
        <v>420</v>
      </c>
      <c r="F30" s="1025">
        <f>+I30</f>
        <v>9.4499999999999993</v>
      </c>
      <c r="G30" s="479" t="s">
        <v>261</v>
      </c>
      <c r="H30" s="416"/>
      <c r="I30" s="81">
        <f>I31*I38</f>
        <v>9.4499999999999993</v>
      </c>
      <c r="J30" s="1049"/>
      <c r="K30" s="410"/>
      <c r="L30" s="411"/>
    </row>
    <row r="31" spans="1:12" ht="12.75" customHeight="1" x14ac:dyDescent="0.2">
      <c r="A31" s="1024"/>
      <c r="B31" s="467"/>
      <c r="C31" s="468"/>
      <c r="D31" s="469"/>
      <c r="E31" s="1024"/>
      <c r="F31" s="1024"/>
      <c r="G31" s="479" t="s">
        <v>184</v>
      </c>
      <c r="H31" s="416"/>
      <c r="I31" s="81">
        <v>1</v>
      </c>
      <c r="J31" s="467"/>
      <c r="K31" s="468"/>
      <c r="L31" s="469"/>
    </row>
    <row r="32" spans="1:12" ht="12.75" customHeight="1" x14ac:dyDescent="0.25">
      <c r="A32" s="1024"/>
      <c r="B32" s="467"/>
      <c r="C32" s="468"/>
      <c r="D32" s="469"/>
      <c r="E32" s="1024"/>
      <c r="F32" s="1024"/>
      <c r="G32" s="1047" t="s">
        <v>731</v>
      </c>
      <c r="H32" s="1048"/>
      <c r="I32" s="81">
        <v>9</v>
      </c>
      <c r="J32" s="467"/>
      <c r="K32" s="468"/>
      <c r="L32" s="469"/>
    </row>
    <row r="33" spans="1:12" ht="12.75" customHeight="1" x14ac:dyDescent="0.25">
      <c r="A33" s="1024"/>
      <c r="B33" s="467"/>
      <c r="C33" s="468"/>
      <c r="D33" s="469"/>
      <c r="E33" s="1024"/>
      <c r="F33" s="1024"/>
      <c r="G33" s="1047" t="s">
        <v>732</v>
      </c>
      <c r="H33" s="1048"/>
      <c r="I33" s="81">
        <v>3.5</v>
      </c>
      <c r="J33" s="467"/>
      <c r="K33" s="468"/>
      <c r="L33" s="469"/>
    </row>
    <row r="34" spans="1:12" ht="12.75" customHeight="1" x14ac:dyDescent="0.25">
      <c r="A34" s="1024"/>
      <c r="B34" s="467"/>
      <c r="C34" s="468"/>
      <c r="D34" s="469"/>
      <c r="E34" s="1024"/>
      <c r="F34" s="1024"/>
      <c r="G34" s="1047" t="s">
        <v>733</v>
      </c>
      <c r="H34" s="1048"/>
      <c r="I34" s="81">
        <v>0.3</v>
      </c>
      <c r="J34" s="467"/>
      <c r="K34" s="468"/>
      <c r="L34" s="469"/>
    </row>
    <row r="35" spans="1:12" ht="12.75" customHeight="1" x14ac:dyDescent="0.25">
      <c r="A35" s="1024"/>
      <c r="B35" s="467"/>
      <c r="C35" s="468"/>
      <c r="D35" s="469"/>
      <c r="E35" s="1024"/>
      <c r="F35" s="1024"/>
      <c r="G35" s="1047" t="s">
        <v>734</v>
      </c>
      <c r="H35" s="1048"/>
      <c r="I35" s="81"/>
      <c r="J35" s="467"/>
      <c r="K35" s="468"/>
      <c r="L35" s="469"/>
    </row>
    <row r="36" spans="1:12" ht="12.75" customHeight="1" x14ac:dyDescent="0.25">
      <c r="A36" s="1024"/>
      <c r="B36" s="467"/>
      <c r="C36" s="468"/>
      <c r="D36" s="469"/>
      <c r="E36" s="1024"/>
      <c r="F36" s="1024"/>
      <c r="G36" s="1047" t="s">
        <v>735</v>
      </c>
      <c r="H36" s="1048"/>
      <c r="I36" s="81"/>
      <c r="J36" s="467"/>
      <c r="K36" s="468"/>
      <c r="L36" s="469"/>
    </row>
    <row r="37" spans="1:12" ht="12.75" customHeight="1" x14ac:dyDescent="0.25">
      <c r="A37" s="1024"/>
      <c r="B37" s="467"/>
      <c r="C37" s="468"/>
      <c r="D37" s="469"/>
      <c r="E37" s="1024"/>
      <c r="F37" s="1024"/>
      <c r="G37" s="1047" t="s">
        <v>1429</v>
      </c>
      <c r="H37" s="1048"/>
      <c r="I37" s="81">
        <f>+I32*I33</f>
        <v>31.5</v>
      </c>
      <c r="J37" s="467"/>
      <c r="K37" s="468"/>
      <c r="L37" s="469"/>
    </row>
    <row r="38" spans="1:12" ht="12.75" customHeight="1" x14ac:dyDescent="0.25">
      <c r="A38" s="408"/>
      <c r="B38" s="412"/>
      <c r="C38" s="413"/>
      <c r="D38" s="414"/>
      <c r="E38" s="408"/>
      <c r="F38" s="408"/>
      <c r="G38" s="1047" t="s">
        <v>1430</v>
      </c>
      <c r="H38" s="1048"/>
      <c r="I38" s="81">
        <f>+I37*I34</f>
        <v>9.4499999999999993</v>
      </c>
      <c r="J38" s="412"/>
      <c r="K38" s="413"/>
      <c r="L38" s="414"/>
    </row>
    <row r="39" spans="1:12" ht="12.75" customHeight="1" x14ac:dyDescent="0.2"/>
    <row r="40" spans="1:12" ht="12.75" customHeight="1" x14ac:dyDescent="0.2">
      <c r="A40" s="470" t="s">
        <v>39</v>
      </c>
      <c r="B40" s="418"/>
      <c r="C40" s="418"/>
      <c r="D40" s="418"/>
      <c r="E40" s="6" t="s">
        <v>40</v>
      </c>
      <c r="F40" s="6" t="s">
        <v>41</v>
      </c>
      <c r="G40" s="1030" t="s">
        <v>730</v>
      </c>
      <c r="H40" s="459"/>
      <c r="I40" s="470" t="s">
        <v>1427</v>
      </c>
      <c r="J40" s="418"/>
      <c r="K40" s="418"/>
      <c r="L40" s="416"/>
    </row>
    <row r="41" spans="1:12" ht="12.75" customHeight="1" x14ac:dyDescent="0.2">
      <c r="A41" s="1023" t="s">
        <v>59</v>
      </c>
      <c r="B41" s="1026" t="s">
        <v>60</v>
      </c>
      <c r="C41" s="410"/>
      <c r="D41" s="411"/>
      <c r="E41" s="1027" t="s">
        <v>420</v>
      </c>
      <c r="F41" s="1025">
        <f>I41</f>
        <v>1.5750000000000002</v>
      </c>
      <c r="G41" s="479" t="s">
        <v>261</v>
      </c>
      <c r="H41" s="416"/>
      <c r="I41" s="81">
        <f>I42*I49</f>
        <v>1.5750000000000002</v>
      </c>
      <c r="J41" s="1034"/>
      <c r="K41" s="410"/>
      <c r="L41" s="411"/>
    </row>
    <row r="42" spans="1:12" ht="12.75" customHeight="1" x14ac:dyDescent="0.2">
      <c r="A42" s="1024"/>
      <c r="B42" s="467"/>
      <c r="C42" s="468"/>
      <c r="D42" s="469"/>
      <c r="E42" s="1024"/>
      <c r="F42" s="1024"/>
      <c r="G42" s="479" t="s">
        <v>184</v>
      </c>
      <c r="H42" s="416"/>
      <c r="I42" s="81">
        <v>1</v>
      </c>
      <c r="J42" s="467"/>
      <c r="K42" s="468"/>
      <c r="L42" s="469"/>
    </row>
    <row r="43" spans="1:12" ht="12.75" customHeight="1" x14ac:dyDescent="0.25">
      <c r="A43" s="1024"/>
      <c r="B43" s="467"/>
      <c r="C43" s="468"/>
      <c r="D43" s="469"/>
      <c r="E43" s="1024"/>
      <c r="F43" s="1024"/>
      <c r="G43" s="1047" t="s">
        <v>731</v>
      </c>
      <c r="H43" s="1048"/>
      <c r="I43" s="81">
        <v>9</v>
      </c>
      <c r="J43" s="467"/>
      <c r="K43" s="468"/>
      <c r="L43" s="469"/>
    </row>
    <row r="44" spans="1:12" ht="12.75" customHeight="1" x14ac:dyDescent="0.25">
      <c r="A44" s="1024"/>
      <c r="B44" s="467"/>
      <c r="C44" s="468"/>
      <c r="D44" s="469"/>
      <c r="E44" s="1024"/>
      <c r="F44" s="1024"/>
      <c r="G44" s="1047" t="s">
        <v>732</v>
      </c>
      <c r="H44" s="1048"/>
      <c r="I44" s="81">
        <v>3.5</v>
      </c>
      <c r="J44" s="467"/>
      <c r="K44" s="468"/>
      <c r="L44" s="469"/>
    </row>
    <row r="45" spans="1:12" ht="12.75" customHeight="1" x14ac:dyDescent="0.25">
      <c r="A45" s="1024"/>
      <c r="B45" s="467"/>
      <c r="C45" s="468"/>
      <c r="D45" s="469"/>
      <c r="E45" s="1024"/>
      <c r="F45" s="1024"/>
      <c r="G45" s="1047" t="s">
        <v>733</v>
      </c>
      <c r="H45" s="1048"/>
      <c r="I45" s="81">
        <v>0.05</v>
      </c>
      <c r="J45" s="467"/>
      <c r="K45" s="468"/>
      <c r="L45" s="469"/>
    </row>
    <row r="46" spans="1:12" ht="12.75" customHeight="1" x14ac:dyDescent="0.25">
      <c r="A46" s="1024"/>
      <c r="B46" s="467"/>
      <c r="C46" s="468"/>
      <c r="D46" s="469"/>
      <c r="E46" s="1024"/>
      <c r="F46" s="1024"/>
      <c r="G46" s="1047" t="s">
        <v>734</v>
      </c>
      <c r="H46" s="1048"/>
      <c r="I46" s="81"/>
      <c r="J46" s="467"/>
      <c r="K46" s="468"/>
      <c r="L46" s="469"/>
    </row>
    <row r="47" spans="1:12" ht="12.75" customHeight="1" x14ac:dyDescent="0.25">
      <c r="A47" s="1024"/>
      <c r="B47" s="467"/>
      <c r="C47" s="468"/>
      <c r="D47" s="469"/>
      <c r="E47" s="1024"/>
      <c r="F47" s="1024"/>
      <c r="G47" s="1047" t="s">
        <v>735</v>
      </c>
      <c r="H47" s="1048"/>
      <c r="I47" s="81"/>
      <c r="J47" s="467"/>
      <c r="K47" s="468"/>
      <c r="L47" s="469"/>
    </row>
    <row r="48" spans="1:12" ht="12.75" customHeight="1" x14ac:dyDescent="0.25">
      <c r="A48" s="1024"/>
      <c r="B48" s="467"/>
      <c r="C48" s="468"/>
      <c r="D48" s="469"/>
      <c r="E48" s="1024"/>
      <c r="F48" s="1024"/>
      <c r="G48" s="1047" t="s">
        <v>1429</v>
      </c>
      <c r="H48" s="1048"/>
      <c r="I48" s="81">
        <f>+I43*I44</f>
        <v>31.5</v>
      </c>
      <c r="J48" s="467"/>
      <c r="K48" s="468"/>
      <c r="L48" s="469"/>
    </row>
    <row r="49" spans="1:12" ht="12.75" customHeight="1" x14ac:dyDescent="0.25">
      <c r="A49" s="408"/>
      <c r="B49" s="412"/>
      <c r="C49" s="413"/>
      <c r="D49" s="414"/>
      <c r="E49" s="408"/>
      <c r="F49" s="408"/>
      <c r="G49" s="1047" t="s">
        <v>1430</v>
      </c>
      <c r="H49" s="1048"/>
      <c r="I49" s="81">
        <f>+I48*I45</f>
        <v>1.5750000000000002</v>
      </c>
      <c r="J49" s="412"/>
      <c r="K49" s="413"/>
      <c r="L49" s="414"/>
    </row>
    <row r="50" spans="1:12" ht="12.75" customHeight="1" x14ac:dyDescent="0.2"/>
    <row r="51" spans="1:12" ht="12.75" customHeight="1" x14ac:dyDescent="0.2">
      <c r="A51" s="470" t="s">
        <v>39</v>
      </c>
      <c r="B51" s="418"/>
      <c r="C51" s="418"/>
      <c r="D51" s="418"/>
      <c r="E51" s="6" t="s">
        <v>40</v>
      </c>
      <c r="F51" s="6" t="s">
        <v>41</v>
      </c>
      <c r="G51" s="1030" t="s">
        <v>730</v>
      </c>
      <c r="H51" s="459"/>
      <c r="I51" s="470" t="s">
        <v>1427</v>
      </c>
      <c r="J51" s="418"/>
      <c r="K51" s="418"/>
      <c r="L51" s="416"/>
    </row>
    <row r="52" spans="1:12" ht="12.75" customHeight="1" x14ac:dyDescent="0.2">
      <c r="A52" s="1023" t="s">
        <v>61</v>
      </c>
      <c r="B52" s="1026" t="s">
        <v>62</v>
      </c>
      <c r="C52" s="410"/>
      <c r="D52" s="411"/>
      <c r="E52" s="1027" t="s">
        <v>420</v>
      </c>
      <c r="F52" s="1025">
        <f>I52</f>
        <v>7.875</v>
      </c>
      <c r="G52" s="479" t="s">
        <v>261</v>
      </c>
      <c r="H52" s="416"/>
      <c r="I52" s="81">
        <f>I53*I60</f>
        <v>7.875</v>
      </c>
      <c r="J52" s="1034"/>
      <c r="K52" s="410"/>
      <c r="L52" s="411"/>
    </row>
    <row r="53" spans="1:12" ht="12.75" customHeight="1" x14ac:dyDescent="0.2">
      <c r="A53" s="1024"/>
      <c r="B53" s="467"/>
      <c r="C53" s="468"/>
      <c r="D53" s="469"/>
      <c r="E53" s="1024"/>
      <c r="F53" s="1024"/>
      <c r="G53" s="479" t="s">
        <v>184</v>
      </c>
      <c r="H53" s="416"/>
      <c r="I53" s="81">
        <v>1</v>
      </c>
      <c r="J53" s="467"/>
      <c r="K53" s="468"/>
      <c r="L53" s="469"/>
    </row>
    <row r="54" spans="1:12" ht="12.75" customHeight="1" x14ac:dyDescent="0.25">
      <c r="A54" s="1024"/>
      <c r="B54" s="467"/>
      <c r="C54" s="468"/>
      <c r="D54" s="469"/>
      <c r="E54" s="1024"/>
      <c r="F54" s="1024"/>
      <c r="G54" s="1047" t="s">
        <v>731</v>
      </c>
      <c r="H54" s="1048"/>
      <c r="I54" s="81">
        <v>9</v>
      </c>
      <c r="J54" s="467"/>
      <c r="K54" s="468"/>
      <c r="L54" s="469"/>
    </row>
    <row r="55" spans="1:12" ht="12.75" customHeight="1" x14ac:dyDescent="0.25">
      <c r="A55" s="1024"/>
      <c r="B55" s="467"/>
      <c r="C55" s="468"/>
      <c r="D55" s="469"/>
      <c r="E55" s="1024"/>
      <c r="F55" s="1024"/>
      <c r="G55" s="1047" t="s">
        <v>732</v>
      </c>
      <c r="H55" s="1048"/>
      <c r="I55" s="81">
        <v>3.5</v>
      </c>
      <c r="J55" s="467"/>
      <c r="K55" s="468"/>
      <c r="L55" s="469"/>
    </row>
    <row r="56" spans="1:12" ht="12.75" customHeight="1" x14ac:dyDescent="0.25">
      <c r="A56" s="1024"/>
      <c r="B56" s="467"/>
      <c r="C56" s="468"/>
      <c r="D56" s="469"/>
      <c r="E56" s="1024"/>
      <c r="F56" s="1024"/>
      <c r="G56" s="1047" t="s">
        <v>733</v>
      </c>
      <c r="H56" s="1048"/>
      <c r="I56" s="81">
        <v>0.25</v>
      </c>
      <c r="J56" s="467"/>
      <c r="K56" s="468"/>
      <c r="L56" s="469"/>
    </row>
    <row r="57" spans="1:12" ht="12.75" customHeight="1" x14ac:dyDescent="0.25">
      <c r="A57" s="1024"/>
      <c r="B57" s="467"/>
      <c r="C57" s="468"/>
      <c r="D57" s="469"/>
      <c r="E57" s="1024"/>
      <c r="F57" s="1024"/>
      <c r="G57" s="1047" t="s">
        <v>734</v>
      </c>
      <c r="H57" s="1048"/>
      <c r="I57" s="81"/>
      <c r="J57" s="467"/>
      <c r="K57" s="468"/>
      <c r="L57" s="469"/>
    </row>
    <row r="58" spans="1:12" ht="12.75" customHeight="1" x14ac:dyDescent="0.25">
      <c r="A58" s="1024"/>
      <c r="B58" s="467"/>
      <c r="C58" s="468"/>
      <c r="D58" s="469"/>
      <c r="E58" s="1024"/>
      <c r="F58" s="1024"/>
      <c r="G58" s="1047" t="s">
        <v>735</v>
      </c>
      <c r="H58" s="1048"/>
      <c r="I58" s="81"/>
      <c r="J58" s="467"/>
      <c r="K58" s="468"/>
      <c r="L58" s="469"/>
    </row>
    <row r="59" spans="1:12" ht="12.75" customHeight="1" x14ac:dyDescent="0.25">
      <c r="A59" s="1024"/>
      <c r="B59" s="467"/>
      <c r="C59" s="468"/>
      <c r="D59" s="469"/>
      <c r="E59" s="1024"/>
      <c r="F59" s="1024"/>
      <c r="G59" s="1047" t="s">
        <v>1429</v>
      </c>
      <c r="H59" s="1048"/>
      <c r="I59" s="81">
        <f>+I54*I55</f>
        <v>31.5</v>
      </c>
      <c r="J59" s="467"/>
      <c r="K59" s="468"/>
      <c r="L59" s="469"/>
    </row>
    <row r="60" spans="1:12" ht="12.75" customHeight="1" x14ac:dyDescent="0.25">
      <c r="A60" s="408"/>
      <c r="B60" s="412"/>
      <c r="C60" s="413"/>
      <c r="D60" s="414"/>
      <c r="E60" s="408"/>
      <c r="F60" s="408"/>
      <c r="G60" s="1047" t="s">
        <v>1430</v>
      </c>
      <c r="H60" s="1048"/>
      <c r="I60" s="81">
        <f>+I59*I56</f>
        <v>7.875</v>
      </c>
      <c r="J60" s="412"/>
      <c r="K60" s="413"/>
      <c r="L60" s="414"/>
    </row>
    <row r="61" spans="1:12" ht="12.75" customHeight="1" x14ac:dyDescent="0.2">
      <c r="A61" s="82"/>
      <c r="B61" s="11"/>
      <c r="C61" s="11"/>
      <c r="D61" s="11"/>
      <c r="E61" s="11"/>
      <c r="F61" s="11"/>
      <c r="G61" s="11"/>
      <c r="H61" s="11"/>
      <c r="I61" s="11"/>
      <c r="J61" s="11"/>
      <c r="K61" s="11"/>
      <c r="L61" s="11"/>
    </row>
    <row r="62" spans="1:12" ht="12.75" customHeight="1" x14ac:dyDescent="0.2">
      <c r="A62" s="470" t="s">
        <v>39</v>
      </c>
      <c r="B62" s="418"/>
      <c r="C62" s="418"/>
      <c r="D62" s="418"/>
      <c r="E62" s="6" t="s">
        <v>40</v>
      </c>
      <c r="F62" s="6" t="s">
        <v>41</v>
      </c>
      <c r="G62" s="1030" t="s">
        <v>730</v>
      </c>
      <c r="H62" s="459"/>
      <c r="I62" s="470" t="s">
        <v>1427</v>
      </c>
      <c r="J62" s="418"/>
      <c r="K62" s="418"/>
      <c r="L62" s="416"/>
    </row>
    <row r="63" spans="1:12" ht="12.75" customHeight="1" x14ac:dyDescent="0.2">
      <c r="A63" s="1023" t="s">
        <v>63</v>
      </c>
      <c r="B63" s="1026" t="s">
        <v>66</v>
      </c>
      <c r="C63" s="410"/>
      <c r="D63" s="411"/>
      <c r="E63" s="1023" t="s">
        <v>445</v>
      </c>
      <c r="F63" s="1025">
        <f>+I63</f>
        <v>530</v>
      </c>
      <c r="G63" s="479" t="s">
        <v>261</v>
      </c>
      <c r="H63" s="416"/>
      <c r="I63" s="81">
        <f>+I64*I68</f>
        <v>530</v>
      </c>
      <c r="J63" s="1049"/>
      <c r="K63" s="410"/>
      <c r="L63" s="411"/>
    </row>
    <row r="64" spans="1:12" ht="12.75" customHeight="1" x14ac:dyDescent="0.2">
      <c r="A64" s="1024"/>
      <c r="B64" s="467"/>
      <c r="C64" s="468"/>
      <c r="D64" s="469"/>
      <c r="E64" s="1024"/>
      <c r="F64" s="1024"/>
      <c r="G64" s="479" t="s">
        <v>184</v>
      </c>
      <c r="H64" s="416"/>
      <c r="I64" s="81">
        <v>1</v>
      </c>
      <c r="J64" s="467"/>
      <c r="K64" s="468"/>
      <c r="L64" s="469"/>
    </row>
    <row r="65" spans="1:12" ht="12.75" customHeight="1" x14ac:dyDescent="0.2">
      <c r="A65" s="1024"/>
      <c r="B65" s="467"/>
      <c r="C65" s="468"/>
      <c r="D65" s="469"/>
      <c r="E65" s="1024"/>
      <c r="F65" s="1024"/>
      <c r="G65" s="479" t="s">
        <v>731</v>
      </c>
      <c r="H65" s="416"/>
      <c r="I65" s="81">
        <v>9</v>
      </c>
      <c r="J65" s="467"/>
      <c r="K65" s="468"/>
      <c r="L65" s="469"/>
    </row>
    <row r="66" spans="1:12" ht="12.75" customHeight="1" x14ac:dyDescent="0.2">
      <c r="A66" s="1024"/>
      <c r="B66" s="467"/>
      <c r="C66" s="468"/>
      <c r="D66" s="469"/>
      <c r="E66" s="1024"/>
      <c r="F66" s="1024"/>
      <c r="G66" s="479" t="s">
        <v>732</v>
      </c>
      <c r="H66" s="416"/>
      <c r="I66" s="81">
        <v>3.5</v>
      </c>
      <c r="J66" s="467"/>
      <c r="K66" s="468"/>
      <c r="L66" s="469"/>
    </row>
    <row r="67" spans="1:12" ht="12.75" customHeight="1" x14ac:dyDescent="0.2">
      <c r="A67" s="1024"/>
      <c r="B67" s="467"/>
      <c r="C67" s="468"/>
      <c r="D67" s="469"/>
      <c r="E67" s="1024"/>
      <c r="F67" s="1024"/>
      <c r="G67" s="479" t="s">
        <v>733</v>
      </c>
      <c r="H67" s="416"/>
      <c r="I67" s="81">
        <v>0.25</v>
      </c>
      <c r="J67" s="467"/>
      <c r="K67" s="468"/>
      <c r="L67" s="469"/>
    </row>
    <row r="68" spans="1:12" ht="12.75" customHeight="1" x14ac:dyDescent="0.2">
      <c r="A68" s="1024"/>
      <c r="B68" s="467"/>
      <c r="C68" s="468"/>
      <c r="D68" s="469"/>
      <c r="E68" s="1024"/>
      <c r="F68" s="1024"/>
      <c r="G68" s="479" t="s">
        <v>734</v>
      </c>
      <c r="H68" s="416"/>
      <c r="I68" s="81">
        <v>530</v>
      </c>
      <c r="J68" s="467"/>
      <c r="K68" s="468"/>
      <c r="L68" s="469"/>
    </row>
    <row r="69" spans="1:12" ht="12.75" customHeight="1" x14ac:dyDescent="0.2">
      <c r="A69" s="1024"/>
      <c r="B69" s="467"/>
      <c r="C69" s="468"/>
      <c r="D69" s="469"/>
      <c r="E69" s="1024"/>
      <c r="F69" s="1024"/>
      <c r="G69" s="479" t="s">
        <v>735</v>
      </c>
      <c r="H69" s="416"/>
      <c r="I69" s="81"/>
      <c r="J69" s="467"/>
      <c r="K69" s="468"/>
      <c r="L69" s="469"/>
    </row>
    <row r="70" spans="1:12" ht="12.75" customHeight="1" x14ac:dyDescent="0.2">
      <c r="A70" s="1024"/>
      <c r="B70" s="467"/>
      <c r="C70" s="468"/>
      <c r="D70" s="469"/>
      <c r="E70" s="1024"/>
      <c r="F70" s="1024"/>
      <c r="G70" s="479" t="s">
        <v>740</v>
      </c>
      <c r="H70" s="416"/>
      <c r="I70" s="81"/>
      <c r="J70" s="467"/>
      <c r="K70" s="468"/>
      <c r="L70" s="469"/>
    </row>
    <row r="71" spans="1:12" ht="12.75" customHeight="1" x14ac:dyDescent="0.2">
      <c r="A71" s="408"/>
      <c r="B71" s="412"/>
      <c r="C71" s="413"/>
      <c r="D71" s="414"/>
      <c r="E71" s="408"/>
      <c r="F71" s="408"/>
      <c r="G71" s="479" t="s">
        <v>741</v>
      </c>
      <c r="H71" s="416"/>
      <c r="I71" s="81"/>
      <c r="J71" s="412"/>
      <c r="K71" s="413"/>
      <c r="L71" s="414"/>
    </row>
    <row r="72" spans="1:12" ht="12.75" customHeight="1" x14ac:dyDescent="0.2">
      <c r="A72" s="82"/>
      <c r="B72" s="11"/>
      <c r="C72" s="11"/>
      <c r="D72" s="11"/>
      <c r="E72" s="11"/>
      <c r="F72" s="11"/>
      <c r="G72" s="11"/>
      <c r="H72" s="11"/>
      <c r="I72" s="11"/>
      <c r="J72" s="11"/>
      <c r="K72" s="11"/>
      <c r="L72" s="11"/>
    </row>
    <row r="73" spans="1:12" ht="12.75" customHeight="1" x14ac:dyDescent="0.2">
      <c r="A73" s="470" t="s">
        <v>39</v>
      </c>
      <c r="B73" s="418"/>
      <c r="C73" s="418"/>
      <c r="D73" s="418"/>
      <c r="E73" s="6" t="s">
        <v>40</v>
      </c>
      <c r="F73" s="6" t="s">
        <v>41</v>
      </c>
      <c r="G73" s="1030" t="s">
        <v>730</v>
      </c>
      <c r="H73" s="459"/>
      <c r="I73" s="470" t="s">
        <v>1427</v>
      </c>
      <c r="J73" s="418"/>
      <c r="K73" s="418"/>
      <c r="L73" s="416"/>
    </row>
    <row r="74" spans="1:12" ht="12.75" customHeight="1" x14ac:dyDescent="0.2">
      <c r="A74" s="1023" t="s">
        <v>73</v>
      </c>
      <c r="B74" s="1026" t="s">
        <v>1431</v>
      </c>
      <c r="C74" s="410"/>
      <c r="D74" s="411"/>
      <c r="E74" s="1023" t="s">
        <v>475</v>
      </c>
      <c r="F74" s="1025">
        <f>I74</f>
        <v>1</v>
      </c>
      <c r="G74" s="479" t="s">
        <v>261</v>
      </c>
      <c r="H74" s="416"/>
      <c r="I74" s="81">
        <f>+I75</f>
        <v>1</v>
      </c>
      <c r="J74" s="1031" t="s">
        <v>1433</v>
      </c>
      <c r="K74" s="410"/>
      <c r="L74" s="411"/>
    </row>
    <row r="75" spans="1:12" ht="12.75" customHeight="1" x14ac:dyDescent="0.2">
      <c r="A75" s="1024"/>
      <c r="B75" s="467"/>
      <c r="C75" s="468"/>
      <c r="D75" s="469"/>
      <c r="E75" s="1024"/>
      <c r="F75" s="1024"/>
      <c r="G75" s="479" t="s">
        <v>184</v>
      </c>
      <c r="H75" s="416"/>
      <c r="I75" s="81">
        <v>1</v>
      </c>
      <c r="J75" s="467"/>
      <c r="K75" s="468"/>
      <c r="L75" s="469"/>
    </row>
    <row r="76" spans="1:12" ht="12.75" customHeight="1" x14ac:dyDescent="0.2">
      <c r="A76" s="1024"/>
      <c r="B76" s="467"/>
      <c r="C76" s="468"/>
      <c r="D76" s="469"/>
      <c r="E76" s="1024"/>
      <c r="F76" s="1024"/>
      <c r="G76" s="479" t="s">
        <v>731</v>
      </c>
      <c r="H76" s="416"/>
      <c r="I76" s="81"/>
      <c r="J76" s="467"/>
      <c r="K76" s="468"/>
      <c r="L76" s="469"/>
    </row>
    <row r="77" spans="1:12" ht="12.75" customHeight="1" x14ac:dyDescent="0.2">
      <c r="A77" s="1024"/>
      <c r="B77" s="467"/>
      <c r="C77" s="468"/>
      <c r="D77" s="469"/>
      <c r="E77" s="1024"/>
      <c r="F77" s="1024"/>
      <c r="G77" s="479" t="s">
        <v>732</v>
      </c>
      <c r="H77" s="416"/>
      <c r="I77" s="81"/>
      <c r="J77" s="467"/>
      <c r="K77" s="468"/>
      <c r="L77" s="469"/>
    </row>
    <row r="78" spans="1:12" ht="12.75" customHeight="1" x14ac:dyDescent="0.2">
      <c r="A78" s="1024"/>
      <c r="B78" s="467"/>
      <c r="C78" s="468"/>
      <c r="D78" s="469"/>
      <c r="E78" s="1024"/>
      <c r="F78" s="1024"/>
      <c r="G78" s="479" t="s">
        <v>733</v>
      </c>
      <c r="H78" s="416"/>
      <c r="I78" s="81"/>
      <c r="J78" s="467"/>
      <c r="K78" s="468"/>
      <c r="L78" s="469"/>
    </row>
    <row r="79" spans="1:12" ht="12.75" customHeight="1" x14ac:dyDescent="0.2">
      <c r="A79" s="1024"/>
      <c r="B79" s="467"/>
      <c r="C79" s="468"/>
      <c r="D79" s="469"/>
      <c r="E79" s="1024"/>
      <c r="F79" s="1024"/>
      <c r="G79" s="479" t="s">
        <v>734</v>
      </c>
      <c r="H79" s="416"/>
      <c r="I79" s="81"/>
      <c r="J79" s="467"/>
      <c r="K79" s="468"/>
      <c r="L79" s="469"/>
    </row>
    <row r="80" spans="1:12" ht="12.75" customHeight="1" x14ac:dyDescent="0.2">
      <c r="A80" s="1024"/>
      <c r="B80" s="467"/>
      <c r="C80" s="468"/>
      <c r="D80" s="469"/>
      <c r="E80" s="1024"/>
      <c r="F80" s="1024"/>
      <c r="G80" s="479" t="s">
        <v>742</v>
      </c>
      <c r="H80" s="416"/>
      <c r="I80" s="81"/>
      <c r="J80" s="467"/>
      <c r="K80" s="468"/>
      <c r="L80" s="469"/>
    </row>
    <row r="81" spans="1:12" ht="12.75" customHeight="1" x14ac:dyDescent="0.2">
      <c r="A81" s="1024"/>
      <c r="B81" s="467"/>
      <c r="C81" s="468"/>
      <c r="D81" s="469"/>
      <c r="E81" s="1024"/>
      <c r="F81" s="1024"/>
      <c r="G81" s="479" t="s">
        <v>743</v>
      </c>
      <c r="H81" s="416"/>
      <c r="I81" s="81"/>
      <c r="J81" s="467"/>
      <c r="K81" s="468"/>
      <c r="L81" s="469"/>
    </row>
    <row r="82" spans="1:12" ht="12.75" customHeight="1" x14ac:dyDescent="0.2">
      <c r="A82" s="408"/>
      <c r="B82" s="412"/>
      <c r="C82" s="413"/>
      <c r="D82" s="414"/>
      <c r="E82" s="408"/>
      <c r="F82" s="408"/>
      <c r="G82" s="479" t="s">
        <v>744</v>
      </c>
      <c r="H82" s="416"/>
      <c r="I82" s="81"/>
      <c r="J82" s="412"/>
      <c r="K82" s="413"/>
      <c r="L82" s="414"/>
    </row>
    <row r="83" spans="1:12" ht="12.75" customHeight="1" x14ac:dyDescent="0.2"/>
    <row r="84" spans="1:12" ht="12.75" customHeight="1" x14ac:dyDescent="0.2"/>
    <row r="85" spans="1:12" ht="12.75" customHeight="1" x14ac:dyDescent="0.2">
      <c r="A85" s="1028" t="s">
        <v>1747</v>
      </c>
      <c r="B85" s="1029"/>
      <c r="C85" s="1029"/>
      <c r="D85" s="1029"/>
      <c r="E85" s="1029"/>
      <c r="F85" s="1029"/>
      <c r="G85" s="1029"/>
      <c r="H85" s="1029"/>
      <c r="I85" s="1029"/>
      <c r="J85" s="1029"/>
      <c r="K85" s="1029"/>
      <c r="L85" s="1029"/>
    </row>
    <row r="86" spans="1:12" ht="12.75" customHeight="1" x14ac:dyDescent="0.2">
      <c r="A86" s="887"/>
      <c r="B86" s="468"/>
      <c r="C86" s="468"/>
      <c r="D86" s="468"/>
      <c r="E86" s="468"/>
      <c r="F86" s="468"/>
      <c r="G86" s="468"/>
      <c r="H86" s="468"/>
      <c r="I86" s="468"/>
      <c r="J86" s="468"/>
      <c r="K86" s="468"/>
      <c r="L86" s="468"/>
    </row>
    <row r="87" spans="1:12" ht="12.75" customHeight="1" x14ac:dyDescent="0.2"/>
    <row r="88" spans="1:12" ht="12.75" customHeight="1" x14ac:dyDescent="0.2">
      <c r="A88" s="470" t="s">
        <v>39</v>
      </c>
      <c r="B88" s="418"/>
      <c r="C88" s="418"/>
      <c r="D88" s="418"/>
      <c r="E88" s="6" t="s">
        <v>40</v>
      </c>
      <c r="F88" s="6" t="s">
        <v>41</v>
      </c>
      <c r="G88" s="1030" t="s">
        <v>730</v>
      </c>
      <c r="H88" s="459"/>
      <c r="I88" s="470" t="s">
        <v>1427</v>
      </c>
      <c r="J88" s="418"/>
      <c r="K88" s="418"/>
      <c r="L88" s="416"/>
    </row>
    <row r="89" spans="1:12" ht="12.75" customHeight="1" x14ac:dyDescent="0.2">
      <c r="A89" s="1023" t="s">
        <v>74</v>
      </c>
      <c r="B89" s="1026" t="s">
        <v>148</v>
      </c>
      <c r="C89" s="410"/>
      <c r="D89" s="411"/>
      <c r="E89" s="1023" t="s">
        <v>450</v>
      </c>
      <c r="F89" s="1025">
        <f>I89</f>
        <v>150</v>
      </c>
      <c r="G89" s="479" t="s">
        <v>261</v>
      </c>
      <c r="H89" s="416"/>
      <c r="I89" s="81">
        <f>+I90*I91</f>
        <v>150</v>
      </c>
      <c r="J89" s="1031" t="s">
        <v>1433</v>
      </c>
      <c r="K89" s="410"/>
      <c r="L89" s="411"/>
    </row>
    <row r="90" spans="1:12" ht="12.75" customHeight="1" x14ac:dyDescent="0.2">
      <c r="A90" s="1024"/>
      <c r="B90" s="467"/>
      <c r="C90" s="468"/>
      <c r="D90" s="469"/>
      <c r="E90" s="1024"/>
      <c r="F90" s="1024"/>
      <c r="G90" s="479" t="s">
        <v>184</v>
      </c>
      <c r="H90" s="416"/>
      <c r="I90" s="81">
        <v>1</v>
      </c>
      <c r="J90" s="467"/>
      <c r="K90" s="468"/>
      <c r="L90" s="469"/>
    </row>
    <row r="91" spans="1:12" ht="12.75" customHeight="1" x14ac:dyDescent="0.2">
      <c r="A91" s="1024"/>
      <c r="B91" s="467"/>
      <c r="C91" s="468"/>
      <c r="D91" s="469"/>
      <c r="E91" s="1024"/>
      <c r="F91" s="1024"/>
      <c r="G91" s="479" t="s">
        <v>731</v>
      </c>
      <c r="H91" s="416"/>
      <c r="I91" s="81">
        <v>150</v>
      </c>
      <c r="J91" s="467"/>
      <c r="K91" s="468"/>
      <c r="L91" s="469"/>
    </row>
    <row r="92" spans="1:12" ht="12.75" customHeight="1" x14ac:dyDescent="0.2">
      <c r="A92" s="1024"/>
      <c r="B92" s="467"/>
      <c r="C92" s="468"/>
      <c r="D92" s="469"/>
      <c r="E92" s="1024"/>
      <c r="F92" s="1024"/>
      <c r="G92" s="479" t="s">
        <v>732</v>
      </c>
      <c r="H92" s="416"/>
      <c r="I92" s="81"/>
      <c r="J92" s="467"/>
      <c r="K92" s="468"/>
      <c r="L92" s="469"/>
    </row>
    <row r="93" spans="1:12" ht="12.75" customHeight="1" x14ac:dyDescent="0.2">
      <c r="A93" s="1024"/>
      <c r="B93" s="467"/>
      <c r="C93" s="468"/>
      <c r="D93" s="469"/>
      <c r="E93" s="1024"/>
      <c r="F93" s="1024"/>
      <c r="G93" s="479" t="s">
        <v>733</v>
      </c>
      <c r="H93" s="416"/>
      <c r="I93" s="81"/>
      <c r="J93" s="467"/>
      <c r="K93" s="468"/>
      <c r="L93" s="469"/>
    </row>
    <row r="94" spans="1:12" ht="12.75" customHeight="1" x14ac:dyDescent="0.2">
      <c r="A94" s="1024"/>
      <c r="B94" s="467"/>
      <c r="C94" s="468"/>
      <c r="D94" s="469"/>
      <c r="E94" s="1024"/>
      <c r="F94" s="1024"/>
      <c r="G94" s="479" t="s">
        <v>734</v>
      </c>
      <c r="H94" s="416"/>
      <c r="I94" s="81"/>
      <c r="J94" s="467"/>
      <c r="K94" s="468"/>
      <c r="L94" s="469"/>
    </row>
    <row r="95" spans="1:12" ht="12.75" customHeight="1" x14ac:dyDescent="0.2">
      <c r="A95" s="1024"/>
      <c r="B95" s="467"/>
      <c r="C95" s="468"/>
      <c r="D95" s="469"/>
      <c r="E95" s="1024"/>
      <c r="F95" s="1024"/>
      <c r="G95" s="479" t="s">
        <v>735</v>
      </c>
      <c r="H95" s="416"/>
      <c r="I95" s="81"/>
      <c r="J95" s="467"/>
      <c r="K95" s="468"/>
      <c r="L95" s="469"/>
    </row>
    <row r="96" spans="1:12" ht="12.75" customHeight="1" x14ac:dyDescent="0.2">
      <c r="A96" s="1024"/>
      <c r="B96" s="467"/>
      <c r="C96" s="468"/>
      <c r="D96" s="469"/>
      <c r="E96" s="1024"/>
      <c r="F96" s="1024"/>
      <c r="G96" s="479" t="s">
        <v>745</v>
      </c>
      <c r="H96" s="416"/>
      <c r="I96" s="81"/>
      <c r="J96" s="467"/>
      <c r="K96" s="468"/>
      <c r="L96" s="469"/>
    </row>
    <row r="97" spans="1:12" ht="12.75" customHeight="1" x14ac:dyDescent="0.2">
      <c r="A97" s="408"/>
      <c r="B97" s="412"/>
      <c r="C97" s="413"/>
      <c r="D97" s="414"/>
      <c r="E97" s="408"/>
      <c r="F97" s="408"/>
      <c r="G97" s="479" t="s">
        <v>746</v>
      </c>
      <c r="H97" s="416"/>
      <c r="I97" s="81"/>
      <c r="J97" s="412"/>
      <c r="K97" s="413"/>
      <c r="L97" s="414"/>
    </row>
    <row r="98" spans="1:12" ht="12.75" customHeight="1" x14ac:dyDescent="0.2"/>
    <row r="99" spans="1:12" ht="12.75" customHeight="1" x14ac:dyDescent="0.2">
      <c r="A99" s="470" t="s">
        <v>39</v>
      </c>
      <c r="B99" s="418"/>
      <c r="C99" s="418"/>
      <c r="D99" s="418"/>
      <c r="E99" s="6" t="s">
        <v>40</v>
      </c>
      <c r="F99" s="6" t="s">
        <v>41</v>
      </c>
      <c r="G99" s="1030" t="s">
        <v>730</v>
      </c>
      <c r="H99" s="459"/>
      <c r="I99" s="470" t="s">
        <v>1427</v>
      </c>
      <c r="J99" s="418"/>
      <c r="K99" s="418"/>
      <c r="L99" s="416"/>
    </row>
    <row r="100" spans="1:12" ht="12.75" customHeight="1" x14ac:dyDescent="0.2">
      <c r="A100" s="1023" t="s">
        <v>75</v>
      </c>
      <c r="B100" s="1026" t="s">
        <v>150</v>
      </c>
      <c r="C100" s="410"/>
      <c r="D100" s="411"/>
      <c r="E100" s="1023" t="s">
        <v>475</v>
      </c>
      <c r="F100" s="1025">
        <f>I100</f>
        <v>1</v>
      </c>
      <c r="G100" s="479" t="s">
        <v>261</v>
      </c>
      <c r="H100" s="416"/>
      <c r="I100" s="81">
        <f>+I101</f>
        <v>1</v>
      </c>
      <c r="J100" s="1031" t="s">
        <v>1433</v>
      </c>
      <c r="K100" s="410"/>
      <c r="L100" s="411"/>
    </row>
    <row r="101" spans="1:12" ht="12.75" customHeight="1" x14ac:dyDescent="0.2">
      <c r="A101" s="1024"/>
      <c r="B101" s="467"/>
      <c r="C101" s="468"/>
      <c r="D101" s="469"/>
      <c r="E101" s="1024"/>
      <c r="F101" s="1024"/>
      <c r="G101" s="479" t="s">
        <v>184</v>
      </c>
      <c r="H101" s="416"/>
      <c r="I101" s="81">
        <v>1</v>
      </c>
      <c r="J101" s="467"/>
      <c r="K101" s="468"/>
      <c r="L101" s="469"/>
    </row>
    <row r="102" spans="1:12" ht="12.75" customHeight="1" x14ac:dyDescent="0.2">
      <c r="A102" s="1024"/>
      <c r="B102" s="467"/>
      <c r="C102" s="468"/>
      <c r="D102" s="469"/>
      <c r="E102" s="1024"/>
      <c r="F102" s="1024"/>
      <c r="G102" s="479" t="s">
        <v>731</v>
      </c>
      <c r="H102" s="416"/>
      <c r="I102" s="81"/>
      <c r="J102" s="467"/>
      <c r="K102" s="468"/>
      <c r="L102" s="469"/>
    </row>
    <row r="103" spans="1:12" ht="12.75" customHeight="1" x14ac:dyDescent="0.2">
      <c r="A103" s="1024"/>
      <c r="B103" s="467"/>
      <c r="C103" s="468"/>
      <c r="D103" s="469"/>
      <c r="E103" s="1024"/>
      <c r="F103" s="1024"/>
      <c r="G103" s="479" t="s">
        <v>732</v>
      </c>
      <c r="H103" s="416"/>
      <c r="I103" s="81"/>
      <c r="J103" s="467"/>
      <c r="K103" s="468"/>
      <c r="L103" s="469"/>
    </row>
    <row r="104" spans="1:12" ht="12.75" customHeight="1" x14ac:dyDescent="0.2">
      <c r="A104" s="1024"/>
      <c r="B104" s="467"/>
      <c r="C104" s="468"/>
      <c r="D104" s="469"/>
      <c r="E104" s="1024"/>
      <c r="F104" s="1024"/>
      <c r="G104" s="479" t="s">
        <v>733</v>
      </c>
      <c r="H104" s="416"/>
      <c r="I104" s="81"/>
      <c r="J104" s="467"/>
      <c r="K104" s="468"/>
      <c r="L104" s="469"/>
    </row>
    <row r="105" spans="1:12" ht="12.75" customHeight="1" x14ac:dyDescent="0.2">
      <c r="A105" s="1024"/>
      <c r="B105" s="467"/>
      <c r="C105" s="468"/>
      <c r="D105" s="469"/>
      <c r="E105" s="1024"/>
      <c r="F105" s="1024"/>
      <c r="G105" s="479" t="s">
        <v>734</v>
      </c>
      <c r="H105" s="416"/>
      <c r="I105" s="81"/>
      <c r="J105" s="467"/>
      <c r="K105" s="468"/>
      <c r="L105" s="469"/>
    </row>
    <row r="106" spans="1:12" ht="12.75" customHeight="1" x14ac:dyDescent="0.2">
      <c r="A106" s="1024"/>
      <c r="B106" s="467"/>
      <c r="C106" s="468"/>
      <c r="D106" s="469"/>
      <c r="E106" s="1024"/>
      <c r="F106" s="1024"/>
      <c r="G106" s="479" t="s">
        <v>735</v>
      </c>
      <c r="H106" s="416"/>
      <c r="I106" s="81"/>
      <c r="J106" s="467"/>
      <c r="K106" s="468"/>
      <c r="L106" s="469"/>
    </row>
    <row r="107" spans="1:12" ht="12.75" customHeight="1" x14ac:dyDescent="0.2">
      <c r="A107" s="1024"/>
      <c r="B107" s="467"/>
      <c r="C107" s="468"/>
      <c r="D107" s="469"/>
      <c r="E107" s="1024"/>
      <c r="F107" s="1024"/>
      <c r="G107" s="479" t="s">
        <v>736</v>
      </c>
      <c r="H107" s="416"/>
      <c r="I107" s="81"/>
      <c r="J107" s="467"/>
      <c r="K107" s="468"/>
      <c r="L107" s="469"/>
    </row>
    <row r="108" spans="1:12" ht="12.75" customHeight="1" x14ac:dyDescent="0.2">
      <c r="A108" s="408"/>
      <c r="B108" s="412"/>
      <c r="C108" s="413"/>
      <c r="D108" s="414"/>
      <c r="E108" s="408"/>
      <c r="F108" s="408"/>
      <c r="G108" s="479" t="s">
        <v>737</v>
      </c>
      <c r="H108" s="416"/>
      <c r="I108" s="81"/>
      <c r="J108" s="412"/>
      <c r="K108" s="413"/>
      <c r="L108" s="414"/>
    </row>
    <row r="109" spans="1:12" ht="12.75" customHeight="1" x14ac:dyDescent="0.2"/>
    <row r="110" spans="1:12" ht="12.75" customHeight="1" x14ac:dyDescent="0.2">
      <c r="A110" s="470" t="s">
        <v>39</v>
      </c>
      <c r="B110" s="418"/>
      <c r="C110" s="418"/>
      <c r="D110" s="418"/>
      <c r="E110" s="6" t="s">
        <v>40</v>
      </c>
      <c r="F110" s="6" t="s">
        <v>41</v>
      </c>
      <c r="G110" s="1030" t="s">
        <v>730</v>
      </c>
      <c r="H110" s="459"/>
      <c r="I110" s="470" t="s">
        <v>1427</v>
      </c>
      <c r="J110" s="418"/>
      <c r="K110" s="418"/>
      <c r="L110" s="416"/>
    </row>
    <row r="111" spans="1:12" ht="12.75" customHeight="1" x14ac:dyDescent="0.2">
      <c r="A111" s="1023" t="s">
        <v>76</v>
      </c>
      <c r="B111" s="1026" t="s">
        <v>152</v>
      </c>
      <c r="C111" s="410"/>
      <c r="D111" s="411"/>
      <c r="E111" s="1023" t="s">
        <v>475</v>
      </c>
      <c r="F111" s="1025">
        <f>I111</f>
        <v>1</v>
      </c>
      <c r="G111" s="479" t="s">
        <v>261</v>
      </c>
      <c r="H111" s="416"/>
      <c r="I111" s="81">
        <f>+I112</f>
        <v>1</v>
      </c>
      <c r="J111" s="1031" t="s">
        <v>1433</v>
      </c>
      <c r="K111" s="410"/>
      <c r="L111" s="411"/>
    </row>
    <row r="112" spans="1:12" ht="12.75" customHeight="1" x14ac:dyDescent="0.2">
      <c r="A112" s="1024"/>
      <c r="B112" s="467"/>
      <c r="C112" s="468"/>
      <c r="D112" s="469"/>
      <c r="E112" s="1024"/>
      <c r="F112" s="1024"/>
      <c r="G112" s="479" t="s">
        <v>184</v>
      </c>
      <c r="H112" s="416"/>
      <c r="I112" s="81">
        <v>1</v>
      </c>
      <c r="J112" s="467"/>
      <c r="K112" s="468"/>
      <c r="L112" s="469"/>
    </row>
    <row r="113" spans="1:12" ht="12.75" customHeight="1" x14ac:dyDescent="0.2">
      <c r="A113" s="1024"/>
      <c r="B113" s="467"/>
      <c r="C113" s="468"/>
      <c r="D113" s="469"/>
      <c r="E113" s="1024"/>
      <c r="F113" s="1024"/>
      <c r="G113" s="479" t="s">
        <v>731</v>
      </c>
      <c r="H113" s="416"/>
      <c r="I113" s="81"/>
      <c r="J113" s="467"/>
      <c r="K113" s="468"/>
      <c r="L113" s="469"/>
    </row>
    <row r="114" spans="1:12" ht="12.75" customHeight="1" x14ac:dyDescent="0.2">
      <c r="A114" s="1024"/>
      <c r="B114" s="467"/>
      <c r="C114" s="468"/>
      <c r="D114" s="469"/>
      <c r="E114" s="1024"/>
      <c r="F114" s="1024"/>
      <c r="G114" s="479" t="s">
        <v>732</v>
      </c>
      <c r="H114" s="416"/>
      <c r="I114" s="81"/>
      <c r="J114" s="467"/>
      <c r="K114" s="468"/>
      <c r="L114" s="469"/>
    </row>
    <row r="115" spans="1:12" ht="12.75" customHeight="1" x14ac:dyDescent="0.2">
      <c r="A115" s="1024"/>
      <c r="B115" s="467"/>
      <c r="C115" s="468"/>
      <c r="D115" s="469"/>
      <c r="E115" s="1024"/>
      <c r="F115" s="1024"/>
      <c r="G115" s="479" t="s">
        <v>733</v>
      </c>
      <c r="H115" s="416"/>
      <c r="I115" s="81"/>
      <c r="J115" s="467"/>
      <c r="K115" s="468"/>
      <c r="L115" s="469"/>
    </row>
    <row r="116" spans="1:12" ht="12.75" customHeight="1" x14ac:dyDescent="0.2">
      <c r="A116" s="1024"/>
      <c r="B116" s="467"/>
      <c r="C116" s="468"/>
      <c r="D116" s="469"/>
      <c r="E116" s="1024"/>
      <c r="F116" s="1024"/>
      <c r="G116" s="479" t="s">
        <v>734</v>
      </c>
      <c r="H116" s="416"/>
      <c r="I116" s="81"/>
      <c r="J116" s="467"/>
      <c r="K116" s="468"/>
      <c r="L116" s="469"/>
    </row>
    <row r="117" spans="1:12" ht="12.75" customHeight="1" x14ac:dyDescent="0.2">
      <c r="A117" s="1024"/>
      <c r="B117" s="467"/>
      <c r="C117" s="468"/>
      <c r="D117" s="469"/>
      <c r="E117" s="1024"/>
      <c r="F117" s="1024"/>
      <c r="G117" s="479" t="s">
        <v>735</v>
      </c>
      <c r="H117" s="416"/>
      <c r="I117" s="81"/>
      <c r="J117" s="467"/>
      <c r="K117" s="468"/>
      <c r="L117" s="469"/>
    </row>
    <row r="118" spans="1:12" ht="12.75" customHeight="1" x14ac:dyDescent="0.2">
      <c r="A118" s="1024"/>
      <c r="B118" s="467"/>
      <c r="C118" s="468"/>
      <c r="D118" s="469"/>
      <c r="E118" s="1024"/>
      <c r="F118" s="1024"/>
      <c r="G118" s="479" t="s">
        <v>736</v>
      </c>
      <c r="H118" s="416"/>
      <c r="I118" s="81"/>
      <c r="J118" s="467"/>
      <c r="K118" s="468"/>
      <c r="L118" s="469"/>
    </row>
    <row r="119" spans="1:12" ht="12.75" customHeight="1" x14ac:dyDescent="0.2">
      <c r="A119" s="408"/>
      <c r="B119" s="412"/>
      <c r="C119" s="413"/>
      <c r="D119" s="414"/>
      <c r="E119" s="408"/>
      <c r="F119" s="408"/>
      <c r="G119" s="479" t="s">
        <v>737</v>
      </c>
      <c r="H119" s="416"/>
      <c r="I119" s="81"/>
      <c r="J119" s="412"/>
      <c r="K119" s="413"/>
      <c r="L119" s="414"/>
    </row>
    <row r="120" spans="1:12" ht="12.75" customHeight="1" x14ac:dyDescent="0.2"/>
    <row r="121" spans="1:12" ht="12.75" customHeight="1" x14ac:dyDescent="0.2"/>
    <row r="122" spans="1:12" ht="12.75" customHeight="1" x14ac:dyDescent="0.2">
      <c r="A122" s="1032" t="s">
        <v>750</v>
      </c>
      <c r="B122" s="1029"/>
      <c r="C122" s="1029"/>
      <c r="D122" s="1029"/>
      <c r="E122" s="1029"/>
      <c r="F122" s="1029"/>
      <c r="G122" s="1029"/>
      <c r="H122" s="1029"/>
      <c r="I122" s="1029"/>
      <c r="J122" s="1029"/>
      <c r="K122" s="1029"/>
      <c r="L122" s="1029"/>
    </row>
    <row r="123" spans="1:12" ht="12.75" customHeight="1" x14ac:dyDescent="0.2">
      <c r="A123" s="887"/>
      <c r="B123" s="468"/>
      <c r="C123" s="468"/>
      <c r="D123" s="468"/>
      <c r="E123" s="468"/>
      <c r="F123" s="468"/>
      <c r="G123" s="468"/>
      <c r="H123" s="468"/>
      <c r="I123" s="468"/>
      <c r="J123" s="468"/>
      <c r="K123" s="468"/>
      <c r="L123" s="468"/>
    </row>
    <row r="124" spans="1:12" ht="12.75" customHeight="1" x14ac:dyDescent="0.2"/>
    <row r="125" spans="1:12" ht="12.75" customHeight="1" x14ac:dyDescent="0.2">
      <c r="A125" s="470" t="s">
        <v>39</v>
      </c>
      <c r="B125" s="418"/>
      <c r="C125" s="418"/>
      <c r="D125" s="418"/>
      <c r="E125" s="6" t="s">
        <v>40</v>
      </c>
      <c r="F125" s="6" t="s">
        <v>41</v>
      </c>
      <c r="G125" s="1030" t="s">
        <v>730</v>
      </c>
      <c r="H125" s="459"/>
      <c r="I125" s="470" t="s">
        <v>1427</v>
      </c>
      <c r="J125" s="418"/>
      <c r="K125" s="418"/>
      <c r="L125" s="416"/>
    </row>
    <row r="126" spans="1:12" ht="12.75" customHeight="1" x14ac:dyDescent="0.2">
      <c r="A126" s="1027" t="s">
        <v>98</v>
      </c>
      <c r="B126" s="1035" t="s">
        <v>47</v>
      </c>
      <c r="C126" s="410"/>
      <c r="D126" s="411"/>
      <c r="E126" s="1027" t="s">
        <v>418</v>
      </c>
      <c r="F126" s="1025">
        <f>+$F$132+$F$143</f>
        <v>241.345</v>
      </c>
      <c r="G126" s="466" t="s">
        <v>261</v>
      </c>
      <c r="H126" s="411"/>
      <c r="I126" s="1033"/>
      <c r="J126" s="1034"/>
      <c r="K126" s="410"/>
      <c r="L126" s="411"/>
    </row>
    <row r="127" spans="1:12" ht="12.75" customHeight="1" x14ac:dyDescent="0.2">
      <c r="A127" s="1024"/>
      <c r="B127" s="467"/>
      <c r="C127" s="468"/>
      <c r="D127" s="469"/>
      <c r="E127" s="1024"/>
      <c r="F127" s="1024"/>
      <c r="G127" s="467"/>
      <c r="H127" s="469"/>
      <c r="I127" s="1024"/>
      <c r="J127" s="467"/>
      <c r="K127" s="468"/>
      <c r="L127" s="469"/>
    </row>
    <row r="128" spans="1:12" ht="12.75" customHeight="1" x14ac:dyDescent="0.2">
      <c r="A128" s="1024"/>
      <c r="B128" s="467"/>
      <c r="C128" s="468"/>
      <c r="D128" s="469"/>
      <c r="E128" s="1024"/>
      <c r="F128" s="1024"/>
      <c r="G128" s="467"/>
      <c r="H128" s="469"/>
      <c r="I128" s="1024"/>
      <c r="J128" s="467"/>
      <c r="K128" s="468"/>
      <c r="L128" s="469"/>
    </row>
    <row r="129" spans="1:12" ht="12.75" customHeight="1" x14ac:dyDescent="0.2">
      <c r="A129" s="408"/>
      <c r="B129" s="412"/>
      <c r="C129" s="413"/>
      <c r="D129" s="414"/>
      <c r="E129" s="408"/>
      <c r="F129" s="408"/>
      <c r="G129" s="412"/>
      <c r="H129" s="414"/>
      <c r="I129" s="408"/>
      <c r="J129" s="412"/>
      <c r="K129" s="413"/>
      <c r="L129" s="414"/>
    </row>
    <row r="130" spans="1:12" ht="12.75" customHeight="1" x14ac:dyDescent="0.2"/>
    <row r="131" spans="1:12" ht="12.75" customHeight="1" x14ac:dyDescent="0.2">
      <c r="A131" s="470" t="s">
        <v>39</v>
      </c>
      <c r="B131" s="418"/>
      <c r="C131" s="418"/>
      <c r="D131" s="418"/>
      <c r="E131" s="6" t="s">
        <v>40</v>
      </c>
      <c r="F131" s="6" t="s">
        <v>41</v>
      </c>
      <c r="G131" s="1030" t="s">
        <v>730</v>
      </c>
      <c r="H131" s="459"/>
      <c r="I131" s="470" t="s">
        <v>1427</v>
      </c>
      <c r="J131" s="418"/>
      <c r="K131" s="418"/>
      <c r="L131" s="416"/>
    </row>
    <row r="132" spans="1:12" ht="12.75" customHeight="1" x14ac:dyDescent="0.2">
      <c r="A132" s="1027" t="s">
        <v>751</v>
      </c>
      <c r="B132" s="1035" t="s">
        <v>47</v>
      </c>
      <c r="C132" s="410"/>
      <c r="D132" s="411"/>
      <c r="E132" s="1027" t="s">
        <v>418</v>
      </c>
      <c r="F132" s="1025">
        <f>I132</f>
        <v>231.4</v>
      </c>
      <c r="G132" s="479" t="s">
        <v>261</v>
      </c>
      <c r="H132" s="416"/>
      <c r="I132" s="81">
        <f>I133*I134*I135</f>
        <v>231.4</v>
      </c>
      <c r="J132" s="1034"/>
      <c r="K132" s="410"/>
      <c r="L132" s="411"/>
    </row>
    <row r="133" spans="1:12" ht="12.75" customHeight="1" x14ac:dyDescent="0.2">
      <c r="A133" s="1024"/>
      <c r="B133" s="467"/>
      <c r="C133" s="468"/>
      <c r="D133" s="469"/>
      <c r="E133" s="1024"/>
      <c r="F133" s="1024"/>
      <c r="G133" s="479" t="s">
        <v>184</v>
      </c>
      <c r="H133" s="416"/>
      <c r="I133" s="81">
        <v>1</v>
      </c>
      <c r="J133" s="467"/>
      <c r="K133" s="468"/>
      <c r="L133" s="469"/>
    </row>
    <row r="134" spans="1:12" ht="12.75" customHeight="1" x14ac:dyDescent="0.2">
      <c r="A134" s="1024"/>
      <c r="B134" s="467"/>
      <c r="C134" s="468"/>
      <c r="D134" s="469"/>
      <c r="E134" s="1024"/>
      <c r="F134" s="1024"/>
      <c r="G134" s="479" t="s">
        <v>731</v>
      </c>
      <c r="H134" s="416"/>
      <c r="I134" s="81">
        <v>13</v>
      </c>
      <c r="J134" s="467"/>
      <c r="K134" s="468"/>
      <c r="L134" s="469"/>
    </row>
    <row r="135" spans="1:12" ht="12.75" customHeight="1" x14ac:dyDescent="0.2">
      <c r="A135" s="1024"/>
      <c r="B135" s="467"/>
      <c r="C135" s="468"/>
      <c r="D135" s="469"/>
      <c r="E135" s="1024"/>
      <c r="F135" s="1024"/>
      <c r="G135" s="479" t="s">
        <v>732</v>
      </c>
      <c r="H135" s="416"/>
      <c r="I135" s="81">
        <v>17.8</v>
      </c>
      <c r="J135" s="467"/>
      <c r="K135" s="468"/>
      <c r="L135" s="469"/>
    </row>
    <row r="136" spans="1:12" ht="12.75" customHeight="1" x14ac:dyDescent="0.2">
      <c r="A136" s="1024"/>
      <c r="B136" s="467"/>
      <c r="C136" s="468"/>
      <c r="D136" s="469"/>
      <c r="E136" s="1024"/>
      <c r="F136" s="1024"/>
      <c r="G136" s="479" t="s">
        <v>733</v>
      </c>
      <c r="H136" s="416"/>
      <c r="I136" s="81"/>
      <c r="J136" s="467"/>
      <c r="K136" s="468"/>
      <c r="L136" s="469"/>
    </row>
    <row r="137" spans="1:12" ht="12.75" customHeight="1" x14ac:dyDescent="0.2">
      <c r="A137" s="1024"/>
      <c r="B137" s="467"/>
      <c r="C137" s="468"/>
      <c r="D137" s="469"/>
      <c r="E137" s="1024"/>
      <c r="F137" s="1024"/>
      <c r="G137" s="479" t="s">
        <v>734</v>
      </c>
      <c r="H137" s="416"/>
      <c r="I137" s="81"/>
      <c r="J137" s="467"/>
      <c r="K137" s="468"/>
      <c r="L137" s="469"/>
    </row>
    <row r="138" spans="1:12" ht="12.75" customHeight="1" x14ac:dyDescent="0.2">
      <c r="A138" s="1024"/>
      <c r="B138" s="467"/>
      <c r="C138" s="468"/>
      <c r="D138" s="469"/>
      <c r="E138" s="1024"/>
      <c r="F138" s="1024"/>
      <c r="G138" s="479" t="s">
        <v>735</v>
      </c>
      <c r="H138" s="416"/>
      <c r="I138" s="81"/>
      <c r="J138" s="467"/>
      <c r="K138" s="468"/>
      <c r="L138" s="469"/>
    </row>
    <row r="139" spans="1:12" ht="12.75" customHeight="1" x14ac:dyDescent="0.2">
      <c r="A139" s="1024"/>
      <c r="B139" s="467"/>
      <c r="C139" s="468"/>
      <c r="D139" s="469"/>
      <c r="E139" s="1024"/>
      <c r="F139" s="1024"/>
      <c r="G139" s="479" t="s">
        <v>752</v>
      </c>
      <c r="H139" s="416"/>
      <c r="I139" s="81"/>
      <c r="J139" s="467"/>
      <c r="K139" s="468"/>
      <c r="L139" s="469"/>
    </row>
    <row r="140" spans="1:12" ht="12.75" customHeight="1" x14ac:dyDescent="0.2">
      <c r="A140" s="408"/>
      <c r="B140" s="412"/>
      <c r="C140" s="413"/>
      <c r="D140" s="414"/>
      <c r="E140" s="408"/>
      <c r="F140" s="408"/>
      <c r="G140" s="479" t="s">
        <v>753</v>
      </c>
      <c r="H140" s="416"/>
      <c r="I140" s="81"/>
      <c r="J140" s="412"/>
      <c r="K140" s="413"/>
      <c r="L140" s="414"/>
    </row>
    <row r="141" spans="1:12" ht="12.75" customHeight="1" x14ac:dyDescent="0.2"/>
    <row r="142" spans="1:12" ht="12.75" customHeight="1" x14ac:dyDescent="0.2">
      <c r="A142" s="470" t="s">
        <v>39</v>
      </c>
      <c r="B142" s="418"/>
      <c r="C142" s="418"/>
      <c r="D142" s="418"/>
      <c r="E142" s="6" t="s">
        <v>40</v>
      </c>
      <c r="F142" s="6" t="s">
        <v>41</v>
      </c>
      <c r="G142" s="1030" t="s">
        <v>730</v>
      </c>
      <c r="H142" s="459"/>
      <c r="I142" s="470" t="s">
        <v>1427</v>
      </c>
      <c r="J142" s="418"/>
      <c r="K142" s="418"/>
      <c r="L142" s="416"/>
    </row>
    <row r="143" spans="1:12" ht="12.75" customHeight="1" x14ac:dyDescent="0.2">
      <c r="A143" s="1023" t="s">
        <v>754</v>
      </c>
      <c r="B143" s="1035" t="s">
        <v>755</v>
      </c>
      <c r="C143" s="410"/>
      <c r="D143" s="411"/>
      <c r="E143" s="1027" t="s">
        <v>418</v>
      </c>
      <c r="F143" s="1025">
        <f>I143</f>
        <v>9.9450000000000003</v>
      </c>
      <c r="G143" s="479" t="s">
        <v>261</v>
      </c>
      <c r="H143" s="416"/>
      <c r="I143" s="81">
        <f>+I145*I147</f>
        <v>9.9450000000000003</v>
      </c>
      <c r="J143" s="1034"/>
      <c r="K143" s="410"/>
      <c r="L143" s="411"/>
    </row>
    <row r="144" spans="1:12" ht="12.75" customHeight="1" x14ac:dyDescent="0.2">
      <c r="A144" s="1024"/>
      <c r="B144" s="467"/>
      <c r="C144" s="468"/>
      <c r="D144" s="469"/>
      <c r="E144" s="1024"/>
      <c r="F144" s="1024"/>
      <c r="G144" s="479" t="s">
        <v>184</v>
      </c>
      <c r="H144" s="416"/>
      <c r="I144" s="81">
        <v>1</v>
      </c>
      <c r="J144" s="467"/>
      <c r="K144" s="468"/>
      <c r="L144" s="469"/>
    </row>
    <row r="145" spans="1:12" ht="12.75" customHeight="1" x14ac:dyDescent="0.2">
      <c r="A145" s="1024"/>
      <c r="B145" s="467"/>
      <c r="C145" s="468"/>
      <c r="D145" s="469"/>
      <c r="E145" s="1024"/>
      <c r="F145" s="1024"/>
      <c r="G145" s="479" t="s">
        <v>731</v>
      </c>
      <c r="H145" s="416"/>
      <c r="I145" s="81">
        <v>19.89</v>
      </c>
      <c r="J145" s="467"/>
      <c r="K145" s="468"/>
      <c r="L145" s="469"/>
    </row>
    <row r="146" spans="1:12" ht="12.75" customHeight="1" x14ac:dyDescent="0.2">
      <c r="A146" s="1024"/>
      <c r="B146" s="467"/>
      <c r="C146" s="468"/>
      <c r="D146" s="469"/>
      <c r="E146" s="1024"/>
      <c r="F146" s="1024"/>
      <c r="G146" s="479" t="s">
        <v>732</v>
      </c>
      <c r="H146" s="416"/>
      <c r="I146" s="81"/>
      <c r="J146" s="467"/>
      <c r="K146" s="468"/>
      <c r="L146" s="469"/>
    </row>
    <row r="147" spans="1:12" ht="12.75" customHeight="1" x14ac:dyDescent="0.2">
      <c r="A147" s="1024"/>
      <c r="B147" s="467"/>
      <c r="C147" s="468"/>
      <c r="D147" s="469"/>
      <c r="E147" s="1024"/>
      <c r="F147" s="1024"/>
      <c r="G147" s="479" t="s">
        <v>733</v>
      </c>
      <c r="H147" s="416"/>
      <c r="I147" s="81">
        <v>0.5</v>
      </c>
      <c r="J147" s="467"/>
      <c r="K147" s="468"/>
      <c r="L147" s="469"/>
    </row>
    <row r="148" spans="1:12" ht="12.75" customHeight="1" x14ac:dyDescent="0.2">
      <c r="A148" s="1024"/>
      <c r="B148" s="467"/>
      <c r="C148" s="468"/>
      <c r="D148" s="469"/>
      <c r="E148" s="1024"/>
      <c r="F148" s="1024"/>
      <c r="G148" s="479" t="s">
        <v>734</v>
      </c>
      <c r="H148" s="416"/>
      <c r="I148" s="81"/>
      <c r="J148" s="467"/>
      <c r="K148" s="468"/>
      <c r="L148" s="469"/>
    </row>
    <row r="149" spans="1:12" ht="12.75" customHeight="1" x14ac:dyDescent="0.2">
      <c r="A149" s="1024"/>
      <c r="B149" s="467"/>
      <c r="C149" s="468"/>
      <c r="D149" s="469"/>
      <c r="E149" s="1024"/>
      <c r="F149" s="1024"/>
      <c r="G149" s="479" t="s">
        <v>735</v>
      </c>
      <c r="H149" s="416"/>
      <c r="I149" s="81"/>
      <c r="J149" s="467"/>
      <c r="K149" s="468"/>
      <c r="L149" s="469"/>
    </row>
    <row r="150" spans="1:12" ht="12.75" customHeight="1" x14ac:dyDescent="0.2">
      <c r="A150" s="1024"/>
      <c r="B150" s="467"/>
      <c r="C150" s="468"/>
      <c r="D150" s="469"/>
      <c r="E150" s="1024"/>
      <c r="F150" s="1024"/>
      <c r="G150" s="479" t="s">
        <v>756</v>
      </c>
      <c r="H150" s="416"/>
      <c r="I150" s="81"/>
      <c r="J150" s="467"/>
      <c r="K150" s="468"/>
      <c r="L150" s="469"/>
    </row>
    <row r="151" spans="1:12" ht="12.75" customHeight="1" x14ac:dyDescent="0.2">
      <c r="A151" s="408"/>
      <c r="B151" s="412"/>
      <c r="C151" s="413"/>
      <c r="D151" s="414"/>
      <c r="E151" s="408"/>
      <c r="F151" s="408"/>
      <c r="G151" s="479" t="s">
        <v>757</v>
      </c>
      <c r="H151" s="416"/>
      <c r="I151" s="81"/>
      <c r="J151" s="412"/>
      <c r="K151" s="413"/>
      <c r="L151" s="414"/>
    </row>
    <row r="152" spans="1:12" ht="12.75" customHeight="1" x14ac:dyDescent="0.2"/>
    <row r="153" spans="1:12" ht="12.75" customHeight="1" x14ac:dyDescent="0.2">
      <c r="A153" s="470" t="s">
        <v>39</v>
      </c>
      <c r="B153" s="418"/>
      <c r="C153" s="418"/>
      <c r="D153" s="418"/>
      <c r="E153" s="6" t="s">
        <v>40</v>
      </c>
      <c r="F153" s="6" t="s">
        <v>41</v>
      </c>
      <c r="G153" s="1030" t="s">
        <v>730</v>
      </c>
      <c r="H153" s="459"/>
      <c r="I153" s="470" t="s">
        <v>1427</v>
      </c>
      <c r="J153" s="418"/>
      <c r="K153" s="418"/>
      <c r="L153" s="416"/>
    </row>
    <row r="154" spans="1:12" ht="12.75" customHeight="1" x14ac:dyDescent="0.2">
      <c r="A154" s="1027" t="s">
        <v>100</v>
      </c>
      <c r="B154" s="1035" t="s">
        <v>87</v>
      </c>
      <c r="C154" s="410"/>
      <c r="D154" s="411"/>
      <c r="E154" s="1027" t="s">
        <v>420</v>
      </c>
      <c r="F154" s="1025">
        <f>I154</f>
        <v>275.09999999999997</v>
      </c>
      <c r="G154" s="479" t="s">
        <v>261</v>
      </c>
      <c r="H154" s="416"/>
      <c r="I154" s="3">
        <f>+I162*I159*I155</f>
        <v>275.09999999999997</v>
      </c>
      <c r="J154" s="1034"/>
      <c r="K154" s="410"/>
      <c r="L154" s="411"/>
    </row>
    <row r="155" spans="1:12" ht="12.75" customHeight="1" x14ac:dyDescent="0.2">
      <c r="A155" s="1024"/>
      <c r="B155" s="467"/>
      <c r="C155" s="468"/>
      <c r="D155" s="469"/>
      <c r="E155" s="1024"/>
      <c r="F155" s="1024"/>
      <c r="G155" s="479" t="s">
        <v>184</v>
      </c>
      <c r="H155" s="416"/>
      <c r="I155" s="81">
        <v>1</v>
      </c>
      <c r="J155" s="467"/>
      <c r="K155" s="468"/>
      <c r="L155" s="469"/>
    </row>
    <row r="156" spans="1:12" ht="12.75" customHeight="1" x14ac:dyDescent="0.2">
      <c r="A156" s="1024"/>
      <c r="B156" s="467"/>
      <c r="C156" s="468"/>
      <c r="D156" s="469"/>
      <c r="E156" s="1024"/>
      <c r="F156" s="1024"/>
      <c r="G156" s="479" t="s">
        <v>731</v>
      </c>
      <c r="H156" s="416"/>
      <c r="I156" s="81">
        <v>11.2</v>
      </c>
      <c r="J156" s="467"/>
      <c r="K156" s="468"/>
      <c r="L156" s="469"/>
    </row>
    <row r="157" spans="1:12" ht="12.75" customHeight="1" x14ac:dyDescent="0.2">
      <c r="A157" s="1024"/>
      <c r="B157" s="467"/>
      <c r="C157" s="468"/>
      <c r="D157" s="469"/>
      <c r="E157" s="1024"/>
      <c r="F157" s="1024"/>
      <c r="G157" s="479" t="s">
        <v>732</v>
      </c>
      <c r="H157" s="416"/>
      <c r="I157" s="81"/>
      <c r="J157" s="467"/>
      <c r="K157" s="468"/>
      <c r="L157" s="469"/>
    </row>
    <row r="158" spans="1:12" ht="12.75" customHeight="1" x14ac:dyDescent="0.2">
      <c r="A158" s="1024"/>
      <c r="B158" s="467"/>
      <c r="C158" s="468"/>
      <c r="D158" s="469"/>
      <c r="E158" s="1024"/>
      <c r="F158" s="1024"/>
      <c r="G158" s="479" t="s">
        <v>733</v>
      </c>
      <c r="H158" s="416"/>
      <c r="I158" s="81"/>
      <c r="J158" s="467"/>
      <c r="K158" s="468"/>
      <c r="L158" s="469"/>
    </row>
    <row r="159" spans="1:12" ht="12.75" customHeight="1" x14ac:dyDescent="0.2">
      <c r="A159" s="1024"/>
      <c r="B159" s="467"/>
      <c r="C159" s="468"/>
      <c r="D159" s="469"/>
      <c r="E159" s="1024"/>
      <c r="F159" s="1024"/>
      <c r="G159" s="479" t="s">
        <v>13</v>
      </c>
      <c r="H159" s="416"/>
      <c r="I159" s="34">
        <v>0.25</v>
      </c>
      <c r="J159" s="467"/>
      <c r="K159" s="468"/>
      <c r="L159" s="469"/>
    </row>
    <row r="160" spans="1:12" ht="12.75" customHeight="1" x14ac:dyDescent="0.2">
      <c r="A160" s="1024"/>
      <c r="B160" s="467"/>
      <c r="C160" s="468"/>
      <c r="D160" s="469"/>
      <c r="E160" s="1024"/>
      <c r="F160" s="1024"/>
      <c r="G160" s="479" t="s">
        <v>735</v>
      </c>
      <c r="H160" s="416"/>
      <c r="I160" s="81"/>
      <c r="J160" s="467"/>
      <c r="K160" s="468"/>
      <c r="L160" s="469"/>
    </row>
    <row r="161" spans="1:12" ht="12.75" customHeight="1" x14ac:dyDescent="0.2">
      <c r="A161" s="1024"/>
      <c r="B161" s="467"/>
      <c r="C161" s="468"/>
      <c r="D161" s="469"/>
      <c r="E161" s="1024"/>
      <c r="F161" s="1024"/>
      <c r="G161" s="479" t="s">
        <v>758</v>
      </c>
      <c r="H161" s="416"/>
      <c r="I161" s="81">
        <v>98.25</v>
      </c>
      <c r="J161" s="467"/>
      <c r="K161" s="468"/>
      <c r="L161" s="469"/>
    </row>
    <row r="162" spans="1:12" ht="12.75" customHeight="1" x14ac:dyDescent="0.2">
      <c r="A162" s="408"/>
      <c r="B162" s="412"/>
      <c r="C162" s="413"/>
      <c r="D162" s="414"/>
      <c r="E162" s="408"/>
      <c r="F162" s="408"/>
      <c r="G162" s="479" t="s">
        <v>759</v>
      </c>
      <c r="H162" s="416"/>
      <c r="I162" s="3">
        <f>+I161*I156</f>
        <v>1100.3999999999999</v>
      </c>
      <c r="J162" s="412"/>
      <c r="K162" s="413"/>
      <c r="L162" s="414"/>
    </row>
    <row r="163" spans="1:12" ht="12.75" customHeight="1" x14ac:dyDescent="0.2"/>
    <row r="164" spans="1:12" ht="12.75" customHeight="1" x14ac:dyDescent="0.2">
      <c r="A164" s="470" t="s">
        <v>39</v>
      </c>
      <c r="B164" s="418"/>
      <c r="C164" s="418"/>
      <c r="D164" s="418"/>
      <c r="E164" s="6" t="s">
        <v>40</v>
      </c>
      <c r="F164" s="6" t="s">
        <v>41</v>
      </c>
      <c r="G164" s="1030" t="s">
        <v>730</v>
      </c>
      <c r="H164" s="459"/>
      <c r="I164" s="470" t="s">
        <v>1427</v>
      </c>
      <c r="J164" s="418"/>
      <c r="K164" s="418"/>
      <c r="L164" s="416"/>
    </row>
    <row r="165" spans="1:12" ht="12.75" customHeight="1" x14ac:dyDescent="0.2">
      <c r="A165" s="1027" t="s">
        <v>101</v>
      </c>
      <c r="B165" s="1035" t="s">
        <v>102</v>
      </c>
      <c r="C165" s="410"/>
      <c r="D165" s="411"/>
      <c r="E165" s="1027" t="s">
        <v>420</v>
      </c>
      <c r="F165" s="1025">
        <f>+$F$171+$F$182</f>
        <v>830.27249999999992</v>
      </c>
      <c r="G165" s="466" t="s">
        <v>261</v>
      </c>
      <c r="H165" s="411"/>
      <c r="I165" s="1033"/>
      <c r="J165" s="1034"/>
      <c r="K165" s="410"/>
      <c r="L165" s="411"/>
    </row>
    <row r="166" spans="1:12" ht="12.75" customHeight="1" x14ac:dyDescent="0.2">
      <c r="A166" s="1024"/>
      <c r="B166" s="467"/>
      <c r="C166" s="468"/>
      <c r="D166" s="469"/>
      <c r="E166" s="1024"/>
      <c r="F166" s="1024"/>
      <c r="G166" s="467"/>
      <c r="H166" s="469"/>
      <c r="I166" s="1024"/>
      <c r="J166" s="467"/>
      <c r="K166" s="468"/>
      <c r="L166" s="469"/>
    </row>
    <row r="167" spans="1:12" ht="12.75" customHeight="1" x14ac:dyDescent="0.2">
      <c r="A167" s="1024"/>
      <c r="B167" s="467"/>
      <c r="C167" s="468"/>
      <c r="D167" s="469"/>
      <c r="E167" s="1024"/>
      <c r="F167" s="1024"/>
      <c r="G167" s="467"/>
      <c r="H167" s="469"/>
      <c r="I167" s="1024"/>
      <c r="J167" s="467"/>
      <c r="K167" s="468"/>
      <c r="L167" s="469"/>
    </row>
    <row r="168" spans="1:12" ht="12.75" customHeight="1" x14ac:dyDescent="0.2">
      <c r="A168" s="408"/>
      <c r="B168" s="412"/>
      <c r="C168" s="413"/>
      <c r="D168" s="414"/>
      <c r="E168" s="408"/>
      <c r="F168" s="408"/>
      <c r="G168" s="412"/>
      <c r="H168" s="414"/>
      <c r="I168" s="408"/>
      <c r="J168" s="412"/>
      <c r="K168" s="413"/>
      <c r="L168" s="414"/>
    </row>
    <row r="169" spans="1:12" ht="12.75" customHeight="1" x14ac:dyDescent="0.2"/>
    <row r="170" spans="1:12" ht="12.75" customHeight="1" x14ac:dyDescent="0.2">
      <c r="A170" s="470" t="s">
        <v>39</v>
      </c>
      <c r="B170" s="418"/>
      <c r="C170" s="418"/>
      <c r="D170" s="418"/>
      <c r="E170" s="6" t="s">
        <v>40</v>
      </c>
      <c r="F170" s="6" t="s">
        <v>41</v>
      </c>
      <c r="G170" s="1030" t="s">
        <v>730</v>
      </c>
      <c r="H170" s="459"/>
      <c r="I170" s="470" t="s">
        <v>1427</v>
      </c>
      <c r="J170" s="418"/>
      <c r="K170" s="418"/>
      <c r="L170" s="416"/>
    </row>
    <row r="171" spans="1:12" ht="12.75" customHeight="1" x14ac:dyDescent="0.2">
      <c r="A171" s="1027" t="s">
        <v>760</v>
      </c>
      <c r="B171" s="1035" t="s">
        <v>761</v>
      </c>
      <c r="C171" s="410"/>
      <c r="D171" s="411"/>
      <c r="E171" s="1027" t="s">
        <v>420</v>
      </c>
      <c r="F171" s="1025">
        <f>I171</f>
        <v>825.3</v>
      </c>
      <c r="G171" s="479" t="s">
        <v>261</v>
      </c>
      <c r="H171" s="416"/>
      <c r="I171" s="81">
        <f>+I179*I176*I172</f>
        <v>825.3</v>
      </c>
      <c r="J171" s="1034"/>
      <c r="K171" s="410"/>
      <c r="L171" s="411"/>
    </row>
    <row r="172" spans="1:12" ht="12.75" customHeight="1" x14ac:dyDescent="0.2">
      <c r="A172" s="1024"/>
      <c r="B172" s="467"/>
      <c r="C172" s="468"/>
      <c r="D172" s="469"/>
      <c r="E172" s="1024"/>
      <c r="F172" s="1024"/>
      <c r="G172" s="479" t="s">
        <v>184</v>
      </c>
      <c r="H172" s="416"/>
      <c r="I172" s="81">
        <v>1</v>
      </c>
      <c r="J172" s="467"/>
      <c r="K172" s="468"/>
      <c r="L172" s="469"/>
    </row>
    <row r="173" spans="1:12" ht="12.75" customHeight="1" x14ac:dyDescent="0.2">
      <c r="A173" s="1024"/>
      <c r="B173" s="467"/>
      <c r="C173" s="468"/>
      <c r="D173" s="469"/>
      <c r="E173" s="1024"/>
      <c r="F173" s="1024"/>
      <c r="G173" s="479" t="s">
        <v>732</v>
      </c>
      <c r="H173" s="416"/>
      <c r="I173" s="81"/>
      <c r="J173" s="467"/>
      <c r="K173" s="468"/>
      <c r="L173" s="469"/>
    </row>
    <row r="174" spans="1:12" ht="12.75" customHeight="1" x14ac:dyDescent="0.2">
      <c r="A174" s="1024"/>
      <c r="B174" s="467"/>
      <c r="C174" s="468"/>
      <c r="D174" s="469"/>
      <c r="E174" s="1024"/>
      <c r="F174" s="1024"/>
      <c r="G174" s="479" t="s">
        <v>731</v>
      </c>
      <c r="H174" s="416"/>
      <c r="I174" s="81">
        <v>11.2</v>
      </c>
      <c r="J174" s="467"/>
      <c r="K174" s="468"/>
      <c r="L174" s="469"/>
    </row>
    <row r="175" spans="1:12" ht="12.75" customHeight="1" x14ac:dyDescent="0.2">
      <c r="A175" s="1024"/>
      <c r="B175" s="467"/>
      <c r="C175" s="468"/>
      <c r="D175" s="469"/>
      <c r="E175" s="1024"/>
      <c r="F175" s="1024"/>
      <c r="G175" s="479" t="s">
        <v>733</v>
      </c>
      <c r="H175" s="416"/>
      <c r="I175" s="81"/>
      <c r="J175" s="467"/>
      <c r="K175" s="468"/>
      <c r="L175" s="469"/>
    </row>
    <row r="176" spans="1:12" ht="12.75" customHeight="1" x14ac:dyDescent="0.2">
      <c r="A176" s="1024"/>
      <c r="B176" s="467"/>
      <c r="C176" s="468"/>
      <c r="D176" s="469"/>
      <c r="E176" s="1024"/>
      <c r="F176" s="1024"/>
      <c r="G176" s="479" t="s">
        <v>13</v>
      </c>
      <c r="H176" s="416"/>
      <c r="I176" s="34">
        <v>0.75</v>
      </c>
      <c r="J176" s="467"/>
      <c r="K176" s="468"/>
      <c r="L176" s="469"/>
    </row>
    <row r="177" spans="1:12" ht="12.75" customHeight="1" x14ac:dyDescent="0.2">
      <c r="A177" s="1024"/>
      <c r="B177" s="467"/>
      <c r="C177" s="468"/>
      <c r="D177" s="469"/>
      <c r="E177" s="1024"/>
      <c r="F177" s="1024"/>
      <c r="G177" s="479" t="s">
        <v>735</v>
      </c>
      <c r="H177" s="416"/>
      <c r="I177" s="81"/>
      <c r="J177" s="467"/>
      <c r="K177" s="468"/>
      <c r="L177" s="469"/>
    </row>
    <row r="178" spans="1:12" ht="12.75" customHeight="1" x14ac:dyDescent="0.2">
      <c r="A178" s="1024"/>
      <c r="B178" s="467"/>
      <c r="C178" s="468"/>
      <c r="D178" s="469"/>
      <c r="E178" s="1024"/>
      <c r="F178" s="1024"/>
      <c r="G178" s="479" t="s">
        <v>762</v>
      </c>
      <c r="H178" s="416"/>
      <c r="I178" s="81">
        <v>98.25</v>
      </c>
      <c r="J178" s="467"/>
      <c r="K178" s="468"/>
      <c r="L178" s="469"/>
    </row>
    <row r="179" spans="1:12" ht="12.75" customHeight="1" x14ac:dyDescent="0.2">
      <c r="A179" s="408"/>
      <c r="B179" s="412"/>
      <c r="C179" s="413"/>
      <c r="D179" s="414"/>
      <c r="E179" s="408"/>
      <c r="F179" s="408"/>
      <c r="G179" s="479" t="s">
        <v>763</v>
      </c>
      <c r="H179" s="416"/>
      <c r="I179" s="81">
        <f>+I178*I174</f>
        <v>1100.3999999999999</v>
      </c>
      <c r="J179" s="412"/>
      <c r="K179" s="413"/>
      <c r="L179" s="414"/>
    </row>
    <row r="180" spans="1:12" ht="12.75" customHeight="1" x14ac:dyDescent="0.2"/>
    <row r="181" spans="1:12" ht="12.75" customHeight="1" x14ac:dyDescent="0.2">
      <c r="A181" s="470" t="s">
        <v>39</v>
      </c>
      <c r="B181" s="418"/>
      <c r="C181" s="418"/>
      <c r="D181" s="416"/>
      <c r="E181" s="6" t="s">
        <v>40</v>
      </c>
      <c r="F181" s="6" t="s">
        <v>41</v>
      </c>
      <c r="G181" s="470" t="s">
        <v>730</v>
      </c>
      <c r="H181" s="416"/>
      <c r="I181" s="470" t="s">
        <v>1427</v>
      </c>
      <c r="J181" s="418"/>
      <c r="K181" s="418"/>
      <c r="L181" s="416"/>
    </row>
    <row r="182" spans="1:12" ht="12.75" customHeight="1" x14ac:dyDescent="0.2">
      <c r="A182" s="1023" t="s">
        <v>764</v>
      </c>
      <c r="B182" s="1035" t="s">
        <v>765</v>
      </c>
      <c r="C182" s="410"/>
      <c r="D182" s="411"/>
      <c r="E182" s="1027" t="s">
        <v>420</v>
      </c>
      <c r="F182" s="1025">
        <f>I182</f>
        <v>4.9725000000000001</v>
      </c>
      <c r="G182" s="479" t="s">
        <v>261</v>
      </c>
      <c r="H182" s="416"/>
      <c r="I182" s="81">
        <f>I186</f>
        <v>4.9725000000000001</v>
      </c>
      <c r="J182" s="1034"/>
      <c r="K182" s="410"/>
      <c r="L182" s="411"/>
    </row>
    <row r="183" spans="1:12" ht="12.75" customHeight="1" x14ac:dyDescent="0.2">
      <c r="A183" s="1024"/>
      <c r="B183" s="467"/>
      <c r="C183" s="468"/>
      <c r="D183" s="469"/>
      <c r="E183" s="1024"/>
      <c r="F183" s="1024"/>
      <c r="G183" s="479" t="s">
        <v>184</v>
      </c>
      <c r="H183" s="416"/>
      <c r="I183" s="81">
        <v>1</v>
      </c>
      <c r="J183" s="467"/>
      <c r="K183" s="468"/>
      <c r="L183" s="469"/>
    </row>
    <row r="184" spans="1:12" ht="12.75" customHeight="1" x14ac:dyDescent="0.2">
      <c r="A184" s="1024"/>
      <c r="B184" s="467"/>
      <c r="C184" s="468"/>
      <c r="D184" s="469"/>
      <c r="E184" s="1024"/>
      <c r="F184" s="1024"/>
      <c r="G184" s="479" t="s">
        <v>766</v>
      </c>
      <c r="H184" s="416"/>
      <c r="I184" s="81">
        <v>0.5</v>
      </c>
      <c r="J184" s="467"/>
      <c r="K184" s="468"/>
      <c r="L184" s="469"/>
    </row>
    <row r="185" spans="1:12" ht="12.75" customHeight="1" x14ac:dyDescent="0.2">
      <c r="A185" s="1024"/>
      <c r="B185" s="467"/>
      <c r="C185" s="468"/>
      <c r="D185" s="469"/>
      <c r="E185" s="1024"/>
      <c r="F185" s="1024"/>
      <c r="G185" s="479" t="s">
        <v>735</v>
      </c>
      <c r="H185" s="416"/>
      <c r="I185" s="81">
        <v>19.89</v>
      </c>
      <c r="J185" s="467"/>
      <c r="K185" s="468"/>
      <c r="L185" s="469"/>
    </row>
    <row r="186" spans="1:12" ht="12.75" customHeight="1" x14ac:dyDescent="0.2">
      <c r="A186" s="1024"/>
      <c r="B186" s="467"/>
      <c r="C186" s="468"/>
      <c r="D186" s="469"/>
      <c r="E186" s="1024"/>
      <c r="F186" s="1024"/>
      <c r="G186" s="479" t="s">
        <v>767</v>
      </c>
      <c r="H186" s="416"/>
      <c r="I186" s="81">
        <f>+I185*I184*I187</f>
        <v>4.9725000000000001</v>
      </c>
      <c r="J186" s="467"/>
      <c r="K186" s="468"/>
      <c r="L186" s="469"/>
    </row>
    <row r="187" spans="1:12" ht="12.75" customHeight="1" x14ac:dyDescent="0.2">
      <c r="A187" s="408"/>
      <c r="B187" s="412"/>
      <c r="C187" s="413"/>
      <c r="D187" s="414"/>
      <c r="E187" s="408"/>
      <c r="F187" s="408"/>
      <c r="G187" s="479" t="s">
        <v>747</v>
      </c>
      <c r="H187" s="416"/>
      <c r="I187" s="81">
        <v>0.5</v>
      </c>
      <c r="J187" s="412"/>
      <c r="K187" s="413"/>
      <c r="L187" s="414"/>
    </row>
    <row r="188" spans="1:12" ht="12.75" customHeight="1" x14ac:dyDescent="0.2"/>
    <row r="189" spans="1:12" ht="12.75" customHeight="1" x14ac:dyDescent="0.2">
      <c r="A189" s="470" t="s">
        <v>39</v>
      </c>
      <c r="B189" s="418"/>
      <c r="C189" s="418"/>
      <c r="D189" s="418"/>
      <c r="E189" s="6" t="s">
        <v>40</v>
      </c>
      <c r="F189" s="6" t="s">
        <v>41</v>
      </c>
      <c r="G189" s="1030" t="s">
        <v>730</v>
      </c>
      <c r="H189" s="459"/>
      <c r="I189" s="470" t="s">
        <v>1427</v>
      </c>
      <c r="J189" s="418"/>
      <c r="K189" s="418"/>
      <c r="L189" s="416"/>
    </row>
    <row r="190" spans="1:12" ht="12.75" customHeight="1" x14ac:dyDescent="0.2">
      <c r="A190" s="1027" t="s">
        <v>103</v>
      </c>
      <c r="B190" s="1035" t="s">
        <v>104</v>
      </c>
      <c r="C190" s="410"/>
      <c r="D190" s="411"/>
      <c r="E190" s="1027" t="s">
        <v>418</v>
      </c>
      <c r="F190" s="1025">
        <f>I190</f>
        <v>111.52</v>
      </c>
      <c r="G190" s="479" t="s">
        <v>261</v>
      </c>
      <c r="H190" s="416"/>
      <c r="I190" s="81">
        <f>+I197*I191</f>
        <v>111.52</v>
      </c>
      <c r="J190" s="1034"/>
      <c r="K190" s="410"/>
      <c r="L190" s="411"/>
    </row>
    <row r="191" spans="1:12" ht="12.75" customHeight="1" x14ac:dyDescent="0.2">
      <c r="A191" s="1024"/>
      <c r="B191" s="467"/>
      <c r="C191" s="468"/>
      <c r="D191" s="469"/>
      <c r="E191" s="1024"/>
      <c r="F191" s="1024"/>
      <c r="G191" s="479" t="s">
        <v>184</v>
      </c>
      <c r="H191" s="416"/>
      <c r="I191" s="81">
        <v>1</v>
      </c>
      <c r="J191" s="467"/>
      <c r="K191" s="468"/>
      <c r="L191" s="469"/>
    </row>
    <row r="192" spans="1:12" ht="12.75" customHeight="1" x14ac:dyDescent="0.2">
      <c r="A192" s="1024"/>
      <c r="B192" s="467"/>
      <c r="C192" s="468"/>
      <c r="D192" s="469"/>
      <c r="E192" s="1024"/>
      <c r="F192" s="1024"/>
      <c r="G192" s="479" t="s">
        <v>731</v>
      </c>
      <c r="H192" s="416"/>
      <c r="I192" s="81"/>
      <c r="J192" s="467"/>
      <c r="K192" s="468"/>
      <c r="L192" s="469"/>
    </row>
    <row r="193" spans="1:12" ht="12.75" customHeight="1" x14ac:dyDescent="0.2">
      <c r="A193" s="1024"/>
      <c r="B193" s="467"/>
      <c r="C193" s="468"/>
      <c r="D193" s="469"/>
      <c r="E193" s="1024"/>
      <c r="F193" s="1024"/>
      <c r="G193" s="479" t="s">
        <v>732</v>
      </c>
      <c r="H193" s="416"/>
      <c r="I193" s="81"/>
      <c r="J193" s="467"/>
      <c r="K193" s="468"/>
      <c r="L193" s="469"/>
    </row>
    <row r="194" spans="1:12" ht="12.75" customHeight="1" x14ac:dyDescent="0.2">
      <c r="A194" s="1024"/>
      <c r="B194" s="467"/>
      <c r="C194" s="468"/>
      <c r="D194" s="469"/>
      <c r="E194" s="1024"/>
      <c r="F194" s="1024"/>
      <c r="G194" s="479" t="s">
        <v>733</v>
      </c>
      <c r="H194" s="416"/>
      <c r="I194" s="81">
        <v>2</v>
      </c>
      <c r="J194" s="467"/>
      <c r="K194" s="468"/>
      <c r="L194" s="469"/>
    </row>
    <row r="195" spans="1:12" ht="12.75" customHeight="1" x14ac:dyDescent="0.2">
      <c r="A195" s="1024"/>
      <c r="B195" s="467"/>
      <c r="C195" s="468"/>
      <c r="D195" s="469"/>
      <c r="E195" s="1024"/>
      <c r="F195" s="1024"/>
      <c r="G195" s="479" t="s">
        <v>734</v>
      </c>
      <c r="H195" s="416"/>
      <c r="I195" s="81"/>
      <c r="J195" s="467"/>
      <c r="K195" s="468"/>
      <c r="L195" s="469"/>
    </row>
    <row r="196" spans="1:12" ht="12.75" customHeight="1" x14ac:dyDescent="0.2">
      <c r="A196" s="1024"/>
      <c r="B196" s="467"/>
      <c r="C196" s="468"/>
      <c r="D196" s="469"/>
      <c r="E196" s="1024"/>
      <c r="F196" s="1024"/>
      <c r="G196" s="479" t="s">
        <v>735</v>
      </c>
      <c r="H196" s="416"/>
      <c r="I196" s="81">
        <v>55.76</v>
      </c>
      <c r="J196" s="467"/>
      <c r="K196" s="468"/>
      <c r="L196" s="469"/>
    </row>
    <row r="197" spans="1:12" ht="12.75" customHeight="1" x14ac:dyDescent="0.2">
      <c r="A197" s="1024"/>
      <c r="B197" s="467"/>
      <c r="C197" s="468"/>
      <c r="D197" s="469"/>
      <c r="E197" s="1024"/>
      <c r="F197" s="1024"/>
      <c r="G197" s="479" t="s">
        <v>768</v>
      </c>
      <c r="H197" s="416"/>
      <c r="I197" s="81">
        <f>+I196*I194</f>
        <v>111.52</v>
      </c>
      <c r="J197" s="467"/>
      <c r="K197" s="468"/>
      <c r="L197" s="469"/>
    </row>
    <row r="198" spans="1:12" ht="12.75" customHeight="1" x14ac:dyDescent="0.2">
      <c r="A198" s="408"/>
      <c r="B198" s="412"/>
      <c r="C198" s="413"/>
      <c r="D198" s="414"/>
      <c r="E198" s="408"/>
      <c r="F198" s="408"/>
      <c r="G198" s="479" t="s">
        <v>769</v>
      </c>
      <c r="H198" s="416"/>
      <c r="I198" s="81"/>
      <c r="J198" s="412"/>
      <c r="K198" s="413"/>
      <c r="L198" s="414"/>
    </row>
    <row r="199" spans="1:12" ht="12.75" customHeight="1" x14ac:dyDescent="0.2"/>
    <row r="200" spans="1:12" ht="12.75" customHeight="1" x14ac:dyDescent="0.2">
      <c r="A200" s="470" t="s">
        <v>39</v>
      </c>
      <c r="B200" s="418"/>
      <c r="C200" s="418"/>
      <c r="D200" s="418"/>
      <c r="E200" s="6" t="s">
        <v>40</v>
      </c>
      <c r="F200" s="6" t="s">
        <v>41</v>
      </c>
      <c r="G200" s="1030" t="s">
        <v>730</v>
      </c>
      <c r="H200" s="459"/>
      <c r="I200" s="470" t="s">
        <v>1427</v>
      </c>
      <c r="J200" s="418"/>
      <c r="K200" s="418"/>
      <c r="L200" s="416"/>
    </row>
    <row r="201" spans="1:12" ht="12.75" customHeight="1" x14ac:dyDescent="0.2">
      <c r="A201" s="1027" t="s">
        <v>105</v>
      </c>
      <c r="B201" s="1035" t="s">
        <v>83</v>
      </c>
      <c r="C201" s="410"/>
      <c r="D201" s="411"/>
      <c r="E201" s="1027" t="s">
        <v>418</v>
      </c>
      <c r="F201" s="1025">
        <f>I201</f>
        <v>125.97750000000001</v>
      </c>
      <c r="G201" s="479" t="s">
        <v>261</v>
      </c>
      <c r="H201" s="416"/>
      <c r="I201" s="81">
        <f>+I208*I202</f>
        <v>125.97750000000001</v>
      </c>
      <c r="J201" s="1034"/>
      <c r="K201" s="410"/>
      <c r="L201" s="411"/>
    </row>
    <row r="202" spans="1:12" ht="12.75" customHeight="1" x14ac:dyDescent="0.2">
      <c r="A202" s="1024"/>
      <c r="B202" s="467"/>
      <c r="C202" s="468"/>
      <c r="D202" s="469"/>
      <c r="E202" s="1024"/>
      <c r="F202" s="1024"/>
      <c r="G202" s="479" t="s">
        <v>184</v>
      </c>
      <c r="H202" s="416"/>
      <c r="I202" s="81">
        <v>1</v>
      </c>
      <c r="J202" s="467"/>
      <c r="K202" s="468"/>
      <c r="L202" s="469"/>
    </row>
    <row r="203" spans="1:12" ht="12.75" customHeight="1" x14ac:dyDescent="0.2">
      <c r="A203" s="1024"/>
      <c r="B203" s="467"/>
      <c r="C203" s="468"/>
      <c r="D203" s="469"/>
      <c r="E203" s="1024"/>
      <c r="F203" s="1024"/>
      <c r="G203" s="479" t="s">
        <v>731</v>
      </c>
      <c r="H203" s="416"/>
      <c r="I203" s="81"/>
      <c r="J203" s="467"/>
      <c r="K203" s="468"/>
      <c r="L203" s="469"/>
    </row>
    <row r="204" spans="1:12" ht="12.75" customHeight="1" x14ac:dyDescent="0.2">
      <c r="A204" s="1024"/>
      <c r="B204" s="467"/>
      <c r="C204" s="468"/>
      <c r="D204" s="469"/>
      <c r="E204" s="1024"/>
      <c r="F204" s="1024"/>
      <c r="G204" s="479" t="s">
        <v>732</v>
      </c>
      <c r="H204" s="416"/>
      <c r="I204" s="81"/>
      <c r="J204" s="467"/>
      <c r="K204" s="468"/>
      <c r="L204" s="469"/>
    </row>
    <row r="205" spans="1:12" ht="12.75" customHeight="1" x14ac:dyDescent="0.2">
      <c r="A205" s="1024"/>
      <c r="B205" s="467"/>
      <c r="C205" s="468"/>
      <c r="D205" s="469"/>
      <c r="E205" s="1024"/>
      <c r="F205" s="1024"/>
      <c r="G205" s="479" t="s">
        <v>733</v>
      </c>
      <c r="H205" s="416"/>
      <c r="I205" s="81">
        <v>2.75</v>
      </c>
      <c r="J205" s="467"/>
      <c r="K205" s="468"/>
      <c r="L205" s="469"/>
    </row>
    <row r="206" spans="1:12" ht="12.75" customHeight="1" x14ac:dyDescent="0.2">
      <c r="A206" s="1024"/>
      <c r="B206" s="467"/>
      <c r="C206" s="468"/>
      <c r="D206" s="469"/>
      <c r="E206" s="1024"/>
      <c r="F206" s="1024"/>
      <c r="G206" s="479" t="s">
        <v>734</v>
      </c>
      <c r="H206" s="416"/>
      <c r="I206" s="81"/>
      <c r="J206" s="467"/>
      <c r="K206" s="468"/>
      <c r="L206" s="469"/>
    </row>
    <row r="207" spans="1:12" ht="12.75" customHeight="1" x14ac:dyDescent="0.2">
      <c r="A207" s="1024"/>
      <c r="B207" s="467"/>
      <c r="C207" s="468"/>
      <c r="D207" s="469"/>
      <c r="E207" s="1024"/>
      <c r="F207" s="1024"/>
      <c r="G207" s="479" t="s">
        <v>735</v>
      </c>
      <c r="H207" s="416"/>
      <c r="I207" s="81">
        <v>45.81</v>
      </c>
      <c r="J207" s="467"/>
      <c r="K207" s="468"/>
      <c r="L207" s="469"/>
    </row>
    <row r="208" spans="1:12" ht="12.75" customHeight="1" x14ac:dyDescent="0.2">
      <c r="A208" s="1024"/>
      <c r="B208" s="467"/>
      <c r="C208" s="468"/>
      <c r="D208" s="469"/>
      <c r="E208" s="1024"/>
      <c r="F208" s="1024"/>
      <c r="G208" s="479" t="s">
        <v>770</v>
      </c>
      <c r="H208" s="416"/>
      <c r="I208" s="81">
        <f>+I207*I205</f>
        <v>125.97750000000001</v>
      </c>
      <c r="J208" s="467"/>
      <c r="K208" s="468"/>
      <c r="L208" s="469"/>
    </row>
    <row r="209" spans="1:12" ht="12.75" customHeight="1" x14ac:dyDescent="0.2">
      <c r="A209" s="408"/>
      <c r="B209" s="412"/>
      <c r="C209" s="413"/>
      <c r="D209" s="414"/>
      <c r="E209" s="408"/>
      <c r="F209" s="408"/>
      <c r="G209" s="479" t="s">
        <v>771</v>
      </c>
      <c r="H209" s="416"/>
      <c r="I209" s="81"/>
      <c r="J209" s="412"/>
      <c r="K209" s="413"/>
      <c r="L209" s="414"/>
    </row>
    <row r="210" spans="1:12" ht="12.75" customHeight="1" x14ac:dyDescent="0.2"/>
    <row r="211" spans="1:12" ht="12.75" customHeight="1" x14ac:dyDescent="0.2">
      <c r="A211" s="470" t="s">
        <v>39</v>
      </c>
      <c r="B211" s="418"/>
      <c r="C211" s="418"/>
      <c r="D211" s="416"/>
      <c r="E211" s="6" t="s">
        <v>40</v>
      </c>
      <c r="F211" s="6" t="s">
        <v>41</v>
      </c>
      <c r="G211" s="1030" t="s">
        <v>730</v>
      </c>
      <c r="H211" s="459"/>
      <c r="I211" s="470" t="s">
        <v>1427</v>
      </c>
      <c r="J211" s="418"/>
      <c r="K211" s="418"/>
      <c r="L211" s="416"/>
    </row>
    <row r="212" spans="1:12" ht="12.75" customHeight="1" x14ac:dyDescent="0.2">
      <c r="A212" s="1023" t="s">
        <v>107</v>
      </c>
      <c r="B212" s="1035" t="s">
        <v>772</v>
      </c>
      <c r="C212" s="410"/>
      <c r="D212" s="411"/>
      <c r="E212" s="1027" t="s">
        <v>420</v>
      </c>
      <c r="F212" s="1025">
        <f>I212</f>
        <v>19.888000000000005</v>
      </c>
      <c r="G212" s="479" t="s">
        <v>261</v>
      </c>
      <c r="H212" s="416"/>
      <c r="I212" s="81">
        <f>+I220</f>
        <v>19.888000000000005</v>
      </c>
      <c r="J212" s="1034"/>
      <c r="K212" s="410"/>
      <c r="L212" s="411"/>
    </row>
    <row r="213" spans="1:12" ht="12.75" customHeight="1" x14ac:dyDescent="0.2">
      <c r="A213" s="1024"/>
      <c r="B213" s="467"/>
      <c r="C213" s="468"/>
      <c r="D213" s="469"/>
      <c r="E213" s="1024"/>
      <c r="F213" s="1024"/>
      <c r="G213" s="479" t="s">
        <v>184</v>
      </c>
      <c r="H213" s="416"/>
      <c r="I213" s="81">
        <v>1</v>
      </c>
      <c r="J213" s="467"/>
      <c r="K213" s="468"/>
      <c r="L213" s="469"/>
    </row>
    <row r="214" spans="1:12" ht="12.75" customHeight="1" x14ac:dyDescent="0.2">
      <c r="A214" s="1024"/>
      <c r="B214" s="467"/>
      <c r="C214" s="468"/>
      <c r="D214" s="469"/>
      <c r="E214" s="1024"/>
      <c r="F214" s="1024"/>
      <c r="G214" s="479" t="s">
        <v>731</v>
      </c>
      <c r="H214" s="416"/>
      <c r="I214" s="81">
        <v>8.8000000000000007</v>
      </c>
      <c r="J214" s="467"/>
      <c r="K214" s="468"/>
      <c r="L214" s="469"/>
    </row>
    <row r="215" spans="1:12" ht="12.75" customHeight="1" x14ac:dyDescent="0.2">
      <c r="A215" s="1024"/>
      <c r="B215" s="467"/>
      <c r="C215" s="468"/>
      <c r="D215" s="469"/>
      <c r="E215" s="1024"/>
      <c r="F215" s="1024"/>
      <c r="G215" s="479" t="s">
        <v>732</v>
      </c>
      <c r="H215" s="416"/>
      <c r="I215" s="81">
        <v>11.3</v>
      </c>
      <c r="J215" s="467"/>
      <c r="K215" s="468"/>
      <c r="L215" s="469"/>
    </row>
    <row r="216" spans="1:12" ht="12.75" customHeight="1" x14ac:dyDescent="0.2">
      <c r="A216" s="1024"/>
      <c r="B216" s="467"/>
      <c r="C216" s="468"/>
      <c r="D216" s="469"/>
      <c r="E216" s="1024"/>
      <c r="F216" s="1024"/>
      <c r="G216" s="479" t="s">
        <v>733</v>
      </c>
      <c r="H216" s="416"/>
      <c r="I216" s="81">
        <v>0.2</v>
      </c>
      <c r="J216" s="467"/>
      <c r="K216" s="468"/>
      <c r="L216" s="469"/>
    </row>
    <row r="217" spans="1:12" ht="12.75" customHeight="1" x14ac:dyDescent="0.2">
      <c r="A217" s="1024"/>
      <c r="B217" s="467"/>
      <c r="C217" s="468"/>
      <c r="D217" s="469"/>
      <c r="E217" s="1024"/>
      <c r="F217" s="1024"/>
      <c r="G217" s="479" t="s">
        <v>734</v>
      </c>
      <c r="H217" s="416"/>
      <c r="I217" s="81"/>
      <c r="J217" s="467"/>
      <c r="K217" s="468"/>
      <c r="L217" s="469"/>
    </row>
    <row r="218" spans="1:12" ht="12.75" customHeight="1" x14ac:dyDescent="0.2">
      <c r="A218" s="1024"/>
      <c r="B218" s="467"/>
      <c r="C218" s="468"/>
      <c r="D218" s="469"/>
      <c r="E218" s="1024"/>
      <c r="F218" s="1024"/>
      <c r="G218" s="479" t="s">
        <v>735</v>
      </c>
      <c r="H218" s="416"/>
      <c r="I218" s="81"/>
      <c r="J218" s="467"/>
      <c r="K218" s="468"/>
      <c r="L218" s="469"/>
    </row>
    <row r="219" spans="1:12" ht="12.75" customHeight="1" x14ac:dyDescent="0.2">
      <c r="A219" s="1024"/>
      <c r="B219" s="467"/>
      <c r="C219" s="468"/>
      <c r="D219" s="469"/>
      <c r="E219" s="1024"/>
      <c r="F219" s="1024"/>
      <c r="G219" s="479" t="s">
        <v>773</v>
      </c>
      <c r="H219" s="416"/>
      <c r="I219" s="81">
        <f>+I214*I215</f>
        <v>99.440000000000012</v>
      </c>
      <c r="J219" s="467"/>
      <c r="K219" s="468"/>
      <c r="L219" s="469"/>
    </row>
    <row r="220" spans="1:12" ht="12.75" customHeight="1" x14ac:dyDescent="0.2">
      <c r="A220" s="408"/>
      <c r="B220" s="412"/>
      <c r="C220" s="413"/>
      <c r="D220" s="414"/>
      <c r="E220" s="408"/>
      <c r="F220" s="408"/>
      <c r="G220" s="479" t="s">
        <v>774</v>
      </c>
      <c r="H220" s="416"/>
      <c r="I220" s="81">
        <f>+I219*I216</f>
        <v>19.888000000000005</v>
      </c>
      <c r="J220" s="412"/>
      <c r="K220" s="413"/>
      <c r="L220" s="414"/>
    </row>
    <row r="221" spans="1:12" ht="12.75" customHeight="1" x14ac:dyDescent="0.2"/>
    <row r="222" spans="1:12" ht="12.75" customHeight="1" x14ac:dyDescent="0.2">
      <c r="A222" s="470" t="s">
        <v>39</v>
      </c>
      <c r="B222" s="418"/>
      <c r="C222" s="418"/>
      <c r="D222" s="418"/>
      <c r="E222" s="6" t="s">
        <v>40</v>
      </c>
      <c r="F222" s="6" t="s">
        <v>41</v>
      </c>
      <c r="G222" s="1030" t="s">
        <v>730</v>
      </c>
      <c r="H222" s="459"/>
      <c r="I222" s="470" t="s">
        <v>1427</v>
      </c>
      <c r="J222" s="418"/>
      <c r="K222" s="418"/>
      <c r="L222" s="416"/>
    </row>
    <row r="223" spans="1:12" ht="12.75" customHeight="1" x14ac:dyDescent="0.2">
      <c r="A223" s="1027" t="s">
        <v>108</v>
      </c>
      <c r="B223" s="1035" t="s">
        <v>56</v>
      </c>
      <c r="C223" s="410"/>
      <c r="D223" s="411"/>
      <c r="E223" s="1027" t="s">
        <v>420</v>
      </c>
      <c r="F223" s="1025">
        <f>I223</f>
        <v>450.87199999999973</v>
      </c>
      <c r="G223" s="479" t="s">
        <v>261</v>
      </c>
      <c r="H223" s="416"/>
      <c r="I223" s="81">
        <f>I224-(SUM(I225:I231))</f>
        <v>450.87199999999973</v>
      </c>
      <c r="J223" s="1034"/>
      <c r="K223" s="410"/>
      <c r="L223" s="411"/>
    </row>
    <row r="224" spans="1:12" ht="12.75" customHeight="1" x14ac:dyDescent="0.2">
      <c r="A224" s="1024"/>
      <c r="B224" s="467"/>
      <c r="C224" s="468"/>
      <c r="D224" s="469"/>
      <c r="E224" s="1024"/>
      <c r="F224" s="1024"/>
      <c r="G224" s="479" t="s">
        <v>775</v>
      </c>
      <c r="H224" s="416"/>
      <c r="I224" s="81">
        <f>+I171+I154</f>
        <v>1100.3999999999999</v>
      </c>
      <c r="J224" s="467"/>
      <c r="K224" s="468"/>
      <c r="L224" s="469"/>
    </row>
    <row r="225" spans="1:12" ht="12.75" customHeight="1" x14ac:dyDescent="0.2">
      <c r="A225" s="1024"/>
      <c r="B225" s="467"/>
      <c r="C225" s="468"/>
      <c r="D225" s="469"/>
      <c r="E225" s="1024"/>
      <c r="F225" s="1024"/>
      <c r="G225" s="479" t="s">
        <v>776</v>
      </c>
      <c r="H225" s="416"/>
      <c r="I225" s="81">
        <f>11.3*8.8*6</f>
        <v>596.6400000000001</v>
      </c>
      <c r="J225" s="467"/>
      <c r="K225" s="468"/>
      <c r="L225" s="469"/>
    </row>
    <row r="226" spans="1:12" ht="12.75" customHeight="1" x14ac:dyDescent="0.2">
      <c r="A226" s="1024"/>
      <c r="B226" s="467"/>
      <c r="C226" s="468"/>
      <c r="D226" s="469"/>
      <c r="E226" s="1024"/>
      <c r="F226" s="1024"/>
      <c r="G226" s="479" t="s">
        <v>777</v>
      </c>
      <c r="H226" s="416"/>
      <c r="I226" s="81">
        <v>0</v>
      </c>
      <c r="J226" s="467"/>
      <c r="K226" s="468"/>
      <c r="L226" s="469"/>
    </row>
    <row r="227" spans="1:12" ht="12.75" customHeight="1" x14ac:dyDescent="0.2">
      <c r="A227" s="1024"/>
      <c r="B227" s="467"/>
      <c r="C227" s="468"/>
      <c r="D227" s="469"/>
      <c r="E227" s="1024"/>
      <c r="F227" s="1024"/>
      <c r="G227" s="479" t="s">
        <v>778</v>
      </c>
      <c r="H227" s="416"/>
      <c r="I227" s="81">
        <f>+I234</f>
        <v>21.12</v>
      </c>
      <c r="J227" s="467"/>
      <c r="K227" s="468"/>
      <c r="L227" s="469"/>
    </row>
    <row r="228" spans="1:12" ht="12.75" customHeight="1" x14ac:dyDescent="0.2">
      <c r="A228" s="1024"/>
      <c r="B228" s="467"/>
      <c r="C228" s="468"/>
      <c r="D228" s="469"/>
      <c r="E228" s="1024"/>
      <c r="F228" s="1024"/>
      <c r="G228" s="479" t="s">
        <v>779</v>
      </c>
      <c r="H228" s="416"/>
      <c r="I228" s="81">
        <f>+I245</f>
        <v>11.880000000000003</v>
      </c>
      <c r="J228" s="467"/>
      <c r="K228" s="468"/>
      <c r="L228" s="469"/>
    </row>
    <row r="229" spans="1:12" ht="12.75" customHeight="1" x14ac:dyDescent="0.2">
      <c r="A229" s="1024"/>
      <c r="B229" s="467"/>
      <c r="C229" s="468"/>
      <c r="D229" s="469"/>
      <c r="E229" s="1024"/>
      <c r="F229" s="1024"/>
      <c r="G229" s="479" t="s">
        <v>780</v>
      </c>
      <c r="H229" s="416"/>
      <c r="I229" s="81">
        <f>+I212</f>
        <v>19.888000000000005</v>
      </c>
      <c r="J229" s="467"/>
      <c r="K229" s="468"/>
      <c r="L229" s="469"/>
    </row>
    <row r="230" spans="1:12" ht="12.75" customHeight="1" x14ac:dyDescent="0.2">
      <c r="A230" s="1024"/>
      <c r="B230" s="467"/>
      <c r="C230" s="468"/>
      <c r="D230" s="469"/>
      <c r="E230" s="1024"/>
      <c r="F230" s="1024"/>
      <c r="G230" s="479" t="s">
        <v>781</v>
      </c>
      <c r="H230" s="416"/>
      <c r="I230" s="81">
        <v>0</v>
      </c>
      <c r="J230" s="467"/>
      <c r="K230" s="468"/>
      <c r="L230" s="469"/>
    </row>
    <row r="231" spans="1:12" ht="12.75" customHeight="1" x14ac:dyDescent="0.2">
      <c r="A231" s="408"/>
      <c r="B231" s="412"/>
      <c r="C231" s="413"/>
      <c r="D231" s="414"/>
      <c r="E231" s="408"/>
      <c r="F231" s="408"/>
      <c r="G231" s="479" t="s">
        <v>782</v>
      </c>
      <c r="H231" s="416"/>
      <c r="I231" s="81">
        <v>0</v>
      </c>
      <c r="J231" s="412"/>
      <c r="K231" s="413"/>
      <c r="L231" s="414"/>
    </row>
    <row r="232" spans="1:12" ht="12.75" customHeight="1" x14ac:dyDescent="0.2"/>
    <row r="233" spans="1:12" ht="12.75" customHeight="1" x14ac:dyDescent="0.2">
      <c r="A233" s="470" t="s">
        <v>39</v>
      </c>
      <c r="B233" s="418"/>
      <c r="C233" s="418"/>
      <c r="D233" s="418"/>
      <c r="E233" s="6" t="s">
        <v>40</v>
      </c>
      <c r="F233" s="6" t="s">
        <v>41</v>
      </c>
      <c r="G233" s="1030" t="s">
        <v>730</v>
      </c>
      <c r="H233" s="459"/>
      <c r="I233" s="470" t="s">
        <v>1427</v>
      </c>
      <c r="J233" s="418"/>
      <c r="K233" s="418"/>
      <c r="L233" s="416"/>
    </row>
    <row r="234" spans="1:12" ht="12.75" customHeight="1" x14ac:dyDescent="0.2">
      <c r="A234" s="1027" t="s">
        <v>109</v>
      </c>
      <c r="B234" s="1035" t="s">
        <v>110</v>
      </c>
      <c r="C234" s="410"/>
      <c r="D234" s="411"/>
      <c r="E234" s="1027" t="s">
        <v>420</v>
      </c>
      <c r="F234" s="1025">
        <f>I234</f>
        <v>21.12</v>
      </c>
      <c r="G234" s="479" t="s">
        <v>261</v>
      </c>
      <c r="H234" s="416"/>
      <c r="I234" s="81">
        <f>+I242</f>
        <v>21.12</v>
      </c>
      <c r="J234" s="1034"/>
      <c r="K234" s="410"/>
      <c r="L234" s="411"/>
    </row>
    <row r="235" spans="1:12" ht="12.75" customHeight="1" x14ac:dyDescent="0.2">
      <c r="A235" s="1024"/>
      <c r="B235" s="467"/>
      <c r="C235" s="468"/>
      <c r="D235" s="469"/>
      <c r="E235" s="1024"/>
      <c r="F235" s="1024"/>
      <c r="G235" s="479" t="s">
        <v>184</v>
      </c>
      <c r="H235" s="416"/>
      <c r="I235" s="81">
        <v>1</v>
      </c>
      <c r="J235" s="467"/>
      <c r="K235" s="468"/>
      <c r="L235" s="469"/>
    </row>
    <row r="236" spans="1:12" ht="12.75" customHeight="1" x14ac:dyDescent="0.2">
      <c r="A236" s="1024"/>
      <c r="B236" s="467"/>
      <c r="C236" s="468"/>
      <c r="D236" s="469"/>
      <c r="E236" s="1024"/>
      <c r="F236" s="1024"/>
      <c r="G236" s="479" t="s">
        <v>731</v>
      </c>
      <c r="H236" s="416"/>
      <c r="I236" s="81">
        <v>8.8000000000000007</v>
      </c>
      <c r="J236" s="467"/>
      <c r="K236" s="468"/>
      <c r="L236" s="469"/>
    </row>
    <row r="237" spans="1:12" ht="12.75" customHeight="1" x14ac:dyDescent="0.2">
      <c r="A237" s="1024"/>
      <c r="B237" s="467"/>
      <c r="C237" s="468"/>
      <c r="D237" s="469"/>
      <c r="E237" s="1024"/>
      <c r="F237" s="1024"/>
      <c r="G237" s="479" t="s">
        <v>732</v>
      </c>
      <c r="H237" s="416"/>
      <c r="I237" s="81">
        <v>1</v>
      </c>
      <c r="J237" s="467"/>
      <c r="K237" s="468"/>
      <c r="L237" s="469"/>
    </row>
    <row r="238" spans="1:12" ht="12.75" customHeight="1" x14ac:dyDescent="0.2">
      <c r="A238" s="1024"/>
      <c r="B238" s="467"/>
      <c r="C238" s="468"/>
      <c r="D238" s="469"/>
      <c r="E238" s="1024"/>
      <c r="F238" s="1024"/>
      <c r="G238" s="479" t="s">
        <v>733</v>
      </c>
      <c r="H238" s="416"/>
      <c r="I238" s="81">
        <v>0.6</v>
      </c>
      <c r="J238" s="467"/>
      <c r="K238" s="468"/>
      <c r="L238" s="469"/>
    </row>
    <row r="239" spans="1:12" ht="12.75" customHeight="1" x14ac:dyDescent="0.2">
      <c r="A239" s="1024"/>
      <c r="B239" s="467"/>
      <c r="C239" s="468"/>
      <c r="D239" s="469"/>
      <c r="E239" s="1024"/>
      <c r="F239" s="1024"/>
      <c r="G239" s="479" t="s">
        <v>734</v>
      </c>
      <c r="H239" s="416"/>
      <c r="I239" s="81"/>
      <c r="J239" s="467"/>
      <c r="K239" s="468"/>
      <c r="L239" s="469"/>
    </row>
    <row r="240" spans="1:12" ht="12.75" customHeight="1" x14ac:dyDescent="0.2">
      <c r="A240" s="1024"/>
      <c r="B240" s="467"/>
      <c r="C240" s="468"/>
      <c r="D240" s="469"/>
      <c r="E240" s="1024"/>
      <c r="F240" s="1024"/>
      <c r="G240" s="479" t="s">
        <v>735</v>
      </c>
      <c r="H240" s="416"/>
      <c r="I240" s="81">
        <f>+I236*4</f>
        <v>35.200000000000003</v>
      </c>
      <c r="J240" s="467"/>
      <c r="K240" s="468"/>
      <c r="L240" s="469"/>
    </row>
    <row r="241" spans="1:12" ht="12.75" customHeight="1" x14ac:dyDescent="0.2">
      <c r="A241" s="1024"/>
      <c r="B241" s="467"/>
      <c r="C241" s="468"/>
      <c r="D241" s="469"/>
      <c r="E241" s="1024"/>
      <c r="F241" s="1024"/>
      <c r="G241" s="479" t="s">
        <v>783</v>
      </c>
      <c r="H241" s="416"/>
      <c r="I241" s="81">
        <f t="shared" ref="I241:I242" si="0">+I240*I237</f>
        <v>35.200000000000003</v>
      </c>
      <c r="J241" s="467"/>
      <c r="K241" s="468"/>
      <c r="L241" s="469"/>
    </row>
    <row r="242" spans="1:12" ht="12.75" customHeight="1" x14ac:dyDescent="0.2">
      <c r="A242" s="408"/>
      <c r="B242" s="412"/>
      <c r="C242" s="413"/>
      <c r="D242" s="414"/>
      <c r="E242" s="408"/>
      <c r="F242" s="408"/>
      <c r="G242" s="479" t="s">
        <v>784</v>
      </c>
      <c r="H242" s="416"/>
      <c r="I242" s="81">
        <f t="shared" si="0"/>
        <v>21.12</v>
      </c>
      <c r="J242" s="412"/>
      <c r="K242" s="413"/>
      <c r="L242" s="414"/>
    </row>
    <row r="243" spans="1:12" ht="12.75" customHeight="1" x14ac:dyDescent="0.2"/>
    <row r="244" spans="1:12" ht="12.75" customHeight="1" x14ac:dyDescent="0.2">
      <c r="A244" s="470" t="s">
        <v>39</v>
      </c>
      <c r="B244" s="418"/>
      <c r="C244" s="418"/>
      <c r="D244" s="418"/>
      <c r="E244" s="6" t="s">
        <v>40</v>
      </c>
      <c r="F244" s="6" t="s">
        <v>41</v>
      </c>
      <c r="G244" s="1030" t="s">
        <v>730</v>
      </c>
      <c r="H244" s="459"/>
      <c r="I244" s="470" t="s">
        <v>1427</v>
      </c>
      <c r="J244" s="418"/>
      <c r="K244" s="418"/>
      <c r="L244" s="416"/>
    </row>
    <row r="245" spans="1:12" ht="12.75" customHeight="1" x14ac:dyDescent="0.2">
      <c r="A245" s="1023" t="s">
        <v>113</v>
      </c>
      <c r="B245" s="1035" t="s">
        <v>785</v>
      </c>
      <c r="C245" s="410"/>
      <c r="D245" s="411"/>
      <c r="E245" s="1027" t="s">
        <v>420</v>
      </c>
      <c r="F245" s="1025">
        <f>I245</f>
        <v>11.880000000000003</v>
      </c>
      <c r="G245" s="479" t="s">
        <v>261</v>
      </c>
      <c r="H245" s="416"/>
      <c r="I245" s="81">
        <f>+I253*I246</f>
        <v>11.880000000000003</v>
      </c>
      <c r="J245" s="1034"/>
      <c r="K245" s="410"/>
      <c r="L245" s="411"/>
    </row>
    <row r="246" spans="1:12" ht="12.75" customHeight="1" x14ac:dyDescent="0.2">
      <c r="A246" s="1024"/>
      <c r="B246" s="467"/>
      <c r="C246" s="468"/>
      <c r="D246" s="469"/>
      <c r="E246" s="1024"/>
      <c r="F246" s="1024"/>
      <c r="G246" s="479" t="s">
        <v>184</v>
      </c>
      <c r="H246" s="416"/>
      <c r="I246" s="81">
        <v>1</v>
      </c>
      <c r="J246" s="467"/>
      <c r="K246" s="468"/>
      <c r="L246" s="469"/>
    </row>
    <row r="247" spans="1:12" ht="12.75" customHeight="1" x14ac:dyDescent="0.2">
      <c r="A247" s="1024"/>
      <c r="B247" s="467"/>
      <c r="C247" s="468"/>
      <c r="D247" s="469"/>
      <c r="E247" s="1024"/>
      <c r="F247" s="1024"/>
      <c r="G247" s="479" t="s">
        <v>731</v>
      </c>
      <c r="H247" s="416"/>
      <c r="I247" s="81">
        <v>8.8000000000000007</v>
      </c>
      <c r="J247" s="467"/>
      <c r="K247" s="468"/>
      <c r="L247" s="469"/>
    </row>
    <row r="248" spans="1:12" ht="12.75" customHeight="1" x14ac:dyDescent="0.2">
      <c r="A248" s="1024"/>
      <c r="B248" s="467"/>
      <c r="C248" s="468"/>
      <c r="D248" s="469"/>
      <c r="E248" s="1024"/>
      <c r="F248" s="1024"/>
      <c r="G248" s="479" t="s">
        <v>732</v>
      </c>
      <c r="H248" s="416"/>
      <c r="I248" s="81"/>
      <c r="J248" s="467"/>
      <c r="K248" s="468"/>
      <c r="L248" s="469"/>
    </row>
    <row r="249" spans="1:12" ht="12.75" customHeight="1" x14ac:dyDescent="0.2">
      <c r="A249" s="1024"/>
      <c r="B249" s="467"/>
      <c r="C249" s="468"/>
      <c r="D249" s="469"/>
      <c r="E249" s="1024"/>
      <c r="F249" s="1024"/>
      <c r="G249" s="479" t="s">
        <v>733</v>
      </c>
      <c r="H249" s="416"/>
      <c r="I249" s="81"/>
      <c r="J249" s="467"/>
      <c r="K249" s="468"/>
      <c r="L249" s="469"/>
    </row>
    <row r="250" spans="1:12" ht="12.75" customHeight="1" x14ac:dyDescent="0.2">
      <c r="A250" s="1024"/>
      <c r="B250" s="467"/>
      <c r="C250" s="468"/>
      <c r="D250" s="469"/>
      <c r="E250" s="1024"/>
      <c r="F250" s="1024"/>
      <c r="G250" s="479" t="s">
        <v>734</v>
      </c>
      <c r="H250" s="416"/>
      <c r="I250" s="81"/>
      <c r="J250" s="467"/>
      <c r="K250" s="468"/>
      <c r="L250" s="469"/>
    </row>
    <row r="251" spans="1:12" ht="12.75" customHeight="1" x14ac:dyDescent="0.2">
      <c r="A251" s="1024"/>
      <c r="B251" s="467"/>
      <c r="C251" s="468"/>
      <c r="D251" s="469"/>
      <c r="E251" s="1024"/>
      <c r="F251" s="1024"/>
      <c r="G251" s="479" t="s">
        <v>735</v>
      </c>
      <c r="H251" s="416"/>
      <c r="I251" s="81"/>
      <c r="J251" s="467"/>
      <c r="K251" s="468"/>
      <c r="L251" s="469"/>
    </row>
    <row r="252" spans="1:12" ht="12.75" customHeight="1" x14ac:dyDescent="0.2">
      <c r="A252" s="1024"/>
      <c r="B252" s="467"/>
      <c r="C252" s="468"/>
      <c r="D252" s="469"/>
      <c r="E252" s="1024"/>
      <c r="F252" s="1024"/>
      <c r="G252" s="479" t="s">
        <v>786</v>
      </c>
      <c r="H252" s="416"/>
      <c r="I252" s="81">
        <v>1.35</v>
      </c>
      <c r="J252" s="467"/>
      <c r="K252" s="468"/>
      <c r="L252" s="469"/>
    </row>
    <row r="253" spans="1:12" ht="12.75" customHeight="1" x14ac:dyDescent="0.2">
      <c r="A253" s="408"/>
      <c r="B253" s="412"/>
      <c r="C253" s="413"/>
      <c r="D253" s="414"/>
      <c r="E253" s="408"/>
      <c r="F253" s="408"/>
      <c r="G253" s="479" t="s">
        <v>787</v>
      </c>
      <c r="H253" s="416"/>
      <c r="I253" s="81">
        <f>+I252*I247</f>
        <v>11.880000000000003</v>
      </c>
      <c r="J253" s="412"/>
      <c r="K253" s="413"/>
      <c r="L253" s="414"/>
    </row>
    <row r="254" spans="1:12" ht="12.75" customHeight="1" x14ac:dyDescent="0.2"/>
    <row r="255" spans="1:12" ht="12.75" customHeight="1" x14ac:dyDescent="0.2">
      <c r="A255" s="470" t="s">
        <v>39</v>
      </c>
      <c r="B255" s="418"/>
      <c r="C255" s="418"/>
      <c r="D255" s="418"/>
      <c r="E255" s="6" t="s">
        <v>40</v>
      </c>
      <c r="F255" s="6" t="s">
        <v>41</v>
      </c>
      <c r="G255" s="1030" t="s">
        <v>730</v>
      </c>
      <c r="H255" s="459"/>
      <c r="I255" s="470" t="s">
        <v>1427</v>
      </c>
      <c r="J255" s="418"/>
      <c r="K255" s="418"/>
      <c r="L255" s="416"/>
    </row>
    <row r="256" spans="1:12" ht="12.75" customHeight="1" x14ac:dyDescent="0.2">
      <c r="A256" s="1027" t="s">
        <v>114</v>
      </c>
      <c r="B256" s="1035" t="s">
        <v>115</v>
      </c>
      <c r="C256" s="410"/>
      <c r="D256" s="411"/>
      <c r="E256" s="1027" t="s">
        <v>420</v>
      </c>
      <c r="F256" s="1025">
        <f>I256</f>
        <v>3.3660000000000005</v>
      </c>
      <c r="G256" s="479" t="s">
        <v>261</v>
      </c>
      <c r="H256" s="416"/>
      <c r="I256" s="81">
        <f>+I264</f>
        <v>3.3660000000000005</v>
      </c>
      <c r="J256" s="1034"/>
      <c r="K256" s="410"/>
      <c r="L256" s="411"/>
    </row>
    <row r="257" spans="1:12" ht="12.75" customHeight="1" x14ac:dyDescent="0.2">
      <c r="A257" s="1024"/>
      <c r="B257" s="467"/>
      <c r="C257" s="468"/>
      <c r="D257" s="469"/>
      <c r="E257" s="1024"/>
      <c r="F257" s="1024"/>
      <c r="G257" s="479" t="s">
        <v>184</v>
      </c>
      <c r="H257" s="416"/>
      <c r="I257" s="81">
        <v>1</v>
      </c>
      <c r="J257" s="467"/>
      <c r="K257" s="468"/>
      <c r="L257" s="469"/>
    </row>
    <row r="258" spans="1:12" ht="12.75" customHeight="1" x14ac:dyDescent="0.2">
      <c r="A258" s="1024"/>
      <c r="B258" s="467"/>
      <c r="C258" s="468"/>
      <c r="D258" s="469"/>
      <c r="E258" s="1024"/>
      <c r="F258" s="1024"/>
      <c r="G258" s="479" t="s">
        <v>731</v>
      </c>
      <c r="H258" s="416"/>
      <c r="I258" s="81"/>
      <c r="J258" s="467"/>
      <c r="K258" s="468"/>
      <c r="L258" s="469"/>
    </row>
    <row r="259" spans="1:12" ht="12.75" customHeight="1" x14ac:dyDescent="0.2">
      <c r="A259" s="1024"/>
      <c r="B259" s="467"/>
      <c r="C259" s="468"/>
      <c r="D259" s="469"/>
      <c r="E259" s="1024"/>
      <c r="F259" s="1024"/>
      <c r="G259" s="479" t="s">
        <v>732</v>
      </c>
      <c r="H259" s="416"/>
      <c r="I259" s="81">
        <v>1.5</v>
      </c>
      <c r="J259" s="467"/>
      <c r="K259" s="468"/>
      <c r="L259" s="469"/>
    </row>
    <row r="260" spans="1:12" ht="12.75" customHeight="1" x14ac:dyDescent="0.2">
      <c r="A260" s="1024"/>
      <c r="B260" s="467"/>
      <c r="C260" s="468"/>
      <c r="D260" s="469"/>
      <c r="E260" s="1024"/>
      <c r="F260" s="1024"/>
      <c r="G260" s="479" t="s">
        <v>733</v>
      </c>
      <c r="H260" s="416"/>
      <c r="I260" s="81">
        <v>0.05</v>
      </c>
      <c r="J260" s="467"/>
      <c r="K260" s="468"/>
      <c r="L260" s="469"/>
    </row>
    <row r="261" spans="1:12" ht="12.75" customHeight="1" x14ac:dyDescent="0.2">
      <c r="A261" s="1024"/>
      <c r="B261" s="467"/>
      <c r="C261" s="468"/>
      <c r="D261" s="469"/>
      <c r="E261" s="1024"/>
      <c r="F261" s="1024"/>
      <c r="G261" s="479" t="s">
        <v>734</v>
      </c>
      <c r="H261" s="416"/>
      <c r="I261" s="81"/>
      <c r="J261" s="467"/>
      <c r="K261" s="468"/>
      <c r="L261" s="469"/>
    </row>
    <row r="262" spans="1:12" ht="12.75" customHeight="1" x14ac:dyDescent="0.2">
      <c r="A262" s="1024"/>
      <c r="B262" s="467"/>
      <c r="C262" s="468"/>
      <c r="D262" s="469"/>
      <c r="E262" s="1024"/>
      <c r="F262" s="1024"/>
      <c r="G262" s="479" t="s">
        <v>735</v>
      </c>
      <c r="H262" s="416"/>
      <c r="I262" s="81">
        <v>44.88</v>
      </c>
      <c r="J262" s="467"/>
      <c r="K262" s="468"/>
      <c r="L262" s="469"/>
    </row>
    <row r="263" spans="1:12" ht="12.75" customHeight="1" x14ac:dyDescent="0.2">
      <c r="A263" s="1024"/>
      <c r="B263" s="467"/>
      <c r="C263" s="468"/>
      <c r="D263" s="469"/>
      <c r="E263" s="1024"/>
      <c r="F263" s="1024"/>
      <c r="G263" s="479" t="s">
        <v>788</v>
      </c>
      <c r="H263" s="416"/>
      <c r="I263" s="81">
        <f t="shared" ref="I263:I264" si="1">+I262*I259</f>
        <v>67.320000000000007</v>
      </c>
      <c r="J263" s="467"/>
      <c r="K263" s="468"/>
      <c r="L263" s="469"/>
    </row>
    <row r="264" spans="1:12" ht="12.75" customHeight="1" x14ac:dyDescent="0.2">
      <c r="A264" s="408"/>
      <c r="B264" s="412"/>
      <c r="C264" s="413"/>
      <c r="D264" s="414"/>
      <c r="E264" s="408"/>
      <c r="F264" s="408"/>
      <c r="G264" s="479" t="s">
        <v>789</v>
      </c>
      <c r="H264" s="416"/>
      <c r="I264" s="81">
        <f t="shared" si="1"/>
        <v>3.3660000000000005</v>
      </c>
      <c r="J264" s="412"/>
      <c r="K264" s="413"/>
      <c r="L264" s="414"/>
    </row>
    <row r="265" spans="1:12" ht="12.75" customHeight="1" x14ac:dyDescent="0.2"/>
    <row r="266" spans="1:12" ht="12.75" customHeight="1" x14ac:dyDescent="0.2">
      <c r="A266" s="470" t="s">
        <v>39</v>
      </c>
      <c r="B266" s="418"/>
      <c r="C266" s="418"/>
      <c r="D266" s="418"/>
      <c r="E266" s="6" t="s">
        <v>40</v>
      </c>
      <c r="F266" s="6" t="s">
        <v>41</v>
      </c>
      <c r="G266" s="1030" t="s">
        <v>730</v>
      </c>
      <c r="H266" s="459"/>
      <c r="I266" s="470" t="s">
        <v>1427</v>
      </c>
      <c r="J266" s="418"/>
      <c r="K266" s="418"/>
      <c r="L266" s="416"/>
    </row>
    <row r="267" spans="1:12" ht="12.75" customHeight="1" x14ac:dyDescent="0.2">
      <c r="A267" s="1027" t="s">
        <v>116</v>
      </c>
      <c r="B267" s="1035" t="s">
        <v>84</v>
      </c>
      <c r="C267" s="410"/>
      <c r="D267" s="411"/>
      <c r="E267" s="1027" t="s">
        <v>420</v>
      </c>
      <c r="F267" s="1025">
        <f>I267</f>
        <v>10.098000000000001</v>
      </c>
      <c r="G267" s="479" t="s">
        <v>261</v>
      </c>
      <c r="H267" s="416"/>
      <c r="I267" s="81">
        <f>+I275</f>
        <v>10.098000000000001</v>
      </c>
      <c r="J267" s="1034"/>
      <c r="K267" s="410"/>
      <c r="L267" s="411"/>
    </row>
    <row r="268" spans="1:12" ht="12.75" customHeight="1" x14ac:dyDescent="0.2">
      <c r="A268" s="1024"/>
      <c r="B268" s="467"/>
      <c r="C268" s="468"/>
      <c r="D268" s="469"/>
      <c r="E268" s="1024"/>
      <c r="F268" s="1024"/>
      <c r="G268" s="479" t="s">
        <v>184</v>
      </c>
      <c r="H268" s="416"/>
      <c r="I268" s="81">
        <v>1</v>
      </c>
      <c r="J268" s="467"/>
      <c r="K268" s="468"/>
      <c r="L268" s="469"/>
    </row>
    <row r="269" spans="1:12" ht="12.75" customHeight="1" x14ac:dyDescent="0.2">
      <c r="A269" s="1024"/>
      <c r="B269" s="467"/>
      <c r="C269" s="468"/>
      <c r="D269" s="469"/>
      <c r="E269" s="1024"/>
      <c r="F269" s="1024"/>
      <c r="G269" s="479" t="s">
        <v>731</v>
      </c>
      <c r="H269" s="416"/>
      <c r="I269" s="81"/>
      <c r="J269" s="467"/>
      <c r="K269" s="468"/>
      <c r="L269" s="469"/>
    </row>
    <row r="270" spans="1:12" ht="12.75" customHeight="1" x14ac:dyDescent="0.2">
      <c r="A270" s="1024"/>
      <c r="B270" s="467"/>
      <c r="C270" s="468"/>
      <c r="D270" s="469"/>
      <c r="E270" s="1024"/>
      <c r="F270" s="1024"/>
      <c r="G270" s="479" t="s">
        <v>732</v>
      </c>
      <c r="H270" s="416"/>
      <c r="I270" s="81">
        <v>1.5</v>
      </c>
      <c r="J270" s="467"/>
      <c r="K270" s="468"/>
      <c r="L270" s="469"/>
    </row>
    <row r="271" spans="1:12" ht="12.75" customHeight="1" x14ac:dyDescent="0.2">
      <c r="A271" s="1024"/>
      <c r="B271" s="467"/>
      <c r="C271" s="468"/>
      <c r="D271" s="469"/>
      <c r="E271" s="1024"/>
      <c r="F271" s="1024"/>
      <c r="G271" s="479" t="s">
        <v>733</v>
      </c>
      <c r="H271" s="416"/>
      <c r="I271" s="81">
        <v>0.15</v>
      </c>
      <c r="J271" s="467"/>
      <c r="K271" s="468"/>
      <c r="L271" s="469"/>
    </row>
    <row r="272" spans="1:12" ht="12.75" customHeight="1" x14ac:dyDescent="0.2">
      <c r="A272" s="1024"/>
      <c r="B272" s="467"/>
      <c r="C272" s="468"/>
      <c r="D272" s="469"/>
      <c r="E272" s="1024"/>
      <c r="F272" s="1024"/>
      <c r="G272" s="479" t="s">
        <v>734</v>
      </c>
      <c r="H272" s="416"/>
      <c r="I272" s="81"/>
      <c r="J272" s="467"/>
      <c r="K272" s="468"/>
      <c r="L272" s="469"/>
    </row>
    <row r="273" spans="1:12" ht="12.75" customHeight="1" x14ac:dyDescent="0.2">
      <c r="A273" s="1024"/>
      <c r="B273" s="467"/>
      <c r="C273" s="468"/>
      <c r="D273" s="469"/>
      <c r="E273" s="1024"/>
      <c r="F273" s="1024"/>
      <c r="G273" s="479" t="s">
        <v>735</v>
      </c>
      <c r="H273" s="416"/>
      <c r="I273" s="81">
        <v>44.88</v>
      </c>
      <c r="J273" s="467"/>
      <c r="K273" s="468"/>
      <c r="L273" s="469"/>
    </row>
    <row r="274" spans="1:12" ht="12.75" customHeight="1" x14ac:dyDescent="0.2">
      <c r="A274" s="1024"/>
      <c r="B274" s="467"/>
      <c r="C274" s="468"/>
      <c r="D274" s="469"/>
      <c r="E274" s="1024"/>
      <c r="F274" s="1024"/>
      <c r="G274" s="479" t="s">
        <v>790</v>
      </c>
      <c r="H274" s="416"/>
      <c r="I274" s="81">
        <f t="shared" ref="I274:I275" si="2">+I273*I270</f>
        <v>67.320000000000007</v>
      </c>
      <c r="J274" s="467"/>
      <c r="K274" s="468"/>
      <c r="L274" s="469"/>
    </row>
    <row r="275" spans="1:12" ht="12.75" customHeight="1" x14ac:dyDescent="0.2">
      <c r="A275" s="408"/>
      <c r="B275" s="412"/>
      <c r="C275" s="413"/>
      <c r="D275" s="414"/>
      <c r="E275" s="408"/>
      <c r="F275" s="408"/>
      <c r="G275" s="479" t="s">
        <v>791</v>
      </c>
      <c r="H275" s="416"/>
      <c r="I275" s="81">
        <f t="shared" si="2"/>
        <v>10.098000000000001</v>
      </c>
      <c r="J275" s="412"/>
      <c r="K275" s="413"/>
      <c r="L275" s="414"/>
    </row>
    <row r="276" spans="1:12" ht="12.75" customHeight="1" x14ac:dyDescent="0.2"/>
    <row r="277" spans="1:12" ht="12.75" customHeight="1" x14ac:dyDescent="0.2">
      <c r="A277" s="470" t="s">
        <v>39</v>
      </c>
      <c r="B277" s="418"/>
      <c r="C277" s="418"/>
      <c r="D277" s="418"/>
      <c r="E277" s="6" t="s">
        <v>40</v>
      </c>
      <c r="F277" s="6" t="s">
        <v>41</v>
      </c>
      <c r="G277" s="1030" t="s">
        <v>730</v>
      </c>
      <c r="H277" s="459"/>
      <c r="I277" s="470" t="s">
        <v>1427</v>
      </c>
      <c r="J277" s="418"/>
      <c r="K277" s="418"/>
      <c r="L277" s="416"/>
    </row>
    <row r="278" spans="1:12" ht="12.75" customHeight="1" x14ac:dyDescent="0.2">
      <c r="A278" s="1023" t="s">
        <v>117</v>
      </c>
      <c r="B278" s="1035" t="s">
        <v>792</v>
      </c>
      <c r="C278" s="410"/>
      <c r="D278" s="411"/>
      <c r="E278" s="1027" t="s">
        <v>420</v>
      </c>
      <c r="F278" s="1025">
        <f>I278</f>
        <v>30.536000000000005</v>
      </c>
      <c r="G278" s="479" t="s">
        <v>261</v>
      </c>
      <c r="H278" s="416"/>
      <c r="I278" s="81">
        <f>+I280*I285</f>
        <v>30.536000000000005</v>
      </c>
      <c r="J278" s="1034"/>
      <c r="K278" s="410"/>
      <c r="L278" s="411"/>
    </row>
    <row r="279" spans="1:12" ht="12.75" customHeight="1" x14ac:dyDescent="0.2">
      <c r="A279" s="1024"/>
      <c r="B279" s="467"/>
      <c r="C279" s="468"/>
      <c r="D279" s="469"/>
      <c r="E279" s="1024"/>
      <c r="F279" s="1024"/>
      <c r="G279" s="479" t="s">
        <v>184</v>
      </c>
      <c r="H279" s="416"/>
      <c r="I279" s="81">
        <v>1</v>
      </c>
      <c r="J279" s="467"/>
      <c r="K279" s="468"/>
      <c r="L279" s="469"/>
    </row>
    <row r="280" spans="1:12" ht="12.75" customHeight="1" x14ac:dyDescent="0.2">
      <c r="A280" s="1024"/>
      <c r="B280" s="467"/>
      <c r="C280" s="468"/>
      <c r="D280" s="469"/>
      <c r="E280" s="1024"/>
      <c r="F280" s="1024"/>
      <c r="G280" s="479" t="s">
        <v>731</v>
      </c>
      <c r="H280" s="416"/>
      <c r="I280" s="81">
        <v>8.8000000000000007</v>
      </c>
      <c r="J280" s="467"/>
      <c r="K280" s="468"/>
      <c r="L280" s="469"/>
    </row>
    <row r="281" spans="1:12" ht="12.75" customHeight="1" x14ac:dyDescent="0.2">
      <c r="A281" s="1024"/>
      <c r="B281" s="467"/>
      <c r="C281" s="468"/>
      <c r="D281" s="469"/>
      <c r="E281" s="1024"/>
      <c r="F281" s="1024"/>
      <c r="G281" s="479" t="s">
        <v>732</v>
      </c>
      <c r="H281" s="416"/>
      <c r="I281" s="81"/>
      <c r="J281" s="467"/>
      <c r="K281" s="468"/>
      <c r="L281" s="469"/>
    </row>
    <row r="282" spans="1:12" ht="12.75" customHeight="1" x14ac:dyDescent="0.2">
      <c r="A282" s="1024"/>
      <c r="B282" s="467"/>
      <c r="C282" s="468"/>
      <c r="D282" s="469"/>
      <c r="E282" s="1024"/>
      <c r="F282" s="1024"/>
      <c r="G282" s="479" t="s">
        <v>733</v>
      </c>
      <c r="H282" s="416"/>
      <c r="I282" s="81"/>
      <c r="J282" s="467"/>
      <c r="K282" s="468"/>
      <c r="L282" s="469"/>
    </row>
    <row r="283" spans="1:12" ht="12.75" customHeight="1" x14ac:dyDescent="0.2">
      <c r="A283" s="1024"/>
      <c r="B283" s="467"/>
      <c r="C283" s="468"/>
      <c r="D283" s="469"/>
      <c r="E283" s="1024"/>
      <c r="F283" s="1024"/>
      <c r="G283" s="479" t="s">
        <v>734</v>
      </c>
      <c r="H283" s="416"/>
      <c r="I283" s="81"/>
      <c r="J283" s="467"/>
      <c r="K283" s="468"/>
      <c r="L283" s="469"/>
    </row>
    <row r="284" spans="1:12" ht="12.75" customHeight="1" x14ac:dyDescent="0.2">
      <c r="A284" s="1024"/>
      <c r="B284" s="467"/>
      <c r="C284" s="468"/>
      <c r="D284" s="469"/>
      <c r="E284" s="1024"/>
      <c r="F284" s="1024"/>
      <c r="G284" s="479" t="s">
        <v>735</v>
      </c>
      <c r="H284" s="416"/>
      <c r="I284" s="81"/>
      <c r="J284" s="467"/>
      <c r="K284" s="468"/>
      <c r="L284" s="469"/>
    </row>
    <row r="285" spans="1:12" ht="12.75" customHeight="1" x14ac:dyDescent="0.2">
      <c r="A285" s="1024"/>
      <c r="B285" s="467"/>
      <c r="C285" s="468"/>
      <c r="D285" s="469"/>
      <c r="E285" s="1024"/>
      <c r="F285" s="1024"/>
      <c r="G285" s="479" t="s">
        <v>793</v>
      </c>
      <c r="H285" s="416"/>
      <c r="I285" s="81">
        <v>3.47</v>
      </c>
      <c r="J285" s="467"/>
      <c r="K285" s="468"/>
      <c r="L285" s="469"/>
    </row>
    <row r="286" spans="1:12" ht="12.75" customHeight="1" x14ac:dyDescent="0.2">
      <c r="A286" s="408"/>
      <c r="B286" s="412"/>
      <c r="C286" s="413"/>
      <c r="D286" s="414"/>
      <c r="E286" s="408"/>
      <c r="F286" s="408"/>
      <c r="G286" s="479" t="s">
        <v>794</v>
      </c>
      <c r="H286" s="416"/>
      <c r="I286" s="81"/>
      <c r="J286" s="412"/>
      <c r="K286" s="413"/>
      <c r="L286" s="414"/>
    </row>
    <row r="287" spans="1:12" ht="12.75" customHeight="1" x14ac:dyDescent="0.2"/>
    <row r="288" spans="1:12" ht="12.75" customHeight="1" x14ac:dyDescent="0.2">
      <c r="A288" s="470" t="s">
        <v>39</v>
      </c>
      <c r="B288" s="418"/>
      <c r="C288" s="418"/>
      <c r="D288" s="418"/>
      <c r="E288" s="6" t="s">
        <v>40</v>
      </c>
      <c r="F288" s="6" t="s">
        <v>41</v>
      </c>
      <c r="G288" s="1030" t="s">
        <v>730</v>
      </c>
      <c r="H288" s="459"/>
      <c r="I288" s="470" t="s">
        <v>1427</v>
      </c>
      <c r="J288" s="418"/>
      <c r="K288" s="418"/>
      <c r="L288" s="416"/>
    </row>
    <row r="289" spans="1:12" ht="12.75" customHeight="1" x14ac:dyDescent="0.2">
      <c r="A289" s="1027" t="s">
        <v>118</v>
      </c>
      <c r="B289" s="1035" t="s">
        <v>64</v>
      </c>
      <c r="C289" s="410"/>
      <c r="D289" s="411"/>
      <c r="E289" s="1027" t="s">
        <v>420</v>
      </c>
      <c r="F289" s="1025">
        <f>I289</f>
        <v>97.287000000000006</v>
      </c>
      <c r="G289" s="479" t="s">
        <v>261</v>
      </c>
      <c r="H289" s="416"/>
      <c r="I289" s="81">
        <f>+I297*I290</f>
        <v>97.287000000000006</v>
      </c>
      <c r="J289" s="1034"/>
      <c r="K289" s="410"/>
      <c r="L289" s="411"/>
    </row>
    <row r="290" spans="1:12" ht="12.75" customHeight="1" x14ac:dyDescent="0.2">
      <c r="A290" s="1024"/>
      <c r="B290" s="467"/>
      <c r="C290" s="468"/>
      <c r="D290" s="469"/>
      <c r="E290" s="1024"/>
      <c r="F290" s="1024"/>
      <c r="G290" s="479" t="s">
        <v>184</v>
      </c>
      <c r="H290" s="416"/>
      <c r="I290" s="81">
        <v>1</v>
      </c>
      <c r="J290" s="467"/>
      <c r="K290" s="468"/>
      <c r="L290" s="469"/>
    </row>
    <row r="291" spans="1:12" ht="12.75" customHeight="1" x14ac:dyDescent="0.2">
      <c r="A291" s="1024"/>
      <c r="B291" s="467"/>
      <c r="C291" s="468"/>
      <c r="D291" s="469"/>
      <c r="E291" s="1024"/>
      <c r="F291" s="1024"/>
      <c r="G291" s="479" t="s">
        <v>731</v>
      </c>
      <c r="H291" s="416"/>
      <c r="I291" s="81"/>
      <c r="J291" s="467"/>
      <c r="K291" s="468"/>
      <c r="L291" s="469"/>
    </row>
    <row r="292" spans="1:12" ht="12.75" customHeight="1" x14ac:dyDescent="0.2">
      <c r="A292" s="1024"/>
      <c r="B292" s="467"/>
      <c r="C292" s="468"/>
      <c r="D292" s="469"/>
      <c r="E292" s="1024"/>
      <c r="F292" s="1024"/>
      <c r="G292" s="479" t="s">
        <v>732</v>
      </c>
      <c r="H292" s="416"/>
      <c r="I292" s="81"/>
      <c r="J292" s="467"/>
      <c r="K292" s="468"/>
      <c r="L292" s="469"/>
    </row>
    <row r="293" spans="1:12" ht="12.75" customHeight="1" x14ac:dyDescent="0.2">
      <c r="A293" s="1024"/>
      <c r="B293" s="467"/>
      <c r="C293" s="468"/>
      <c r="D293" s="469"/>
      <c r="E293" s="1024"/>
      <c r="F293" s="1024"/>
      <c r="G293" s="479" t="s">
        <v>733</v>
      </c>
      <c r="H293" s="416"/>
      <c r="I293" s="81"/>
      <c r="J293" s="467"/>
      <c r="K293" s="468"/>
      <c r="L293" s="469"/>
    </row>
    <row r="294" spans="1:12" ht="12.75" customHeight="1" x14ac:dyDescent="0.2">
      <c r="A294" s="1024"/>
      <c r="B294" s="467"/>
      <c r="C294" s="468"/>
      <c r="D294" s="469"/>
      <c r="E294" s="1024"/>
      <c r="F294" s="1024"/>
      <c r="G294" s="479" t="s">
        <v>734</v>
      </c>
      <c r="H294" s="416"/>
      <c r="I294" s="81"/>
      <c r="J294" s="467"/>
      <c r="K294" s="468"/>
      <c r="L294" s="469"/>
    </row>
    <row r="295" spans="1:12" ht="12.75" customHeight="1" x14ac:dyDescent="0.2">
      <c r="A295" s="1024"/>
      <c r="B295" s="467"/>
      <c r="C295" s="468"/>
      <c r="D295" s="469"/>
      <c r="E295" s="1024"/>
      <c r="F295" s="1024"/>
      <c r="G295" s="479" t="s">
        <v>735</v>
      </c>
      <c r="H295" s="416"/>
      <c r="I295" s="81"/>
      <c r="J295" s="467"/>
      <c r="K295" s="468"/>
      <c r="L295" s="469"/>
    </row>
    <row r="296" spans="1:12" ht="12.75" customHeight="1" x14ac:dyDescent="0.2">
      <c r="A296" s="1024"/>
      <c r="B296" s="467"/>
      <c r="C296" s="468"/>
      <c r="D296" s="469"/>
      <c r="E296" s="1024"/>
      <c r="F296" s="1024"/>
      <c r="G296" s="479" t="s">
        <v>795</v>
      </c>
      <c r="H296" s="416"/>
      <c r="I296" s="81"/>
      <c r="J296" s="467"/>
      <c r="K296" s="468"/>
      <c r="L296" s="469"/>
    </row>
    <row r="297" spans="1:12" ht="12.75" customHeight="1" x14ac:dyDescent="0.2">
      <c r="A297" s="408"/>
      <c r="B297" s="412"/>
      <c r="C297" s="413"/>
      <c r="D297" s="414"/>
      <c r="E297" s="408"/>
      <c r="F297" s="408"/>
      <c r="G297" s="479" t="s">
        <v>796</v>
      </c>
      <c r="H297" s="416"/>
      <c r="I297" s="81">
        <f>+'16'!$A$521</f>
        <v>97.287000000000006</v>
      </c>
      <c r="J297" s="412"/>
      <c r="K297" s="413"/>
      <c r="L297" s="414"/>
    </row>
    <row r="298" spans="1:12" ht="12.75" customHeight="1" x14ac:dyDescent="0.2"/>
    <row r="299" spans="1:12" ht="12.75" customHeight="1" x14ac:dyDescent="0.2">
      <c r="A299" s="470" t="s">
        <v>39</v>
      </c>
      <c r="B299" s="418"/>
      <c r="C299" s="418"/>
      <c r="D299" s="418"/>
      <c r="E299" s="6" t="s">
        <v>40</v>
      </c>
      <c r="F299" s="6" t="s">
        <v>41</v>
      </c>
      <c r="G299" s="1030" t="s">
        <v>730</v>
      </c>
      <c r="H299" s="459"/>
      <c r="I299" s="470" t="s">
        <v>1427</v>
      </c>
      <c r="J299" s="418"/>
      <c r="K299" s="418"/>
      <c r="L299" s="416"/>
    </row>
    <row r="300" spans="1:12" ht="12.75" customHeight="1" x14ac:dyDescent="0.2">
      <c r="A300" s="1027" t="s">
        <v>119</v>
      </c>
      <c r="B300" s="1035" t="s">
        <v>65</v>
      </c>
      <c r="C300" s="410"/>
      <c r="D300" s="411"/>
      <c r="E300" s="1027" t="s">
        <v>420</v>
      </c>
      <c r="F300" s="1025">
        <f>I300</f>
        <v>19.228000000000002</v>
      </c>
      <c r="G300" s="479" t="s">
        <v>261</v>
      </c>
      <c r="H300" s="416"/>
      <c r="I300" s="81">
        <f>+I304*I307</f>
        <v>19.228000000000002</v>
      </c>
      <c r="J300" s="1034"/>
      <c r="K300" s="410"/>
      <c r="L300" s="411"/>
    </row>
    <row r="301" spans="1:12" ht="12.75" customHeight="1" x14ac:dyDescent="0.2">
      <c r="A301" s="1024"/>
      <c r="B301" s="467"/>
      <c r="C301" s="468"/>
      <c r="D301" s="469"/>
      <c r="E301" s="1024"/>
      <c r="F301" s="1024"/>
      <c r="G301" s="479" t="s">
        <v>184</v>
      </c>
      <c r="H301" s="416"/>
      <c r="I301" s="81">
        <v>1</v>
      </c>
      <c r="J301" s="467"/>
      <c r="K301" s="468"/>
      <c r="L301" s="469"/>
    </row>
    <row r="302" spans="1:12" ht="12.75" customHeight="1" x14ac:dyDescent="0.2">
      <c r="A302" s="1024"/>
      <c r="B302" s="467"/>
      <c r="C302" s="468"/>
      <c r="D302" s="469"/>
      <c r="E302" s="1024"/>
      <c r="F302" s="1024"/>
      <c r="G302" s="479" t="s">
        <v>731</v>
      </c>
      <c r="H302" s="416"/>
      <c r="I302" s="81"/>
      <c r="J302" s="467"/>
      <c r="K302" s="468"/>
      <c r="L302" s="469"/>
    </row>
    <row r="303" spans="1:12" ht="12.75" customHeight="1" x14ac:dyDescent="0.2">
      <c r="A303" s="1024"/>
      <c r="B303" s="467"/>
      <c r="C303" s="468"/>
      <c r="D303" s="469"/>
      <c r="E303" s="1024"/>
      <c r="F303" s="1024"/>
      <c r="G303" s="479" t="s">
        <v>732</v>
      </c>
      <c r="H303" s="416"/>
      <c r="I303" s="81"/>
      <c r="J303" s="467"/>
      <c r="K303" s="468"/>
      <c r="L303" s="469"/>
    </row>
    <row r="304" spans="1:12" ht="12.75" customHeight="1" x14ac:dyDescent="0.2">
      <c r="A304" s="1024"/>
      <c r="B304" s="467"/>
      <c r="C304" s="468"/>
      <c r="D304" s="469"/>
      <c r="E304" s="1024"/>
      <c r="F304" s="1024"/>
      <c r="G304" s="479" t="s">
        <v>733</v>
      </c>
      <c r="H304" s="416"/>
      <c r="I304" s="81">
        <v>0.2</v>
      </c>
      <c r="J304" s="467"/>
      <c r="K304" s="468"/>
      <c r="L304" s="469"/>
    </row>
    <row r="305" spans="1:12" ht="12.75" customHeight="1" x14ac:dyDescent="0.2">
      <c r="A305" s="1024"/>
      <c r="B305" s="467"/>
      <c r="C305" s="468"/>
      <c r="D305" s="469"/>
      <c r="E305" s="1024"/>
      <c r="F305" s="1024"/>
      <c r="G305" s="479" t="s">
        <v>734</v>
      </c>
      <c r="H305" s="416"/>
      <c r="I305" s="81"/>
      <c r="J305" s="467"/>
      <c r="K305" s="468"/>
      <c r="L305" s="469"/>
    </row>
    <row r="306" spans="1:12" ht="12.75" customHeight="1" x14ac:dyDescent="0.2">
      <c r="A306" s="1024"/>
      <c r="B306" s="467"/>
      <c r="C306" s="468"/>
      <c r="D306" s="469"/>
      <c r="E306" s="1024"/>
      <c r="F306" s="1024"/>
      <c r="G306" s="479" t="s">
        <v>735</v>
      </c>
      <c r="H306" s="416"/>
      <c r="I306" s="81"/>
      <c r="J306" s="467"/>
      <c r="K306" s="468"/>
      <c r="L306" s="469"/>
    </row>
    <row r="307" spans="1:12" ht="12.75" customHeight="1" x14ac:dyDescent="0.2">
      <c r="A307" s="1024"/>
      <c r="B307" s="467"/>
      <c r="C307" s="468"/>
      <c r="D307" s="469"/>
      <c r="E307" s="1024"/>
      <c r="F307" s="1024"/>
      <c r="G307" s="479" t="s">
        <v>797</v>
      </c>
      <c r="H307" s="416"/>
      <c r="I307" s="81">
        <v>96.14</v>
      </c>
      <c r="J307" s="467"/>
      <c r="K307" s="468"/>
      <c r="L307" s="469"/>
    </row>
    <row r="308" spans="1:12" ht="12.75" customHeight="1" x14ac:dyDescent="0.2">
      <c r="A308" s="408"/>
      <c r="B308" s="412"/>
      <c r="C308" s="413"/>
      <c r="D308" s="414"/>
      <c r="E308" s="408"/>
      <c r="F308" s="408"/>
      <c r="G308" s="479" t="s">
        <v>798</v>
      </c>
      <c r="H308" s="416"/>
      <c r="I308" s="81"/>
      <c r="J308" s="412"/>
      <c r="K308" s="413"/>
      <c r="L308" s="414"/>
    </row>
    <row r="309" spans="1:12" ht="12.75" customHeight="1" x14ac:dyDescent="0.2"/>
    <row r="310" spans="1:12" ht="12.75" customHeight="1" x14ac:dyDescent="0.2">
      <c r="A310" s="470" t="s">
        <v>39</v>
      </c>
      <c r="B310" s="418"/>
      <c r="C310" s="418"/>
      <c r="D310" s="418"/>
      <c r="E310" s="6" t="s">
        <v>40</v>
      </c>
      <c r="F310" s="6" t="s">
        <v>41</v>
      </c>
      <c r="G310" s="1030" t="s">
        <v>730</v>
      </c>
      <c r="H310" s="459"/>
      <c r="I310" s="470" t="s">
        <v>1427</v>
      </c>
      <c r="J310" s="418"/>
      <c r="K310" s="418"/>
      <c r="L310" s="416"/>
    </row>
    <row r="311" spans="1:12" ht="12.75" customHeight="1" x14ac:dyDescent="0.2">
      <c r="A311" s="1027" t="s">
        <v>120</v>
      </c>
      <c r="B311" s="1035" t="s">
        <v>66</v>
      </c>
      <c r="C311" s="410"/>
      <c r="D311" s="411"/>
      <c r="E311" s="1027" t="s">
        <v>445</v>
      </c>
      <c r="F311" s="1025">
        <f>I311</f>
        <v>11988.4686</v>
      </c>
      <c r="G311" s="479" t="s">
        <v>261</v>
      </c>
      <c r="H311" s="416"/>
      <c r="I311" s="81">
        <f>+I316*I312</f>
        <v>11988.4686</v>
      </c>
      <c r="J311" s="1036" t="s">
        <v>748</v>
      </c>
      <c r="K311" s="410"/>
      <c r="L311" s="411"/>
    </row>
    <row r="312" spans="1:12" ht="12.75" customHeight="1" x14ac:dyDescent="0.2">
      <c r="A312" s="1024"/>
      <c r="B312" s="467"/>
      <c r="C312" s="468"/>
      <c r="D312" s="469"/>
      <c r="E312" s="1024"/>
      <c r="F312" s="1024"/>
      <c r="G312" s="479" t="s">
        <v>184</v>
      </c>
      <c r="H312" s="416"/>
      <c r="I312" s="81">
        <v>1</v>
      </c>
      <c r="J312" s="467"/>
      <c r="K312" s="468"/>
      <c r="L312" s="469"/>
    </row>
    <row r="313" spans="1:12" ht="12.75" customHeight="1" x14ac:dyDescent="0.2">
      <c r="A313" s="1024"/>
      <c r="B313" s="467"/>
      <c r="C313" s="468"/>
      <c r="D313" s="469"/>
      <c r="E313" s="1024"/>
      <c r="F313" s="1024"/>
      <c r="G313" s="479" t="s">
        <v>731</v>
      </c>
      <c r="H313" s="416"/>
      <c r="I313" s="81"/>
      <c r="J313" s="467"/>
      <c r="K313" s="468"/>
      <c r="L313" s="469"/>
    </row>
    <row r="314" spans="1:12" ht="12.75" customHeight="1" x14ac:dyDescent="0.2">
      <c r="A314" s="1024"/>
      <c r="B314" s="467"/>
      <c r="C314" s="468"/>
      <c r="D314" s="469"/>
      <c r="E314" s="1024"/>
      <c r="F314" s="1024"/>
      <c r="G314" s="479" t="s">
        <v>732</v>
      </c>
      <c r="H314" s="416"/>
      <c r="I314" s="81"/>
      <c r="J314" s="467"/>
      <c r="K314" s="468"/>
      <c r="L314" s="469"/>
    </row>
    <row r="315" spans="1:12" ht="12.75" customHeight="1" x14ac:dyDescent="0.2">
      <c r="A315" s="1024"/>
      <c r="B315" s="467"/>
      <c r="C315" s="468"/>
      <c r="D315" s="469"/>
      <c r="E315" s="1024"/>
      <c r="F315" s="1024"/>
      <c r="G315" s="479" t="s">
        <v>733</v>
      </c>
      <c r="H315" s="416"/>
      <c r="I315" s="81"/>
      <c r="J315" s="467"/>
      <c r="K315" s="468"/>
      <c r="L315" s="469"/>
    </row>
    <row r="316" spans="1:12" ht="12.75" customHeight="1" x14ac:dyDescent="0.2">
      <c r="A316" s="1024"/>
      <c r="B316" s="467"/>
      <c r="C316" s="468"/>
      <c r="D316" s="469"/>
      <c r="E316" s="1024"/>
      <c r="F316" s="1024"/>
      <c r="G316" s="479" t="s">
        <v>734</v>
      </c>
      <c r="H316" s="416"/>
      <c r="I316" s="81">
        <f>+'16'!D555</f>
        <v>11988.4686</v>
      </c>
      <c r="J316" s="467"/>
      <c r="K316" s="468"/>
      <c r="L316" s="469"/>
    </row>
    <row r="317" spans="1:12" ht="12.75" customHeight="1" x14ac:dyDescent="0.2">
      <c r="A317" s="1024"/>
      <c r="B317" s="467"/>
      <c r="C317" s="468"/>
      <c r="D317" s="469"/>
      <c r="E317" s="1024"/>
      <c r="F317" s="1024"/>
      <c r="G317" s="479" t="s">
        <v>735</v>
      </c>
      <c r="H317" s="416"/>
      <c r="I317" s="81"/>
      <c r="J317" s="467"/>
      <c r="K317" s="468"/>
      <c r="L317" s="469"/>
    </row>
    <row r="318" spans="1:12" ht="12.75" customHeight="1" x14ac:dyDescent="0.2">
      <c r="A318" s="1024"/>
      <c r="B318" s="467"/>
      <c r="C318" s="468"/>
      <c r="D318" s="469"/>
      <c r="E318" s="1024"/>
      <c r="F318" s="1024"/>
      <c r="G318" s="479" t="s">
        <v>799</v>
      </c>
      <c r="H318" s="416"/>
      <c r="I318" s="81"/>
      <c r="J318" s="467"/>
      <c r="K318" s="468"/>
      <c r="L318" s="469"/>
    </row>
    <row r="319" spans="1:12" ht="12.75" customHeight="1" x14ac:dyDescent="0.2">
      <c r="A319" s="408"/>
      <c r="B319" s="412"/>
      <c r="C319" s="413"/>
      <c r="D319" s="414"/>
      <c r="E319" s="408"/>
      <c r="F319" s="408"/>
      <c r="G319" s="479" t="s">
        <v>800</v>
      </c>
      <c r="H319" s="416"/>
      <c r="I319" s="81"/>
      <c r="J319" s="412"/>
      <c r="K319" s="413"/>
      <c r="L319" s="414"/>
    </row>
    <row r="320" spans="1:12" ht="12.75" customHeight="1" x14ac:dyDescent="0.2"/>
    <row r="321" spans="1:12" ht="12.75" customHeight="1" x14ac:dyDescent="0.2">
      <c r="A321" s="470" t="s">
        <v>39</v>
      </c>
      <c r="B321" s="418"/>
      <c r="C321" s="418"/>
      <c r="D321" s="418"/>
      <c r="E321" s="6" t="s">
        <v>40</v>
      </c>
      <c r="F321" s="6" t="s">
        <v>41</v>
      </c>
      <c r="G321" s="1030" t="s">
        <v>730</v>
      </c>
      <c r="H321" s="459"/>
      <c r="I321" s="470" t="s">
        <v>1427</v>
      </c>
      <c r="J321" s="418"/>
      <c r="K321" s="418"/>
      <c r="L321" s="416"/>
    </row>
    <row r="322" spans="1:12" ht="12.75" customHeight="1" x14ac:dyDescent="0.2">
      <c r="A322" s="1027" t="s">
        <v>122</v>
      </c>
      <c r="B322" s="1035" t="s">
        <v>801</v>
      </c>
      <c r="C322" s="410"/>
      <c r="D322" s="411"/>
      <c r="E322" s="1027" t="s">
        <v>420</v>
      </c>
      <c r="F322" s="1025">
        <f>I322</f>
        <v>649.52800000000013</v>
      </c>
      <c r="G322" s="479" t="s">
        <v>261</v>
      </c>
      <c r="H322" s="416"/>
      <c r="I322" s="81">
        <f>I323-I324</f>
        <v>649.52800000000013</v>
      </c>
      <c r="J322" s="1036" t="s">
        <v>748</v>
      </c>
      <c r="K322" s="410"/>
      <c r="L322" s="411"/>
    </row>
    <row r="323" spans="1:12" ht="12.75" customHeight="1" x14ac:dyDescent="0.2">
      <c r="A323" s="1024"/>
      <c r="B323" s="467"/>
      <c r="C323" s="468"/>
      <c r="D323" s="469"/>
      <c r="E323" s="1024"/>
      <c r="F323" s="1024"/>
      <c r="G323" s="479" t="s">
        <v>775</v>
      </c>
      <c r="H323" s="416"/>
      <c r="I323" s="81">
        <f>I154+I171</f>
        <v>1100.3999999999999</v>
      </c>
      <c r="J323" s="467"/>
      <c r="K323" s="468"/>
      <c r="L323" s="469"/>
    </row>
    <row r="324" spans="1:12" ht="12.75" customHeight="1" x14ac:dyDescent="0.2">
      <c r="A324" s="1024"/>
      <c r="B324" s="467"/>
      <c r="C324" s="468"/>
      <c r="D324" s="469"/>
      <c r="E324" s="1024"/>
      <c r="F324" s="1024"/>
      <c r="G324" s="479" t="s">
        <v>802</v>
      </c>
      <c r="H324" s="416"/>
      <c r="I324" s="81">
        <f>I223</f>
        <v>450.87199999999973</v>
      </c>
      <c r="J324" s="467"/>
      <c r="K324" s="468"/>
      <c r="L324" s="469"/>
    </row>
    <row r="325" spans="1:12" ht="12.75" customHeight="1" x14ac:dyDescent="0.2">
      <c r="A325" s="1024"/>
      <c r="B325" s="467"/>
      <c r="C325" s="468"/>
      <c r="D325" s="469"/>
      <c r="E325" s="1024"/>
      <c r="F325" s="1024"/>
      <c r="G325" s="479" t="s">
        <v>732</v>
      </c>
      <c r="H325" s="416"/>
      <c r="I325" s="81"/>
      <c r="J325" s="467"/>
      <c r="K325" s="468"/>
      <c r="L325" s="469"/>
    </row>
    <row r="326" spans="1:12" ht="12.75" customHeight="1" x14ac:dyDescent="0.2">
      <c r="A326" s="1024"/>
      <c r="B326" s="467"/>
      <c r="C326" s="468"/>
      <c r="D326" s="469"/>
      <c r="E326" s="1024"/>
      <c r="F326" s="1024"/>
      <c r="G326" s="479" t="s">
        <v>733</v>
      </c>
      <c r="H326" s="416"/>
      <c r="I326" s="81"/>
      <c r="J326" s="467"/>
      <c r="K326" s="468"/>
      <c r="L326" s="469"/>
    </row>
    <row r="327" spans="1:12" ht="12.75" customHeight="1" x14ac:dyDescent="0.2">
      <c r="A327" s="1024"/>
      <c r="B327" s="467"/>
      <c r="C327" s="468"/>
      <c r="D327" s="469"/>
      <c r="E327" s="1024"/>
      <c r="F327" s="1024"/>
      <c r="G327" s="479" t="s">
        <v>734</v>
      </c>
      <c r="H327" s="416"/>
      <c r="I327" s="81"/>
      <c r="J327" s="467"/>
      <c r="K327" s="468"/>
      <c r="L327" s="469"/>
    </row>
    <row r="328" spans="1:12" ht="12.75" customHeight="1" x14ac:dyDescent="0.2">
      <c r="A328" s="1024"/>
      <c r="B328" s="467"/>
      <c r="C328" s="468"/>
      <c r="D328" s="469"/>
      <c r="E328" s="1024"/>
      <c r="F328" s="1024"/>
      <c r="G328" s="479" t="s">
        <v>735</v>
      </c>
      <c r="H328" s="416"/>
      <c r="I328" s="81"/>
      <c r="J328" s="467"/>
      <c r="K328" s="468"/>
      <c r="L328" s="469"/>
    </row>
    <row r="329" spans="1:12" ht="12.75" customHeight="1" x14ac:dyDescent="0.2">
      <c r="A329" s="1024"/>
      <c r="B329" s="467"/>
      <c r="C329" s="468"/>
      <c r="D329" s="469"/>
      <c r="E329" s="1024"/>
      <c r="F329" s="1024"/>
      <c r="G329" s="479" t="s">
        <v>803</v>
      </c>
      <c r="H329" s="416"/>
      <c r="I329" s="81"/>
      <c r="J329" s="467"/>
      <c r="K329" s="468"/>
      <c r="L329" s="469"/>
    </row>
    <row r="330" spans="1:12" ht="12.75" customHeight="1" x14ac:dyDescent="0.2">
      <c r="A330" s="408"/>
      <c r="B330" s="412"/>
      <c r="C330" s="413"/>
      <c r="D330" s="414"/>
      <c r="E330" s="408"/>
      <c r="F330" s="408"/>
      <c r="G330" s="479" t="s">
        <v>804</v>
      </c>
      <c r="H330" s="416"/>
      <c r="I330" s="81"/>
      <c r="J330" s="412"/>
      <c r="K330" s="413"/>
      <c r="L330" s="414"/>
    </row>
    <row r="331" spans="1:12" ht="12.75" customHeight="1" x14ac:dyDescent="0.2"/>
    <row r="332" spans="1:12" ht="12.75" customHeight="1" x14ac:dyDescent="0.2">
      <c r="A332" s="470" t="s">
        <v>39</v>
      </c>
      <c r="B332" s="418"/>
      <c r="C332" s="418"/>
      <c r="D332" s="418"/>
      <c r="E332" s="6" t="s">
        <v>40</v>
      </c>
      <c r="F332" s="6" t="s">
        <v>41</v>
      </c>
      <c r="G332" s="1030" t="s">
        <v>730</v>
      </c>
      <c r="H332" s="459"/>
      <c r="I332" s="470" t="s">
        <v>1427</v>
      </c>
      <c r="J332" s="418"/>
      <c r="K332" s="418"/>
      <c r="L332" s="416"/>
    </row>
    <row r="333" spans="1:12" ht="12.75" customHeight="1" x14ac:dyDescent="0.2">
      <c r="A333" s="1027" t="s">
        <v>123</v>
      </c>
      <c r="B333" s="1035" t="s">
        <v>91</v>
      </c>
      <c r="C333" s="410"/>
      <c r="D333" s="411"/>
      <c r="E333" s="1027" t="s">
        <v>420</v>
      </c>
      <c r="F333" s="1025">
        <f>+(F154+F171)-F212-F223-F234-F245-F256</f>
        <v>593.27400000000023</v>
      </c>
      <c r="G333" s="479" t="s">
        <v>261</v>
      </c>
      <c r="H333" s="416"/>
      <c r="I333" s="81">
        <f>I334*I335*I336</f>
        <v>0</v>
      </c>
      <c r="J333" s="1036" t="s">
        <v>748</v>
      </c>
      <c r="K333" s="410"/>
      <c r="L333" s="411"/>
    </row>
    <row r="334" spans="1:12" ht="12.75" customHeight="1" x14ac:dyDescent="0.2">
      <c r="A334" s="1024"/>
      <c r="B334" s="467"/>
      <c r="C334" s="468"/>
      <c r="D334" s="469"/>
      <c r="E334" s="1024"/>
      <c r="F334" s="1024"/>
      <c r="G334" s="479" t="s">
        <v>184</v>
      </c>
      <c r="H334" s="416"/>
      <c r="I334" s="81"/>
      <c r="J334" s="467"/>
      <c r="K334" s="468"/>
      <c r="L334" s="469"/>
    </row>
    <row r="335" spans="1:12" ht="12.75" customHeight="1" x14ac:dyDescent="0.2">
      <c r="A335" s="1024"/>
      <c r="B335" s="467"/>
      <c r="C335" s="468"/>
      <c r="D335" s="469"/>
      <c r="E335" s="1024"/>
      <c r="F335" s="1024"/>
      <c r="G335" s="479" t="s">
        <v>731</v>
      </c>
      <c r="H335" s="416"/>
      <c r="I335" s="81"/>
      <c r="J335" s="467"/>
      <c r="K335" s="468"/>
      <c r="L335" s="469"/>
    </row>
    <row r="336" spans="1:12" ht="12.75" customHeight="1" x14ac:dyDescent="0.2">
      <c r="A336" s="1024"/>
      <c r="B336" s="467"/>
      <c r="C336" s="468"/>
      <c r="D336" s="469"/>
      <c r="E336" s="1024"/>
      <c r="F336" s="1024"/>
      <c r="G336" s="479" t="s">
        <v>732</v>
      </c>
      <c r="H336" s="416"/>
      <c r="I336" s="81"/>
      <c r="J336" s="467"/>
      <c r="K336" s="468"/>
      <c r="L336" s="469"/>
    </row>
    <row r="337" spans="1:12" ht="12.75" customHeight="1" x14ac:dyDescent="0.2">
      <c r="A337" s="1024"/>
      <c r="B337" s="467"/>
      <c r="C337" s="468"/>
      <c r="D337" s="469"/>
      <c r="E337" s="1024"/>
      <c r="F337" s="1024"/>
      <c r="G337" s="479" t="s">
        <v>733</v>
      </c>
      <c r="H337" s="416"/>
      <c r="I337" s="81"/>
      <c r="J337" s="467"/>
      <c r="K337" s="468"/>
      <c r="L337" s="469"/>
    </row>
    <row r="338" spans="1:12" ht="12.75" customHeight="1" x14ac:dyDescent="0.2">
      <c r="A338" s="1024"/>
      <c r="B338" s="467"/>
      <c r="C338" s="468"/>
      <c r="D338" s="469"/>
      <c r="E338" s="1024"/>
      <c r="F338" s="1024"/>
      <c r="G338" s="479" t="s">
        <v>734</v>
      </c>
      <c r="H338" s="416"/>
      <c r="I338" s="81"/>
      <c r="J338" s="467"/>
      <c r="K338" s="468"/>
      <c r="L338" s="469"/>
    </row>
    <row r="339" spans="1:12" ht="12.75" customHeight="1" x14ac:dyDescent="0.2">
      <c r="A339" s="1024"/>
      <c r="B339" s="467"/>
      <c r="C339" s="468"/>
      <c r="D339" s="469"/>
      <c r="E339" s="1024"/>
      <c r="F339" s="1024"/>
      <c r="G339" s="479" t="s">
        <v>735</v>
      </c>
      <c r="H339" s="416"/>
      <c r="I339" s="81"/>
      <c r="J339" s="467"/>
      <c r="K339" s="468"/>
      <c r="L339" s="469"/>
    </row>
    <row r="340" spans="1:12" ht="12.75" customHeight="1" x14ac:dyDescent="0.2">
      <c r="A340" s="1024"/>
      <c r="B340" s="467"/>
      <c r="C340" s="468"/>
      <c r="D340" s="469"/>
      <c r="E340" s="1024"/>
      <c r="F340" s="1024"/>
      <c r="G340" s="479" t="s">
        <v>805</v>
      </c>
      <c r="H340" s="416"/>
      <c r="I340" s="81"/>
      <c r="J340" s="467"/>
      <c r="K340" s="468"/>
      <c r="L340" s="469"/>
    </row>
    <row r="341" spans="1:12" ht="12.75" customHeight="1" x14ac:dyDescent="0.2">
      <c r="A341" s="408"/>
      <c r="B341" s="412"/>
      <c r="C341" s="413"/>
      <c r="D341" s="414"/>
      <c r="E341" s="408"/>
      <c r="F341" s="408"/>
      <c r="G341" s="479" t="s">
        <v>806</v>
      </c>
      <c r="H341" s="416"/>
      <c r="I341" s="81"/>
      <c r="J341" s="412"/>
      <c r="K341" s="413"/>
      <c r="L341" s="414"/>
    </row>
    <row r="342" spans="1:12" ht="12.75" customHeight="1" x14ac:dyDescent="0.2"/>
    <row r="343" spans="1:12" ht="12.75" customHeight="1" x14ac:dyDescent="0.2">
      <c r="A343" s="470" t="s">
        <v>39</v>
      </c>
      <c r="B343" s="418"/>
      <c r="C343" s="418"/>
      <c r="D343" s="418"/>
      <c r="E343" s="6" t="s">
        <v>40</v>
      </c>
      <c r="F343" s="6" t="s">
        <v>41</v>
      </c>
      <c r="G343" s="1030" t="s">
        <v>730</v>
      </c>
      <c r="H343" s="459"/>
      <c r="I343" s="470" t="s">
        <v>1427</v>
      </c>
      <c r="J343" s="418"/>
      <c r="K343" s="418"/>
      <c r="L343" s="416"/>
    </row>
    <row r="344" spans="1:12" ht="12.75" customHeight="1" x14ac:dyDescent="0.2">
      <c r="A344" s="1027" t="s">
        <v>126</v>
      </c>
      <c r="B344" s="1046" t="s">
        <v>807</v>
      </c>
      <c r="C344" s="410"/>
      <c r="D344" s="411"/>
      <c r="E344" s="1027" t="s">
        <v>475</v>
      </c>
      <c r="F344" s="1025">
        <f>I344</f>
        <v>3</v>
      </c>
      <c r="G344" s="479" t="s">
        <v>261</v>
      </c>
      <c r="H344" s="416"/>
      <c r="I344" s="81">
        <f>+I345</f>
        <v>3</v>
      </c>
      <c r="J344" s="1034"/>
      <c r="K344" s="410"/>
      <c r="L344" s="411"/>
    </row>
    <row r="345" spans="1:12" ht="12.75" customHeight="1" x14ac:dyDescent="0.2">
      <c r="A345" s="1024"/>
      <c r="B345" s="467"/>
      <c r="C345" s="468"/>
      <c r="D345" s="469"/>
      <c r="E345" s="1024"/>
      <c r="F345" s="1024"/>
      <c r="G345" s="479" t="s">
        <v>184</v>
      </c>
      <c r="H345" s="416"/>
      <c r="I345" s="81">
        <v>3</v>
      </c>
      <c r="J345" s="467"/>
      <c r="K345" s="468"/>
      <c r="L345" s="469"/>
    </row>
    <row r="346" spans="1:12" ht="12.75" customHeight="1" x14ac:dyDescent="0.2">
      <c r="A346" s="1024"/>
      <c r="B346" s="467"/>
      <c r="C346" s="468"/>
      <c r="D346" s="469"/>
      <c r="E346" s="1024"/>
      <c r="F346" s="1024"/>
      <c r="G346" s="479" t="s">
        <v>731</v>
      </c>
      <c r="H346" s="416"/>
      <c r="I346" s="81"/>
      <c r="J346" s="467"/>
      <c r="K346" s="468"/>
      <c r="L346" s="469"/>
    </row>
    <row r="347" spans="1:12" ht="12.75" customHeight="1" x14ac:dyDescent="0.2">
      <c r="A347" s="1024"/>
      <c r="B347" s="467"/>
      <c r="C347" s="468"/>
      <c r="D347" s="469"/>
      <c r="E347" s="1024"/>
      <c r="F347" s="1024"/>
      <c r="G347" s="479" t="s">
        <v>732</v>
      </c>
      <c r="H347" s="416"/>
      <c r="I347" s="81"/>
      <c r="J347" s="467"/>
      <c r="K347" s="468"/>
      <c r="L347" s="469"/>
    </row>
    <row r="348" spans="1:12" ht="12.75" customHeight="1" x14ac:dyDescent="0.2">
      <c r="A348" s="1024"/>
      <c r="B348" s="467"/>
      <c r="C348" s="468"/>
      <c r="D348" s="469"/>
      <c r="E348" s="1024"/>
      <c r="F348" s="1024"/>
      <c r="G348" s="479" t="s">
        <v>733</v>
      </c>
      <c r="H348" s="416"/>
      <c r="I348" s="81"/>
      <c r="J348" s="467"/>
      <c r="K348" s="468"/>
      <c r="L348" s="469"/>
    </row>
    <row r="349" spans="1:12" ht="12.75" customHeight="1" x14ac:dyDescent="0.2">
      <c r="A349" s="1024"/>
      <c r="B349" s="467"/>
      <c r="C349" s="468"/>
      <c r="D349" s="469"/>
      <c r="E349" s="1024"/>
      <c r="F349" s="1024"/>
      <c r="G349" s="479" t="s">
        <v>734</v>
      </c>
      <c r="H349" s="416"/>
      <c r="I349" s="81"/>
      <c r="J349" s="467"/>
      <c r="K349" s="468"/>
      <c r="L349" s="469"/>
    </row>
    <row r="350" spans="1:12" ht="12.75" customHeight="1" x14ac:dyDescent="0.2">
      <c r="A350" s="1024"/>
      <c r="B350" s="467"/>
      <c r="C350" s="468"/>
      <c r="D350" s="469"/>
      <c r="E350" s="1024"/>
      <c r="F350" s="1024"/>
      <c r="G350" s="479" t="s">
        <v>735</v>
      </c>
      <c r="H350" s="416"/>
      <c r="I350" s="81"/>
      <c r="J350" s="467"/>
      <c r="K350" s="468"/>
      <c r="L350" s="469"/>
    </row>
    <row r="351" spans="1:12" ht="12.75" customHeight="1" x14ac:dyDescent="0.2">
      <c r="A351" s="1024"/>
      <c r="B351" s="467"/>
      <c r="C351" s="468"/>
      <c r="D351" s="469"/>
      <c r="E351" s="1024"/>
      <c r="F351" s="1024"/>
      <c r="G351" s="479" t="s">
        <v>808</v>
      </c>
      <c r="H351" s="416"/>
      <c r="I351" s="81"/>
      <c r="J351" s="467"/>
      <c r="K351" s="468"/>
      <c r="L351" s="469"/>
    </row>
    <row r="352" spans="1:12" ht="12.75" customHeight="1" x14ac:dyDescent="0.2">
      <c r="A352" s="408"/>
      <c r="B352" s="412"/>
      <c r="C352" s="413"/>
      <c r="D352" s="414"/>
      <c r="E352" s="408"/>
      <c r="F352" s="408"/>
      <c r="G352" s="479" t="s">
        <v>809</v>
      </c>
      <c r="H352" s="416"/>
      <c r="I352" s="81"/>
      <c r="J352" s="412"/>
      <c r="K352" s="413"/>
      <c r="L352" s="414"/>
    </row>
    <row r="353" spans="1:12" ht="12.75" customHeight="1" x14ac:dyDescent="0.2"/>
    <row r="354" spans="1:12" ht="12.75" customHeight="1" x14ac:dyDescent="0.2">
      <c r="A354" s="470" t="s">
        <v>39</v>
      </c>
      <c r="B354" s="418"/>
      <c r="C354" s="418"/>
      <c r="D354" s="418"/>
      <c r="E354" s="6" t="s">
        <v>40</v>
      </c>
      <c r="F354" s="6" t="s">
        <v>41</v>
      </c>
      <c r="G354" s="1030" t="s">
        <v>730</v>
      </c>
      <c r="H354" s="459"/>
      <c r="I354" s="470" t="s">
        <v>1427</v>
      </c>
      <c r="J354" s="418"/>
      <c r="K354" s="418"/>
      <c r="L354" s="416"/>
    </row>
    <row r="355" spans="1:12" ht="12.75" customHeight="1" x14ac:dyDescent="0.2">
      <c r="A355" s="1027" t="s">
        <v>128</v>
      </c>
      <c r="B355" s="1035" t="s">
        <v>129</v>
      </c>
      <c r="C355" s="410"/>
      <c r="D355" s="411"/>
      <c r="E355" s="1027" t="s">
        <v>475</v>
      </c>
      <c r="F355" s="1025">
        <f>I355</f>
        <v>1</v>
      </c>
      <c r="G355" s="479" t="s">
        <v>261</v>
      </c>
      <c r="H355" s="416"/>
      <c r="I355" s="81">
        <f>+I356</f>
        <v>1</v>
      </c>
      <c r="J355" s="1034"/>
      <c r="K355" s="410"/>
      <c r="L355" s="411"/>
    </row>
    <row r="356" spans="1:12" ht="12.75" customHeight="1" x14ac:dyDescent="0.2">
      <c r="A356" s="1024"/>
      <c r="B356" s="467"/>
      <c r="C356" s="468"/>
      <c r="D356" s="469"/>
      <c r="E356" s="1024"/>
      <c r="F356" s="1024"/>
      <c r="G356" s="479" t="s">
        <v>184</v>
      </c>
      <c r="H356" s="416"/>
      <c r="I356" s="81">
        <v>1</v>
      </c>
      <c r="J356" s="467"/>
      <c r="K356" s="468"/>
      <c r="L356" s="469"/>
    </row>
    <row r="357" spans="1:12" ht="12.75" customHeight="1" x14ac:dyDescent="0.2">
      <c r="A357" s="1024"/>
      <c r="B357" s="467"/>
      <c r="C357" s="468"/>
      <c r="D357" s="469"/>
      <c r="E357" s="1024"/>
      <c r="F357" s="1024"/>
      <c r="G357" s="479" t="s">
        <v>731</v>
      </c>
      <c r="H357" s="416"/>
      <c r="I357" s="81"/>
      <c r="J357" s="467"/>
      <c r="K357" s="468"/>
      <c r="L357" s="469"/>
    </row>
    <row r="358" spans="1:12" ht="12.75" customHeight="1" x14ac:dyDescent="0.2">
      <c r="A358" s="1024"/>
      <c r="B358" s="467"/>
      <c r="C358" s="468"/>
      <c r="D358" s="469"/>
      <c r="E358" s="1024"/>
      <c r="F358" s="1024"/>
      <c r="G358" s="479" t="s">
        <v>732</v>
      </c>
      <c r="H358" s="416"/>
      <c r="I358" s="81"/>
      <c r="J358" s="467"/>
      <c r="K358" s="468"/>
      <c r="L358" s="469"/>
    </row>
    <row r="359" spans="1:12" ht="12.75" customHeight="1" x14ac:dyDescent="0.2">
      <c r="A359" s="1024"/>
      <c r="B359" s="467"/>
      <c r="C359" s="468"/>
      <c r="D359" s="469"/>
      <c r="E359" s="1024"/>
      <c r="F359" s="1024"/>
      <c r="G359" s="479" t="s">
        <v>733</v>
      </c>
      <c r="H359" s="416"/>
      <c r="I359" s="81"/>
      <c r="J359" s="467"/>
      <c r="K359" s="468"/>
      <c r="L359" s="469"/>
    </row>
    <row r="360" spans="1:12" ht="12.75" customHeight="1" x14ac:dyDescent="0.2">
      <c r="A360" s="1024"/>
      <c r="B360" s="467"/>
      <c r="C360" s="468"/>
      <c r="D360" s="469"/>
      <c r="E360" s="1024"/>
      <c r="F360" s="1024"/>
      <c r="G360" s="479" t="s">
        <v>734</v>
      </c>
      <c r="H360" s="416"/>
      <c r="I360" s="81"/>
      <c r="J360" s="467"/>
      <c r="K360" s="468"/>
      <c r="L360" s="469"/>
    </row>
    <row r="361" spans="1:12" ht="12.75" customHeight="1" x14ac:dyDescent="0.2">
      <c r="A361" s="1024"/>
      <c r="B361" s="467"/>
      <c r="C361" s="468"/>
      <c r="D361" s="469"/>
      <c r="E361" s="1024"/>
      <c r="F361" s="1024"/>
      <c r="G361" s="479" t="s">
        <v>735</v>
      </c>
      <c r="H361" s="416"/>
      <c r="I361" s="81"/>
      <c r="J361" s="467"/>
      <c r="K361" s="468"/>
      <c r="L361" s="469"/>
    </row>
    <row r="362" spans="1:12" ht="12.75" customHeight="1" x14ac:dyDescent="0.2">
      <c r="A362" s="1024"/>
      <c r="B362" s="467"/>
      <c r="C362" s="468"/>
      <c r="D362" s="469"/>
      <c r="E362" s="1024"/>
      <c r="F362" s="1024"/>
      <c r="G362" s="479" t="s">
        <v>810</v>
      </c>
      <c r="H362" s="416"/>
      <c r="I362" s="81"/>
      <c r="J362" s="467"/>
      <c r="K362" s="468"/>
      <c r="L362" s="469"/>
    </row>
    <row r="363" spans="1:12" ht="12.75" customHeight="1" x14ac:dyDescent="0.2">
      <c r="A363" s="408"/>
      <c r="B363" s="412"/>
      <c r="C363" s="413"/>
      <c r="D363" s="414"/>
      <c r="E363" s="408"/>
      <c r="F363" s="408"/>
      <c r="G363" s="479" t="s">
        <v>811</v>
      </c>
      <c r="H363" s="416"/>
      <c r="I363" s="81"/>
      <c r="J363" s="412"/>
      <c r="K363" s="413"/>
      <c r="L363" s="414"/>
    </row>
    <row r="364" spans="1:12" ht="12.75" customHeight="1" x14ac:dyDescent="0.2"/>
    <row r="365" spans="1:12" ht="12.75" customHeight="1" x14ac:dyDescent="0.2">
      <c r="A365" s="470" t="s">
        <v>39</v>
      </c>
      <c r="B365" s="418"/>
      <c r="C365" s="418"/>
      <c r="D365" s="418"/>
      <c r="E365" s="6" t="s">
        <v>40</v>
      </c>
      <c r="F365" s="6" t="s">
        <v>41</v>
      </c>
      <c r="G365" s="1030" t="s">
        <v>730</v>
      </c>
      <c r="H365" s="459"/>
      <c r="I365" s="470" t="s">
        <v>1427</v>
      </c>
      <c r="J365" s="418"/>
      <c r="K365" s="418"/>
      <c r="L365" s="416"/>
    </row>
    <row r="366" spans="1:12" ht="12.75" customHeight="1" x14ac:dyDescent="0.2">
      <c r="A366" s="1027" t="s">
        <v>130</v>
      </c>
      <c r="B366" s="1035" t="s">
        <v>131</v>
      </c>
      <c r="C366" s="410"/>
      <c r="D366" s="411"/>
      <c r="E366" s="1027" t="s">
        <v>475</v>
      </c>
      <c r="F366" s="1025">
        <f>I366</f>
        <v>3</v>
      </c>
      <c r="G366" s="479" t="s">
        <v>261</v>
      </c>
      <c r="H366" s="416"/>
      <c r="I366" s="81">
        <f>+I367</f>
        <v>3</v>
      </c>
      <c r="J366" s="1034"/>
      <c r="K366" s="410"/>
      <c r="L366" s="411"/>
    </row>
    <row r="367" spans="1:12" ht="12.75" customHeight="1" x14ac:dyDescent="0.2">
      <c r="A367" s="1024"/>
      <c r="B367" s="467"/>
      <c r="C367" s="468"/>
      <c r="D367" s="469"/>
      <c r="E367" s="1024"/>
      <c r="F367" s="1024"/>
      <c r="G367" s="479" t="s">
        <v>184</v>
      </c>
      <c r="H367" s="416"/>
      <c r="I367" s="81">
        <v>3</v>
      </c>
      <c r="J367" s="467"/>
      <c r="K367" s="468"/>
      <c r="L367" s="469"/>
    </row>
    <row r="368" spans="1:12" ht="12.75" customHeight="1" x14ac:dyDescent="0.2">
      <c r="A368" s="1024"/>
      <c r="B368" s="467"/>
      <c r="C368" s="468"/>
      <c r="D368" s="469"/>
      <c r="E368" s="1024"/>
      <c r="F368" s="1024"/>
      <c r="G368" s="479" t="s">
        <v>731</v>
      </c>
      <c r="H368" s="416"/>
      <c r="I368" s="81"/>
      <c r="J368" s="467"/>
      <c r="K368" s="468"/>
      <c r="L368" s="469"/>
    </row>
    <row r="369" spans="1:12" ht="12.75" customHeight="1" x14ac:dyDescent="0.2">
      <c r="A369" s="1024"/>
      <c r="B369" s="467"/>
      <c r="C369" s="468"/>
      <c r="D369" s="469"/>
      <c r="E369" s="1024"/>
      <c r="F369" s="1024"/>
      <c r="G369" s="479" t="s">
        <v>732</v>
      </c>
      <c r="H369" s="416"/>
      <c r="I369" s="81"/>
      <c r="J369" s="467"/>
      <c r="K369" s="468"/>
      <c r="L369" s="469"/>
    </row>
    <row r="370" spans="1:12" ht="12.75" customHeight="1" x14ac:dyDescent="0.2">
      <c r="A370" s="1024"/>
      <c r="B370" s="467"/>
      <c r="C370" s="468"/>
      <c r="D370" s="469"/>
      <c r="E370" s="1024"/>
      <c r="F370" s="1024"/>
      <c r="G370" s="479" t="s">
        <v>733</v>
      </c>
      <c r="H370" s="416"/>
      <c r="I370" s="81"/>
      <c r="J370" s="467"/>
      <c r="K370" s="468"/>
      <c r="L370" s="469"/>
    </row>
    <row r="371" spans="1:12" ht="12.75" customHeight="1" x14ac:dyDescent="0.2">
      <c r="A371" s="1024"/>
      <c r="B371" s="467"/>
      <c r="C371" s="468"/>
      <c r="D371" s="469"/>
      <c r="E371" s="1024"/>
      <c r="F371" s="1024"/>
      <c r="G371" s="479" t="s">
        <v>734</v>
      </c>
      <c r="H371" s="416"/>
      <c r="I371" s="81"/>
      <c r="J371" s="467"/>
      <c r="K371" s="468"/>
      <c r="L371" s="469"/>
    </row>
    <row r="372" spans="1:12" ht="12.75" customHeight="1" x14ac:dyDescent="0.2">
      <c r="A372" s="1024"/>
      <c r="B372" s="467"/>
      <c r="C372" s="468"/>
      <c r="D372" s="469"/>
      <c r="E372" s="1024"/>
      <c r="F372" s="1024"/>
      <c r="G372" s="479" t="s">
        <v>735</v>
      </c>
      <c r="H372" s="416"/>
      <c r="I372" s="81"/>
      <c r="J372" s="467"/>
      <c r="K372" s="468"/>
      <c r="L372" s="469"/>
    </row>
    <row r="373" spans="1:12" ht="12.75" customHeight="1" x14ac:dyDescent="0.2">
      <c r="A373" s="1024"/>
      <c r="B373" s="467"/>
      <c r="C373" s="468"/>
      <c r="D373" s="469"/>
      <c r="E373" s="1024"/>
      <c r="F373" s="1024"/>
      <c r="G373" s="479" t="s">
        <v>812</v>
      </c>
      <c r="H373" s="416"/>
      <c r="I373" s="81"/>
      <c r="J373" s="467"/>
      <c r="K373" s="468"/>
      <c r="L373" s="469"/>
    </row>
    <row r="374" spans="1:12" ht="12.75" customHeight="1" x14ac:dyDescent="0.2">
      <c r="A374" s="408"/>
      <c r="B374" s="412"/>
      <c r="C374" s="413"/>
      <c r="D374" s="414"/>
      <c r="E374" s="408"/>
      <c r="F374" s="408"/>
      <c r="G374" s="479" t="s">
        <v>813</v>
      </c>
      <c r="H374" s="416"/>
      <c r="I374" s="81"/>
      <c r="J374" s="412"/>
      <c r="K374" s="413"/>
      <c r="L374" s="414"/>
    </row>
    <row r="375" spans="1:12" ht="12.75" customHeight="1" x14ac:dyDescent="0.2"/>
    <row r="376" spans="1:12" ht="12.75" customHeight="1" x14ac:dyDescent="0.2">
      <c r="A376" s="470" t="s">
        <v>39</v>
      </c>
      <c r="B376" s="418"/>
      <c r="C376" s="418"/>
      <c r="D376" s="418"/>
      <c r="E376" s="6" t="s">
        <v>40</v>
      </c>
      <c r="F376" s="6" t="s">
        <v>41</v>
      </c>
      <c r="G376" s="1030" t="s">
        <v>730</v>
      </c>
      <c r="H376" s="459"/>
      <c r="I376" s="470" t="s">
        <v>1427</v>
      </c>
      <c r="J376" s="418"/>
      <c r="K376" s="418"/>
      <c r="L376" s="416"/>
    </row>
    <row r="377" spans="1:12" ht="12.75" customHeight="1" x14ac:dyDescent="0.2">
      <c r="A377" s="1027" t="s">
        <v>132</v>
      </c>
      <c r="B377" s="1035" t="s">
        <v>78</v>
      </c>
      <c r="C377" s="410"/>
      <c r="D377" s="411"/>
      <c r="E377" s="1027" t="s">
        <v>475</v>
      </c>
      <c r="F377" s="1025">
        <f>I377</f>
        <v>1</v>
      </c>
      <c r="G377" s="479" t="s">
        <v>261</v>
      </c>
      <c r="H377" s="416"/>
      <c r="I377" s="81">
        <f>+I378</f>
        <v>1</v>
      </c>
      <c r="J377" s="1034"/>
      <c r="K377" s="410"/>
      <c r="L377" s="411"/>
    </row>
    <row r="378" spans="1:12" ht="12.75" customHeight="1" x14ac:dyDescent="0.2">
      <c r="A378" s="1024"/>
      <c r="B378" s="467"/>
      <c r="C378" s="468"/>
      <c r="D378" s="469"/>
      <c r="E378" s="1024"/>
      <c r="F378" s="1024"/>
      <c r="G378" s="479" t="s">
        <v>184</v>
      </c>
      <c r="H378" s="416"/>
      <c r="I378" s="81">
        <v>1</v>
      </c>
      <c r="J378" s="467"/>
      <c r="K378" s="468"/>
      <c r="L378" s="469"/>
    </row>
    <row r="379" spans="1:12" ht="12.75" customHeight="1" x14ac:dyDescent="0.2">
      <c r="A379" s="1024"/>
      <c r="B379" s="467"/>
      <c r="C379" s="468"/>
      <c r="D379" s="469"/>
      <c r="E379" s="1024"/>
      <c r="F379" s="1024"/>
      <c r="G379" s="479" t="s">
        <v>731</v>
      </c>
      <c r="H379" s="416"/>
      <c r="I379" s="81"/>
      <c r="J379" s="467"/>
      <c r="K379" s="468"/>
      <c r="L379" s="469"/>
    </row>
    <row r="380" spans="1:12" ht="12.75" customHeight="1" x14ac:dyDescent="0.2">
      <c r="A380" s="1024"/>
      <c r="B380" s="467"/>
      <c r="C380" s="468"/>
      <c r="D380" s="469"/>
      <c r="E380" s="1024"/>
      <c r="F380" s="1024"/>
      <c r="G380" s="479" t="s">
        <v>732</v>
      </c>
      <c r="H380" s="416"/>
      <c r="I380" s="81"/>
      <c r="J380" s="467"/>
      <c r="K380" s="468"/>
      <c r="L380" s="469"/>
    </row>
    <row r="381" spans="1:12" ht="12.75" customHeight="1" x14ac:dyDescent="0.2">
      <c r="A381" s="1024"/>
      <c r="B381" s="467"/>
      <c r="C381" s="468"/>
      <c r="D381" s="469"/>
      <c r="E381" s="1024"/>
      <c r="F381" s="1024"/>
      <c r="G381" s="479" t="s">
        <v>733</v>
      </c>
      <c r="H381" s="416"/>
      <c r="I381" s="81"/>
      <c r="J381" s="467"/>
      <c r="K381" s="468"/>
      <c r="L381" s="469"/>
    </row>
    <row r="382" spans="1:12" ht="12.75" customHeight="1" x14ac:dyDescent="0.2">
      <c r="A382" s="1024"/>
      <c r="B382" s="467"/>
      <c r="C382" s="468"/>
      <c r="D382" s="469"/>
      <c r="E382" s="1024"/>
      <c r="F382" s="1024"/>
      <c r="G382" s="479" t="s">
        <v>734</v>
      </c>
      <c r="H382" s="416"/>
      <c r="I382" s="81"/>
      <c r="J382" s="467"/>
      <c r="K382" s="468"/>
      <c r="L382" s="469"/>
    </row>
    <row r="383" spans="1:12" ht="12.75" customHeight="1" x14ac:dyDescent="0.2">
      <c r="A383" s="1024"/>
      <c r="B383" s="467"/>
      <c r="C383" s="468"/>
      <c r="D383" s="469"/>
      <c r="E383" s="1024"/>
      <c r="F383" s="1024"/>
      <c r="G383" s="479" t="s">
        <v>735</v>
      </c>
      <c r="H383" s="416"/>
      <c r="I383" s="81"/>
      <c r="J383" s="467"/>
      <c r="K383" s="468"/>
      <c r="L383" s="469"/>
    </row>
    <row r="384" spans="1:12" ht="12.75" customHeight="1" x14ac:dyDescent="0.2">
      <c r="A384" s="1024"/>
      <c r="B384" s="467"/>
      <c r="C384" s="468"/>
      <c r="D384" s="469"/>
      <c r="E384" s="1024"/>
      <c r="F384" s="1024"/>
      <c r="G384" s="479" t="s">
        <v>814</v>
      </c>
      <c r="H384" s="416"/>
      <c r="I384" s="81"/>
      <c r="J384" s="467"/>
      <c r="K384" s="468"/>
      <c r="L384" s="469"/>
    </row>
    <row r="385" spans="1:12" ht="12.75" customHeight="1" x14ac:dyDescent="0.2">
      <c r="A385" s="408"/>
      <c r="B385" s="412"/>
      <c r="C385" s="413"/>
      <c r="D385" s="414"/>
      <c r="E385" s="408"/>
      <c r="F385" s="408"/>
      <c r="G385" s="479" t="s">
        <v>815</v>
      </c>
      <c r="H385" s="416"/>
      <c r="I385" s="81"/>
      <c r="J385" s="412"/>
      <c r="K385" s="413"/>
      <c r="L385" s="414"/>
    </row>
    <row r="386" spans="1:12" ht="12.75" customHeight="1" x14ac:dyDescent="0.2"/>
    <row r="387" spans="1:12" ht="12.75" customHeight="1" x14ac:dyDescent="0.2">
      <c r="A387" s="470" t="s">
        <v>39</v>
      </c>
      <c r="B387" s="418"/>
      <c r="C387" s="418"/>
      <c r="D387" s="418"/>
      <c r="E387" s="6" t="s">
        <v>40</v>
      </c>
      <c r="F387" s="6" t="s">
        <v>41</v>
      </c>
      <c r="G387" s="1030" t="s">
        <v>730</v>
      </c>
      <c r="H387" s="459"/>
      <c r="I387" s="470" t="s">
        <v>1427</v>
      </c>
      <c r="J387" s="418"/>
      <c r="K387" s="418"/>
      <c r="L387" s="416"/>
    </row>
    <row r="388" spans="1:12" ht="12.75" customHeight="1" x14ac:dyDescent="0.2">
      <c r="A388" s="1027" t="s">
        <v>133</v>
      </c>
      <c r="B388" s="1035" t="s">
        <v>134</v>
      </c>
      <c r="C388" s="410"/>
      <c r="D388" s="411"/>
      <c r="E388" s="1027" t="s">
        <v>475</v>
      </c>
      <c r="F388" s="1025">
        <f>I388</f>
        <v>3</v>
      </c>
      <c r="G388" s="479" t="s">
        <v>261</v>
      </c>
      <c r="H388" s="416"/>
      <c r="I388" s="81">
        <f>+I389</f>
        <v>3</v>
      </c>
      <c r="J388" s="1034"/>
      <c r="K388" s="410"/>
      <c r="L388" s="411"/>
    </row>
    <row r="389" spans="1:12" ht="12.75" customHeight="1" x14ac:dyDescent="0.2">
      <c r="A389" s="1024"/>
      <c r="B389" s="467"/>
      <c r="C389" s="468"/>
      <c r="D389" s="469"/>
      <c r="E389" s="1024"/>
      <c r="F389" s="1024"/>
      <c r="G389" s="479" t="s">
        <v>184</v>
      </c>
      <c r="H389" s="416"/>
      <c r="I389" s="81">
        <v>3</v>
      </c>
      <c r="J389" s="467"/>
      <c r="K389" s="468"/>
      <c r="L389" s="469"/>
    </row>
    <row r="390" spans="1:12" ht="12.75" customHeight="1" x14ac:dyDescent="0.2">
      <c r="A390" s="1024"/>
      <c r="B390" s="467"/>
      <c r="C390" s="468"/>
      <c r="D390" s="469"/>
      <c r="E390" s="1024"/>
      <c r="F390" s="1024"/>
      <c r="G390" s="479" t="s">
        <v>731</v>
      </c>
      <c r="H390" s="416"/>
      <c r="I390" s="81"/>
      <c r="J390" s="467"/>
      <c r="K390" s="468"/>
      <c r="L390" s="469"/>
    </row>
    <row r="391" spans="1:12" ht="12.75" customHeight="1" x14ac:dyDescent="0.2">
      <c r="A391" s="1024"/>
      <c r="B391" s="467"/>
      <c r="C391" s="468"/>
      <c r="D391" s="469"/>
      <c r="E391" s="1024"/>
      <c r="F391" s="1024"/>
      <c r="G391" s="479" t="s">
        <v>732</v>
      </c>
      <c r="H391" s="416"/>
      <c r="I391" s="81"/>
      <c r="J391" s="467"/>
      <c r="K391" s="468"/>
      <c r="L391" s="469"/>
    </row>
    <row r="392" spans="1:12" ht="12.75" customHeight="1" x14ac:dyDescent="0.2">
      <c r="A392" s="1024"/>
      <c r="B392" s="467"/>
      <c r="C392" s="468"/>
      <c r="D392" s="469"/>
      <c r="E392" s="1024"/>
      <c r="F392" s="1024"/>
      <c r="G392" s="479" t="s">
        <v>733</v>
      </c>
      <c r="H392" s="416"/>
      <c r="I392" s="81"/>
      <c r="J392" s="467"/>
      <c r="K392" s="468"/>
      <c r="L392" s="469"/>
    </row>
    <row r="393" spans="1:12" ht="12.75" customHeight="1" x14ac:dyDescent="0.2">
      <c r="A393" s="1024"/>
      <c r="B393" s="467"/>
      <c r="C393" s="468"/>
      <c r="D393" s="469"/>
      <c r="E393" s="1024"/>
      <c r="F393" s="1024"/>
      <c r="G393" s="479" t="s">
        <v>734</v>
      </c>
      <c r="H393" s="416"/>
      <c r="I393" s="81"/>
      <c r="J393" s="467"/>
      <c r="K393" s="468"/>
      <c r="L393" s="469"/>
    </row>
    <row r="394" spans="1:12" ht="12.75" customHeight="1" x14ac:dyDescent="0.2">
      <c r="A394" s="1024"/>
      <c r="B394" s="467"/>
      <c r="C394" s="468"/>
      <c r="D394" s="469"/>
      <c r="E394" s="1024"/>
      <c r="F394" s="1024"/>
      <c r="G394" s="479" t="s">
        <v>735</v>
      </c>
      <c r="H394" s="416"/>
      <c r="I394" s="81"/>
      <c r="J394" s="467"/>
      <c r="K394" s="468"/>
      <c r="L394" s="469"/>
    </row>
    <row r="395" spans="1:12" ht="12.75" customHeight="1" x14ac:dyDescent="0.2">
      <c r="A395" s="1024"/>
      <c r="B395" s="467"/>
      <c r="C395" s="468"/>
      <c r="D395" s="469"/>
      <c r="E395" s="1024"/>
      <c r="F395" s="1024"/>
      <c r="G395" s="479" t="s">
        <v>816</v>
      </c>
      <c r="H395" s="416"/>
      <c r="I395" s="81"/>
      <c r="J395" s="467"/>
      <c r="K395" s="468"/>
      <c r="L395" s="469"/>
    </row>
    <row r="396" spans="1:12" ht="12.75" customHeight="1" x14ac:dyDescent="0.2">
      <c r="A396" s="408"/>
      <c r="B396" s="412"/>
      <c r="C396" s="413"/>
      <c r="D396" s="414"/>
      <c r="E396" s="408"/>
      <c r="F396" s="408"/>
      <c r="G396" s="479" t="s">
        <v>817</v>
      </c>
      <c r="H396" s="416"/>
      <c r="I396" s="81"/>
      <c r="J396" s="412"/>
      <c r="K396" s="413"/>
      <c r="L396" s="414"/>
    </row>
    <row r="397" spans="1:12" ht="12.75" customHeight="1" x14ac:dyDescent="0.2"/>
    <row r="398" spans="1:12" ht="12.75" customHeight="1" x14ac:dyDescent="0.2">
      <c r="A398" s="470" t="s">
        <v>39</v>
      </c>
      <c r="B398" s="418"/>
      <c r="C398" s="418"/>
      <c r="D398" s="418"/>
      <c r="E398" s="6" t="s">
        <v>40</v>
      </c>
      <c r="F398" s="6" t="s">
        <v>41</v>
      </c>
      <c r="G398" s="1030" t="s">
        <v>730</v>
      </c>
      <c r="H398" s="459"/>
      <c r="I398" s="470" t="s">
        <v>1427</v>
      </c>
      <c r="J398" s="418"/>
      <c r="K398" s="418"/>
      <c r="L398" s="416"/>
    </row>
    <row r="399" spans="1:12" ht="12.75" customHeight="1" x14ac:dyDescent="0.2">
      <c r="A399" s="1027" t="s">
        <v>135</v>
      </c>
      <c r="B399" s="1035" t="s">
        <v>136</v>
      </c>
      <c r="C399" s="410"/>
      <c r="D399" s="411"/>
      <c r="E399" s="1027" t="s">
        <v>475</v>
      </c>
      <c r="F399" s="1025">
        <f>I399</f>
        <v>2</v>
      </c>
      <c r="G399" s="479" t="s">
        <v>261</v>
      </c>
      <c r="H399" s="416"/>
      <c r="I399" s="81">
        <f>+I400</f>
        <v>2</v>
      </c>
      <c r="J399" s="1034"/>
      <c r="K399" s="410"/>
      <c r="L399" s="411"/>
    </row>
    <row r="400" spans="1:12" ht="12.75" customHeight="1" x14ac:dyDescent="0.2">
      <c r="A400" s="1024"/>
      <c r="B400" s="467"/>
      <c r="C400" s="468"/>
      <c r="D400" s="469"/>
      <c r="E400" s="1024"/>
      <c r="F400" s="1024"/>
      <c r="G400" s="479" t="s">
        <v>184</v>
      </c>
      <c r="H400" s="416"/>
      <c r="I400" s="81">
        <v>2</v>
      </c>
      <c r="J400" s="467"/>
      <c r="K400" s="468"/>
      <c r="L400" s="469"/>
    </row>
    <row r="401" spans="1:12" ht="12.75" customHeight="1" x14ac:dyDescent="0.2">
      <c r="A401" s="1024"/>
      <c r="B401" s="467"/>
      <c r="C401" s="468"/>
      <c r="D401" s="469"/>
      <c r="E401" s="1024"/>
      <c r="F401" s="1024"/>
      <c r="G401" s="479" t="s">
        <v>731</v>
      </c>
      <c r="H401" s="416"/>
      <c r="I401" s="81"/>
      <c r="J401" s="467"/>
      <c r="K401" s="468"/>
      <c r="L401" s="469"/>
    </row>
    <row r="402" spans="1:12" ht="12.75" customHeight="1" x14ac:dyDescent="0.2">
      <c r="A402" s="1024"/>
      <c r="B402" s="467"/>
      <c r="C402" s="468"/>
      <c r="D402" s="469"/>
      <c r="E402" s="1024"/>
      <c r="F402" s="1024"/>
      <c r="G402" s="479" t="s">
        <v>732</v>
      </c>
      <c r="H402" s="416"/>
      <c r="I402" s="81"/>
      <c r="J402" s="467"/>
      <c r="K402" s="468"/>
      <c r="L402" s="469"/>
    </row>
    <row r="403" spans="1:12" ht="12.75" customHeight="1" x14ac:dyDescent="0.2">
      <c r="A403" s="1024"/>
      <c r="B403" s="467"/>
      <c r="C403" s="468"/>
      <c r="D403" s="469"/>
      <c r="E403" s="1024"/>
      <c r="F403" s="1024"/>
      <c r="G403" s="479" t="s">
        <v>733</v>
      </c>
      <c r="H403" s="416"/>
      <c r="I403" s="81"/>
      <c r="J403" s="467"/>
      <c r="K403" s="468"/>
      <c r="L403" s="469"/>
    </row>
    <row r="404" spans="1:12" ht="12.75" customHeight="1" x14ac:dyDescent="0.2">
      <c r="A404" s="1024"/>
      <c r="B404" s="467"/>
      <c r="C404" s="468"/>
      <c r="D404" s="469"/>
      <c r="E404" s="1024"/>
      <c r="F404" s="1024"/>
      <c r="G404" s="479" t="s">
        <v>734</v>
      </c>
      <c r="H404" s="416"/>
      <c r="I404" s="81"/>
      <c r="J404" s="467"/>
      <c r="K404" s="468"/>
      <c r="L404" s="469"/>
    </row>
    <row r="405" spans="1:12" ht="12.75" customHeight="1" x14ac:dyDescent="0.2">
      <c r="A405" s="1024"/>
      <c r="B405" s="467"/>
      <c r="C405" s="468"/>
      <c r="D405" s="469"/>
      <c r="E405" s="1024"/>
      <c r="F405" s="1024"/>
      <c r="G405" s="479" t="s">
        <v>735</v>
      </c>
      <c r="H405" s="416"/>
      <c r="I405" s="81"/>
      <c r="J405" s="467"/>
      <c r="K405" s="468"/>
      <c r="L405" s="469"/>
    </row>
    <row r="406" spans="1:12" ht="12.75" customHeight="1" x14ac:dyDescent="0.2">
      <c r="A406" s="1024"/>
      <c r="B406" s="467"/>
      <c r="C406" s="468"/>
      <c r="D406" s="469"/>
      <c r="E406" s="1024"/>
      <c r="F406" s="1024"/>
      <c r="G406" s="479" t="s">
        <v>818</v>
      </c>
      <c r="H406" s="416"/>
      <c r="I406" s="81"/>
      <c r="J406" s="467"/>
      <c r="K406" s="468"/>
      <c r="L406" s="469"/>
    </row>
    <row r="407" spans="1:12" ht="12.75" customHeight="1" x14ac:dyDescent="0.2">
      <c r="A407" s="408"/>
      <c r="B407" s="412"/>
      <c r="C407" s="413"/>
      <c r="D407" s="414"/>
      <c r="E407" s="408"/>
      <c r="F407" s="408"/>
      <c r="G407" s="479" t="s">
        <v>819</v>
      </c>
      <c r="H407" s="416"/>
      <c r="I407" s="81"/>
      <c r="J407" s="412"/>
      <c r="K407" s="413"/>
      <c r="L407" s="414"/>
    </row>
    <row r="408" spans="1:12" ht="12.75" customHeight="1" x14ac:dyDescent="0.2"/>
    <row r="409" spans="1:12" ht="12.75" customHeight="1" x14ac:dyDescent="0.2">
      <c r="A409" s="470" t="s">
        <v>39</v>
      </c>
      <c r="B409" s="418"/>
      <c r="C409" s="418"/>
      <c r="D409" s="418"/>
      <c r="E409" s="6" t="s">
        <v>40</v>
      </c>
      <c r="F409" s="6" t="s">
        <v>41</v>
      </c>
      <c r="G409" s="1030" t="s">
        <v>730</v>
      </c>
      <c r="H409" s="459"/>
      <c r="I409" s="470" t="s">
        <v>1427</v>
      </c>
      <c r="J409" s="418"/>
      <c r="K409" s="418"/>
      <c r="L409" s="416"/>
    </row>
    <row r="410" spans="1:12" ht="12.75" customHeight="1" x14ac:dyDescent="0.2">
      <c r="A410" s="1027" t="s">
        <v>137</v>
      </c>
      <c r="B410" s="1035" t="s">
        <v>86</v>
      </c>
      <c r="C410" s="410"/>
      <c r="D410" s="411"/>
      <c r="E410" s="1027" t="s">
        <v>475</v>
      </c>
      <c r="F410" s="1025">
        <f>I410</f>
        <v>9</v>
      </c>
      <c r="G410" s="479" t="s">
        <v>261</v>
      </c>
      <c r="H410" s="416"/>
      <c r="I410" s="81">
        <f>+I411</f>
        <v>9</v>
      </c>
      <c r="J410" s="1034"/>
      <c r="K410" s="410"/>
      <c r="L410" s="411"/>
    </row>
    <row r="411" spans="1:12" ht="12.75" customHeight="1" x14ac:dyDescent="0.2">
      <c r="A411" s="1024"/>
      <c r="B411" s="467"/>
      <c r="C411" s="468"/>
      <c r="D411" s="469"/>
      <c r="E411" s="1024"/>
      <c r="F411" s="1024"/>
      <c r="G411" s="479" t="s">
        <v>184</v>
      </c>
      <c r="H411" s="416"/>
      <c r="I411" s="81">
        <v>9</v>
      </c>
      <c r="J411" s="467"/>
      <c r="K411" s="468"/>
      <c r="L411" s="469"/>
    </row>
    <row r="412" spans="1:12" ht="12.75" customHeight="1" x14ac:dyDescent="0.2">
      <c r="A412" s="1024"/>
      <c r="B412" s="467"/>
      <c r="C412" s="468"/>
      <c r="D412" s="469"/>
      <c r="E412" s="1024"/>
      <c r="F412" s="1024"/>
      <c r="G412" s="479" t="s">
        <v>731</v>
      </c>
      <c r="H412" s="416"/>
      <c r="I412" s="81"/>
      <c r="J412" s="467"/>
      <c r="K412" s="468"/>
      <c r="L412" s="469"/>
    </row>
    <row r="413" spans="1:12" ht="12.75" customHeight="1" x14ac:dyDescent="0.2">
      <c r="A413" s="1024"/>
      <c r="B413" s="467"/>
      <c r="C413" s="468"/>
      <c r="D413" s="469"/>
      <c r="E413" s="1024"/>
      <c r="F413" s="1024"/>
      <c r="G413" s="479" t="s">
        <v>732</v>
      </c>
      <c r="H413" s="416"/>
      <c r="I413" s="81"/>
      <c r="J413" s="467"/>
      <c r="K413" s="468"/>
      <c r="L413" s="469"/>
    </row>
    <row r="414" spans="1:12" ht="12.75" customHeight="1" x14ac:dyDescent="0.2">
      <c r="A414" s="1024"/>
      <c r="B414" s="467"/>
      <c r="C414" s="468"/>
      <c r="D414" s="469"/>
      <c r="E414" s="1024"/>
      <c r="F414" s="1024"/>
      <c r="G414" s="479" t="s">
        <v>733</v>
      </c>
      <c r="H414" s="416"/>
      <c r="I414" s="81"/>
      <c r="J414" s="467"/>
      <c r="K414" s="468"/>
      <c r="L414" s="469"/>
    </row>
    <row r="415" spans="1:12" ht="12.75" customHeight="1" x14ac:dyDescent="0.2">
      <c r="A415" s="1024"/>
      <c r="B415" s="467"/>
      <c r="C415" s="468"/>
      <c r="D415" s="469"/>
      <c r="E415" s="1024"/>
      <c r="F415" s="1024"/>
      <c r="G415" s="479" t="s">
        <v>734</v>
      </c>
      <c r="H415" s="416"/>
      <c r="I415" s="81"/>
      <c r="J415" s="467"/>
      <c r="K415" s="468"/>
      <c r="L415" s="469"/>
    </row>
    <row r="416" spans="1:12" ht="12.75" customHeight="1" x14ac:dyDescent="0.2">
      <c r="A416" s="1024"/>
      <c r="B416" s="467"/>
      <c r="C416" s="468"/>
      <c r="D416" s="469"/>
      <c r="E416" s="1024"/>
      <c r="F416" s="1024"/>
      <c r="G416" s="479" t="s">
        <v>735</v>
      </c>
      <c r="H416" s="416"/>
      <c r="I416" s="81"/>
      <c r="J416" s="467"/>
      <c r="K416" s="468"/>
      <c r="L416" s="469"/>
    </row>
    <row r="417" spans="1:12" ht="12.75" customHeight="1" x14ac:dyDescent="0.2">
      <c r="A417" s="1024"/>
      <c r="B417" s="467"/>
      <c r="C417" s="468"/>
      <c r="D417" s="469"/>
      <c r="E417" s="1024"/>
      <c r="F417" s="1024"/>
      <c r="G417" s="479" t="s">
        <v>820</v>
      </c>
      <c r="H417" s="416"/>
      <c r="I417" s="81"/>
      <c r="J417" s="467"/>
      <c r="K417" s="468"/>
      <c r="L417" s="469"/>
    </row>
    <row r="418" spans="1:12" ht="12.75" customHeight="1" x14ac:dyDescent="0.2">
      <c r="A418" s="408"/>
      <c r="B418" s="412"/>
      <c r="C418" s="413"/>
      <c r="D418" s="414"/>
      <c r="E418" s="408"/>
      <c r="F418" s="408"/>
      <c r="G418" s="479" t="s">
        <v>821</v>
      </c>
      <c r="H418" s="416"/>
      <c r="I418" s="81"/>
      <c r="J418" s="412"/>
      <c r="K418" s="413"/>
      <c r="L418" s="414"/>
    </row>
    <row r="419" spans="1:12" ht="12.75" customHeight="1" x14ac:dyDescent="0.2"/>
    <row r="420" spans="1:12" ht="12.75" customHeight="1" x14ac:dyDescent="0.2">
      <c r="A420" s="470" t="s">
        <v>39</v>
      </c>
      <c r="B420" s="418"/>
      <c r="C420" s="418"/>
      <c r="D420" s="418"/>
      <c r="E420" s="6" t="s">
        <v>40</v>
      </c>
      <c r="F420" s="6" t="s">
        <v>41</v>
      </c>
      <c r="G420" s="1030" t="s">
        <v>730</v>
      </c>
      <c r="H420" s="459"/>
      <c r="I420" s="470" t="s">
        <v>1427</v>
      </c>
      <c r="J420" s="418"/>
      <c r="K420" s="418"/>
      <c r="L420" s="416"/>
    </row>
    <row r="421" spans="1:12" ht="12.75" customHeight="1" x14ac:dyDescent="0.2">
      <c r="A421" s="1027" t="s">
        <v>138</v>
      </c>
      <c r="B421" s="1035" t="s">
        <v>139</v>
      </c>
      <c r="C421" s="410"/>
      <c r="D421" s="411"/>
      <c r="E421" s="1027" t="s">
        <v>475</v>
      </c>
      <c r="F421" s="1025">
        <f>I421</f>
        <v>1</v>
      </c>
      <c r="G421" s="479" t="s">
        <v>261</v>
      </c>
      <c r="H421" s="416"/>
      <c r="I421" s="81">
        <f>+I422</f>
        <v>1</v>
      </c>
      <c r="J421" s="1034"/>
      <c r="K421" s="410"/>
      <c r="L421" s="411"/>
    </row>
    <row r="422" spans="1:12" ht="12.75" customHeight="1" x14ac:dyDescent="0.2">
      <c r="A422" s="1024"/>
      <c r="B422" s="467"/>
      <c r="C422" s="468"/>
      <c r="D422" s="469"/>
      <c r="E422" s="1024"/>
      <c r="F422" s="1024"/>
      <c r="G422" s="479" t="s">
        <v>184</v>
      </c>
      <c r="H422" s="416"/>
      <c r="I422" s="81">
        <v>1</v>
      </c>
      <c r="J422" s="467"/>
      <c r="K422" s="468"/>
      <c r="L422" s="469"/>
    </row>
    <row r="423" spans="1:12" ht="12.75" customHeight="1" x14ac:dyDescent="0.2">
      <c r="A423" s="1024"/>
      <c r="B423" s="467"/>
      <c r="C423" s="468"/>
      <c r="D423" s="469"/>
      <c r="E423" s="1024"/>
      <c r="F423" s="1024"/>
      <c r="G423" s="479" t="s">
        <v>731</v>
      </c>
      <c r="H423" s="416"/>
      <c r="I423" s="81"/>
      <c r="J423" s="467"/>
      <c r="K423" s="468"/>
      <c r="L423" s="469"/>
    </row>
    <row r="424" spans="1:12" ht="12.75" customHeight="1" x14ac:dyDescent="0.2">
      <c r="A424" s="1024"/>
      <c r="B424" s="467"/>
      <c r="C424" s="468"/>
      <c r="D424" s="469"/>
      <c r="E424" s="1024"/>
      <c r="F424" s="1024"/>
      <c r="G424" s="479" t="s">
        <v>732</v>
      </c>
      <c r="H424" s="416"/>
      <c r="I424" s="81"/>
      <c r="J424" s="467"/>
      <c r="K424" s="468"/>
      <c r="L424" s="469"/>
    </row>
    <row r="425" spans="1:12" ht="12.75" customHeight="1" x14ac:dyDescent="0.2">
      <c r="A425" s="1024"/>
      <c r="B425" s="467"/>
      <c r="C425" s="468"/>
      <c r="D425" s="469"/>
      <c r="E425" s="1024"/>
      <c r="F425" s="1024"/>
      <c r="G425" s="479" t="s">
        <v>733</v>
      </c>
      <c r="H425" s="416"/>
      <c r="I425" s="81"/>
      <c r="J425" s="467"/>
      <c r="K425" s="468"/>
      <c r="L425" s="469"/>
    </row>
    <row r="426" spans="1:12" ht="12.75" customHeight="1" x14ac:dyDescent="0.2">
      <c r="A426" s="1024"/>
      <c r="B426" s="467"/>
      <c r="C426" s="468"/>
      <c r="D426" s="469"/>
      <c r="E426" s="1024"/>
      <c r="F426" s="1024"/>
      <c r="G426" s="479" t="s">
        <v>734</v>
      </c>
      <c r="H426" s="416"/>
      <c r="I426" s="81"/>
      <c r="J426" s="467"/>
      <c r="K426" s="468"/>
      <c r="L426" s="469"/>
    </row>
    <row r="427" spans="1:12" ht="12.75" customHeight="1" x14ac:dyDescent="0.2">
      <c r="A427" s="1024"/>
      <c r="B427" s="467"/>
      <c r="C427" s="468"/>
      <c r="D427" s="469"/>
      <c r="E427" s="1024"/>
      <c r="F427" s="1024"/>
      <c r="G427" s="479" t="s">
        <v>735</v>
      </c>
      <c r="H427" s="416"/>
      <c r="I427" s="81"/>
      <c r="J427" s="467"/>
      <c r="K427" s="468"/>
      <c r="L427" s="469"/>
    </row>
    <row r="428" spans="1:12" ht="12.75" customHeight="1" x14ac:dyDescent="0.2">
      <c r="A428" s="1024"/>
      <c r="B428" s="467"/>
      <c r="C428" s="468"/>
      <c r="D428" s="469"/>
      <c r="E428" s="1024"/>
      <c r="F428" s="1024"/>
      <c r="G428" s="479" t="s">
        <v>822</v>
      </c>
      <c r="H428" s="416"/>
      <c r="I428" s="81"/>
      <c r="J428" s="467"/>
      <c r="K428" s="468"/>
      <c r="L428" s="469"/>
    </row>
    <row r="429" spans="1:12" ht="12.75" customHeight="1" x14ac:dyDescent="0.2">
      <c r="A429" s="408"/>
      <c r="B429" s="412"/>
      <c r="C429" s="413"/>
      <c r="D429" s="414"/>
      <c r="E429" s="408"/>
      <c r="F429" s="408"/>
      <c r="G429" s="479" t="s">
        <v>823</v>
      </c>
      <c r="H429" s="416"/>
      <c r="I429" s="81"/>
      <c r="J429" s="412"/>
      <c r="K429" s="413"/>
      <c r="L429" s="414"/>
    </row>
    <row r="430" spans="1:12" ht="12.75" customHeight="1" x14ac:dyDescent="0.2"/>
    <row r="431" spans="1:12" ht="12.75" customHeight="1" x14ac:dyDescent="0.2">
      <c r="A431" s="470" t="s">
        <v>39</v>
      </c>
      <c r="B431" s="418"/>
      <c r="C431" s="418"/>
      <c r="D431" s="418"/>
      <c r="E431" s="6" t="s">
        <v>40</v>
      </c>
      <c r="F431" s="6" t="s">
        <v>41</v>
      </c>
      <c r="G431" s="1030" t="s">
        <v>730</v>
      </c>
      <c r="H431" s="459"/>
      <c r="I431" s="470" t="s">
        <v>1427</v>
      </c>
      <c r="J431" s="418"/>
      <c r="K431" s="418"/>
      <c r="L431" s="416"/>
    </row>
    <row r="432" spans="1:12" ht="12.75" customHeight="1" x14ac:dyDescent="0.2">
      <c r="A432" s="1027" t="s">
        <v>140</v>
      </c>
      <c r="B432" s="1035" t="s">
        <v>824</v>
      </c>
      <c r="C432" s="410"/>
      <c r="D432" s="411"/>
      <c r="E432" s="1027" t="s">
        <v>475</v>
      </c>
      <c r="F432" s="1025">
        <f>I432</f>
        <v>1</v>
      </c>
      <c r="G432" s="479" t="s">
        <v>261</v>
      </c>
      <c r="H432" s="416"/>
      <c r="I432" s="81">
        <f>+I433</f>
        <v>1</v>
      </c>
      <c r="J432" s="1034"/>
      <c r="K432" s="410"/>
      <c r="L432" s="411"/>
    </row>
    <row r="433" spans="1:12" ht="12.75" customHeight="1" x14ac:dyDescent="0.2">
      <c r="A433" s="1024"/>
      <c r="B433" s="467"/>
      <c r="C433" s="468"/>
      <c r="D433" s="469"/>
      <c r="E433" s="1024"/>
      <c r="F433" s="1024"/>
      <c r="G433" s="479" t="s">
        <v>184</v>
      </c>
      <c r="H433" s="416"/>
      <c r="I433" s="81">
        <v>1</v>
      </c>
      <c r="J433" s="467"/>
      <c r="K433" s="468"/>
      <c r="L433" s="469"/>
    </row>
    <row r="434" spans="1:12" ht="12.75" customHeight="1" x14ac:dyDescent="0.2">
      <c r="A434" s="1024"/>
      <c r="B434" s="467"/>
      <c r="C434" s="468"/>
      <c r="D434" s="469"/>
      <c r="E434" s="1024"/>
      <c r="F434" s="1024"/>
      <c r="G434" s="479" t="s">
        <v>731</v>
      </c>
      <c r="H434" s="416"/>
      <c r="I434" s="81"/>
      <c r="J434" s="467"/>
      <c r="K434" s="468"/>
      <c r="L434" s="469"/>
    </row>
    <row r="435" spans="1:12" ht="12.75" customHeight="1" x14ac:dyDescent="0.2">
      <c r="A435" s="1024"/>
      <c r="B435" s="467"/>
      <c r="C435" s="468"/>
      <c r="D435" s="469"/>
      <c r="E435" s="1024"/>
      <c r="F435" s="1024"/>
      <c r="G435" s="479" t="s">
        <v>732</v>
      </c>
      <c r="H435" s="416"/>
      <c r="I435" s="81"/>
      <c r="J435" s="467"/>
      <c r="K435" s="468"/>
      <c r="L435" s="469"/>
    </row>
    <row r="436" spans="1:12" ht="12.75" customHeight="1" x14ac:dyDescent="0.2">
      <c r="A436" s="1024"/>
      <c r="B436" s="467"/>
      <c r="C436" s="468"/>
      <c r="D436" s="469"/>
      <c r="E436" s="1024"/>
      <c r="F436" s="1024"/>
      <c r="G436" s="479" t="s">
        <v>733</v>
      </c>
      <c r="H436" s="416"/>
      <c r="I436" s="81"/>
      <c r="J436" s="467"/>
      <c r="K436" s="468"/>
      <c r="L436" s="469"/>
    </row>
    <row r="437" spans="1:12" ht="12.75" customHeight="1" x14ac:dyDescent="0.2">
      <c r="A437" s="1024"/>
      <c r="B437" s="467"/>
      <c r="C437" s="468"/>
      <c r="D437" s="469"/>
      <c r="E437" s="1024"/>
      <c r="F437" s="1024"/>
      <c r="G437" s="479" t="s">
        <v>734</v>
      </c>
      <c r="H437" s="416"/>
      <c r="I437" s="81"/>
      <c r="J437" s="467"/>
      <c r="K437" s="468"/>
      <c r="L437" s="469"/>
    </row>
    <row r="438" spans="1:12" ht="12.75" customHeight="1" x14ac:dyDescent="0.2">
      <c r="A438" s="1024"/>
      <c r="B438" s="467"/>
      <c r="C438" s="468"/>
      <c r="D438" s="469"/>
      <c r="E438" s="1024"/>
      <c r="F438" s="1024"/>
      <c r="G438" s="479" t="s">
        <v>735</v>
      </c>
      <c r="H438" s="416"/>
      <c r="I438" s="81"/>
      <c r="J438" s="467"/>
      <c r="K438" s="468"/>
      <c r="L438" s="469"/>
    </row>
    <row r="439" spans="1:12" ht="12.75" customHeight="1" x14ac:dyDescent="0.2">
      <c r="A439" s="1024"/>
      <c r="B439" s="467"/>
      <c r="C439" s="468"/>
      <c r="D439" s="469"/>
      <c r="E439" s="1024"/>
      <c r="F439" s="1024"/>
      <c r="G439" s="479" t="s">
        <v>825</v>
      </c>
      <c r="H439" s="416"/>
      <c r="I439" s="81"/>
      <c r="J439" s="467"/>
      <c r="K439" s="468"/>
      <c r="L439" s="469"/>
    </row>
    <row r="440" spans="1:12" ht="12.75" customHeight="1" x14ac:dyDescent="0.2">
      <c r="A440" s="408"/>
      <c r="B440" s="412"/>
      <c r="C440" s="413"/>
      <c r="D440" s="414"/>
      <c r="E440" s="408"/>
      <c r="F440" s="408"/>
      <c r="G440" s="479" t="s">
        <v>826</v>
      </c>
      <c r="H440" s="416"/>
      <c r="I440" s="81"/>
      <c r="J440" s="412"/>
      <c r="K440" s="413"/>
      <c r="L440" s="414"/>
    </row>
    <row r="441" spans="1:12" ht="12.75" customHeight="1" x14ac:dyDescent="0.2"/>
    <row r="442" spans="1:12" ht="12.75" customHeight="1" x14ac:dyDescent="0.2">
      <c r="A442" s="470" t="s">
        <v>39</v>
      </c>
      <c r="B442" s="418"/>
      <c r="C442" s="418"/>
      <c r="D442" s="418"/>
      <c r="E442" s="6" t="s">
        <v>40</v>
      </c>
      <c r="F442" s="6" t="s">
        <v>41</v>
      </c>
      <c r="G442" s="1030" t="s">
        <v>730</v>
      </c>
      <c r="H442" s="459"/>
      <c r="I442" s="470" t="s">
        <v>1427</v>
      </c>
      <c r="J442" s="418"/>
      <c r="K442" s="418"/>
      <c r="L442" s="416"/>
    </row>
    <row r="443" spans="1:12" ht="12.75" customHeight="1" x14ac:dyDescent="0.2">
      <c r="A443" s="1027" t="s">
        <v>142</v>
      </c>
      <c r="B443" s="1035" t="s">
        <v>143</v>
      </c>
      <c r="C443" s="410"/>
      <c r="D443" s="411"/>
      <c r="E443" s="1027" t="s">
        <v>475</v>
      </c>
      <c r="F443" s="1025">
        <f>I443</f>
        <v>1</v>
      </c>
      <c r="G443" s="479" t="s">
        <v>261</v>
      </c>
      <c r="H443" s="416"/>
      <c r="I443" s="81">
        <f>+I444</f>
        <v>1</v>
      </c>
      <c r="J443" s="1034"/>
      <c r="K443" s="410"/>
      <c r="L443" s="411"/>
    </row>
    <row r="444" spans="1:12" ht="12.75" customHeight="1" x14ac:dyDescent="0.2">
      <c r="A444" s="1024"/>
      <c r="B444" s="467"/>
      <c r="C444" s="468"/>
      <c r="D444" s="469"/>
      <c r="E444" s="1024"/>
      <c r="F444" s="1024"/>
      <c r="G444" s="479" t="s">
        <v>184</v>
      </c>
      <c r="H444" s="416"/>
      <c r="I444" s="81">
        <v>1</v>
      </c>
      <c r="J444" s="467"/>
      <c r="K444" s="468"/>
      <c r="L444" s="469"/>
    </row>
    <row r="445" spans="1:12" ht="12.75" customHeight="1" x14ac:dyDescent="0.2">
      <c r="A445" s="1024"/>
      <c r="B445" s="467"/>
      <c r="C445" s="468"/>
      <c r="D445" s="469"/>
      <c r="E445" s="1024"/>
      <c r="F445" s="1024"/>
      <c r="G445" s="479" t="s">
        <v>731</v>
      </c>
      <c r="H445" s="416"/>
      <c r="I445" s="81"/>
      <c r="J445" s="467"/>
      <c r="K445" s="468"/>
      <c r="L445" s="469"/>
    </row>
    <row r="446" spans="1:12" ht="12.75" customHeight="1" x14ac:dyDescent="0.2">
      <c r="A446" s="1024"/>
      <c r="B446" s="467"/>
      <c r="C446" s="468"/>
      <c r="D446" s="469"/>
      <c r="E446" s="1024"/>
      <c r="F446" s="1024"/>
      <c r="G446" s="479" t="s">
        <v>732</v>
      </c>
      <c r="H446" s="416"/>
      <c r="I446" s="81"/>
      <c r="J446" s="467"/>
      <c r="K446" s="468"/>
      <c r="L446" s="469"/>
    </row>
    <row r="447" spans="1:12" ht="12.75" customHeight="1" x14ac:dyDescent="0.2">
      <c r="A447" s="1024"/>
      <c r="B447" s="467"/>
      <c r="C447" s="468"/>
      <c r="D447" s="469"/>
      <c r="E447" s="1024"/>
      <c r="F447" s="1024"/>
      <c r="G447" s="479" t="s">
        <v>733</v>
      </c>
      <c r="H447" s="416"/>
      <c r="I447" s="81"/>
      <c r="J447" s="467"/>
      <c r="K447" s="468"/>
      <c r="L447" s="469"/>
    </row>
    <row r="448" spans="1:12" ht="12.75" customHeight="1" x14ac:dyDescent="0.2">
      <c r="A448" s="1024"/>
      <c r="B448" s="467"/>
      <c r="C448" s="468"/>
      <c r="D448" s="469"/>
      <c r="E448" s="1024"/>
      <c r="F448" s="1024"/>
      <c r="G448" s="479" t="s">
        <v>734</v>
      </c>
      <c r="H448" s="416"/>
      <c r="I448" s="81"/>
      <c r="J448" s="467"/>
      <c r="K448" s="468"/>
      <c r="L448" s="469"/>
    </row>
    <row r="449" spans="1:12" ht="12.75" customHeight="1" x14ac:dyDescent="0.2">
      <c r="A449" s="1024"/>
      <c r="B449" s="467"/>
      <c r="C449" s="468"/>
      <c r="D449" s="469"/>
      <c r="E449" s="1024"/>
      <c r="F449" s="1024"/>
      <c r="G449" s="479" t="s">
        <v>735</v>
      </c>
      <c r="H449" s="416"/>
      <c r="I449" s="81"/>
      <c r="J449" s="467"/>
      <c r="K449" s="468"/>
      <c r="L449" s="469"/>
    </row>
    <row r="450" spans="1:12" ht="12.75" customHeight="1" x14ac:dyDescent="0.2">
      <c r="A450" s="1024"/>
      <c r="B450" s="467"/>
      <c r="C450" s="468"/>
      <c r="D450" s="469"/>
      <c r="E450" s="1024"/>
      <c r="F450" s="1024"/>
      <c r="G450" s="479" t="s">
        <v>827</v>
      </c>
      <c r="H450" s="416"/>
      <c r="I450" s="81"/>
      <c r="J450" s="467"/>
      <c r="K450" s="468"/>
      <c r="L450" s="469"/>
    </row>
    <row r="451" spans="1:12" ht="12.75" customHeight="1" x14ac:dyDescent="0.2">
      <c r="A451" s="408"/>
      <c r="B451" s="412"/>
      <c r="C451" s="413"/>
      <c r="D451" s="414"/>
      <c r="E451" s="408"/>
      <c r="F451" s="408"/>
      <c r="G451" s="479" t="s">
        <v>828</v>
      </c>
      <c r="H451" s="416"/>
      <c r="I451" s="81"/>
      <c r="J451" s="412"/>
      <c r="K451" s="413"/>
      <c r="L451" s="414"/>
    </row>
    <row r="452" spans="1:12" ht="12.75" customHeight="1" x14ac:dyDescent="0.2"/>
    <row r="453" spans="1:12" ht="12.75" customHeight="1" x14ac:dyDescent="0.2">
      <c r="A453" s="470" t="s">
        <v>39</v>
      </c>
      <c r="B453" s="418"/>
      <c r="C453" s="418"/>
      <c r="D453" s="418"/>
      <c r="E453" s="6" t="s">
        <v>40</v>
      </c>
      <c r="F453" s="6" t="s">
        <v>41</v>
      </c>
      <c r="G453" s="1030" t="s">
        <v>730</v>
      </c>
      <c r="H453" s="459"/>
      <c r="I453" s="470" t="s">
        <v>1427</v>
      </c>
      <c r="J453" s="418"/>
      <c r="K453" s="418"/>
      <c r="L453" s="416"/>
    </row>
    <row r="454" spans="1:12" ht="12.75" customHeight="1" x14ac:dyDescent="0.2">
      <c r="A454" s="1027" t="s">
        <v>144</v>
      </c>
      <c r="B454" s="1035" t="s">
        <v>145</v>
      </c>
      <c r="C454" s="410"/>
      <c r="D454" s="411"/>
      <c r="E454" s="1027" t="s">
        <v>475</v>
      </c>
      <c r="F454" s="1025">
        <f>I454</f>
        <v>5</v>
      </c>
      <c r="G454" s="479" t="s">
        <v>261</v>
      </c>
      <c r="H454" s="416"/>
      <c r="I454" s="81">
        <f>+I455</f>
        <v>5</v>
      </c>
      <c r="J454" s="1034"/>
      <c r="K454" s="410"/>
      <c r="L454" s="411"/>
    </row>
    <row r="455" spans="1:12" ht="12.75" customHeight="1" x14ac:dyDescent="0.2">
      <c r="A455" s="1024"/>
      <c r="B455" s="467"/>
      <c r="C455" s="468"/>
      <c r="D455" s="469"/>
      <c r="E455" s="1024"/>
      <c r="F455" s="1024"/>
      <c r="G455" s="479" t="s">
        <v>184</v>
      </c>
      <c r="H455" s="416"/>
      <c r="I455" s="81">
        <v>5</v>
      </c>
      <c r="J455" s="467"/>
      <c r="K455" s="468"/>
      <c r="L455" s="469"/>
    </row>
    <row r="456" spans="1:12" ht="12.75" customHeight="1" x14ac:dyDescent="0.2">
      <c r="A456" s="1024"/>
      <c r="B456" s="467"/>
      <c r="C456" s="468"/>
      <c r="D456" s="469"/>
      <c r="E456" s="1024"/>
      <c r="F456" s="1024"/>
      <c r="G456" s="479" t="s">
        <v>731</v>
      </c>
      <c r="H456" s="416"/>
      <c r="I456" s="81"/>
      <c r="J456" s="467"/>
      <c r="K456" s="468"/>
      <c r="L456" s="469"/>
    </row>
    <row r="457" spans="1:12" ht="12.75" customHeight="1" x14ac:dyDescent="0.2">
      <c r="A457" s="1024"/>
      <c r="B457" s="467"/>
      <c r="C457" s="468"/>
      <c r="D457" s="469"/>
      <c r="E457" s="1024"/>
      <c r="F457" s="1024"/>
      <c r="G457" s="479" t="s">
        <v>732</v>
      </c>
      <c r="H457" s="416"/>
      <c r="I457" s="81"/>
      <c r="J457" s="467"/>
      <c r="K457" s="468"/>
      <c r="L457" s="469"/>
    </row>
    <row r="458" spans="1:12" ht="12.75" customHeight="1" x14ac:dyDescent="0.2">
      <c r="A458" s="1024"/>
      <c r="B458" s="467"/>
      <c r="C458" s="468"/>
      <c r="D458" s="469"/>
      <c r="E458" s="1024"/>
      <c r="F458" s="1024"/>
      <c r="G458" s="479" t="s">
        <v>733</v>
      </c>
      <c r="H458" s="416"/>
      <c r="I458" s="81"/>
      <c r="J458" s="467"/>
      <c r="K458" s="468"/>
      <c r="L458" s="469"/>
    </row>
    <row r="459" spans="1:12" ht="12.75" customHeight="1" x14ac:dyDescent="0.2">
      <c r="A459" s="1024"/>
      <c r="B459" s="467"/>
      <c r="C459" s="468"/>
      <c r="D459" s="469"/>
      <c r="E459" s="1024"/>
      <c r="F459" s="1024"/>
      <c r="G459" s="479" t="s">
        <v>734</v>
      </c>
      <c r="H459" s="416"/>
      <c r="I459" s="81"/>
      <c r="J459" s="467"/>
      <c r="K459" s="468"/>
      <c r="L459" s="469"/>
    </row>
    <row r="460" spans="1:12" ht="12.75" customHeight="1" x14ac:dyDescent="0.2">
      <c r="A460" s="1024"/>
      <c r="B460" s="467"/>
      <c r="C460" s="468"/>
      <c r="D460" s="469"/>
      <c r="E460" s="1024"/>
      <c r="F460" s="1024"/>
      <c r="G460" s="479" t="s">
        <v>735</v>
      </c>
      <c r="H460" s="416"/>
      <c r="I460" s="81"/>
      <c r="J460" s="467"/>
      <c r="K460" s="468"/>
      <c r="L460" s="469"/>
    </row>
    <row r="461" spans="1:12" ht="12.75" customHeight="1" x14ac:dyDescent="0.2">
      <c r="A461" s="1024"/>
      <c r="B461" s="467"/>
      <c r="C461" s="468"/>
      <c r="D461" s="469"/>
      <c r="E461" s="1024"/>
      <c r="F461" s="1024"/>
      <c r="G461" s="479" t="s">
        <v>829</v>
      </c>
      <c r="H461" s="416"/>
      <c r="I461" s="81"/>
      <c r="J461" s="467"/>
      <c r="K461" s="468"/>
      <c r="L461" s="469"/>
    </row>
    <row r="462" spans="1:12" ht="12.75" customHeight="1" x14ac:dyDescent="0.2">
      <c r="A462" s="408"/>
      <c r="B462" s="412"/>
      <c r="C462" s="413"/>
      <c r="D462" s="414"/>
      <c r="E462" s="408"/>
      <c r="F462" s="408"/>
      <c r="G462" s="479" t="s">
        <v>830</v>
      </c>
      <c r="H462" s="416"/>
      <c r="I462" s="81"/>
      <c r="J462" s="412"/>
      <c r="K462" s="413"/>
      <c r="L462" s="414"/>
    </row>
    <row r="463" spans="1:12" ht="12.75" customHeight="1" x14ac:dyDescent="0.2"/>
    <row r="464" spans="1:12" ht="12.75" customHeight="1" x14ac:dyDescent="0.2">
      <c r="A464" s="470" t="s">
        <v>39</v>
      </c>
      <c r="B464" s="418"/>
      <c r="C464" s="418"/>
      <c r="D464" s="418"/>
      <c r="E464" s="6" t="s">
        <v>40</v>
      </c>
      <c r="F464" s="6" t="s">
        <v>41</v>
      </c>
      <c r="G464" s="1030" t="s">
        <v>730</v>
      </c>
      <c r="H464" s="459"/>
      <c r="I464" s="470" t="s">
        <v>1427</v>
      </c>
      <c r="J464" s="418"/>
      <c r="K464" s="418"/>
      <c r="L464" s="416"/>
    </row>
    <row r="465" spans="1:12" ht="12.75" customHeight="1" x14ac:dyDescent="0.2">
      <c r="A465" s="1027" t="s">
        <v>146</v>
      </c>
      <c r="B465" s="1035" t="s">
        <v>77</v>
      </c>
      <c r="C465" s="410"/>
      <c r="D465" s="411"/>
      <c r="E465" s="1027" t="s">
        <v>475</v>
      </c>
      <c r="F465" s="1025">
        <f>I465</f>
        <v>66</v>
      </c>
      <c r="G465" s="479" t="s">
        <v>261</v>
      </c>
      <c r="H465" s="416"/>
      <c r="I465" s="81">
        <f>+I466</f>
        <v>66</v>
      </c>
      <c r="J465" s="1034"/>
      <c r="K465" s="410"/>
      <c r="L465" s="411"/>
    </row>
    <row r="466" spans="1:12" ht="12.75" customHeight="1" x14ac:dyDescent="0.2">
      <c r="A466" s="1024"/>
      <c r="B466" s="467"/>
      <c r="C466" s="468"/>
      <c r="D466" s="469"/>
      <c r="E466" s="1024"/>
      <c r="F466" s="1024"/>
      <c r="G466" s="479" t="s">
        <v>831</v>
      </c>
      <c r="H466" s="416"/>
      <c r="I466" s="81">
        <f>15+15+15+15+6</f>
        <v>66</v>
      </c>
      <c r="J466" s="467"/>
      <c r="K466" s="468"/>
      <c r="L466" s="469"/>
    </row>
    <row r="467" spans="1:12" ht="12.75" customHeight="1" x14ac:dyDescent="0.2">
      <c r="A467" s="1024"/>
      <c r="B467" s="467"/>
      <c r="C467" s="468"/>
      <c r="D467" s="469"/>
      <c r="E467" s="1024"/>
      <c r="F467" s="1024"/>
      <c r="G467" s="479" t="s">
        <v>731</v>
      </c>
      <c r="H467" s="416"/>
      <c r="I467" s="81"/>
      <c r="J467" s="467"/>
      <c r="K467" s="468"/>
      <c r="L467" s="469"/>
    </row>
    <row r="468" spans="1:12" ht="12.75" customHeight="1" x14ac:dyDescent="0.2">
      <c r="A468" s="1024"/>
      <c r="B468" s="467"/>
      <c r="C468" s="468"/>
      <c r="D468" s="469"/>
      <c r="E468" s="1024"/>
      <c r="F468" s="1024"/>
      <c r="G468" s="479" t="s">
        <v>732</v>
      </c>
      <c r="H468" s="416"/>
      <c r="I468" s="81"/>
      <c r="J468" s="467"/>
      <c r="K468" s="468"/>
      <c r="L468" s="469"/>
    </row>
    <row r="469" spans="1:12" ht="12.75" customHeight="1" x14ac:dyDescent="0.2">
      <c r="A469" s="1024"/>
      <c r="B469" s="467"/>
      <c r="C469" s="468"/>
      <c r="D469" s="469"/>
      <c r="E469" s="1024"/>
      <c r="F469" s="1024"/>
      <c r="G469" s="479" t="s">
        <v>733</v>
      </c>
      <c r="H469" s="416"/>
      <c r="I469" s="81"/>
      <c r="J469" s="467"/>
      <c r="K469" s="468"/>
      <c r="L469" s="469"/>
    </row>
    <row r="470" spans="1:12" ht="12.75" customHeight="1" x14ac:dyDescent="0.2">
      <c r="A470" s="1024"/>
      <c r="B470" s="467"/>
      <c r="C470" s="468"/>
      <c r="D470" s="469"/>
      <c r="E470" s="1024"/>
      <c r="F470" s="1024"/>
      <c r="G470" s="479" t="s">
        <v>734</v>
      </c>
      <c r="H470" s="416"/>
      <c r="I470" s="81"/>
      <c r="J470" s="467"/>
      <c r="K470" s="468"/>
      <c r="L470" s="469"/>
    </row>
    <row r="471" spans="1:12" ht="12.75" customHeight="1" x14ac:dyDescent="0.2">
      <c r="A471" s="1024"/>
      <c r="B471" s="467"/>
      <c r="C471" s="468"/>
      <c r="D471" s="469"/>
      <c r="E471" s="1024"/>
      <c r="F471" s="1024"/>
      <c r="G471" s="479" t="s">
        <v>735</v>
      </c>
      <c r="H471" s="416"/>
      <c r="I471" s="81"/>
      <c r="J471" s="467"/>
      <c r="K471" s="468"/>
      <c r="L471" s="469"/>
    </row>
    <row r="472" spans="1:12" ht="12.75" customHeight="1" x14ac:dyDescent="0.2">
      <c r="A472" s="1024"/>
      <c r="B472" s="467"/>
      <c r="C472" s="468"/>
      <c r="D472" s="469"/>
      <c r="E472" s="1024"/>
      <c r="F472" s="1024"/>
      <c r="G472" s="479" t="s">
        <v>832</v>
      </c>
      <c r="H472" s="416"/>
      <c r="I472" s="81"/>
      <c r="J472" s="467"/>
      <c r="K472" s="468"/>
      <c r="L472" s="469"/>
    </row>
    <row r="473" spans="1:12" ht="12.75" customHeight="1" x14ac:dyDescent="0.2">
      <c r="A473" s="408"/>
      <c r="B473" s="412"/>
      <c r="C473" s="413"/>
      <c r="D473" s="414"/>
      <c r="E473" s="408"/>
      <c r="F473" s="408"/>
      <c r="G473" s="479" t="s">
        <v>833</v>
      </c>
      <c r="H473" s="416"/>
      <c r="I473" s="81"/>
      <c r="J473" s="412"/>
      <c r="K473" s="413"/>
      <c r="L473" s="414"/>
    </row>
    <row r="474" spans="1:12" ht="12.75" customHeight="1" x14ac:dyDescent="0.2"/>
    <row r="475" spans="1:12" ht="12.75" customHeight="1" x14ac:dyDescent="0.2">
      <c r="A475" s="470" t="s">
        <v>39</v>
      </c>
      <c r="B475" s="418"/>
      <c r="C475" s="418"/>
      <c r="D475" s="418"/>
      <c r="E475" s="6" t="s">
        <v>40</v>
      </c>
      <c r="F475" s="6" t="s">
        <v>41</v>
      </c>
      <c r="G475" s="1030" t="s">
        <v>730</v>
      </c>
      <c r="H475" s="459"/>
      <c r="I475" s="470" t="s">
        <v>1427</v>
      </c>
      <c r="J475" s="418"/>
      <c r="K475" s="418"/>
      <c r="L475" s="416"/>
    </row>
    <row r="476" spans="1:12" ht="12.75" customHeight="1" x14ac:dyDescent="0.2">
      <c r="A476" s="1023" t="s">
        <v>147</v>
      </c>
      <c r="B476" s="1035" t="s">
        <v>153</v>
      </c>
      <c r="C476" s="410"/>
      <c r="D476" s="411"/>
      <c r="E476" s="1027" t="s">
        <v>475</v>
      </c>
      <c r="F476" s="1025">
        <f>I476</f>
        <v>4</v>
      </c>
      <c r="G476" s="479" t="s">
        <v>261</v>
      </c>
      <c r="H476" s="416"/>
      <c r="I476" s="81">
        <f>+I477</f>
        <v>4</v>
      </c>
      <c r="J476" s="1034"/>
      <c r="K476" s="410"/>
      <c r="L476" s="411"/>
    </row>
    <row r="477" spans="1:12" ht="12.75" customHeight="1" x14ac:dyDescent="0.2">
      <c r="A477" s="1024"/>
      <c r="B477" s="467"/>
      <c r="C477" s="468"/>
      <c r="D477" s="469"/>
      <c r="E477" s="1024"/>
      <c r="F477" s="1024"/>
      <c r="G477" s="479" t="s">
        <v>184</v>
      </c>
      <c r="H477" s="416"/>
      <c r="I477" s="81">
        <v>4</v>
      </c>
      <c r="J477" s="467"/>
      <c r="K477" s="468"/>
      <c r="L477" s="469"/>
    </row>
    <row r="478" spans="1:12" ht="12.75" customHeight="1" x14ac:dyDescent="0.2">
      <c r="A478" s="1024"/>
      <c r="B478" s="467"/>
      <c r="C478" s="468"/>
      <c r="D478" s="469"/>
      <c r="E478" s="1024"/>
      <c r="F478" s="1024"/>
      <c r="G478" s="479" t="s">
        <v>731</v>
      </c>
      <c r="H478" s="416"/>
      <c r="I478" s="81"/>
      <c r="J478" s="467"/>
      <c r="K478" s="468"/>
      <c r="L478" s="469"/>
    </row>
    <row r="479" spans="1:12" ht="12.75" customHeight="1" x14ac:dyDescent="0.2">
      <c r="A479" s="1024"/>
      <c r="B479" s="467"/>
      <c r="C479" s="468"/>
      <c r="D479" s="469"/>
      <c r="E479" s="1024"/>
      <c r="F479" s="1024"/>
      <c r="G479" s="479" t="s">
        <v>732</v>
      </c>
      <c r="H479" s="416"/>
      <c r="I479" s="81"/>
      <c r="J479" s="467"/>
      <c r="K479" s="468"/>
      <c r="L479" s="469"/>
    </row>
    <row r="480" spans="1:12" ht="12.75" customHeight="1" x14ac:dyDescent="0.2">
      <c r="A480" s="1024"/>
      <c r="B480" s="467"/>
      <c r="C480" s="468"/>
      <c r="D480" s="469"/>
      <c r="E480" s="1024"/>
      <c r="F480" s="1024"/>
      <c r="G480" s="479" t="s">
        <v>733</v>
      </c>
      <c r="H480" s="416"/>
      <c r="I480" s="81"/>
      <c r="J480" s="467"/>
      <c r="K480" s="468"/>
      <c r="L480" s="469"/>
    </row>
    <row r="481" spans="1:25" ht="12.75" customHeight="1" x14ac:dyDescent="0.2">
      <c r="A481" s="1024"/>
      <c r="B481" s="467"/>
      <c r="C481" s="468"/>
      <c r="D481" s="469"/>
      <c r="E481" s="1024"/>
      <c r="F481" s="1024"/>
      <c r="G481" s="479" t="s">
        <v>734</v>
      </c>
      <c r="H481" s="416"/>
      <c r="I481" s="81"/>
      <c r="J481" s="467"/>
      <c r="K481" s="468"/>
      <c r="L481" s="469"/>
    </row>
    <row r="482" spans="1:25" ht="12.75" customHeight="1" x14ac:dyDescent="0.2">
      <c r="A482" s="1024"/>
      <c r="B482" s="467"/>
      <c r="C482" s="468"/>
      <c r="D482" s="469"/>
      <c r="E482" s="1024"/>
      <c r="F482" s="1024"/>
      <c r="G482" s="479" t="s">
        <v>735</v>
      </c>
      <c r="H482" s="416"/>
      <c r="I482" s="81"/>
      <c r="J482" s="467"/>
      <c r="K482" s="468"/>
      <c r="L482" s="469"/>
    </row>
    <row r="483" spans="1:25" ht="12.75" customHeight="1" x14ac:dyDescent="0.2">
      <c r="A483" s="1024"/>
      <c r="B483" s="467"/>
      <c r="C483" s="468"/>
      <c r="D483" s="469"/>
      <c r="E483" s="1024"/>
      <c r="F483" s="1024"/>
      <c r="G483" s="479" t="s">
        <v>834</v>
      </c>
      <c r="H483" s="416"/>
      <c r="I483" s="81"/>
      <c r="J483" s="467"/>
      <c r="K483" s="468"/>
      <c r="L483" s="469"/>
    </row>
    <row r="484" spans="1:25" ht="12.75" customHeight="1" x14ac:dyDescent="0.2">
      <c r="A484" s="408"/>
      <c r="B484" s="412"/>
      <c r="C484" s="413"/>
      <c r="D484" s="414"/>
      <c r="E484" s="408"/>
      <c r="F484" s="408"/>
      <c r="G484" s="479" t="s">
        <v>835</v>
      </c>
      <c r="H484" s="416"/>
      <c r="I484" s="81"/>
      <c r="J484" s="412"/>
      <c r="K484" s="413"/>
      <c r="L484" s="414"/>
    </row>
    <row r="485" spans="1:25" ht="12.75" customHeight="1" x14ac:dyDescent="0.2">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row>
    <row r="486" spans="1:25" ht="12.75" customHeight="1" x14ac:dyDescent="0.2">
      <c r="A486" s="470" t="s">
        <v>39</v>
      </c>
      <c r="B486" s="418"/>
      <c r="C486" s="418"/>
      <c r="D486" s="418"/>
      <c r="E486" s="6" t="s">
        <v>40</v>
      </c>
      <c r="F486" s="6" t="s">
        <v>41</v>
      </c>
      <c r="G486" s="1030" t="s">
        <v>730</v>
      </c>
      <c r="H486" s="459"/>
      <c r="I486" s="470" t="s">
        <v>1427</v>
      </c>
      <c r="J486" s="418"/>
      <c r="K486" s="418"/>
      <c r="L486" s="416"/>
    </row>
    <row r="487" spans="1:25" ht="12.75" customHeight="1" x14ac:dyDescent="0.2">
      <c r="A487" s="1023" t="s">
        <v>149</v>
      </c>
      <c r="B487" s="1035" t="s">
        <v>154</v>
      </c>
      <c r="C487" s="410"/>
      <c r="D487" s="411"/>
      <c r="E487" s="1027" t="s">
        <v>475</v>
      </c>
      <c r="F487" s="1025">
        <f>I487</f>
        <v>1</v>
      </c>
      <c r="G487" s="479" t="s">
        <v>261</v>
      </c>
      <c r="H487" s="416"/>
      <c r="I487" s="81">
        <f>+I488</f>
        <v>1</v>
      </c>
      <c r="J487" s="1034"/>
      <c r="K487" s="410"/>
      <c r="L487" s="411"/>
    </row>
    <row r="488" spans="1:25" ht="12.75" customHeight="1" x14ac:dyDescent="0.2">
      <c r="A488" s="1024"/>
      <c r="B488" s="467"/>
      <c r="C488" s="468"/>
      <c r="D488" s="469"/>
      <c r="E488" s="1024"/>
      <c r="F488" s="1024"/>
      <c r="G488" s="479" t="s">
        <v>184</v>
      </c>
      <c r="H488" s="416"/>
      <c r="I488" s="81">
        <v>1</v>
      </c>
      <c r="J488" s="467"/>
      <c r="K488" s="468"/>
      <c r="L488" s="469"/>
    </row>
    <row r="489" spans="1:25" ht="12.75" customHeight="1" x14ac:dyDescent="0.2">
      <c r="A489" s="1024"/>
      <c r="B489" s="467"/>
      <c r="C489" s="468"/>
      <c r="D489" s="469"/>
      <c r="E489" s="1024"/>
      <c r="F489" s="1024"/>
      <c r="G489" s="479" t="s">
        <v>731</v>
      </c>
      <c r="H489" s="416"/>
      <c r="I489" s="81"/>
      <c r="J489" s="467"/>
      <c r="K489" s="468"/>
      <c r="L489" s="469"/>
    </row>
    <row r="490" spans="1:25" ht="12.75" customHeight="1" x14ac:dyDescent="0.2">
      <c r="A490" s="1024"/>
      <c r="B490" s="467"/>
      <c r="C490" s="468"/>
      <c r="D490" s="469"/>
      <c r="E490" s="1024"/>
      <c r="F490" s="1024"/>
      <c r="G490" s="479" t="s">
        <v>732</v>
      </c>
      <c r="H490" s="416"/>
      <c r="I490" s="81"/>
      <c r="J490" s="467"/>
      <c r="K490" s="468"/>
      <c r="L490" s="469"/>
    </row>
    <row r="491" spans="1:25" ht="12.75" customHeight="1" x14ac:dyDescent="0.2">
      <c r="A491" s="1024"/>
      <c r="B491" s="467"/>
      <c r="C491" s="468"/>
      <c r="D491" s="469"/>
      <c r="E491" s="1024"/>
      <c r="F491" s="1024"/>
      <c r="G491" s="479" t="s">
        <v>733</v>
      </c>
      <c r="H491" s="416"/>
      <c r="I491" s="81"/>
      <c r="J491" s="467"/>
      <c r="K491" s="468"/>
      <c r="L491" s="469"/>
    </row>
    <row r="492" spans="1:25" ht="12.75" customHeight="1" x14ac:dyDescent="0.2">
      <c r="A492" s="1024"/>
      <c r="B492" s="467"/>
      <c r="C492" s="468"/>
      <c r="D492" s="469"/>
      <c r="E492" s="1024"/>
      <c r="F492" s="1024"/>
      <c r="G492" s="479" t="s">
        <v>734</v>
      </c>
      <c r="H492" s="416"/>
      <c r="I492" s="81"/>
      <c r="J492" s="467"/>
      <c r="K492" s="468"/>
      <c r="L492" s="469"/>
    </row>
    <row r="493" spans="1:25" ht="12.75" customHeight="1" x14ac:dyDescent="0.2">
      <c r="A493" s="1024"/>
      <c r="B493" s="467"/>
      <c r="C493" s="468"/>
      <c r="D493" s="469"/>
      <c r="E493" s="1024"/>
      <c r="F493" s="1024"/>
      <c r="G493" s="479" t="s">
        <v>735</v>
      </c>
      <c r="H493" s="416"/>
      <c r="I493" s="81"/>
      <c r="J493" s="467"/>
      <c r="K493" s="468"/>
      <c r="L493" s="469"/>
    </row>
    <row r="494" spans="1:25" ht="12.75" customHeight="1" x14ac:dyDescent="0.2">
      <c r="A494" s="1024"/>
      <c r="B494" s="467"/>
      <c r="C494" s="468"/>
      <c r="D494" s="469"/>
      <c r="E494" s="1024"/>
      <c r="F494" s="1024"/>
      <c r="G494" s="479" t="s">
        <v>836</v>
      </c>
      <c r="H494" s="416"/>
      <c r="I494" s="81"/>
      <c r="J494" s="467"/>
      <c r="K494" s="468"/>
      <c r="L494" s="469"/>
    </row>
    <row r="495" spans="1:25" ht="12.75" customHeight="1" x14ac:dyDescent="0.2">
      <c r="A495" s="408"/>
      <c r="B495" s="412"/>
      <c r="C495" s="413"/>
      <c r="D495" s="414"/>
      <c r="E495" s="408"/>
      <c r="F495" s="408"/>
      <c r="G495" s="479" t="s">
        <v>837</v>
      </c>
      <c r="H495" s="416"/>
      <c r="I495" s="81"/>
      <c r="J495" s="412"/>
      <c r="K495" s="413"/>
      <c r="L495" s="414"/>
    </row>
    <row r="496" spans="1:25" ht="12.75" customHeight="1" x14ac:dyDescent="0.2">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row>
    <row r="497" spans="1:25" ht="12.75" customHeight="1" x14ac:dyDescent="0.2">
      <c r="A497" s="470" t="s">
        <v>39</v>
      </c>
      <c r="B497" s="418"/>
      <c r="C497" s="418"/>
      <c r="D497" s="418"/>
      <c r="E497" s="6" t="s">
        <v>40</v>
      </c>
      <c r="F497" s="6" t="s">
        <v>41</v>
      </c>
      <c r="G497" s="1030" t="s">
        <v>730</v>
      </c>
      <c r="H497" s="459"/>
      <c r="I497" s="470" t="s">
        <v>1427</v>
      </c>
      <c r="J497" s="418"/>
      <c r="K497" s="418"/>
      <c r="L497" s="416"/>
    </row>
    <row r="498" spans="1:25" ht="12.75" customHeight="1" x14ac:dyDescent="0.2">
      <c r="A498" s="1023" t="s">
        <v>151</v>
      </c>
      <c r="B498" s="1035" t="s">
        <v>838</v>
      </c>
      <c r="C498" s="410"/>
      <c r="D498" s="411"/>
      <c r="E498" s="1027" t="s">
        <v>475</v>
      </c>
      <c r="F498" s="1025">
        <f>I498</f>
        <v>2</v>
      </c>
      <c r="G498" s="479" t="s">
        <v>261</v>
      </c>
      <c r="H498" s="416"/>
      <c r="I498" s="81">
        <f>+I499</f>
        <v>2</v>
      </c>
      <c r="J498" s="1034"/>
      <c r="K498" s="410"/>
      <c r="L498" s="411"/>
    </row>
    <row r="499" spans="1:25" ht="12.75" customHeight="1" x14ac:dyDescent="0.2">
      <c r="A499" s="1024"/>
      <c r="B499" s="467"/>
      <c r="C499" s="468"/>
      <c r="D499" s="469"/>
      <c r="E499" s="1024"/>
      <c r="F499" s="1024"/>
      <c r="G499" s="479" t="s">
        <v>184</v>
      </c>
      <c r="H499" s="416"/>
      <c r="I499" s="81">
        <v>2</v>
      </c>
      <c r="J499" s="467"/>
      <c r="K499" s="468"/>
      <c r="L499" s="469"/>
    </row>
    <row r="500" spans="1:25" ht="12.75" customHeight="1" x14ac:dyDescent="0.2">
      <c r="A500" s="1024"/>
      <c r="B500" s="467"/>
      <c r="C500" s="468"/>
      <c r="D500" s="469"/>
      <c r="E500" s="1024"/>
      <c r="F500" s="1024"/>
      <c r="G500" s="479" t="s">
        <v>731</v>
      </c>
      <c r="H500" s="416"/>
      <c r="I500" s="81"/>
      <c r="J500" s="467"/>
      <c r="K500" s="468"/>
      <c r="L500" s="469"/>
    </row>
    <row r="501" spans="1:25" ht="12.75" customHeight="1" x14ac:dyDescent="0.2">
      <c r="A501" s="1024"/>
      <c r="B501" s="467"/>
      <c r="C501" s="468"/>
      <c r="D501" s="469"/>
      <c r="E501" s="1024"/>
      <c r="F501" s="1024"/>
      <c r="G501" s="479" t="s">
        <v>732</v>
      </c>
      <c r="H501" s="416"/>
      <c r="I501" s="81"/>
      <c r="J501" s="467"/>
      <c r="K501" s="468"/>
      <c r="L501" s="469"/>
    </row>
    <row r="502" spans="1:25" ht="12.75" customHeight="1" x14ac:dyDescent="0.2">
      <c r="A502" s="1024"/>
      <c r="B502" s="467"/>
      <c r="C502" s="468"/>
      <c r="D502" s="469"/>
      <c r="E502" s="1024"/>
      <c r="F502" s="1024"/>
      <c r="G502" s="479" t="s">
        <v>733</v>
      </c>
      <c r="H502" s="416"/>
      <c r="I502" s="81"/>
      <c r="J502" s="467"/>
      <c r="K502" s="468"/>
      <c r="L502" s="469"/>
    </row>
    <row r="503" spans="1:25" ht="12.75" customHeight="1" x14ac:dyDescent="0.2">
      <c r="A503" s="1024"/>
      <c r="B503" s="467"/>
      <c r="C503" s="468"/>
      <c r="D503" s="469"/>
      <c r="E503" s="1024"/>
      <c r="F503" s="1024"/>
      <c r="G503" s="479" t="s">
        <v>734</v>
      </c>
      <c r="H503" s="416"/>
      <c r="I503" s="81"/>
      <c r="J503" s="467"/>
      <c r="K503" s="468"/>
      <c r="L503" s="469"/>
    </row>
    <row r="504" spans="1:25" ht="12.75" customHeight="1" x14ac:dyDescent="0.2">
      <c r="A504" s="1024"/>
      <c r="B504" s="467"/>
      <c r="C504" s="468"/>
      <c r="D504" s="469"/>
      <c r="E504" s="1024"/>
      <c r="F504" s="1024"/>
      <c r="G504" s="479" t="s">
        <v>735</v>
      </c>
      <c r="H504" s="416"/>
      <c r="I504" s="81"/>
      <c r="J504" s="467"/>
      <c r="K504" s="468"/>
      <c r="L504" s="469"/>
    </row>
    <row r="505" spans="1:25" ht="12.75" customHeight="1" x14ac:dyDescent="0.2">
      <c r="A505" s="1024"/>
      <c r="B505" s="467"/>
      <c r="C505" s="468"/>
      <c r="D505" s="469"/>
      <c r="E505" s="1024"/>
      <c r="F505" s="1024"/>
      <c r="G505" s="479" t="s">
        <v>839</v>
      </c>
      <c r="H505" s="416"/>
      <c r="I505" s="81"/>
      <c r="J505" s="467"/>
      <c r="K505" s="468"/>
      <c r="L505" s="469"/>
    </row>
    <row r="506" spans="1:25" ht="12.75" customHeight="1" x14ac:dyDescent="0.2">
      <c r="A506" s="408"/>
      <c r="B506" s="412"/>
      <c r="C506" s="413"/>
      <c r="D506" s="414"/>
      <c r="E506" s="408"/>
      <c r="F506" s="408"/>
      <c r="G506" s="479" t="s">
        <v>840</v>
      </c>
      <c r="H506" s="416"/>
      <c r="I506" s="81"/>
      <c r="J506" s="412"/>
      <c r="K506" s="413"/>
      <c r="L506" s="414"/>
    </row>
    <row r="507" spans="1:25" ht="12.75" customHeight="1" x14ac:dyDescent="0.2">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row>
    <row r="508" spans="1:25" ht="12.75" customHeight="1" x14ac:dyDescent="0.2">
      <c r="A508" s="470" t="s">
        <v>39</v>
      </c>
      <c r="B508" s="418"/>
      <c r="C508" s="418"/>
      <c r="D508" s="418"/>
      <c r="E508" s="6" t="s">
        <v>40</v>
      </c>
      <c r="F508" s="6" t="s">
        <v>41</v>
      </c>
      <c r="G508" s="1030" t="s">
        <v>730</v>
      </c>
      <c r="H508" s="459"/>
      <c r="I508" s="470" t="s">
        <v>1427</v>
      </c>
      <c r="J508" s="418"/>
      <c r="K508" s="418"/>
      <c r="L508" s="416"/>
    </row>
    <row r="509" spans="1:25" ht="12.75" customHeight="1" x14ac:dyDescent="0.2">
      <c r="A509" s="1023" t="s">
        <v>156</v>
      </c>
      <c r="B509" s="1035" t="s">
        <v>841</v>
      </c>
      <c r="C509" s="410"/>
      <c r="D509" s="411"/>
      <c r="E509" s="1027" t="s">
        <v>475</v>
      </c>
      <c r="F509" s="1025">
        <f>I509</f>
        <v>83.73</v>
      </c>
      <c r="G509" s="479" t="s">
        <v>261</v>
      </c>
      <c r="H509" s="416"/>
      <c r="I509" s="81">
        <f>+I511*I510</f>
        <v>83.73</v>
      </c>
      <c r="J509" s="1034"/>
      <c r="K509" s="410"/>
      <c r="L509" s="411"/>
    </row>
    <row r="510" spans="1:25" ht="12.75" customHeight="1" x14ac:dyDescent="0.2">
      <c r="A510" s="1024"/>
      <c r="B510" s="467"/>
      <c r="C510" s="468"/>
      <c r="D510" s="469"/>
      <c r="E510" s="1024"/>
      <c r="F510" s="1024"/>
      <c r="G510" s="479" t="s">
        <v>184</v>
      </c>
      <c r="H510" s="416"/>
      <c r="I510" s="81">
        <v>1</v>
      </c>
      <c r="J510" s="467"/>
      <c r="K510" s="468"/>
      <c r="L510" s="469"/>
    </row>
    <row r="511" spans="1:25" ht="12.75" customHeight="1" x14ac:dyDescent="0.2">
      <c r="A511" s="1024"/>
      <c r="B511" s="467"/>
      <c r="C511" s="468"/>
      <c r="D511" s="469"/>
      <c r="E511" s="1024"/>
      <c r="F511" s="1024"/>
      <c r="G511" s="479" t="s">
        <v>731</v>
      </c>
      <c r="H511" s="416"/>
      <c r="I511" s="81">
        <v>83.73</v>
      </c>
      <c r="J511" s="467"/>
      <c r="K511" s="468"/>
      <c r="L511" s="469"/>
    </row>
    <row r="512" spans="1:25" ht="12.75" customHeight="1" x14ac:dyDescent="0.2">
      <c r="A512" s="1024"/>
      <c r="B512" s="467"/>
      <c r="C512" s="468"/>
      <c r="D512" s="469"/>
      <c r="E512" s="1024"/>
      <c r="F512" s="1024"/>
      <c r="G512" s="479" t="s">
        <v>732</v>
      </c>
      <c r="H512" s="416"/>
      <c r="I512" s="81"/>
      <c r="J512" s="467"/>
      <c r="K512" s="468"/>
      <c r="L512" s="469"/>
    </row>
    <row r="513" spans="1:25" ht="12.75" customHeight="1" x14ac:dyDescent="0.2">
      <c r="A513" s="1024"/>
      <c r="B513" s="467"/>
      <c r="C513" s="468"/>
      <c r="D513" s="469"/>
      <c r="E513" s="1024"/>
      <c r="F513" s="1024"/>
      <c r="G513" s="479" t="s">
        <v>733</v>
      </c>
      <c r="H513" s="416"/>
      <c r="I513" s="81"/>
      <c r="J513" s="467"/>
      <c r="K513" s="468"/>
      <c r="L513" s="469"/>
    </row>
    <row r="514" spans="1:25" ht="12.75" customHeight="1" x14ac:dyDescent="0.2">
      <c r="A514" s="1024"/>
      <c r="B514" s="467"/>
      <c r="C514" s="468"/>
      <c r="D514" s="469"/>
      <c r="E514" s="1024"/>
      <c r="F514" s="1024"/>
      <c r="G514" s="479" t="s">
        <v>734</v>
      </c>
      <c r="H514" s="416"/>
      <c r="I514" s="81"/>
      <c r="J514" s="467"/>
      <c r="K514" s="468"/>
      <c r="L514" s="469"/>
    </row>
    <row r="515" spans="1:25" ht="12.75" customHeight="1" x14ac:dyDescent="0.2">
      <c r="A515" s="1024"/>
      <c r="B515" s="467"/>
      <c r="C515" s="468"/>
      <c r="D515" s="469"/>
      <c r="E515" s="1024"/>
      <c r="F515" s="1024"/>
      <c r="G515" s="479" t="s">
        <v>735</v>
      </c>
      <c r="H515" s="416"/>
      <c r="I515" s="81"/>
      <c r="J515" s="467"/>
      <c r="K515" s="468"/>
      <c r="L515" s="469"/>
    </row>
    <row r="516" spans="1:25" ht="12.75" customHeight="1" x14ac:dyDescent="0.2">
      <c r="A516" s="1024"/>
      <c r="B516" s="467"/>
      <c r="C516" s="468"/>
      <c r="D516" s="469"/>
      <c r="E516" s="1024"/>
      <c r="F516" s="1024"/>
      <c r="G516" s="479" t="s">
        <v>842</v>
      </c>
      <c r="H516" s="416"/>
      <c r="I516" s="81"/>
      <c r="J516" s="467"/>
      <c r="K516" s="468"/>
      <c r="L516" s="469"/>
    </row>
    <row r="517" spans="1:25" ht="12.75" customHeight="1" x14ac:dyDescent="0.2">
      <c r="A517" s="408"/>
      <c r="B517" s="412"/>
      <c r="C517" s="413"/>
      <c r="D517" s="414"/>
      <c r="E517" s="408"/>
      <c r="F517" s="408"/>
      <c r="G517" s="479" t="s">
        <v>843</v>
      </c>
      <c r="H517" s="416"/>
      <c r="I517" s="81"/>
      <c r="J517" s="412"/>
      <c r="K517" s="413"/>
      <c r="L517" s="414"/>
    </row>
    <row r="518" spans="1:25" ht="12.75" customHeight="1" x14ac:dyDescent="0.2">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row>
    <row r="519" spans="1:25" ht="12.75" customHeight="1" x14ac:dyDescent="0.25">
      <c r="A519" s="466" t="s">
        <v>844</v>
      </c>
      <c r="B519" s="410"/>
      <c r="C519" s="410"/>
      <c r="D519" s="411"/>
      <c r="E519" s="5"/>
      <c r="F519" s="5"/>
      <c r="G519" s="5"/>
      <c r="H519" s="5"/>
      <c r="I519" s="5"/>
      <c r="J519" s="5"/>
      <c r="K519" s="5"/>
      <c r="L519" s="5"/>
      <c r="M519" s="5"/>
      <c r="N519" s="5"/>
      <c r="O519" s="5"/>
      <c r="P519" s="5"/>
      <c r="Q519" s="5"/>
      <c r="R519" s="5"/>
      <c r="S519" s="5"/>
      <c r="T519" s="5"/>
      <c r="U519" s="5"/>
      <c r="V519" s="5"/>
      <c r="W519" s="5"/>
      <c r="X519" s="5"/>
      <c r="Y519" s="5"/>
    </row>
    <row r="520" spans="1:25" ht="12.75" customHeight="1" x14ac:dyDescent="0.25">
      <c r="A520" s="412"/>
      <c r="B520" s="413"/>
      <c r="C520" s="413"/>
      <c r="D520" s="414"/>
      <c r="E520" s="5"/>
      <c r="F520" s="5"/>
      <c r="G520" s="5"/>
      <c r="H520" s="5"/>
      <c r="I520" s="5"/>
      <c r="J520" s="5"/>
      <c r="K520" s="5"/>
      <c r="L520" s="5"/>
      <c r="M520" s="5"/>
      <c r="N520" s="5"/>
      <c r="O520" s="5"/>
      <c r="P520" s="5"/>
      <c r="Q520" s="5"/>
      <c r="R520" s="5"/>
      <c r="S520" s="5"/>
      <c r="T520" s="5"/>
      <c r="U520" s="5"/>
      <c r="V520" s="5"/>
      <c r="W520" s="5"/>
      <c r="X520" s="5"/>
      <c r="Y520" s="5"/>
    </row>
    <row r="521" spans="1:25" ht="12.75" customHeight="1" x14ac:dyDescent="0.25">
      <c r="A521" s="1042">
        <f>+E534+K534+L534+E550+F550+G550</f>
        <v>97.287000000000006</v>
      </c>
      <c r="B521" s="410"/>
      <c r="C521" s="410"/>
      <c r="D521" s="411"/>
      <c r="E521" s="5"/>
      <c r="F521" s="5"/>
      <c r="G521" s="5"/>
      <c r="H521" s="5"/>
      <c r="I521" s="5"/>
      <c r="J521" s="5"/>
      <c r="K521" s="5"/>
      <c r="L521" s="5"/>
      <c r="M521" s="5"/>
      <c r="N521" s="5"/>
      <c r="O521" s="5"/>
      <c r="P521" s="5"/>
      <c r="Q521" s="5"/>
      <c r="R521" s="5"/>
      <c r="S521" s="5"/>
      <c r="T521" s="5"/>
      <c r="U521" s="5"/>
      <c r="V521" s="5"/>
      <c r="W521" s="5"/>
      <c r="X521" s="5"/>
      <c r="Y521" s="5"/>
    </row>
    <row r="522" spans="1:25" ht="12.75" customHeight="1" x14ac:dyDescent="0.25">
      <c r="A522" s="412"/>
      <c r="B522" s="413"/>
      <c r="C522" s="413"/>
      <c r="D522" s="414"/>
      <c r="E522" s="5"/>
      <c r="F522" s="5"/>
      <c r="G522" s="5"/>
      <c r="H522" s="5"/>
      <c r="I522" s="5"/>
      <c r="J522" s="5"/>
      <c r="K522" s="5"/>
      <c r="L522" s="5"/>
      <c r="M522" s="5"/>
      <c r="N522" s="5"/>
      <c r="O522" s="5"/>
      <c r="P522" s="5"/>
      <c r="Q522" s="5"/>
      <c r="R522" s="5"/>
      <c r="S522" s="5"/>
      <c r="T522" s="5"/>
      <c r="U522" s="5"/>
      <c r="V522" s="5"/>
      <c r="W522" s="5"/>
      <c r="X522" s="5"/>
      <c r="Y522" s="5"/>
    </row>
    <row r="523" spans="1:25" ht="12.7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row>
    <row r="524" spans="1:25" ht="12.75" customHeight="1" x14ac:dyDescent="0.25">
      <c r="A524" s="470" t="s">
        <v>845</v>
      </c>
      <c r="B524" s="418"/>
      <c r="C524" s="418"/>
      <c r="D524" s="418"/>
      <c r="E524" s="416"/>
      <c r="F524" s="5"/>
      <c r="G524" s="470" t="s">
        <v>846</v>
      </c>
      <c r="H524" s="418"/>
      <c r="I524" s="418"/>
      <c r="J524" s="418"/>
      <c r="K524" s="418"/>
      <c r="L524" s="416"/>
      <c r="M524" s="5"/>
      <c r="N524" s="5"/>
      <c r="O524" s="5"/>
      <c r="P524" s="5"/>
      <c r="Q524" s="5"/>
      <c r="R524" s="5"/>
      <c r="S524" s="5"/>
      <c r="T524" s="5"/>
      <c r="U524" s="5"/>
      <c r="V524" s="5"/>
      <c r="W524" s="5"/>
      <c r="X524" s="5"/>
      <c r="Y524" s="5"/>
    </row>
    <row r="525" spans="1:25" ht="12.75" customHeight="1" x14ac:dyDescent="0.25">
      <c r="A525" s="1040"/>
      <c r="B525" s="410"/>
      <c r="C525" s="411"/>
      <c r="D525" s="479" t="s">
        <v>730</v>
      </c>
      <c r="E525" s="416"/>
      <c r="F525" s="5"/>
      <c r="G525" s="1040"/>
      <c r="H525" s="410"/>
      <c r="I525" s="411"/>
      <c r="J525" s="84"/>
      <c r="K525" s="85" t="s">
        <v>847</v>
      </c>
      <c r="L525" s="85" t="s">
        <v>848</v>
      </c>
      <c r="M525" s="5"/>
      <c r="N525" s="5"/>
      <c r="O525" s="5"/>
      <c r="P525" s="5"/>
      <c r="Q525" s="5"/>
      <c r="R525" s="5"/>
      <c r="S525" s="5"/>
      <c r="T525" s="5"/>
      <c r="U525" s="5"/>
      <c r="V525" s="5"/>
      <c r="W525" s="5"/>
      <c r="X525" s="5"/>
      <c r="Y525" s="5"/>
    </row>
    <row r="526" spans="1:25" ht="12.75" customHeight="1" x14ac:dyDescent="0.25">
      <c r="A526" s="467"/>
      <c r="B526" s="468"/>
      <c r="C526" s="469"/>
      <c r="D526" s="1027" t="s">
        <v>849</v>
      </c>
      <c r="E526" s="1025">
        <v>3.6</v>
      </c>
      <c r="F526" s="5"/>
      <c r="G526" s="467"/>
      <c r="H526" s="468"/>
      <c r="I526" s="469"/>
      <c r="J526" s="1027" t="s">
        <v>849</v>
      </c>
      <c r="K526" s="1025">
        <v>4.5999999999999996</v>
      </c>
      <c r="L526" s="1025">
        <v>4.5999999999999996</v>
      </c>
      <c r="M526" s="5"/>
      <c r="N526" s="5"/>
      <c r="O526" s="5"/>
      <c r="P526" s="5"/>
      <c r="Q526" s="5"/>
      <c r="R526" s="5"/>
      <c r="S526" s="5"/>
      <c r="T526" s="5"/>
      <c r="U526" s="5"/>
      <c r="V526" s="5"/>
      <c r="W526" s="5"/>
      <c r="X526" s="5"/>
      <c r="Y526" s="5"/>
    </row>
    <row r="527" spans="1:25" ht="12.75" customHeight="1" x14ac:dyDescent="0.25">
      <c r="A527" s="467"/>
      <c r="B527" s="468"/>
      <c r="C527" s="469"/>
      <c r="D527" s="408"/>
      <c r="E527" s="408"/>
      <c r="F527" s="5"/>
      <c r="G527" s="467"/>
      <c r="H527" s="468"/>
      <c r="I527" s="469"/>
      <c r="J527" s="408"/>
      <c r="K527" s="408"/>
      <c r="L527" s="408"/>
      <c r="M527" s="5"/>
      <c r="N527" s="5"/>
      <c r="O527" s="5"/>
      <c r="P527" s="5"/>
      <c r="Q527" s="5"/>
      <c r="R527" s="5"/>
      <c r="S527" s="5"/>
      <c r="T527" s="5"/>
      <c r="U527" s="5"/>
      <c r="V527" s="5"/>
      <c r="W527" s="5"/>
      <c r="X527" s="5"/>
      <c r="Y527" s="5"/>
    </row>
    <row r="528" spans="1:25" ht="12.75" customHeight="1" x14ac:dyDescent="0.25">
      <c r="A528" s="467"/>
      <c r="B528" s="468"/>
      <c r="C528" s="469"/>
      <c r="D528" s="1027" t="s">
        <v>850</v>
      </c>
      <c r="E528" s="1025">
        <v>2</v>
      </c>
      <c r="F528" s="5"/>
      <c r="G528" s="467"/>
      <c r="H528" s="468"/>
      <c r="I528" s="469"/>
      <c r="J528" s="1027" t="s">
        <v>850</v>
      </c>
      <c r="K528" s="1025">
        <v>2.5</v>
      </c>
      <c r="L528" s="1025">
        <v>2.2999999999999998</v>
      </c>
      <c r="M528" s="5"/>
      <c r="N528" s="5"/>
      <c r="O528" s="5"/>
      <c r="P528" s="5"/>
      <c r="Q528" s="5"/>
      <c r="R528" s="5"/>
      <c r="S528" s="5"/>
      <c r="T528" s="5"/>
      <c r="U528" s="5"/>
      <c r="V528" s="5"/>
      <c r="W528" s="5"/>
      <c r="X528" s="5"/>
      <c r="Y528" s="5"/>
    </row>
    <row r="529" spans="1:25" ht="12.75" customHeight="1" x14ac:dyDescent="0.25">
      <c r="A529" s="467"/>
      <c r="B529" s="468"/>
      <c r="C529" s="469"/>
      <c r="D529" s="408"/>
      <c r="E529" s="408"/>
      <c r="F529" s="5"/>
      <c r="G529" s="467"/>
      <c r="H529" s="468"/>
      <c r="I529" s="469"/>
      <c r="J529" s="408"/>
      <c r="K529" s="408"/>
      <c r="L529" s="408"/>
      <c r="M529" s="5"/>
      <c r="N529" s="5"/>
      <c r="O529" s="5"/>
      <c r="P529" s="5"/>
      <c r="Q529" s="5"/>
      <c r="R529" s="5"/>
      <c r="S529" s="5"/>
      <c r="T529" s="5"/>
      <c r="U529" s="5"/>
      <c r="V529" s="5"/>
      <c r="W529" s="5"/>
      <c r="X529" s="5"/>
      <c r="Y529" s="5"/>
    </row>
    <row r="530" spans="1:25" ht="12.75" customHeight="1" x14ac:dyDescent="0.25">
      <c r="A530" s="467"/>
      <c r="B530" s="468"/>
      <c r="C530" s="469"/>
      <c r="D530" s="1027" t="s">
        <v>851</v>
      </c>
      <c r="E530" s="1025">
        <v>1.9</v>
      </c>
      <c r="F530" s="5"/>
      <c r="G530" s="467"/>
      <c r="H530" s="468"/>
      <c r="I530" s="469"/>
      <c r="J530" s="1027" t="s">
        <v>851</v>
      </c>
      <c r="K530" s="1025">
        <v>5.4</v>
      </c>
      <c r="L530" s="1025">
        <v>5</v>
      </c>
      <c r="M530" s="5"/>
      <c r="N530" s="5"/>
      <c r="O530" s="5"/>
      <c r="P530" s="5"/>
      <c r="Q530" s="5"/>
      <c r="R530" s="5"/>
      <c r="S530" s="5"/>
      <c r="T530" s="5"/>
      <c r="U530" s="5"/>
      <c r="V530" s="5"/>
      <c r="W530" s="5"/>
      <c r="X530" s="5"/>
      <c r="Y530" s="5"/>
    </row>
    <row r="531" spans="1:25" ht="12.75" customHeight="1" x14ac:dyDescent="0.25">
      <c r="A531" s="467"/>
      <c r="B531" s="468"/>
      <c r="C531" s="469"/>
      <c r="D531" s="408"/>
      <c r="E531" s="408"/>
      <c r="F531" s="5"/>
      <c r="G531" s="467"/>
      <c r="H531" s="468"/>
      <c r="I531" s="469"/>
      <c r="J531" s="408"/>
      <c r="K531" s="408"/>
      <c r="L531" s="408"/>
      <c r="M531" s="5"/>
      <c r="N531" s="5"/>
      <c r="O531" s="5"/>
      <c r="P531" s="5"/>
      <c r="Q531" s="5"/>
      <c r="R531" s="5"/>
      <c r="S531" s="5"/>
      <c r="T531" s="5"/>
      <c r="U531" s="5"/>
      <c r="V531" s="5"/>
      <c r="W531" s="5"/>
      <c r="X531" s="5"/>
      <c r="Y531" s="5"/>
    </row>
    <row r="532" spans="1:25" ht="12.75" customHeight="1" x14ac:dyDescent="0.25">
      <c r="A532" s="467"/>
      <c r="B532" s="468"/>
      <c r="C532" s="469"/>
      <c r="D532" s="1027" t="s">
        <v>852</v>
      </c>
      <c r="E532" s="1025">
        <v>0.3</v>
      </c>
      <c r="F532" s="5"/>
      <c r="G532" s="467"/>
      <c r="H532" s="468"/>
      <c r="I532" s="469"/>
      <c r="J532" s="1027" t="s">
        <v>852</v>
      </c>
      <c r="K532" s="1025">
        <v>0.3</v>
      </c>
      <c r="L532" s="1025">
        <v>0.3</v>
      </c>
      <c r="M532" s="5"/>
      <c r="N532" s="5"/>
      <c r="O532" s="5"/>
      <c r="P532" s="5"/>
      <c r="Q532" s="5"/>
      <c r="R532" s="5"/>
      <c r="S532" s="5"/>
      <c r="T532" s="5"/>
      <c r="U532" s="5"/>
      <c r="V532" s="5"/>
      <c r="W532" s="5"/>
      <c r="X532" s="5"/>
      <c r="Y532" s="5"/>
    </row>
    <row r="533" spans="1:25" ht="12.75" customHeight="1" x14ac:dyDescent="0.25">
      <c r="A533" s="467"/>
      <c r="B533" s="468"/>
      <c r="C533" s="469"/>
      <c r="D533" s="408"/>
      <c r="E533" s="408"/>
      <c r="F533" s="5"/>
      <c r="G533" s="467"/>
      <c r="H533" s="468"/>
      <c r="I533" s="469"/>
      <c r="J533" s="408"/>
      <c r="K533" s="408"/>
      <c r="L533" s="408"/>
      <c r="M533" s="5"/>
      <c r="N533" s="5"/>
      <c r="O533" s="5"/>
      <c r="P533" s="5"/>
      <c r="Q533" s="5"/>
      <c r="R533" s="5"/>
      <c r="S533" s="5"/>
      <c r="T533" s="5"/>
      <c r="U533" s="5"/>
      <c r="V533" s="5"/>
      <c r="W533" s="5"/>
      <c r="X533" s="5"/>
      <c r="Y533" s="5"/>
    </row>
    <row r="534" spans="1:25" ht="12.75" customHeight="1" x14ac:dyDescent="0.25">
      <c r="A534" s="467"/>
      <c r="B534" s="468"/>
      <c r="C534" s="469"/>
      <c r="D534" s="1041" t="s">
        <v>177</v>
      </c>
      <c r="E534" s="1037">
        <f>+(E526+E526+E528+E528)*E530*E532</f>
        <v>6.3839999999999995</v>
      </c>
      <c r="F534" s="5"/>
      <c r="G534" s="467"/>
      <c r="H534" s="468"/>
      <c r="I534" s="469"/>
      <c r="J534" s="1041" t="s">
        <v>177</v>
      </c>
      <c r="K534" s="1037">
        <f t="shared" ref="K534:L534" si="3">+(K526+K528+K528)*K530*K532</f>
        <v>15.552</v>
      </c>
      <c r="L534" s="1037">
        <f t="shared" si="3"/>
        <v>13.799999999999999</v>
      </c>
      <c r="M534" s="5"/>
      <c r="N534" s="5"/>
      <c r="O534" s="5"/>
      <c r="P534" s="5"/>
      <c r="Q534" s="5"/>
      <c r="R534" s="5"/>
      <c r="S534" s="5"/>
      <c r="T534" s="5"/>
      <c r="U534" s="5"/>
      <c r="V534" s="5"/>
      <c r="W534" s="5"/>
      <c r="X534" s="5"/>
      <c r="Y534" s="5"/>
    </row>
    <row r="535" spans="1:25" ht="12.75" customHeight="1" x14ac:dyDescent="0.25">
      <c r="A535" s="412"/>
      <c r="B535" s="413"/>
      <c r="C535" s="414"/>
      <c r="D535" s="408"/>
      <c r="E535" s="408"/>
      <c r="F535" s="5"/>
      <c r="G535" s="412"/>
      <c r="H535" s="413"/>
      <c r="I535" s="414"/>
      <c r="J535" s="408"/>
      <c r="K535" s="408"/>
      <c r="L535" s="408"/>
      <c r="M535" s="5"/>
      <c r="N535" s="5"/>
      <c r="O535" s="5"/>
      <c r="P535" s="5"/>
      <c r="Q535" s="5"/>
      <c r="R535" s="5"/>
      <c r="S535" s="5"/>
      <c r="T535" s="5"/>
      <c r="U535" s="5"/>
      <c r="V535" s="5"/>
      <c r="W535" s="5"/>
      <c r="X535" s="5"/>
      <c r="Y535" s="5"/>
    </row>
    <row r="536" spans="1:25" ht="12.7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row>
    <row r="537" spans="1:25" ht="12.7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row>
    <row r="538" spans="1:25" ht="12.7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row>
    <row r="539" spans="1:25" ht="12.7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row>
    <row r="540" spans="1:25" ht="12.75" customHeight="1" x14ac:dyDescent="0.25">
      <c r="A540" s="1030" t="s">
        <v>853</v>
      </c>
      <c r="B540" s="1044"/>
      <c r="C540" s="1044"/>
      <c r="D540" s="1044"/>
      <c r="E540" s="1044"/>
      <c r="F540" s="1044"/>
      <c r="G540" s="1044"/>
      <c r="H540" s="5"/>
      <c r="I540" s="5"/>
      <c r="J540" s="5"/>
      <c r="K540" s="5"/>
      <c r="L540" s="5"/>
      <c r="M540" s="5"/>
      <c r="N540" s="5"/>
      <c r="O540" s="5"/>
      <c r="P540" s="5"/>
      <c r="Q540" s="5"/>
      <c r="R540" s="5"/>
      <c r="S540" s="5"/>
      <c r="T540" s="5"/>
      <c r="U540" s="5"/>
      <c r="V540" s="5"/>
      <c r="W540" s="5"/>
      <c r="X540" s="5"/>
      <c r="Y540" s="5"/>
    </row>
    <row r="541" spans="1:25" ht="12.75" customHeight="1" x14ac:dyDescent="0.25">
      <c r="A541" s="1040"/>
      <c r="B541" s="410"/>
      <c r="C541" s="411"/>
      <c r="D541" s="84"/>
      <c r="E541" s="85" t="s">
        <v>847</v>
      </c>
      <c r="F541" s="85" t="s">
        <v>848</v>
      </c>
      <c r="G541" s="85" t="s">
        <v>854</v>
      </c>
      <c r="H541" s="5"/>
      <c r="I541" s="5"/>
      <c r="J541" s="5"/>
      <c r="K541" s="5"/>
      <c r="L541" s="5"/>
      <c r="M541" s="5"/>
      <c r="N541" s="5"/>
      <c r="O541" s="5"/>
      <c r="P541" s="5"/>
      <c r="Q541" s="5"/>
      <c r="R541" s="5"/>
      <c r="S541" s="5"/>
      <c r="T541" s="5"/>
      <c r="U541" s="5"/>
      <c r="V541" s="5"/>
      <c r="W541" s="5"/>
      <c r="X541" s="5"/>
      <c r="Y541" s="5"/>
    </row>
    <row r="542" spans="1:25" ht="12.75" customHeight="1" x14ac:dyDescent="0.25">
      <c r="A542" s="467"/>
      <c r="B542" s="468"/>
      <c r="C542" s="469"/>
      <c r="D542" s="1027" t="s">
        <v>849</v>
      </c>
      <c r="E542" s="1025">
        <v>8.8000000000000007</v>
      </c>
      <c r="F542" s="1025">
        <v>8.8000000000000007</v>
      </c>
      <c r="G542" s="1025">
        <v>6</v>
      </c>
      <c r="H542" s="5"/>
      <c r="I542" s="5"/>
      <c r="J542" s="5"/>
      <c r="K542" s="5"/>
      <c r="L542" s="5"/>
      <c r="M542" s="5"/>
      <c r="N542" s="5"/>
      <c r="O542" s="5"/>
      <c r="P542" s="5"/>
      <c r="Q542" s="5"/>
      <c r="R542" s="5"/>
      <c r="S542" s="5"/>
      <c r="T542" s="5"/>
      <c r="U542" s="5"/>
      <c r="V542" s="5"/>
      <c r="W542" s="5"/>
      <c r="X542" s="5"/>
      <c r="Y542" s="5"/>
    </row>
    <row r="543" spans="1:25" ht="12.75" customHeight="1" x14ac:dyDescent="0.25">
      <c r="A543" s="467"/>
      <c r="B543" s="468"/>
      <c r="C543" s="469"/>
      <c r="D543" s="408"/>
      <c r="E543" s="408"/>
      <c r="F543" s="408"/>
      <c r="G543" s="408"/>
      <c r="H543" s="5"/>
      <c r="I543" s="5"/>
      <c r="J543" s="5"/>
      <c r="K543" s="5"/>
      <c r="L543" s="5"/>
      <c r="M543" s="5"/>
      <c r="N543" s="5"/>
      <c r="O543" s="5"/>
      <c r="P543" s="5"/>
      <c r="Q543" s="5"/>
      <c r="R543" s="5"/>
      <c r="S543" s="5"/>
      <c r="T543" s="5"/>
      <c r="U543" s="5"/>
      <c r="V543" s="5"/>
      <c r="W543" s="5"/>
      <c r="X543" s="5"/>
      <c r="Y543" s="5"/>
    </row>
    <row r="544" spans="1:25" ht="12.75" customHeight="1" x14ac:dyDescent="0.25">
      <c r="A544" s="467"/>
      <c r="B544" s="468"/>
      <c r="C544" s="469"/>
      <c r="D544" s="1027" t="s">
        <v>850</v>
      </c>
      <c r="E544" s="1025">
        <v>2.5499999999999998</v>
      </c>
      <c r="F544" s="1025">
        <v>6.25</v>
      </c>
      <c r="G544" s="1025"/>
      <c r="H544" s="5"/>
      <c r="I544" s="5"/>
      <c r="J544" s="5"/>
      <c r="K544" s="5"/>
      <c r="L544" s="5"/>
      <c r="M544" s="5"/>
      <c r="N544" s="5"/>
      <c r="O544" s="5"/>
      <c r="P544" s="5"/>
      <c r="Q544" s="5"/>
      <c r="R544" s="5"/>
      <c r="S544" s="5"/>
      <c r="T544" s="5"/>
      <c r="U544" s="5"/>
      <c r="V544" s="5"/>
      <c r="W544" s="5"/>
      <c r="X544" s="5"/>
      <c r="Y544" s="5"/>
    </row>
    <row r="545" spans="1:25" ht="12.75" customHeight="1" x14ac:dyDescent="0.25">
      <c r="A545" s="467"/>
      <c r="B545" s="468"/>
      <c r="C545" s="469"/>
      <c r="D545" s="408"/>
      <c r="E545" s="408"/>
      <c r="F545" s="408"/>
      <c r="G545" s="408"/>
      <c r="H545" s="5"/>
      <c r="I545" s="5"/>
      <c r="J545" s="5"/>
      <c r="K545" s="5"/>
      <c r="L545" s="5"/>
      <c r="M545" s="5"/>
      <c r="N545" s="5"/>
      <c r="O545" s="5"/>
      <c r="P545" s="5"/>
      <c r="Q545" s="5"/>
      <c r="R545" s="5"/>
      <c r="S545" s="5"/>
      <c r="T545" s="5"/>
      <c r="U545" s="5"/>
      <c r="V545" s="5"/>
      <c r="W545" s="5"/>
      <c r="X545" s="5"/>
      <c r="Y545" s="5"/>
    </row>
    <row r="546" spans="1:25" ht="12.75" customHeight="1" x14ac:dyDescent="0.25">
      <c r="A546" s="467"/>
      <c r="B546" s="468"/>
      <c r="C546" s="469"/>
      <c r="D546" s="1027" t="s">
        <v>851</v>
      </c>
      <c r="E546" s="1025">
        <v>5.4</v>
      </c>
      <c r="F546" s="1025">
        <v>4.7</v>
      </c>
      <c r="G546" s="1025">
        <v>5</v>
      </c>
      <c r="H546" s="5"/>
      <c r="I546" s="5"/>
      <c r="J546" s="5"/>
      <c r="K546" s="5"/>
      <c r="L546" s="5"/>
      <c r="M546" s="5"/>
      <c r="N546" s="5"/>
      <c r="O546" s="5"/>
      <c r="P546" s="5"/>
      <c r="Q546" s="5"/>
      <c r="R546" s="5"/>
      <c r="S546" s="5"/>
      <c r="T546" s="5"/>
      <c r="U546" s="5"/>
      <c r="V546" s="5"/>
      <c r="W546" s="5"/>
      <c r="X546" s="5"/>
      <c r="Y546" s="5"/>
    </row>
    <row r="547" spans="1:25" ht="12.75" customHeight="1" x14ac:dyDescent="0.25">
      <c r="A547" s="467"/>
      <c r="B547" s="468"/>
      <c r="C547" s="469"/>
      <c r="D547" s="408"/>
      <c r="E547" s="408"/>
      <c r="F547" s="408"/>
      <c r="G547" s="408"/>
      <c r="H547" s="5"/>
      <c r="I547" s="5"/>
      <c r="J547" s="5"/>
      <c r="K547" s="5"/>
      <c r="L547" s="5"/>
      <c r="M547" s="5"/>
      <c r="N547" s="5"/>
      <c r="O547" s="5"/>
      <c r="P547" s="5"/>
      <c r="Q547" s="5"/>
      <c r="R547" s="5"/>
      <c r="S547" s="5"/>
      <c r="T547" s="5"/>
      <c r="U547" s="5"/>
      <c r="V547" s="5"/>
      <c r="W547" s="5"/>
      <c r="X547" s="5"/>
      <c r="Y547" s="5"/>
    </row>
    <row r="548" spans="1:25" ht="12.75" customHeight="1" x14ac:dyDescent="0.25">
      <c r="A548" s="467"/>
      <c r="B548" s="468"/>
      <c r="C548" s="469"/>
      <c r="D548" s="1027" t="s">
        <v>852</v>
      </c>
      <c r="E548" s="1025">
        <v>0.3</v>
      </c>
      <c r="F548" s="1025">
        <v>0.3</v>
      </c>
      <c r="G548" s="1025">
        <v>0.3</v>
      </c>
      <c r="H548" s="5"/>
      <c r="I548" s="5"/>
      <c r="J548" s="5"/>
      <c r="K548" s="5"/>
      <c r="L548" s="5"/>
      <c r="M548" s="5"/>
      <c r="N548" s="5"/>
      <c r="O548" s="5"/>
      <c r="P548" s="5"/>
      <c r="Q548" s="5"/>
      <c r="R548" s="5"/>
      <c r="S548" s="5"/>
      <c r="T548" s="5"/>
      <c r="U548" s="5"/>
      <c r="V548" s="5"/>
      <c r="W548" s="5"/>
      <c r="X548" s="5"/>
      <c r="Y548" s="5"/>
    </row>
    <row r="549" spans="1:25" ht="12.75" customHeight="1" x14ac:dyDescent="0.25">
      <c r="A549" s="467"/>
      <c r="B549" s="468"/>
      <c r="C549" s="469"/>
      <c r="D549" s="408"/>
      <c r="E549" s="408"/>
      <c r="F549" s="408"/>
      <c r="G549" s="408"/>
      <c r="H549" s="5"/>
      <c r="I549" s="5"/>
      <c r="J549" s="5"/>
      <c r="K549" s="5"/>
      <c r="L549" s="5"/>
      <c r="M549" s="5"/>
      <c r="N549" s="5"/>
      <c r="O549" s="5"/>
      <c r="P549" s="5"/>
      <c r="Q549" s="5"/>
      <c r="R549" s="5"/>
      <c r="S549" s="5"/>
      <c r="T549" s="5"/>
      <c r="U549" s="5"/>
      <c r="V549" s="5"/>
      <c r="W549" s="5"/>
      <c r="X549" s="5"/>
      <c r="Y549" s="5"/>
    </row>
    <row r="550" spans="1:25" ht="12.75" customHeight="1" x14ac:dyDescent="0.25">
      <c r="A550" s="467"/>
      <c r="B550" s="468"/>
      <c r="C550" s="469"/>
      <c r="D550" s="1041" t="s">
        <v>177</v>
      </c>
      <c r="E550" s="1037">
        <f t="shared" ref="E550:G550" si="4">+(E542+E544+E544)*E546*E548</f>
        <v>22.518000000000004</v>
      </c>
      <c r="F550" s="1037">
        <f t="shared" si="4"/>
        <v>30.033000000000001</v>
      </c>
      <c r="G550" s="1037">
        <f t="shared" si="4"/>
        <v>9</v>
      </c>
      <c r="H550" s="5"/>
      <c r="I550" s="5"/>
      <c r="J550" s="5"/>
      <c r="K550" s="5"/>
      <c r="L550" s="5"/>
      <c r="M550" s="5"/>
      <c r="N550" s="5"/>
      <c r="O550" s="5"/>
      <c r="P550" s="5"/>
      <c r="Q550" s="5"/>
      <c r="R550" s="5"/>
      <c r="S550" s="5"/>
      <c r="T550" s="5"/>
      <c r="U550" s="5"/>
      <c r="V550" s="5"/>
      <c r="W550" s="5"/>
      <c r="X550" s="5"/>
      <c r="Y550" s="5"/>
    </row>
    <row r="551" spans="1:25" ht="12.75" customHeight="1" x14ac:dyDescent="0.25">
      <c r="A551" s="412"/>
      <c r="B551" s="413"/>
      <c r="C551" s="414"/>
      <c r="D551" s="408"/>
      <c r="E551" s="408"/>
      <c r="F551" s="408"/>
      <c r="G551" s="408"/>
      <c r="H551" s="5"/>
      <c r="I551" s="5"/>
      <c r="J551" s="5"/>
      <c r="K551" s="5"/>
      <c r="L551" s="5"/>
      <c r="M551" s="5"/>
      <c r="N551" s="5"/>
      <c r="O551" s="5"/>
      <c r="P551" s="5"/>
      <c r="Q551" s="5"/>
      <c r="R551" s="5"/>
      <c r="S551" s="5"/>
      <c r="T551" s="5"/>
      <c r="U551" s="5"/>
      <c r="V551" s="5"/>
      <c r="W551" s="5"/>
      <c r="X551" s="5"/>
      <c r="Y551" s="5"/>
    </row>
    <row r="552" spans="1:25" ht="12.7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row>
    <row r="553" spans="1:25" ht="12.7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row>
    <row r="554" spans="1:25" ht="12.75" customHeight="1" x14ac:dyDescent="0.25">
      <c r="A554" s="872" t="s">
        <v>855</v>
      </c>
      <c r="B554" s="418"/>
      <c r="C554" s="418"/>
      <c r="D554" s="416"/>
      <c r="E554" s="5"/>
      <c r="F554" s="5"/>
      <c r="G554" s="5"/>
      <c r="H554" s="5"/>
      <c r="I554" s="5"/>
      <c r="J554" s="5"/>
      <c r="K554" s="5"/>
      <c r="L554" s="5"/>
      <c r="M554" s="5"/>
      <c r="N554" s="5"/>
      <c r="O554" s="5"/>
      <c r="P554" s="5"/>
      <c r="Q554" s="5"/>
      <c r="R554" s="5"/>
      <c r="S554" s="5"/>
      <c r="T554" s="5"/>
      <c r="U554" s="5"/>
      <c r="V554" s="5"/>
      <c r="W554" s="5"/>
      <c r="X554" s="5"/>
      <c r="Y554" s="5"/>
    </row>
    <row r="555" spans="1:25" ht="12.75" customHeight="1" x14ac:dyDescent="0.25">
      <c r="A555" s="1038" t="s">
        <v>856</v>
      </c>
      <c r="B555" s="416"/>
      <c r="C555" s="86">
        <f>+SUM(D571:K571)</f>
        <v>804.56880000000001</v>
      </c>
      <c r="D555" s="1039">
        <f>+SUM(C555:C558)</f>
        <v>11988.4686</v>
      </c>
      <c r="E555" s="5"/>
      <c r="F555" s="5"/>
      <c r="G555" s="5"/>
      <c r="H555" s="5"/>
      <c r="I555" s="5"/>
      <c r="J555" s="5"/>
      <c r="K555" s="5"/>
      <c r="L555" s="5"/>
      <c r="M555" s="5"/>
      <c r="N555" s="5"/>
      <c r="O555" s="5"/>
      <c r="P555" s="5"/>
      <c r="Q555" s="5"/>
      <c r="R555" s="5"/>
      <c r="S555" s="5"/>
      <c r="T555" s="5"/>
      <c r="U555" s="5"/>
      <c r="V555" s="5"/>
      <c r="W555" s="5"/>
      <c r="X555" s="5"/>
      <c r="Y555" s="5"/>
    </row>
    <row r="556" spans="1:25" ht="12.75" customHeight="1" x14ac:dyDescent="0.25">
      <c r="A556" s="1038" t="s">
        <v>857</v>
      </c>
      <c r="B556" s="416"/>
      <c r="C556" s="86">
        <f>+SUM(C584:K584)</f>
        <v>1327.9667999999999</v>
      </c>
      <c r="D556" s="1024"/>
      <c r="E556" s="5"/>
      <c r="F556" s="5"/>
      <c r="G556" s="5"/>
      <c r="H556" s="5"/>
      <c r="I556" s="5"/>
      <c r="J556" s="5"/>
      <c r="K556" s="5"/>
      <c r="L556" s="5"/>
      <c r="M556" s="5"/>
      <c r="N556" s="5"/>
      <c r="O556" s="5"/>
      <c r="P556" s="5"/>
      <c r="Q556" s="5"/>
      <c r="R556" s="5"/>
      <c r="S556" s="5"/>
      <c r="T556" s="5"/>
      <c r="U556" s="5"/>
      <c r="V556" s="5"/>
      <c r="W556" s="5"/>
      <c r="X556" s="5"/>
      <c r="Y556" s="5"/>
    </row>
    <row r="557" spans="1:25" ht="12.75" customHeight="1" x14ac:dyDescent="0.25">
      <c r="A557" s="1038" t="s">
        <v>858</v>
      </c>
      <c r="B557" s="416"/>
      <c r="C557" s="86">
        <f>+SUM(D597:K597)</f>
        <v>7169.06</v>
      </c>
      <c r="D557" s="1024"/>
      <c r="E557" s="5"/>
      <c r="F557" s="5"/>
      <c r="G557" s="5"/>
      <c r="H557" s="5"/>
      <c r="I557" s="5"/>
      <c r="J557" s="5"/>
      <c r="K557" s="5"/>
      <c r="L557" s="5"/>
      <c r="M557" s="5"/>
      <c r="N557" s="5"/>
      <c r="O557" s="5"/>
      <c r="P557" s="5"/>
      <c r="Q557" s="5"/>
      <c r="R557" s="5"/>
      <c r="S557" s="5"/>
      <c r="T557" s="5"/>
      <c r="U557" s="5"/>
      <c r="V557" s="5"/>
      <c r="W557" s="5"/>
      <c r="X557" s="5"/>
      <c r="Y557" s="5"/>
    </row>
    <row r="558" spans="1:25" ht="12.75" customHeight="1" x14ac:dyDescent="0.25">
      <c r="A558" s="1038" t="s">
        <v>859</v>
      </c>
      <c r="B558" s="416"/>
      <c r="C558" s="86">
        <f>+SUM(C609:K609)</f>
        <v>2686.8730000000005</v>
      </c>
      <c r="D558" s="408"/>
      <c r="E558" s="5"/>
      <c r="F558" s="5"/>
      <c r="G558" s="5"/>
      <c r="H558" s="5"/>
      <c r="I558" s="5"/>
      <c r="J558" s="5"/>
      <c r="K558" s="5"/>
      <c r="L558" s="5"/>
      <c r="M558" s="5"/>
      <c r="N558" s="5"/>
      <c r="O558" s="5"/>
      <c r="P558" s="5"/>
      <c r="Q558" s="5"/>
      <c r="R558" s="5"/>
      <c r="S558" s="5"/>
      <c r="T558" s="5"/>
      <c r="U558" s="5"/>
      <c r="V558" s="5"/>
      <c r="W558" s="5"/>
      <c r="X558" s="5"/>
      <c r="Y558" s="5"/>
    </row>
    <row r="559" spans="1:25" ht="12.7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row>
    <row r="560" spans="1:25" ht="12.7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row>
    <row r="561" spans="1:25" ht="12.75" customHeight="1" x14ac:dyDescent="0.25">
      <c r="A561" s="5"/>
      <c r="B561" s="5"/>
      <c r="C561" s="470" t="s">
        <v>860</v>
      </c>
      <c r="D561" s="418"/>
      <c r="E561" s="418"/>
      <c r="F561" s="418"/>
      <c r="G561" s="418"/>
      <c r="H561" s="418"/>
      <c r="I561" s="418"/>
      <c r="J561" s="418"/>
      <c r="K561" s="416"/>
      <c r="L561" s="5"/>
      <c r="M561" s="5"/>
      <c r="N561" s="5"/>
      <c r="O561" s="5"/>
      <c r="P561" s="5"/>
      <c r="Q561" s="5"/>
      <c r="R561" s="5"/>
      <c r="S561" s="5"/>
      <c r="T561" s="5"/>
      <c r="U561" s="5"/>
      <c r="V561" s="5"/>
      <c r="W561" s="5"/>
      <c r="X561" s="5"/>
      <c r="Y561" s="5"/>
    </row>
    <row r="562" spans="1:25" ht="12.75" customHeight="1" x14ac:dyDescent="0.25">
      <c r="A562" s="5"/>
      <c r="B562" s="5"/>
      <c r="C562" s="76"/>
      <c r="D562" s="872" t="s">
        <v>861</v>
      </c>
      <c r="E562" s="416"/>
      <c r="F562" s="872" t="s">
        <v>862</v>
      </c>
      <c r="G562" s="416"/>
      <c r="H562" s="872" t="s">
        <v>863</v>
      </c>
      <c r="I562" s="416"/>
      <c r="J562" s="872" t="s">
        <v>864</v>
      </c>
      <c r="K562" s="416"/>
      <c r="L562" s="5"/>
      <c r="M562" s="5"/>
      <c r="N562" s="5"/>
      <c r="O562" s="5"/>
      <c r="P562" s="5"/>
      <c r="Q562" s="5"/>
      <c r="R562" s="5"/>
      <c r="S562" s="5"/>
      <c r="T562" s="5"/>
      <c r="U562" s="5"/>
      <c r="V562" s="5"/>
      <c r="W562" s="5"/>
      <c r="X562" s="5"/>
      <c r="Y562" s="5"/>
    </row>
    <row r="563" spans="1:25" ht="12.75" customHeight="1" x14ac:dyDescent="0.25">
      <c r="A563" s="5"/>
      <c r="B563" s="5"/>
      <c r="C563" s="76"/>
      <c r="D563" s="87">
        <v>1</v>
      </c>
      <c r="E563" s="87">
        <v>2</v>
      </c>
      <c r="F563" s="87">
        <v>1</v>
      </c>
      <c r="G563" s="87">
        <v>2</v>
      </c>
      <c r="H563" s="87" t="s">
        <v>865</v>
      </c>
      <c r="I563" s="87" t="s">
        <v>866</v>
      </c>
      <c r="J563" s="87" t="s">
        <v>865</v>
      </c>
      <c r="K563" s="87" t="s">
        <v>866</v>
      </c>
      <c r="L563" s="5"/>
      <c r="M563" s="5"/>
      <c r="N563" s="5"/>
      <c r="O563" s="5"/>
      <c r="P563" s="5"/>
      <c r="Q563" s="5"/>
      <c r="R563" s="5"/>
      <c r="S563" s="5"/>
      <c r="T563" s="5"/>
      <c r="U563" s="5"/>
      <c r="V563" s="5"/>
      <c r="W563" s="5"/>
      <c r="X563" s="5"/>
      <c r="Y563" s="5"/>
    </row>
    <row r="564" spans="1:25" ht="12.75" customHeight="1" x14ac:dyDescent="0.25">
      <c r="A564" s="5"/>
      <c r="B564" s="5"/>
      <c r="C564" s="76" t="s">
        <v>867</v>
      </c>
      <c r="D564" s="2">
        <v>0.2</v>
      </c>
      <c r="E564" s="2">
        <v>0.2</v>
      </c>
      <c r="F564" s="2">
        <v>0.2</v>
      </c>
      <c r="G564" s="2">
        <v>0.2</v>
      </c>
      <c r="H564" s="2">
        <v>0.2</v>
      </c>
      <c r="I564" s="2">
        <v>0.2</v>
      </c>
      <c r="J564" s="2">
        <v>0.2</v>
      </c>
      <c r="K564" s="2">
        <v>0.2</v>
      </c>
      <c r="L564" s="5"/>
      <c r="M564" s="5"/>
      <c r="N564" s="5"/>
      <c r="O564" s="5"/>
      <c r="P564" s="5"/>
      <c r="Q564" s="5"/>
      <c r="R564" s="5"/>
      <c r="S564" s="5"/>
      <c r="T564" s="5"/>
      <c r="U564" s="5"/>
      <c r="V564" s="5"/>
      <c r="W564" s="5"/>
      <c r="X564" s="5"/>
      <c r="Y564" s="5"/>
    </row>
    <row r="565" spans="1:25" ht="12.75" customHeight="1" x14ac:dyDescent="0.25">
      <c r="A565" s="5"/>
      <c r="B565" s="5"/>
      <c r="C565" s="76" t="s">
        <v>868</v>
      </c>
      <c r="D565" s="2">
        <v>1.4</v>
      </c>
      <c r="E565" s="2">
        <v>1.9</v>
      </c>
      <c r="F565" s="2">
        <v>3.5</v>
      </c>
      <c r="G565" s="2">
        <v>1.9</v>
      </c>
      <c r="H565" s="2">
        <v>1.9</v>
      </c>
      <c r="I565" s="2">
        <v>3.5</v>
      </c>
      <c r="J565" s="2">
        <v>1.9</v>
      </c>
      <c r="K565" s="2">
        <v>3.5</v>
      </c>
      <c r="L565" s="5"/>
      <c r="M565" s="5"/>
      <c r="N565" s="5"/>
      <c r="O565" s="5"/>
      <c r="P565" s="5"/>
      <c r="Q565" s="5"/>
      <c r="R565" s="5"/>
      <c r="S565" s="5"/>
      <c r="T565" s="5"/>
      <c r="U565" s="5"/>
      <c r="V565" s="5"/>
      <c r="W565" s="5"/>
      <c r="X565" s="5"/>
      <c r="Y565" s="5"/>
    </row>
    <row r="566" spans="1:25" ht="12.75" customHeight="1" x14ac:dyDescent="0.25">
      <c r="A566" s="5"/>
      <c r="B566" s="5"/>
      <c r="C566" s="76" t="s">
        <v>869</v>
      </c>
      <c r="D566" s="2">
        <f t="shared" ref="D566:K566" si="5">+(D565/D564)+1</f>
        <v>7.9999999999999991</v>
      </c>
      <c r="E566" s="2">
        <f t="shared" si="5"/>
        <v>10.499999999999998</v>
      </c>
      <c r="F566" s="2">
        <f t="shared" si="5"/>
        <v>18.5</v>
      </c>
      <c r="G566" s="2">
        <f t="shared" si="5"/>
        <v>10.499999999999998</v>
      </c>
      <c r="H566" s="2">
        <f t="shared" si="5"/>
        <v>10.499999999999998</v>
      </c>
      <c r="I566" s="2">
        <f t="shared" si="5"/>
        <v>18.5</v>
      </c>
      <c r="J566" s="2">
        <f t="shared" si="5"/>
        <v>10.499999999999998</v>
      </c>
      <c r="K566" s="2">
        <f t="shared" si="5"/>
        <v>18.5</v>
      </c>
      <c r="L566" s="5"/>
      <c r="M566" s="5"/>
      <c r="N566" s="5"/>
      <c r="O566" s="5"/>
      <c r="P566" s="5"/>
      <c r="Q566" s="5"/>
      <c r="R566" s="5"/>
      <c r="S566" s="5"/>
      <c r="T566" s="5"/>
      <c r="U566" s="5"/>
      <c r="V566" s="5"/>
      <c r="W566" s="5"/>
      <c r="X566" s="5"/>
      <c r="Y566" s="5"/>
    </row>
    <row r="567" spans="1:25" ht="12.75" customHeight="1" x14ac:dyDescent="0.25">
      <c r="A567" s="5"/>
      <c r="B567" s="5"/>
      <c r="C567" s="76" t="s">
        <v>870</v>
      </c>
      <c r="D567" s="2">
        <v>2.6</v>
      </c>
      <c r="E567" s="2">
        <v>2.2000000000000002</v>
      </c>
      <c r="F567" s="2">
        <v>2.6</v>
      </c>
      <c r="G567" s="2">
        <v>3.8</v>
      </c>
      <c r="H567" s="2">
        <v>2.2000000000000002</v>
      </c>
      <c r="I567" s="2">
        <v>3.8</v>
      </c>
      <c r="J567" s="2">
        <v>2.2000000000000002</v>
      </c>
      <c r="K567" s="2">
        <v>3.8</v>
      </c>
      <c r="L567" s="5"/>
      <c r="M567" s="5"/>
      <c r="N567" s="5"/>
      <c r="O567" s="5"/>
      <c r="P567" s="5"/>
      <c r="Q567" s="5"/>
      <c r="R567" s="5"/>
      <c r="S567" s="5"/>
      <c r="T567" s="5"/>
      <c r="U567" s="5"/>
      <c r="V567" s="5"/>
      <c r="W567" s="5"/>
      <c r="X567" s="5"/>
      <c r="Y567" s="5"/>
    </row>
    <row r="568" spans="1:25" ht="12.75" customHeight="1" x14ac:dyDescent="0.25">
      <c r="A568" s="5"/>
      <c r="B568" s="5"/>
      <c r="C568" s="76" t="s">
        <v>871</v>
      </c>
      <c r="D568" s="2">
        <v>0.996</v>
      </c>
      <c r="E568" s="2">
        <v>0.996</v>
      </c>
      <c r="F568" s="2">
        <v>0.996</v>
      </c>
      <c r="G568" s="2">
        <v>0.996</v>
      </c>
      <c r="H568" s="2">
        <v>0.996</v>
      </c>
      <c r="I568" s="2">
        <v>0.996</v>
      </c>
      <c r="J568" s="2">
        <v>0.996</v>
      </c>
      <c r="K568" s="2">
        <v>0.996</v>
      </c>
      <c r="L568" s="5"/>
      <c r="M568" s="5"/>
      <c r="N568" s="5"/>
      <c r="O568" s="5"/>
      <c r="P568" s="5"/>
      <c r="Q568" s="5"/>
      <c r="R568" s="5"/>
      <c r="S568" s="5"/>
      <c r="T568" s="5"/>
      <c r="U568" s="5"/>
      <c r="V568" s="5"/>
      <c r="W568" s="5"/>
      <c r="X568" s="5"/>
      <c r="Y568" s="5"/>
    </row>
    <row r="569" spans="1:25" ht="12.75" customHeight="1" x14ac:dyDescent="0.25">
      <c r="A569" s="5"/>
      <c r="B569" s="5"/>
      <c r="C569" s="76" t="s">
        <v>872</v>
      </c>
      <c r="D569" s="2">
        <v>2</v>
      </c>
      <c r="E569" s="2">
        <v>2</v>
      </c>
      <c r="F569" s="2">
        <v>2</v>
      </c>
      <c r="G569" s="2">
        <v>2</v>
      </c>
      <c r="H569" s="2">
        <v>2</v>
      </c>
      <c r="I569" s="2">
        <v>2</v>
      </c>
      <c r="J569" s="2">
        <v>1</v>
      </c>
      <c r="K569" s="2">
        <v>1</v>
      </c>
      <c r="L569" s="5"/>
      <c r="M569" s="5"/>
      <c r="N569" s="5"/>
      <c r="O569" s="5"/>
      <c r="P569" s="5"/>
      <c r="Q569" s="5"/>
      <c r="R569" s="5"/>
      <c r="S569" s="5"/>
      <c r="T569" s="5"/>
      <c r="U569" s="5"/>
      <c r="V569" s="5"/>
      <c r="W569" s="5"/>
      <c r="X569" s="5"/>
      <c r="Y569" s="5"/>
    </row>
    <row r="570" spans="1:25" ht="12.75" customHeight="1" x14ac:dyDescent="0.25">
      <c r="A570" s="5"/>
      <c r="B570" s="5"/>
      <c r="C570" s="76" t="s">
        <v>184</v>
      </c>
      <c r="D570" s="2">
        <v>2</v>
      </c>
      <c r="E570" s="2">
        <v>2</v>
      </c>
      <c r="F570" s="2">
        <v>2</v>
      </c>
      <c r="G570" s="2">
        <v>2</v>
      </c>
      <c r="H570" s="2">
        <v>1</v>
      </c>
      <c r="I570" s="2">
        <v>1</v>
      </c>
      <c r="J570" s="2">
        <v>1</v>
      </c>
      <c r="K570" s="2">
        <v>1</v>
      </c>
      <c r="L570" s="5"/>
      <c r="M570" s="5"/>
      <c r="N570" s="5"/>
      <c r="O570" s="5"/>
      <c r="P570" s="5"/>
      <c r="Q570" s="5"/>
      <c r="R570" s="5"/>
      <c r="S570" s="5"/>
      <c r="T570" s="5"/>
      <c r="U570" s="5"/>
      <c r="V570" s="5"/>
      <c r="W570" s="5"/>
      <c r="X570" s="5"/>
      <c r="Y570" s="5"/>
    </row>
    <row r="571" spans="1:25" ht="12.75" customHeight="1" x14ac:dyDescent="0.25">
      <c r="A571" s="5"/>
      <c r="B571" s="5"/>
      <c r="C571" s="88" t="s">
        <v>873</v>
      </c>
      <c r="D571" s="2">
        <f t="shared" ref="D571:K571" si="6">+D566*D567*D568*D569*D570</f>
        <v>82.867199999999983</v>
      </c>
      <c r="E571" s="2">
        <f t="shared" si="6"/>
        <v>92.030399999999986</v>
      </c>
      <c r="F571" s="2">
        <f t="shared" si="6"/>
        <v>191.63040000000001</v>
      </c>
      <c r="G571" s="2">
        <f t="shared" si="6"/>
        <v>158.96159999999998</v>
      </c>
      <c r="H571" s="2">
        <f t="shared" si="6"/>
        <v>46.015199999999993</v>
      </c>
      <c r="I571" s="2">
        <f t="shared" si="6"/>
        <v>140.0376</v>
      </c>
      <c r="J571" s="2">
        <f t="shared" si="6"/>
        <v>23.007599999999996</v>
      </c>
      <c r="K571" s="2">
        <f t="shared" si="6"/>
        <v>70.018799999999999</v>
      </c>
      <c r="L571" s="5"/>
      <c r="M571" s="5"/>
      <c r="N571" s="5"/>
      <c r="O571" s="5"/>
      <c r="P571" s="5"/>
      <c r="Q571" s="5"/>
      <c r="R571" s="5"/>
      <c r="S571" s="5"/>
      <c r="T571" s="5"/>
      <c r="U571" s="5"/>
      <c r="V571" s="5"/>
      <c r="W571" s="5"/>
      <c r="X571" s="5"/>
      <c r="Y571" s="5"/>
    </row>
    <row r="572" spans="1:25" ht="12.7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row>
    <row r="573" spans="1:25" ht="12.7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row>
    <row r="574" spans="1:25" ht="12.75" customHeight="1" x14ac:dyDescent="0.25">
      <c r="A574" s="5"/>
      <c r="B574" s="470" t="s">
        <v>874</v>
      </c>
      <c r="C574" s="418"/>
      <c r="D574" s="418"/>
      <c r="E574" s="418"/>
      <c r="F574" s="418"/>
      <c r="G574" s="418"/>
      <c r="H574" s="418"/>
      <c r="I574" s="418"/>
      <c r="J574" s="418"/>
      <c r="K574" s="416"/>
      <c r="L574" s="5"/>
      <c r="M574" s="5"/>
      <c r="N574" s="5"/>
      <c r="O574" s="5"/>
      <c r="P574" s="5"/>
      <c r="Q574" s="5"/>
      <c r="R574" s="5"/>
      <c r="S574" s="5"/>
      <c r="T574" s="5"/>
      <c r="U574" s="5"/>
      <c r="V574" s="5"/>
      <c r="W574" s="5"/>
      <c r="X574" s="5"/>
      <c r="Y574" s="5"/>
    </row>
    <row r="575" spans="1:25" ht="12.75" customHeight="1" x14ac:dyDescent="0.25">
      <c r="A575" s="5"/>
      <c r="B575" s="76"/>
      <c r="C575" s="872" t="s">
        <v>861</v>
      </c>
      <c r="D575" s="416"/>
      <c r="E575" s="872" t="s">
        <v>862</v>
      </c>
      <c r="F575" s="418"/>
      <c r="G575" s="416"/>
      <c r="H575" s="872" t="s">
        <v>863</v>
      </c>
      <c r="I575" s="416"/>
      <c r="J575" s="872" t="s">
        <v>864</v>
      </c>
      <c r="K575" s="416"/>
      <c r="L575" s="5"/>
      <c r="M575" s="5"/>
      <c r="N575" s="5"/>
      <c r="O575" s="5"/>
      <c r="P575" s="5"/>
      <c r="Q575" s="5"/>
      <c r="R575" s="5"/>
      <c r="S575" s="5"/>
      <c r="T575" s="5"/>
      <c r="U575" s="5"/>
      <c r="V575" s="5"/>
      <c r="W575" s="5"/>
      <c r="X575" s="5"/>
      <c r="Y575" s="5"/>
    </row>
    <row r="576" spans="1:25" ht="12.75" customHeight="1" x14ac:dyDescent="0.25">
      <c r="A576" s="5"/>
      <c r="B576" s="76"/>
      <c r="C576" s="87">
        <v>1</v>
      </c>
      <c r="D576" s="87">
        <v>2</v>
      </c>
      <c r="E576" s="87">
        <v>1</v>
      </c>
      <c r="F576" s="87">
        <v>2</v>
      </c>
      <c r="G576" s="87">
        <v>3</v>
      </c>
      <c r="H576" s="87" t="s">
        <v>865</v>
      </c>
      <c r="I576" s="87" t="s">
        <v>866</v>
      </c>
      <c r="J576" s="87" t="s">
        <v>865</v>
      </c>
      <c r="K576" s="87" t="s">
        <v>866</v>
      </c>
      <c r="L576" s="5"/>
      <c r="M576" s="5"/>
      <c r="N576" s="5"/>
      <c r="O576" s="5"/>
      <c r="P576" s="5"/>
      <c r="Q576" s="5"/>
      <c r="R576" s="5"/>
      <c r="S576" s="5"/>
      <c r="T576" s="5"/>
      <c r="U576" s="5"/>
      <c r="V576" s="5"/>
      <c r="W576" s="5"/>
      <c r="X576" s="5"/>
      <c r="Y576" s="5"/>
    </row>
    <row r="577" spans="1:25" ht="12.75" customHeight="1" x14ac:dyDescent="0.25">
      <c r="A577" s="5"/>
      <c r="B577" s="76" t="s">
        <v>867</v>
      </c>
      <c r="C577" s="2">
        <v>0.2</v>
      </c>
      <c r="D577" s="2">
        <v>0.2</v>
      </c>
      <c r="E577" s="2">
        <v>0.2</v>
      </c>
      <c r="F577" s="2">
        <v>0.2</v>
      </c>
      <c r="G577" s="2">
        <v>0.2</v>
      </c>
      <c r="H577" s="2">
        <v>0.2</v>
      </c>
      <c r="I577" s="2">
        <v>0.2</v>
      </c>
      <c r="J577" s="2">
        <v>0.2</v>
      </c>
      <c r="K577" s="2">
        <v>0.2</v>
      </c>
      <c r="L577" s="5"/>
      <c r="M577" s="5"/>
      <c r="N577" s="5"/>
      <c r="O577" s="5"/>
      <c r="P577" s="5"/>
      <c r="Q577" s="5"/>
      <c r="R577" s="5"/>
      <c r="S577" s="5"/>
      <c r="T577" s="5"/>
      <c r="U577" s="5"/>
      <c r="V577" s="5"/>
      <c r="W577" s="5"/>
      <c r="X577" s="5"/>
      <c r="Y577" s="5"/>
    </row>
    <row r="578" spans="1:25" ht="12.75" customHeight="1" x14ac:dyDescent="0.25">
      <c r="A578" s="5"/>
      <c r="B578" s="76" t="s">
        <v>868</v>
      </c>
      <c r="C578" s="2">
        <v>2.7</v>
      </c>
      <c r="D578" s="2">
        <v>2.6</v>
      </c>
      <c r="E578" s="2">
        <v>4</v>
      </c>
      <c r="F578" s="2">
        <v>2.2999999999999998</v>
      </c>
      <c r="G578" s="2">
        <v>2.2999999999999998</v>
      </c>
      <c r="H578" s="2">
        <v>2.7</v>
      </c>
      <c r="I578" s="2">
        <v>4.5</v>
      </c>
      <c r="J578" s="2">
        <v>2.7</v>
      </c>
      <c r="K578" s="2">
        <v>4.5</v>
      </c>
      <c r="L578" s="5"/>
      <c r="M578" s="5"/>
      <c r="N578" s="5"/>
      <c r="O578" s="5"/>
      <c r="P578" s="5"/>
      <c r="Q578" s="5"/>
      <c r="R578" s="5"/>
      <c r="S578" s="5"/>
      <c r="T578" s="5"/>
      <c r="U578" s="5"/>
      <c r="V578" s="5"/>
      <c r="W578" s="5"/>
      <c r="X578" s="5"/>
      <c r="Y578" s="5"/>
    </row>
    <row r="579" spans="1:25" ht="12.75" customHeight="1" x14ac:dyDescent="0.25">
      <c r="A579" s="5"/>
      <c r="B579" s="76" t="s">
        <v>869</v>
      </c>
      <c r="C579" s="2">
        <f t="shared" ref="C579:K579" si="7">+(C578/C577)+1</f>
        <v>14.5</v>
      </c>
      <c r="D579" s="2">
        <f t="shared" si="7"/>
        <v>14</v>
      </c>
      <c r="E579" s="2">
        <f t="shared" si="7"/>
        <v>21</v>
      </c>
      <c r="F579" s="2">
        <f t="shared" si="7"/>
        <v>12.499999999999998</v>
      </c>
      <c r="G579" s="2">
        <f t="shared" si="7"/>
        <v>12.499999999999998</v>
      </c>
      <c r="H579" s="2">
        <f t="shared" si="7"/>
        <v>14.5</v>
      </c>
      <c r="I579" s="2">
        <f t="shared" si="7"/>
        <v>23.5</v>
      </c>
      <c r="J579" s="2">
        <f t="shared" si="7"/>
        <v>14.5</v>
      </c>
      <c r="K579" s="2">
        <f t="shared" si="7"/>
        <v>23.5</v>
      </c>
      <c r="L579" s="5"/>
      <c r="M579" s="5"/>
      <c r="N579" s="5"/>
      <c r="O579" s="5"/>
      <c r="P579" s="5"/>
      <c r="Q579" s="5"/>
      <c r="R579" s="5"/>
      <c r="S579" s="5"/>
      <c r="T579" s="5"/>
      <c r="U579" s="5"/>
      <c r="V579" s="5"/>
      <c r="W579" s="5"/>
      <c r="X579" s="5"/>
      <c r="Y579" s="5"/>
    </row>
    <row r="580" spans="1:25" ht="12.75" customHeight="1" x14ac:dyDescent="0.25">
      <c r="A580" s="5"/>
      <c r="B580" s="76" t="s">
        <v>870</v>
      </c>
      <c r="C580" s="2">
        <v>3.1</v>
      </c>
      <c r="D580" s="2">
        <v>3</v>
      </c>
      <c r="E580" s="2">
        <v>3.4</v>
      </c>
      <c r="F580" s="2">
        <v>4.8</v>
      </c>
      <c r="G580" s="2">
        <v>7.8</v>
      </c>
      <c r="H580" s="2">
        <v>3</v>
      </c>
      <c r="I580" s="2">
        <v>4.8</v>
      </c>
      <c r="J580" s="2">
        <v>3</v>
      </c>
      <c r="K580" s="2">
        <v>4.8</v>
      </c>
      <c r="L580" s="5"/>
      <c r="M580" s="5"/>
      <c r="N580" s="5"/>
      <c r="O580" s="5"/>
      <c r="P580" s="5"/>
      <c r="Q580" s="5"/>
      <c r="R580" s="5"/>
      <c r="S580" s="5"/>
      <c r="T580" s="5"/>
      <c r="U580" s="5"/>
      <c r="V580" s="5"/>
      <c r="W580" s="5"/>
      <c r="X580" s="5"/>
      <c r="Y580" s="5"/>
    </row>
    <row r="581" spans="1:25" ht="12.75" customHeight="1" x14ac:dyDescent="0.25">
      <c r="A581" s="5"/>
      <c r="B581" s="76" t="s">
        <v>871</v>
      </c>
      <c r="C581" s="2">
        <v>0.996</v>
      </c>
      <c r="D581" s="2">
        <v>0.996</v>
      </c>
      <c r="E581" s="2">
        <v>0.996</v>
      </c>
      <c r="F581" s="2">
        <v>0.996</v>
      </c>
      <c r="G581" s="2">
        <v>0.996</v>
      </c>
      <c r="H581" s="2">
        <v>0.996</v>
      </c>
      <c r="I581" s="2">
        <v>0.996</v>
      </c>
      <c r="J581" s="2">
        <v>0.996</v>
      </c>
      <c r="K581" s="2">
        <v>0.996</v>
      </c>
      <c r="L581" s="5"/>
      <c r="M581" s="5"/>
      <c r="N581" s="5"/>
      <c r="O581" s="5"/>
      <c r="P581" s="5"/>
      <c r="Q581" s="5"/>
      <c r="R581" s="5"/>
      <c r="S581" s="5"/>
      <c r="T581" s="5"/>
      <c r="U581" s="5"/>
      <c r="V581" s="5"/>
      <c r="W581" s="5"/>
      <c r="X581" s="5"/>
      <c r="Y581" s="5"/>
    </row>
    <row r="582" spans="1:25" ht="12.75" customHeight="1" x14ac:dyDescent="0.25">
      <c r="A582" s="5"/>
      <c r="B582" s="76" t="s">
        <v>872</v>
      </c>
      <c r="C582" s="2">
        <v>2</v>
      </c>
      <c r="D582" s="2">
        <v>1</v>
      </c>
      <c r="E582" s="2">
        <v>2</v>
      </c>
      <c r="F582" s="2">
        <v>1</v>
      </c>
      <c r="G582" s="2">
        <v>1</v>
      </c>
      <c r="H582" s="2">
        <v>1</v>
      </c>
      <c r="I582" s="2">
        <v>2</v>
      </c>
      <c r="J582" s="2">
        <v>1</v>
      </c>
      <c r="K582" s="2">
        <v>1</v>
      </c>
      <c r="L582" s="5"/>
      <c r="M582" s="5"/>
      <c r="N582" s="5"/>
      <c r="O582" s="5"/>
      <c r="P582" s="5"/>
      <c r="Q582" s="5"/>
      <c r="R582" s="5"/>
      <c r="S582" s="5"/>
      <c r="T582" s="5"/>
      <c r="U582" s="5"/>
      <c r="V582" s="5"/>
      <c r="W582" s="5"/>
      <c r="X582" s="5"/>
      <c r="Y582" s="5"/>
    </row>
    <row r="583" spans="1:25" ht="12.75" customHeight="1" x14ac:dyDescent="0.25">
      <c r="A583" s="5"/>
      <c r="B583" s="76" t="s">
        <v>184</v>
      </c>
      <c r="C583" s="2">
        <v>2</v>
      </c>
      <c r="D583" s="2">
        <v>2</v>
      </c>
      <c r="E583" s="2">
        <v>2</v>
      </c>
      <c r="F583" s="2">
        <v>2</v>
      </c>
      <c r="G583" s="2">
        <v>2</v>
      </c>
      <c r="H583" s="2">
        <v>2</v>
      </c>
      <c r="I583" s="2">
        <v>1</v>
      </c>
      <c r="J583" s="2">
        <v>1</v>
      </c>
      <c r="K583" s="2">
        <v>1</v>
      </c>
      <c r="L583" s="5"/>
      <c r="M583" s="5"/>
      <c r="N583" s="5"/>
      <c r="O583" s="5"/>
      <c r="P583" s="5"/>
      <c r="Q583" s="5"/>
      <c r="R583" s="5"/>
      <c r="S583" s="5"/>
      <c r="T583" s="5"/>
      <c r="U583" s="5"/>
      <c r="V583" s="5"/>
      <c r="W583" s="5"/>
      <c r="X583" s="5"/>
      <c r="Y583" s="5"/>
    </row>
    <row r="584" spans="1:25" ht="12.75" customHeight="1" x14ac:dyDescent="0.25">
      <c r="A584" s="5"/>
      <c r="B584" s="88" t="s">
        <v>873</v>
      </c>
      <c r="C584" s="2">
        <f t="shared" ref="C584:K584" si="8">+C579*C580*C581*C582*C583</f>
        <v>179.08080000000001</v>
      </c>
      <c r="D584" s="2">
        <f t="shared" si="8"/>
        <v>83.664000000000001</v>
      </c>
      <c r="E584" s="2">
        <f t="shared" si="8"/>
        <v>284.45759999999996</v>
      </c>
      <c r="F584" s="2">
        <f t="shared" si="8"/>
        <v>119.51999999999997</v>
      </c>
      <c r="G584" s="2">
        <f t="shared" si="8"/>
        <v>194.21999999999997</v>
      </c>
      <c r="H584" s="2">
        <f t="shared" si="8"/>
        <v>86.652000000000001</v>
      </c>
      <c r="I584" s="2">
        <f t="shared" si="8"/>
        <v>224.69759999999999</v>
      </c>
      <c r="J584" s="2">
        <f t="shared" si="8"/>
        <v>43.326000000000001</v>
      </c>
      <c r="K584" s="2">
        <f t="shared" si="8"/>
        <v>112.3488</v>
      </c>
      <c r="L584" s="5"/>
      <c r="M584" s="5"/>
      <c r="N584" s="5"/>
      <c r="O584" s="5"/>
      <c r="P584" s="5"/>
      <c r="Q584" s="5"/>
      <c r="R584" s="5"/>
      <c r="S584" s="5"/>
      <c r="T584" s="5"/>
      <c r="U584" s="5"/>
      <c r="V584" s="5"/>
      <c r="W584" s="5"/>
      <c r="X584" s="5"/>
      <c r="Y584" s="5"/>
    </row>
    <row r="585" spans="1:25" ht="12.7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row>
    <row r="586" spans="1:25" ht="12.7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row>
    <row r="587" spans="1:25" ht="12.75" customHeight="1" x14ac:dyDescent="0.25">
      <c r="A587" s="5"/>
      <c r="B587" s="5"/>
      <c r="C587" s="470" t="s">
        <v>875</v>
      </c>
      <c r="D587" s="418"/>
      <c r="E587" s="418"/>
      <c r="F587" s="418"/>
      <c r="G587" s="418"/>
      <c r="H587" s="418"/>
      <c r="I587" s="418"/>
      <c r="J587" s="418"/>
      <c r="K587" s="416"/>
      <c r="L587" s="5"/>
      <c r="M587" s="5"/>
      <c r="N587" s="5"/>
      <c r="O587" s="5"/>
      <c r="P587" s="5"/>
      <c r="Q587" s="5"/>
      <c r="R587" s="5"/>
      <c r="S587" s="5"/>
      <c r="T587" s="5"/>
      <c r="U587" s="5"/>
      <c r="V587" s="5"/>
      <c r="W587" s="5"/>
      <c r="X587" s="5"/>
      <c r="Y587" s="5"/>
    </row>
    <row r="588" spans="1:25" ht="12.75" customHeight="1" x14ac:dyDescent="0.25">
      <c r="A588" s="5"/>
      <c r="B588" s="5"/>
      <c r="C588" s="76"/>
      <c r="D588" s="855" t="s">
        <v>861</v>
      </c>
      <c r="E588" s="428"/>
      <c r="F588" s="856"/>
      <c r="G588" s="872" t="s">
        <v>862</v>
      </c>
      <c r="H588" s="418"/>
      <c r="I588" s="416"/>
      <c r="J588" s="872" t="s">
        <v>863</v>
      </c>
      <c r="K588" s="416"/>
      <c r="L588" s="5"/>
      <c r="M588" s="5"/>
      <c r="N588" s="5"/>
      <c r="O588" s="5"/>
      <c r="P588" s="5"/>
      <c r="Q588" s="5"/>
      <c r="R588" s="5"/>
      <c r="S588" s="5"/>
      <c r="T588" s="5"/>
      <c r="U588" s="5"/>
      <c r="V588" s="5"/>
      <c r="W588" s="5"/>
      <c r="X588" s="5"/>
      <c r="Y588" s="5"/>
    </row>
    <row r="589" spans="1:25" ht="12.75" customHeight="1" x14ac:dyDescent="0.25">
      <c r="A589" s="5"/>
      <c r="B589" s="5"/>
      <c r="C589" s="76"/>
      <c r="D589" s="87">
        <v>1</v>
      </c>
      <c r="E589" s="87">
        <v>2</v>
      </c>
      <c r="F589" s="87">
        <v>3</v>
      </c>
      <c r="G589" s="87">
        <v>1</v>
      </c>
      <c r="H589" s="87">
        <v>2</v>
      </c>
      <c r="I589" s="87">
        <v>3</v>
      </c>
      <c r="J589" s="87" t="s">
        <v>865</v>
      </c>
      <c r="K589" s="87" t="s">
        <v>866</v>
      </c>
      <c r="L589" s="5"/>
      <c r="M589" s="5"/>
      <c r="N589" s="5"/>
      <c r="O589" s="5"/>
      <c r="P589" s="5"/>
      <c r="Q589" s="5"/>
      <c r="R589" s="5"/>
      <c r="S589" s="5"/>
      <c r="T589" s="5"/>
      <c r="U589" s="5"/>
      <c r="V589" s="5"/>
      <c r="W589" s="5"/>
      <c r="X589" s="5"/>
      <c r="Y589" s="5"/>
    </row>
    <row r="590" spans="1:25" ht="12.75" customHeight="1" x14ac:dyDescent="0.25">
      <c r="A590" s="5"/>
      <c r="B590" s="5"/>
      <c r="C590" s="76" t="s">
        <v>867</v>
      </c>
      <c r="D590" s="2">
        <v>0.2</v>
      </c>
      <c r="E590" s="2">
        <v>0.2</v>
      </c>
      <c r="F590" s="2">
        <v>0.2</v>
      </c>
      <c r="G590" s="2">
        <v>0.2</v>
      </c>
      <c r="H590" s="2">
        <v>0.2</v>
      </c>
      <c r="I590" s="2">
        <v>0.2</v>
      </c>
      <c r="J590" s="2">
        <v>0.2</v>
      </c>
      <c r="K590" s="2">
        <v>0.2</v>
      </c>
      <c r="L590" s="5"/>
      <c r="M590" s="5"/>
      <c r="N590" s="5"/>
      <c r="O590" s="5"/>
      <c r="P590" s="5"/>
      <c r="Q590" s="5"/>
      <c r="R590" s="5"/>
      <c r="S590" s="5"/>
      <c r="T590" s="5"/>
      <c r="U590" s="5"/>
      <c r="V590" s="5"/>
      <c r="W590" s="5"/>
      <c r="X590" s="5"/>
      <c r="Y590" s="5"/>
    </row>
    <row r="591" spans="1:25" ht="12.75" customHeight="1" x14ac:dyDescent="0.25">
      <c r="A591" s="5"/>
      <c r="B591" s="5"/>
      <c r="C591" s="76" t="s">
        <v>868</v>
      </c>
      <c r="D591" s="2">
        <v>2.2999999999999998</v>
      </c>
      <c r="E591" s="2">
        <v>5.4</v>
      </c>
      <c r="F591" s="2">
        <v>5.4</v>
      </c>
      <c r="G591" s="2">
        <v>8.8000000000000007</v>
      </c>
      <c r="H591" s="2">
        <v>5.4</v>
      </c>
      <c r="I591" s="2">
        <v>5.4</v>
      </c>
      <c r="J591" s="2">
        <v>8.8000000000000007</v>
      </c>
      <c r="K591" s="2">
        <v>8.8000000000000007</v>
      </c>
      <c r="L591" s="5"/>
      <c r="M591" s="5"/>
      <c r="N591" s="5"/>
      <c r="O591" s="5"/>
      <c r="P591" s="5"/>
      <c r="Q591" s="5"/>
      <c r="R591" s="5"/>
      <c r="S591" s="5"/>
      <c r="T591" s="5"/>
      <c r="U591" s="5"/>
      <c r="V591" s="5"/>
      <c r="W591" s="5"/>
      <c r="X591" s="5"/>
      <c r="Y591" s="5"/>
    </row>
    <row r="592" spans="1:25" ht="12.75" customHeight="1" x14ac:dyDescent="0.25">
      <c r="A592" s="5"/>
      <c r="B592" s="5"/>
      <c r="C592" s="76" t="s">
        <v>869</v>
      </c>
      <c r="D592" s="2">
        <f t="shared" ref="D592:K592" si="9">+(D591/D590)+1</f>
        <v>12.499999999999998</v>
      </c>
      <c r="E592" s="2">
        <f t="shared" si="9"/>
        <v>28</v>
      </c>
      <c r="F592" s="2">
        <f t="shared" si="9"/>
        <v>28</v>
      </c>
      <c r="G592" s="2">
        <f t="shared" si="9"/>
        <v>45</v>
      </c>
      <c r="H592" s="2">
        <f t="shared" si="9"/>
        <v>28</v>
      </c>
      <c r="I592" s="2">
        <f t="shared" si="9"/>
        <v>28</v>
      </c>
      <c r="J592" s="2">
        <f t="shared" si="9"/>
        <v>45</v>
      </c>
      <c r="K592" s="2">
        <f t="shared" si="9"/>
        <v>45</v>
      </c>
      <c r="L592" s="5"/>
      <c r="M592" s="5"/>
      <c r="N592" s="5"/>
      <c r="O592" s="5"/>
      <c r="P592" s="5"/>
      <c r="Q592" s="5"/>
      <c r="R592" s="5"/>
      <c r="S592" s="5"/>
      <c r="T592" s="5"/>
      <c r="U592" s="5"/>
      <c r="V592" s="5"/>
      <c r="W592" s="5"/>
      <c r="X592" s="5"/>
      <c r="Y592" s="5"/>
    </row>
    <row r="593" spans="1:25" ht="12.75" customHeight="1" x14ac:dyDescent="0.25">
      <c r="A593" s="5"/>
      <c r="B593" s="5"/>
      <c r="C593" s="76" t="s">
        <v>870</v>
      </c>
      <c r="D593" s="2">
        <v>6.2</v>
      </c>
      <c r="E593" s="2">
        <v>7</v>
      </c>
      <c r="F593" s="2">
        <v>9.1</v>
      </c>
      <c r="G593" s="2">
        <v>6.2</v>
      </c>
      <c r="H593" s="2">
        <v>12</v>
      </c>
      <c r="I593" s="2">
        <v>9.1</v>
      </c>
      <c r="J593" s="2">
        <v>9.5</v>
      </c>
      <c r="K593" s="2">
        <v>9.1</v>
      </c>
      <c r="L593" s="5"/>
      <c r="M593" s="5"/>
      <c r="N593" s="5"/>
      <c r="O593" s="5"/>
      <c r="P593" s="5"/>
      <c r="Q593" s="5"/>
      <c r="R593" s="5"/>
      <c r="S593" s="5"/>
      <c r="T593" s="5"/>
      <c r="U593" s="5"/>
      <c r="V593" s="5"/>
      <c r="W593" s="5"/>
      <c r="X593" s="5"/>
      <c r="Y593" s="5"/>
    </row>
    <row r="594" spans="1:25" ht="12.75" customHeight="1" x14ac:dyDescent="0.25">
      <c r="A594" s="5"/>
      <c r="B594" s="5"/>
      <c r="C594" s="76" t="s">
        <v>871</v>
      </c>
      <c r="D594" s="2">
        <v>1.55</v>
      </c>
      <c r="E594" s="2">
        <v>1.55</v>
      </c>
      <c r="F594" s="2">
        <v>1.55</v>
      </c>
      <c r="G594" s="2">
        <v>1.55</v>
      </c>
      <c r="H594" s="2">
        <v>1.55</v>
      </c>
      <c r="I594" s="2">
        <v>1.55</v>
      </c>
      <c r="J594" s="2">
        <v>1.55</v>
      </c>
      <c r="K594" s="2">
        <v>1.55</v>
      </c>
      <c r="L594" s="5"/>
      <c r="M594" s="5"/>
      <c r="N594" s="5"/>
      <c r="O594" s="5"/>
      <c r="P594" s="5"/>
      <c r="Q594" s="5"/>
      <c r="R594" s="5"/>
      <c r="S594" s="5"/>
      <c r="T594" s="5"/>
      <c r="U594" s="5"/>
      <c r="V594" s="5"/>
      <c r="W594" s="5"/>
      <c r="X594" s="5"/>
      <c r="Y594" s="5"/>
    </row>
    <row r="595" spans="1:25" ht="12.75" customHeight="1" x14ac:dyDescent="0.25">
      <c r="A595" s="5"/>
      <c r="B595" s="5"/>
      <c r="C595" s="76" t="s">
        <v>872</v>
      </c>
      <c r="D595" s="2">
        <v>2</v>
      </c>
      <c r="E595" s="2">
        <v>1</v>
      </c>
      <c r="F595" s="2">
        <v>1</v>
      </c>
      <c r="G595" s="2">
        <v>2</v>
      </c>
      <c r="H595" s="2">
        <v>1</v>
      </c>
      <c r="I595" s="2">
        <v>1</v>
      </c>
      <c r="J595" s="2">
        <v>2</v>
      </c>
      <c r="K595" s="2">
        <v>2</v>
      </c>
      <c r="L595" s="5"/>
      <c r="M595" s="5"/>
      <c r="N595" s="5"/>
      <c r="O595" s="5"/>
      <c r="P595" s="5"/>
      <c r="Q595" s="5"/>
      <c r="R595" s="5"/>
      <c r="S595" s="5"/>
      <c r="T595" s="5"/>
      <c r="U595" s="5"/>
      <c r="V595" s="5"/>
      <c r="W595" s="5"/>
      <c r="X595" s="5"/>
      <c r="Y595" s="5"/>
    </row>
    <row r="596" spans="1:25" ht="12.75" customHeight="1" x14ac:dyDescent="0.25">
      <c r="A596" s="5"/>
      <c r="B596" s="5"/>
      <c r="C596" s="76" t="s">
        <v>184</v>
      </c>
      <c r="D596" s="2">
        <v>2</v>
      </c>
      <c r="E596" s="2">
        <v>2</v>
      </c>
      <c r="F596" s="2">
        <v>2</v>
      </c>
      <c r="G596" s="2">
        <v>1</v>
      </c>
      <c r="H596" s="2">
        <v>2</v>
      </c>
      <c r="I596" s="2">
        <v>2</v>
      </c>
      <c r="J596" s="2">
        <v>1</v>
      </c>
      <c r="K596" s="2">
        <v>1</v>
      </c>
      <c r="L596" s="5"/>
      <c r="M596" s="5"/>
      <c r="N596" s="5"/>
      <c r="O596" s="5"/>
      <c r="P596" s="5"/>
      <c r="Q596" s="5"/>
      <c r="R596" s="5"/>
      <c r="S596" s="5"/>
      <c r="T596" s="5"/>
      <c r="U596" s="5"/>
      <c r="V596" s="5"/>
      <c r="W596" s="5"/>
      <c r="X596" s="5"/>
      <c r="Y596" s="5"/>
    </row>
    <row r="597" spans="1:25" ht="12.75" customHeight="1" x14ac:dyDescent="0.25">
      <c r="A597" s="5"/>
      <c r="B597" s="5"/>
      <c r="C597" s="88" t="s">
        <v>873</v>
      </c>
      <c r="D597" s="2">
        <f t="shared" ref="D597:K597" si="10">+D592*D593*D594*D595*D596</f>
        <v>480.49999999999994</v>
      </c>
      <c r="E597" s="2">
        <f t="shared" si="10"/>
        <v>607.6</v>
      </c>
      <c r="F597" s="2">
        <f t="shared" si="10"/>
        <v>789.88</v>
      </c>
      <c r="G597" s="2">
        <f t="shared" si="10"/>
        <v>864.9</v>
      </c>
      <c r="H597" s="2">
        <f t="shared" si="10"/>
        <v>1041.6000000000001</v>
      </c>
      <c r="I597" s="2">
        <f t="shared" si="10"/>
        <v>789.88</v>
      </c>
      <c r="J597" s="2">
        <f t="shared" si="10"/>
        <v>1325.25</v>
      </c>
      <c r="K597" s="2">
        <f t="shared" si="10"/>
        <v>1269.45</v>
      </c>
      <c r="L597" s="5"/>
      <c r="M597" s="5"/>
      <c r="N597" s="5"/>
      <c r="O597" s="5"/>
      <c r="P597" s="5"/>
      <c r="Q597" s="5"/>
      <c r="R597" s="5"/>
      <c r="S597" s="5"/>
      <c r="T597" s="5"/>
      <c r="U597" s="5"/>
      <c r="V597" s="5"/>
      <c r="W597" s="5"/>
      <c r="X597" s="5"/>
      <c r="Y597" s="5"/>
    </row>
    <row r="598" spans="1:25" ht="12.7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row>
    <row r="599" spans="1:25" ht="12.75" customHeight="1" x14ac:dyDescent="0.25">
      <c r="A599" s="5"/>
      <c r="B599" s="1030" t="s">
        <v>876</v>
      </c>
      <c r="C599" s="1044"/>
      <c r="D599" s="1044"/>
      <c r="E599" s="1044"/>
      <c r="F599" s="1044"/>
      <c r="G599" s="1044"/>
      <c r="H599" s="1044"/>
      <c r="I599" s="1044"/>
      <c r="J599" s="1044"/>
      <c r="K599" s="1044"/>
      <c r="L599" s="5"/>
      <c r="M599" s="5"/>
      <c r="N599" s="5"/>
      <c r="O599" s="5"/>
      <c r="P599" s="5"/>
      <c r="Q599" s="5"/>
      <c r="R599" s="5"/>
      <c r="S599" s="5"/>
      <c r="T599" s="5"/>
      <c r="U599" s="5"/>
      <c r="V599" s="5"/>
      <c r="W599" s="5"/>
      <c r="X599" s="5"/>
      <c r="Y599" s="5"/>
    </row>
    <row r="600" spans="1:25" ht="12.75" customHeight="1" x14ac:dyDescent="0.25">
      <c r="A600" s="7"/>
      <c r="B600" s="76"/>
      <c r="C600" s="872" t="s">
        <v>877</v>
      </c>
      <c r="D600" s="416"/>
      <c r="E600" s="872" t="s">
        <v>878</v>
      </c>
      <c r="F600" s="416"/>
      <c r="G600" s="89" t="s">
        <v>879</v>
      </c>
      <c r="H600" s="872" t="s">
        <v>864</v>
      </c>
      <c r="I600" s="416"/>
      <c r="J600" s="872" t="s">
        <v>880</v>
      </c>
      <c r="K600" s="416"/>
      <c r="L600" s="7"/>
      <c r="M600" s="7"/>
      <c r="N600" s="7"/>
      <c r="O600" s="7"/>
      <c r="P600" s="7"/>
      <c r="Q600" s="7"/>
      <c r="R600" s="7"/>
      <c r="S600" s="7"/>
      <c r="T600" s="7"/>
      <c r="U600" s="7"/>
      <c r="V600" s="7"/>
      <c r="W600" s="7"/>
      <c r="X600" s="7"/>
      <c r="Y600" s="7"/>
    </row>
    <row r="601" spans="1:25" ht="12.75" customHeight="1" x14ac:dyDescent="0.25">
      <c r="A601" s="7"/>
      <c r="B601" s="76"/>
      <c r="C601" s="87" t="s">
        <v>865</v>
      </c>
      <c r="D601" s="87" t="s">
        <v>866</v>
      </c>
      <c r="E601" s="87" t="s">
        <v>865</v>
      </c>
      <c r="F601" s="87" t="s">
        <v>866</v>
      </c>
      <c r="G601" s="67" t="s">
        <v>865</v>
      </c>
      <c r="H601" s="87" t="s">
        <v>865</v>
      </c>
      <c r="I601" s="87" t="s">
        <v>866</v>
      </c>
      <c r="J601" s="1045" t="s">
        <v>881</v>
      </c>
      <c r="K601" s="416"/>
      <c r="L601" s="7"/>
      <c r="M601" s="7"/>
      <c r="N601" s="7"/>
      <c r="O601" s="7"/>
      <c r="P601" s="7"/>
      <c r="Q601" s="7"/>
      <c r="R601" s="7"/>
      <c r="S601" s="7"/>
      <c r="T601" s="7"/>
      <c r="U601" s="7"/>
      <c r="V601" s="7"/>
      <c r="W601" s="7"/>
      <c r="X601" s="7"/>
      <c r="Y601" s="7"/>
    </row>
    <row r="602" spans="1:25" ht="12.75" customHeight="1" x14ac:dyDescent="0.25">
      <c r="A602" s="7"/>
      <c r="B602" s="76" t="s">
        <v>867</v>
      </c>
      <c r="C602" s="2">
        <v>0.2</v>
      </c>
      <c r="D602" s="2">
        <v>0.2</v>
      </c>
      <c r="E602" s="2">
        <v>0.2</v>
      </c>
      <c r="F602" s="2">
        <v>0.2</v>
      </c>
      <c r="G602" s="90">
        <v>0.2</v>
      </c>
      <c r="H602" s="2">
        <v>0.2</v>
      </c>
      <c r="I602" s="2">
        <v>0.2</v>
      </c>
      <c r="J602" s="1043">
        <v>0.15</v>
      </c>
      <c r="K602" s="416"/>
      <c r="L602" s="7"/>
      <c r="M602" s="7"/>
      <c r="N602" s="7"/>
      <c r="O602" s="7"/>
      <c r="P602" s="7"/>
      <c r="Q602" s="7"/>
      <c r="R602" s="7"/>
      <c r="S602" s="7"/>
      <c r="T602" s="7"/>
      <c r="U602" s="7"/>
      <c r="V602" s="7"/>
      <c r="W602" s="7"/>
      <c r="X602" s="7"/>
      <c r="Y602" s="7"/>
    </row>
    <row r="603" spans="1:25" ht="12.75" customHeight="1" x14ac:dyDescent="0.25">
      <c r="A603" s="7"/>
      <c r="B603" s="76" t="s">
        <v>868</v>
      </c>
      <c r="C603" s="2">
        <v>2.2999999999999998</v>
      </c>
      <c r="D603" s="2">
        <v>4.5999999999999996</v>
      </c>
      <c r="E603" s="2">
        <v>6</v>
      </c>
      <c r="F603" s="2">
        <v>4.7</v>
      </c>
      <c r="G603" s="90">
        <v>5.4</v>
      </c>
      <c r="H603" s="2">
        <v>8.8000000000000007</v>
      </c>
      <c r="I603" s="2">
        <v>8.8000000000000007</v>
      </c>
      <c r="J603" s="1043">
        <v>1.5</v>
      </c>
      <c r="K603" s="416"/>
      <c r="L603" s="7"/>
      <c r="M603" s="7"/>
      <c r="N603" s="7"/>
      <c r="O603" s="7"/>
      <c r="P603" s="7"/>
      <c r="Q603" s="7"/>
      <c r="R603" s="7"/>
      <c r="S603" s="7"/>
      <c r="T603" s="7"/>
      <c r="U603" s="7"/>
      <c r="V603" s="7"/>
      <c r="W603" s="7"/>
      <c r="X603" s="7"/>
      <c r="Y603" s="7"/>
    </row>
    <row r="604" spans="1:25" ht="12.75" customHeight="1" x14ac:dyDescent="0.25">
      <c r="A604" s="7"/>
      <c r="B604" s="76" t="s">
        <v>869</v>
      </c>
      <c r="C604" s="2">
        <f t="shared" ref="C604:J604" si="11">+(C603/C602)+1</f>
        <v>12.499999999999998</v>
      </c>
      <c r="D604" s="2">
        <f t="shared" si="11"/>
        <v>23.999999999999996</v>
      </c>
      <c r="E604" s="2">
        <f t="shared" si="11"/>
        <v>31</v>
      </c>
      <c r="F604" s="2">
        <f t="shared" si="11"/>
        <v>24.5</v>
      </c>
      <c r="G604" s="90">
        <f t="shared" si="11"/>
        <v>28</v>
      </c>
      <c r="H604" s="2">
        <f t="shared" si="11"/>
        <v>45</v>
      </c>
      <c r="I604" s="2">
        <f t="shared" si="11"/>
        <v>45</v>
      </c>
      <c r="J604" s="1043">
        <f t="shared" si="11"/>
        <v>11</v>
      </c>
      <c r="K604" s="416"/>
      <c r="L604" s="7"/>
      <c r="M604" s="7"/>
      <c r="N604" s="7"/>
      <c r="O604" s="7"/>
      <c r="P604" s="7"/>
      <c r="Q604" s="7"/>
      <c r="R604" s="7"/>
      <c r="S604" s="7"/>
      <c r="T604" s="7"/>
      <c r="U604" s="7"/>
      <c r="V604" s="7"/>
      <c r="W604" s="7"/>
      <c r="X604" s="7"/>
      <c r="Y604" s="7"/>
    </row>
    <row r="605" spans="1:25" ht="12.75" customHeight="1" x14ac:dyDescent="0.25">
      <c r="A605" s="7"/>
      <c r="B605" s="76" t="s">
        <v>870</v>
      </c>
      <c r="C605" s="2">
        <v>0.7</v>
      </c>
      <c r="D605" s="2">
        <v>1.3</v>
      </c>
      <c r="E605" s="2">
        <v>5.5</v>
      </c>
      <c r="F605" s="2">
        <v>6.2</v>
      </c>
      <c r="G605" s="90">
        <v>0.9</v>
      </c>
      <c r="H605" s="2">
        <v>9.1</v>
      </c>
      <c r="I605" s="2">
        <v>9.1</v>
      </c>
      <c r="J605" s="1043">
        <v>54</v>
      </c>
      <c r="K605" s="416"/>
      <c r="L605" s="7"/>
      <c r="M605" s="7"/>
      <c r="N605" s="7"/>
      <c r="O605" s="7"/>
      <c r="P605" s="7"/>
      <c r="Q605" s="7"/>
      <c r="R605" s="7"/>
      <c r="S605" s="7"/>
      <c r="T605" s="7"/>
      <c r="U605" s="7"/>
      <c r="V605" s="7"/>
      <c r="W605" s="7"/>
      <c r="X605" s="7"/>
      <c r="Y605" s="7"/>
    </row>
    <row r="606" spans="1:25" ht="12.75" customHeight="1" x14ac:dyDescent="0.25">
      <c r="A606" s="7"/>
      <c r="B606" s="76" t="s">
        <v>871</v>
      </c>
      <c r="C606" s="2">
        <v>1.55</v>
      </c>
      <c r="D606" s="2">
        <v>1.55</v>
      </c>
      <c r="E606" s="2">
        <v>1.55</v>
      </c>
      <c r="F606" s="2">
        <v>1.55</v>
      </c>
      <c r="G606" s="90">
        <v>1.55</v>
      </c>
      <c r="H606" s="2">
        <v>0.996</v>
      </c>
      <c r="I606" s="2">
        <v>0.996</v>
      </c>
      <c r="J606" s="1043">
        <v>0.996</v>
      </c>
      <c r="K606" s="416"/>
      <c r="L606" s="7"/>
      <c r="M606" s="7"/>
      <c r="N606" s="7"/>
      <c r="O606" s="7"/>
      <c r="P606" s="7"/>
      <c r="Q606" s="7"/>
      <c r="R606" s="7"/>
      <c r="S606" s="7"/>
      <c r="T606" s="7"/>
      <c r="U606" s="7"/>
      <c r="V606" s="7"/>
      <c r="W606" s="7"/>
      <c r="X606" s="7"/>
      <c r="Y606" s="7"/>
    </row>
    <row r="607" spans="1:25" ht="12.75" customHeight="1" x14ac:dyDescent="0.25">
      <c r="A607" s="7"/>
      <c r="B607" s="76" t="s">
        <v>872</v>
      </c>
      <c r="C607" s="2">
        <v>2</v>
      </c>
      <c r="D607" s="2">
        <v>2</v>
      </c>
      <c r="E607" s="2">
        <v>2</v>
      </c>
      <c r="F607" s="2">
        <v>2</v>
      </c>
      <c r="G607" s="90">
        <v>1</v>
      </c>
      <c r="H607" s="2">
        <v>1</v>
      </c>
      <c r="I607" s="2">
        <v>1</v>
      </c>
      <c r="J607" s="1043">
        <v>1</v>
      </c>
      <c r="K607" s="416"/>
      <c r="L607" s="7"/>
      <c r="M607" s="7"/>
      <c r="N607" s="7"/>
      <c r="O607" s="7"/>
      <c r="P607" s="7"/>
      <c r="Q607" s="7"/>
      <c r="R607" s="7"/>
      <c r="S607" s="7"/>
      <c r="T607" s="7"/>
      <c r="U607" s="7"/>
      <c r="V607" s="7"/>
      <c r="W607" s="7"/>
      <c r="X607" s="7"/>
      <c r="Y607" s="7"/>
    </row>
    <row r="608" spans="1:25" ht="12.75" customHeight="1" x14ac:dyDescent="0.25">
      <c r="A608" s="7"/>
      <c r="B608" s="76" t="s">
        <v>184</v>
      </c>
      <c r="C608" s="2">
        <v>1</v>
      </c>
      <c r="D608" s="2">
        <v>1</v>
      </c>
      <c r="E608" s="2">
        <v>1</v>
      </c>
      <c r="F608" s="2">
        <v>1</v>
      </c>
      <c r="G608" s="90">
        <v>4</v>
      </c>
      <c r="H608" s="2">
        <v>1</v>
      </c>
      <c r="I608" s="2">
        <v>1</v>
      </c>
      <c r="J608" s="1043">
        <v>1</v>
      </c>
      <c r="K608" s="416"/>
      <c r="L608" s="7"/>
      <c r="M608" s="7"/>
      <c r="N608" s="7"/>
      <c r="O608" s="7"/>
      <c r="P608" s="7"/>
      <c r="Q608" s="7"/>
      <c r="R608" s="7"/>
      <c r="S608" s="7"/>
      <c r="T608" s="7"/>
      <c r="U608" s="7"/>
      <c r="V608" s="7"/>
      <c r="W608" s="7"/>
      <c r="X608" s="7"/>
      <c r="Y608" s="7"/>
    </row>
    <row r="609" spans="1:25" ht="12.75" customHeight="1" x14ac:dyDescent="0.25">
      <c r="A609" s="5"/>
      <c r="B609" s="88" t="s">
        <v>873</v>
      </c>
      <c r="C609" s="2">
        <f t="shared" ref="C609:J609" si="12">+C604*C605*C606*C607*C608</f>
        <v>27.124999999999996</v>
      </c>
      <c r="D609" s="2">
        <f t="shared" si="12"/>
        <v>96.719999999999985</v>
      </c>
      <c r="E609" s="2">
        <f t="shared" si="12"/>
        <v>528.55000000000007</v>
      </c>
      <c r="F609" s="2">
        <f t="shared" si="12"/>
        <v>470.89000000000004</v>
      </c>
      <c r="G609" s="90">
        <f t="shared" si="12"/>
        <v>156.24</v>
      </c>
      <c r="H609" s="2">
        <f t="shared" si="12"/>
        <v>407.86200000000002</v>
      </c>
      <c r="I609" s="2">
        <f t="shared" si="12"/>
        <v>407.86200000000002</v>
      </c>
      <c r="J609" s="1043">
        <f t="shared" si="12"/>
        <v>591.62400000000002</v>
      </c>
      <c r="K609" s="416"/>
      <c r="L609" s="7"/>
      <c r="M609" s="7"/>
      <c r="N609" s="7"/>
      <c r="O609" s="7"/>
      <c r="P609" s="7"/>
      <c r="Q609" s="7"/>
      <c r="R609" s="7"/>
      <c r="S609" s="7"/>
      <c r="T609" s="7"/>
      <c r="U609" s="7"/>
      <c r="V609" s="7"/>
      <c r="W609" s="7"/>
      <c r="X609" s="7"/>
      <c r="Y609" s="7"/>
    </row>
    <row r="610" spans="1:25" ht="12.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row>
    <row r="611" spans="1:25" ht="1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row>
    <row r="612" spans="1:25" ht="15" customHeight="1" thickBot="1" x14ac:dyDescent="0.3">
      <c r="A612" s="7"/>
      <c r="B612" s="7"/>
      <c r="C612" s="7"/>
      <c r="D612" s="7"/>
      <c r="E612" s="190"/>
      <c r="F612" s="190"/>
      <c r="G612" s="132"/>
      <c r="H612" s="132"/>
      <c r="I612" s="132"/>
      <c r="M612" s="7"/>
      <c r="N612" s="7"/>
      <c r="O612" s="7"/>
      <c r="P612" s="7"/>
      <c r="Q612" s="7"/>
      <c r="R612" s="7"/>
      <c r="S612" s="7"/>
      <c r="T612" s="7"/>
      <c r="U612" s="7"/>
      <c r="V612" s="7"/>
      <c r="W612" s="7"/>
      <c r="X612" s="7"/>
      <c r="Y612" s="7"/>
    </row>
    <row r="613" spans="1:25" ht="15" customHeight="1" thickTop="1" x14ac:dyDescent="0.2">
      <c r="E613" s="429" t="s">
        <v>1126</v>
      </c>
      <c r="F613" s="429"/>
      <c r="G613" s="429"/>
      <c r="H613" s="429"/>
      <c r="I613" s="429"/>
    </row>
    <row r="614" spans="1:25" ht="15" customHeight="1" x14ac:dyDescent="0.25">
      <c r="E614" s="406" t="s">
        <v>1127</v>
      </c>
      <c r="F614" s="406"/>
      <c r="G614" s="406"/>
      <c r="H614" s="406"/>
      <c r="I614" s="406"/>
    </row>
    <row r="615" spans="1:25" ht="15" customHeight="1" x14ac:dyDescent="0.25">
      <c r="E615" s="406" t="s">
        <v>1123</v>
      </c>
      <c r="F615" s="406"/>
      <c r="G615" s="406"/>
      <c r="H615" s="406"/>
      <c r="I615" s="406"/>
    </row>
    <row r="619" spans="1:25" ht="15" customHeight="1" x14ac:dyDescent="0.2">
      <c r="B619" s="116"/>
      <c r="C619" s="116"/>
    </row>
    <row r="620" spans="1:25" ht="15" customHeight="1" x14ac:dyDescent="0.2">
      <c r="B620" s="116"/>
      <c r="C620" s="116"/>
      <c r="D620" s="116"/>
      <c r="E620" s="116"/>
    </row>
    <row r="621" spans="1:25" ht="15" customHeight="1" x14ac:dyDescent="0.2">
      <c r="B621" s="116"/>
      <c r="C621" s="116"/>
    </row>
    <row r="622" spans="1:25" ht="15" customHeight="1" x14ac:dyDescent="0.2">
      <c r="B622" s="116"/>
      <c r="C622" s="116"/>
    </row>
    <row r="623" spans="1:25" ht="15" customHeight="1" x14ac:dyDescent="0.2">
      <c r="B623" s="116"/>
    </row>
    <row r="624" spans="1:25" ht="15" customHeight="1" x14ac:dyDescent="0.2">
      <c r="B624" s="116"/>
    </row>
  </sheetData>
  <mergeCells count="877">
    <mergeCell ref="G525:I535"/>
    <mergeCell ref="G517:H517"/>
    <mergeCell ref="G107:H107"/>
    <mergeCell ref="G108:H108"/>
    <mergeCell ref="A110:D110"/>
    <mergeCell ref="G110:H110"/>
    <mergeCell ref="I110:L110"/>
    <mergeCell ref="A111:A119"/>
    <mergeCell ref="B111:D119"/>
    <mergeCell ref="E111:E119"/>
    <mergeCell ref="F111:F119"/>
    <mergeCell ref="G111:H111"/>
    <mergeCell ref="J111:L119"/>
    <mergeCell ref="G112:H112"/>
    <mergeCell ref="G113:H113"/>
    <mergeCell ref="G114:H114"/>
    <mergeCell ref="G115:H115"/>
    <mergeCell ref="G116:H116"/>
    <mergeCell ref="G117:H117"/>
    <mergeCell ref="G118:H118"/>
    <mergeCell ref="G119:H119"/>
    <mergeCell ref="G218:H218"/>
    <mergeCell ref="G219:H219"/>
    <mergeCell ref="G220:H220"/>
    <mergeCell ref="G498:H498"/>
    <mergeCell ref="G503:H503"/>
    <mergeCell ref="G504:H504"/>
    <mergeCell ref="G505:H505"/>
    <mergeCell ref="G506:H506"/>
    <mergeCell ref="G508:H508"/>
    <mergeCell ref="G486:H486"/>
    <mergeCell ref="G484:H484"/>
    <mergeCell ref="G493:H493"/>
    <mergeCell ref="G492:H492"/>
    <mergeCell ref="G224:H224"/>
    <mergeCell ref="G225:H225"/>
    <mergeCell ref="G226:H226"/>
    <mergeCell ref="G227:H227"/>
    <mergeCell ref="G228:H228"/>
    <mergeCell ref="G229:H229"/>
    <mergeCell ref="G230:H230"/>
    <mergeCell ref="G494:H494"/>
    <mergeCell ref="G497:H497"/>
    <mergeCell ref="G475:H475"/>
    <mergeCell ref="G443:H443"/>
    <mergeCell ref="G444:H444"/>
    <mergeCell ref="G445:H445"/>
    <mergeCell ref="G446:H446"/>
    <mergeCell ref="G447:H447"/>
    <mergeCell ref="G448:H448"/>
    <mergeCell ref="G449:H449"/>
    <mergeCell ref="G437:H437"/>
    <mergeCell ref="G379:H379"/>
    <mergeCell ref="G380:H380"/>
    <mergeCell ref="G381:H381"/>
    <mergeCell ref="G385:H385"/>
    <mergeCell ref="G387:H387"/>
    <mergeCell ref="G394:H394"/>
    <mergeCell ref="G196:H196"/>
    <mergeCell ref="G197:H197"/>
    <mergeCell ref="G198:H198"/>
    <mergeCell ref="G222:H222"/>
    <mergeCell ref="I222:L222"/>
    <mergeCell ref="G223:H223"/>
    <mergeCell ref="G202:H202"/>
    <mergeCell ref="G203:H203"/>
    <mergeCell ref="G204:H204"/>
    <mergeCell ref="G205:H205"/>
    <mergeCell ref="G206:H206"/>
    <mergeCell ref="G207:H207"/>
    <mergeCell ref="G208:H208"/>
    <mergeCell ref="J212:L220"/>
    <mergeCell ref="J223:L231"/>
    <mergeCell ref="G209:H209"/>
    <mergeCell ref="G211:H211"/>
    <mergeCell ref="I211:L211"/>
    <mergeCell ref="G212:H212"/>
    <mergeCell ref="G213:H213"/>
    <mergeCell ref="G214:H214"/>
    <mergeCell ref="G215:H215"/>
    <mergeCell ref="G216:H216"/>
    <mergeCell ref="G217:H217"/>
    <mergeCell ref="G200:H200"/>
    <mergeCell ref="G201:H201"/>
    <mergeCell ref="J201:L209"/>
    <mergeCell ref="I189:L189"/>
    <mergeCell ref="J190:L198"/>
    <mergeCell ref="I200:L200"/>
    <mergeCell ref="G150:H150"/>
    <mergeCell ref="G151:H151"/>
    <mergeCell ref="G149:H149"/>
    <mergeCell ref="I181:L181"/>
    <mergeCell ref="J182:L187"/>
    <mergeCell ref="I165:I168"/>
    <mergeCell ref="G160:H160"/>
    <mergeCell ref="G161:H161"/>
    <mergeCell ref="G164:H164"/>
    <mergeCell ref="I164:L164"/>
    <mergeCell ref="J165:L168"/>
    <mergeCell ref="I170:L170"/>
    <mergeCell ref="G190:H190"/>
    <mergeCell ref="G191:H191"/>
    <mergeCell ref="G192:H192"/>
    <mergeCell ref="G193:H193"/>
    <mergeCell ref="G194:H194"/>
    <mergeCell ref="G195:H195"/>
    <mergeCell ref="G63:H63"/>
    <mergeCell ref="J63:L71"/>
    <mergeCell ref="G64:H64"/>
    <mergeCell ref="G65:H65"/>
    <mergeCell ref="G66:H66"/>
    <mergeCell ref="G79:H79"/>
    <mergeCell ref="G80:H80"/>
    <mergeCell ref="G67:H67"/>
    <mergeCell ref="G68:H68"/>
    <mergeCell ref="G69:H69"/>
    <mergeCell ref="G70:H70"/>
    <mergeCell ref="G73:H73"/>
    <mergeCell ref="G74:H74"/>
    <mergeCell ref="J74:L82"/>
    <mergeCell ref="G71:H71"/>
    <mergeCell ref="I73:L73"/>
    <mergeCell ref="G76:H76"/>
    <mergeCell ref="G77:H77"/>
    <mergeCell ref="G78:H78"/>
    <mergeCell ref="G81:H81"/>
    <mergeCell ref="G82:H82"/>
    <mergeCell ref="A51:D51"/>
    <mergeCell ref="I51:L51"/>
    <mergeCell ref="J52:L60"/>
    <mergeCell ref="G53:H53"/>
    <mergeCell ref="G54:H54"/>
    <mergeCell ref="G55:H55"/>
    <mergeCell ref="G56:H56"/>
    <mergeCell ref="G59:H59"/>
    <mergeCell ref="G60:H60"/>
    <mergeCell ref="G62:H62"/>
    <mergeCell ref="I62:L62"/>
    <mergeCell ref="G45:H45"/>
    <mergeCell ref="G46:H46"/>
    <mergeCell ref="G47:H47"/>
    <mergeCell ref="G48:H48"/>
    <mergeCell ref="G51:H51"/>
    <mergeCell ref="G52:H52"/>
    <mergeCell ref="G57:H57"/>
    <mergeCell ref="G58:H58"/>
    <mergeCell ref="G31:H31"/>
    <mergeCell ref="G32:H32"/>
    <mergeCell ref="G33:H33"/>
    <mergeCell ref="G34:H34"/>
    <mergeCell ref="A40:D40"/>
    <mergeCell ref="A41:A49"/>
    <mergeCell ref="B41:D49"/>
    <mergeCell ref="E41:E49"/>
    <mergeCell ref="F41:F49"/>
    <mergeCell ref="G40:H40"/>
    <mergeCell ref="G41:H41"/>
    <mergeCell ref="G42:H42"/>
    <mergeCell ref="G49:H49"/>
    <mergeCell ref="G38:H38"/>
    <mergeCell ref="G43:H43"/>
    <mergeCell ref="G44:H44"/>
    <mergeCell ref="G37:H37"/>
    <mergeCell ref="I40:L40"/>
    <mergeCell ref="J41:L49"/>
    <mergeCell ref="J19:L27"/>
    <mergeCell ref="G9:H9"/>
    <mergeCell ref="G10:H10"/>
    <mergeCell ref="G11:H11"/>
    <mergeCell ref="B30:D38"/>
    <mergeCell ref="A18:D18"/>
    <mergeCell ref="G18:H18"/>
    <mergeCell ref="I18:L18"/>
    <mergeCell ref="G22:H22"/>
    <mergeCell ref="G23:H23"/>
    <mergeCell ref="G24:H24"/>
    <mergeCell ref="G25:H25"/>
    <mergeCell ref="G26:H26"/>
    <mergeCell ref="I29:L29"/>
    <mergeCell ref="G35:H35"/>
    <mergeCell ref="A29:D29"/>
    <mergeCell ref="G29:H29"/>
    <mergeCell ref="A30:A38"/>
    <mergeCell ref="E30:E38"/>
    <mergeCell ref="F30:F38"/>
    <mergeCell ref="J30:L38"/>
    <mergeCell ref="G36:H36"/>
    <mergeCell ref="G30:H30"/>
    <mergeCell ref="A1:L2"/>
    <mergeCell ref="A4:L5"/>
    <mergeCell ref="A7:D7"/>
    <mergeCell ref="G7:H7"/>
    <mergeCell ref="A8:A16"/>
    <mergeCell ref="B8:D16"/>
    <mergeCell ref="G8:H8"/>
    <mergeCell ref="G20:H20"/>
    <mergeCell ref="G21:H21"/>
    <mergeCell ref="G15:H15"/>
    <mergeCell ref="G16:H16"/>
    <mergeCell ref="A19:A27"/>
    <mergeCell ref="B19:D27"/>
    <mergeCell ref="E19:E27"/>
    <mergeCell ref="F19:F27"/>
    <mergeCell ref="G19:H19"/>
    <mergeCell ref="G12:H12"/>
    <mergeCell ref="G13:H13"/>
    <mergeCell ref="G14:H14"/>
    <mergeCell ref="G27:H27"/>
    <mergeCell ref="E8:E16"/>
    <mergeCell ref="F8:F16"/>
    <mergeCell ref="I7:L7"/>
    <mergeCell ref="J8:L16"/>
    <mergeCell ref="I475:L475"/>
    <mergeCell ref="G476:H476"/>
    <mergeCell ref="K526:K527"/>
    <mergeCell ref="L526:L527"/>
    <mergeCell ref="K528:K529"/>
    <mergeCell ref="L528:L529"/>
    <mergeCell ref="J534:J535"/>
    <mergeCell ref="K534:K535"/>
    <mergeCell ref="L534:L535"/>
    <mergeCell ref="J528:J529"/>
    <mergeCell ref="J530:J531"/>
    <mergeCell ref="K530:K531"/>
    <mergeCell ref="L530:L531"/>
    <mergeCell ref="J532:J533"/>
    <mergeCell ref="K532:K533"/>
    <mergeCell ref="L532:L533"/>
    <mergeCell ref="G479:H479"/>
    <mergeCell ref="G480:H480"/>
    <mergeCell ref="G481:H481"/>
    <mergeCell ref="G482:H482"/>
    <mergeCell ref="G483:H483"/>
    <mergeCell ref="I486:L486"/>
    <mergeCell ref="G524:L524"/>
    <mergeCell ref="J526:J527"/>
    <mergeCell ref="J487:L495"/>
    <mergeCell ref="J498:L506"/>
    <mergeCell ref="J509:L517"/>
    <mergeCell ref="G495:H495"/>
    <mergeCell ref="I497:L497"/>
    <mergeCell ref="G499:H499"/>
    <mergeCell ref="G500:H500"/>
    <mergeCell ref="G501:H501"/>
    <mergeCell ref="G502:H502"/>
    <mergeCell ref="I508:L508"/>
    <mergeCell ref="G512:H512"/>
    <mergeCell ref="G513:H513"/>
    <mergeCell ref="G514:H514"/>
    <mergeCell ref="G515:H515"/>
    <mergeCell ref="G516:H516"/>
    <mergeCell ref="G510:H510"/>
    <mergeCell ref="G511:H511"/>
    <mergeCell ref="G509:H509"/>
    <mergeCell ref="G487:H487"/>
    <mergeCell ref="G488:H488"/>
    <mergeCell ref="G489:H489"/>
    <mergeCell ref="G490:H490"/>
    <mergeCell ref="G491:H491"/>
    <mergeCell ref="I409:L409"/>
    <mergeCell ref="G410:H410"/>
    <mergeCell ref="G411:H411"/>
    <mergeCell ref="G412:H412"/>
    <mergeCell ref="G413:H413"/>
    <mergeCell ref="G414:H414"/>
    <mergeCell ref="G415:H415"/>
    <mergeCell ref="G416:H416"/>
    <mergeCell ref="G442:H442"/>
    <mergeCell ref="G440:H440"/>
    <mergeCell ref="I420:L420"/>
    <mergeCell ref="G421:H421"/>
    <mergeCell ref="G422:H422"/>
    <mergeCell ref="G423:H423"/>
    <mergeCell ref="G433:H433"/>
    <mergeCell ref="G434:H434"/>
    <mergeCell ref="G426:H426"/>
    <mergeCell ref="G427:H427"/>
    <mergeCell ref="G428:H428"/>
    <mergeCell ref="G429:H429"/>
    <mergeCell ref="G431:H431"/>
    <mergeCell ref="I431:L431"/>
    <mergeCell ref="G432:H432"/>
    <mergeCell ref="G436:H436"/>
    <mergeCell ref="J421:L429"/>
    <mergeCell ref="J432:L440"/>
    <mergeCell ref="G435:H435"/>
    <mergeCell ref="G438:H438"/>
    <mergeCell ref="G439:H439"/>
    <mergeCell ref="G358:H358"/>
    <mergeCell ref="G359:H359"/>
    <mergeCell ref="G360:H360"/>
    <mergeCell ref="G361:H361"/>
    <mergeCell ref="G362:H362"/>
    <mergeCell ref="I365:L365"/>
    <mergeCell ref="J366:L374"/>
    <mergeCell ref="J377:L385"/>
    <mergeCell ref="J388:L396"/>
    <mergeCell ref="G365:H365"/>
    <mergeCell ref="G366:H366"/>
    <mergeCell ref="G363:H363"/>
    <mergeCell ref="G367:H367"/>
    <mergeCell ref="G368:H368"/>
    <mergeCell ref="G369:H369"/>
    <mergeCell ref="I387:L387"/>
    <mergeCell ref="G374:H374"/>
    <mergeCell ref="I376:L376"/>
    <mergeCell ref="G378:H378"/>
    <mergeCell ref="G395:H395"/>
    <mergeCell ref="G388:H388"/>
    <mergeCell ref="G424:H424"/>
    <mergeCell ref="G425:H425"/>
    <mergeCell ref="G417:H417"/>
    <mergeCell ref="G418:H418"/>
    <mergeCell ref="G420:H420"/>
    <mergeCell ref="G405:H405"/>
    <mergeCell ref="G406:H406"/>
    <mergeCell ref="G407:H407"/>
    <mergeCell ref="G409:H409"/>
    <mergeCell ref="J410:L418"/>
    <mergeCell ref="G399:H399"/>
    <mergeCell ref="G400:H400"/>
    <mergeCell ref="G401:H401"/>
    <mergeCell ref="G402:H402"/>
    <mergeCell ref="G403:H403"/>
    <mergeCell ref="G404:H404"/>
    <mergeCell ref="J399:L407"/>
    <mergeCell ref="G370:H370"/>
    <mergeCell ref="G371:H371"/>
    <mergeCell ref="G372:H372"/>
    <mergeCell ref="G373:H373"/>
    <mergeCell ref="G376:H376"/>
    <mergeCell ref="G377:H377"/>
    <mergeCell ref="G382:H382"/>
    <mergeCell ref="G383:H383"/>
    <mergeCell ref="G384:H384"/>
    <mergeCell ref="I398:L398"/>
    <mergeCell ref="G398:H398"/>
    <mergeCell ref="G389:H389"/>
    <mergeCell ref="G390:H390"/>
    <mergeCell ref="G391:H391"/>
    <mergeCell ref="G392:H392"/>
    <mergeCell ref="G393:H393"/>
    <mergeCell ref="G471:H471"/>
    <mergeCell ref="G450:H450"/>
    <mergeCell ref="G453:H453"/>
    <mergeCell ref="G454:H454"/>
    <mergeCell ref="G459:H459"/>
    <mergeCell ref="G460:H460"/>
    <mergeCell ref="G461:H461"/>
    <mergeCell ref="G462:H462"/>
    <mergeCell ref="G464:H464"/>
    <mergeCell ref="G465:H465"/>
    <mergeCell ref="B465:D473"/>
    <mergeCell ref="E465:E473"/>
    <mergeCell ref="F465:F473"/>
    <mergeCell ref="I442:L442"/>
    <mergeCell ref="J443:L451"/>
    <mergeCell ref="J454:L462"/>
    <mergeCell ref="J465:L473"/>
    <mergeCell ref="J476:L484"/>
    <mergeCell ref="G451:H451"/>
    <mergeCell ref="I453:L453"/>
    <mergeCell ref="G455:H455"/>
    <mergeCell ref="G456:H456"/>
    <mergeCell ref="G457:H457"/>
    <mergeCell ref="G458:H458"/>
    <mergeCell ref="I464:L464"/>
    <mergeCell ref="G466:H466"/>
    <mergeCell ref="G477:H477"/>
    <mergeCell ref="G478:H478"/>
    <mergeCell ref="G472:H472"/>
    <mergeCell ref="G473:H473"/>
    <mergeCell ref="G467:H467"/>
    <mergeCell ref="G468:H468"/>
    <mergeCell ref="G469:H469"/>
    <mergeCell ref="G470:H470"/>
    <mergeCell ref="A486:D486"/>
    <mergeCell ref="A498:A506"/>
    <mergeCell ref="A509:A517"/>
    <mergeCell ref="B487:D495"/>
    <mergeCell ref="E487:E495"/>
    <mergeCell ref="A497:D497"/>
    <mergeCell ref="B498:D506"/>
    <mergeCell ref="D525:E525"/>
    <mergeCell ref="D526:D527"/>
    <mergeCell ref="E526:E527"/>
    <mergeCell ref="B509:D517"/>
    <mergeCell ref="E509:E517"/>
    <mergeCell ref="F300:F308"/>
    <mergeCell ref="A310:D310"/>
    <mergeCell ref="B311:D319"/>
    <mergeCell ref="A321:D321"/>
    <mergeCell ref="B344:D352"/>
    <mergeCell ref="A475:D475"/>
    <mergeCell ref="B476:D484"/>
    <mergeCell ref="E476:E484"/>
    <mergeCell ref="F476:F484"/>
    <mergeCell ref="A311:A319"/>
    <mergeCell ref="A322:A330"/>
    <mergeCell ref="A333:A341"/>
    <mergeCell ref="A344:A352"/>
    <mergeCell ref="A355:A363"/>
    <mergeCell ref="A366:A374"/>
    <mergeCell ref="A377:A385"/>
    <mergeCell ref="E432:E440"/>
    <mergeCell ref="F432:F440"/>
    <mergeCell ref="A421:A429"/>
    <mergeCell ref="B421:D429"/>
    <mergeCell ref="E421:E429"/>
    <mergeCell ref="F421:F429"/>
    <mergeCell ref="A431:D431"/>
    <mergeCell ref="B432:D440"/>
    <mergeCell ref="A277:D277"/>
    <mergeCell ref="B322:D330"/>
    <mergeCell ref="E322:E330"/>
    <mergeCell ref="F322:F330"/>
    <mergeCell ref="A332:D332"/>
    <mergeCell ref="E333:E341"/>
    <mergeCell ref="F333:F341"/>
    <mergeCell ref="A343:D343"/>
    <mergeCell ref="B333:D341"/>
    <mergeCell ref="A278:A286"/>
    <mergeCell ref="B278:D286"/>
    <mergeCell ref="E278:E286"/>
    <mergeCell ref="F278:F286"/>
    <mergeCell ref="A288:D288"/>
    <mergeCell ref="A289:A297"/>
    <mergeCell ref="B289:D297"/>
    <mergeCell ref="E289:E297"/>
    <mergeCell ref="F289:F297"/>
    <mergeCell ref="A299:D299"/>
    <mergeCell ref="E311:E319"/>
    <mergeCell ref="F311:F319"/>
    <mergeCell ref="A300:A308"/>
    <mergeCell ref="B300:D308"/>
    <mergeCell ref="E300:E308"/>
    <mergeCell ref="E223:E231"/>
    <mergeCell ref="F223:F231"/>
    <mergeCell ref="A222:D222"/>
    <mergeCell ref="A233:D233"/>
    <mergeCell ref="A256:A264"/>
    <mergeCell ref="A267:A275"/>
    <mergeCell ref="A244:D244"/>
    <mergeCell ref="B245:D253"/>
    <mergeCell ref="E245:E253"/>
    <mergeCell ref="F245:F253"/>
    <mergeCell ref="B267:D275"/>
    <mergeCell ref="E267:E275"/>
    <mergeCell ref="F267:F275"/>
    <mergeCell ref="A255:D255"/>
    <mergeCell ref="A234:A242"/>
    <mergeCell ref="A245:A253"/>
    <mergeCell ref="E201:E209"/>
    <mergeCell ref="F201:F209"/>
    <mergeCell ref="A190:A198"/>
    <mergeCell ref="B190:D198"/>
    <mergeCell ref="E190:E198"/>
    <mergeCell ref="F190:F198"/>
    <mergeCell ref="A200:D200"/>
    <mergeCell ref="B201:D209"/>
    <mergeCell ref="A211:D211"/>
    <mergeCell ref="A201:A209"/>
    <mergeCell ref="B212:D220"/>
    <mergeCell ref="E212:E220"/>
    <mergeCell ref="F212:F220"/>
    <mergeCell ref="B256:D264"/>
    <mergeCell ref="E256:E264"/>
    <mergeCell ref="F256:F264"/>
    <mergeCell ref="A266:D266"/>
    <mergeCell ref="D544:D545"/>
    <mergeCell ref="E544:E545"/>
    <mergeCell ref="F544:F545"/>
    <mergeCell ref="F542:F543"/>
    <mergeCell ref="A476:A484"/>
    <mergeCell ref="A487:A495"/>
    <mergeCell ref="F487:F495"/>
    <mergeCell ref="A540:G540"/>
    <mergeCell ref="E498:E506"/>
    <mergeCell ref="F498:F506"/>
    <mergeCell ref="A508:D508"/>
    <mergeCell ref="D528:D529"/>
    <mergeCell ref="E528:E529"/>
    <mergeCell ref="D530:D531"/>
    <mergeCell ref="E530:E531"/>
    <mergeCell ref="D532:D533"/>
    <mergeCell ref="E532:E533"/>
    <mergeCell ref="C561:K561"/>
    <mergeCell ref="D562:E562"/>
    <mergeCell ref="F562:G562"/>
    <mergeCell ref="H562:I562"/>
    <mergeCell ref="J562:K562"/>
    <mergeCell ref="J604:K604"/>
    <mergeCell ref="J605:K605"/>
    <mergeCell ref="G544:G545"/>
    <mergeCell ref="D546:D547"/>
    <mergeCell ref="E546:E547"/>
    <mergeCell ref="F546:F547"/>
    <mergeCell ref="G546:G547"/>
    <mergeCell ref="D548:D549"/>
    <mergeCell ref="E548:E549"/>
    <mergeCell ref="F548:F549"/>
    <mergeCell ref="G548:G549"/>
    <mergeCell ref="J606:K606"/>
    <mergeCell ref="J607:K607"/>
    <mergeCell ref="J608:K608"/>
    <mergeCell ref="J609:K609"/>
    <mergeCell ref="G588:I588"/>
    <mergeCell ref="J588:K588"/>
    <mergeCell ref="B574:K574"/>
    <mergeCell ref="C575:D575"/>
    <mergeCell ref="E575:G575"/>
    <mergeCell ref="H575:I575"/>
    <mergeCell ref="J575:K575"/>
    <mergeCell ref="C587:K587"/>
    <mergeCell ref="D588:F588"/>
    <mergeCell ref="B599:K599"/>
    <mergeCell ref="C600:D600"/>
    <mergeCell ref="E600:F600"/>
    <mergeCell ref="H600:I600"/>
    <mergeCell ref="J600:K600"/>
    <mergeCell ref="J601:K601"/>
    <mergeCell ref="J602:K602"/>
    <mergeCell ref="J603:K603"/>
    <mergeCell ref="A387:D387"/>
    <mergeCell ref="G542:G543"/>
    <mergeCell ref="F550:F551"/>
    <mergeCell ref="G550:G551"/>
    <mergeCell ref="A554:D554"/>
    <mergeCell ref="A555:B555"/>
    <mergeCell ref="D555:D558"/>
    <mergeCell ref="A556:B556"/>
    <mergeCell ref="A557:B557"/>
    <mergeCell ref="A558:B558"/>
    <mergeCell ref="A541:C551"/>
    <mergeCell ref="D542:D543"/>
    <mergeCell ref="E542:E543"/>
    <mergeCell ref="D550:D551"/>
    <mergeCell ref="E550:E551"/>
    <mergeCell ref="F509:F517"/>
    <mergeCell ref="A519:D520"/>
    <mergeCell ref="A521:D522"/>
    <mergeCell ref="A524:E524"/>
    <mergeCell ref="A525:C535"/>
    <mergeCell ref="D534:D535"/>
    <mergeCell ref="E534:E535"/>
    <mergeCell ref="A388:A396"/>
    <mergeCell ref="A399:A407"/>
    <mergeCell ref="G356:H356"/>
    <mergeCell ref="G357:H357"/>
    <mergeCell ref="G349:H349"/>
    <mergeCell ref="G350:H350"/>
    <mergeCell ref="G351:H351"/>
    <mergeCell ref="G352:H352"/>
    <mergeCell ref="G354:H354"/>
    <mergeCell ref="A410:A418"/>
    <mergeCell ref="B410:D418"/>
    <mergeCell ref="E410:E418"/>
    <mergeCell ref="F410:F418"/>
    <mergeCell ref="E344:E352"/>
    <mergeCell ref="F344:F352"/>
    <mergeCell ref="A354:D354"/>
    <mergeCell ref="E366:E374"/>
    <mergeCell ref="F366:F374"/>
    <mergeCell ref="A376:D376"/>
    <mergeCell ref="G396:H396"/>
    <mergeCell ref="B377:D385"/>
    <mergeCell ref="B388:D396"/>
    <mergeCell ref="E388:E396"/>
    <mergeCell ref="F388:F396"/>
    <mergeCell ref="A398:D398"/>
    <mergeCell ref="E399:E407"/>
    <mergeCell ref="A432:A440"/>
    <mergeCell ref="A443:A451"/>
    <mergeCell ref="A454:A462"/>
    <mergeCell ref="A465:A473"/>
    <mergeCell ref="E355:E363"/>
    <mergeCell ref="F355:F363"/>
    <mergeCell ref="E377:E385"/>
    <mergeCell ref="F377:F385"/>
    <mergeCell ref="B355:D363"/>
    <mergeCell ref="A365:D365"/>
    <mergeCell ref="B366:D374"/>
    <mergeCell ref="A442:D442"/>
    <mergeCell ref="B443:D451"/>
    <mergeCell ref="E443:E451"/>
    <mergeCell ref="F443:F451"/>
    <mergeCell ref="A453:D453"/>
    <mergeCell ref="E454:E462"/>
    <mergeCell ref="F454:F462"/>
    <mergeCell ref="A464:D464"/>
    <mergeCell ref="B454:D462"/>
    <mergeCell ref="A420:D420"/>
    <mergeCell ref="F399:F407"/>
    <mergeCell ref="B399:D407"/>
    <mergeCell ref="A409:D409"/>
    <mergeCell ref="I354:L354"/>
    <mergeCell ref="G355:H355"/>
    <mergeCell ref="G302:H302"/>
    <mergeCell ref="G303:H303"/>
    <mergeCell ref="G304:H304"/>
    <mergeCell ref="G305:H305"/>
    <mergeCell ref="G306:H306"/>
    <mergeCell ref="G307:H307"/>
    <mergeCell ref="G308:H308"/>
    <mergeCell ref="G311:H311"/>
    <mergeCell ref="G316:H316"/>
    <mergeCell ref="G317:H317"/>
    <mergeCell ref="J311:L319"/>
    <mergeCell ref="J322:L330"/>
    <mergeCell ref="J333:L341"/>
    <mergeCell ref="J344:L352"/>
    <mergeCell ref="J355:L363"/>
    <mergeCell ref="G310:H310"/>
    <mergeCell ref="I310:L310"/>
    <mergeCell ref="G312:H312"/>
    <mergeCell ref="G313:H313"/>
    <mergeCell ref="G314:H314"/>
    <mergeCell ref="G315:H315"/>
    <mergeCell ref="I321:L321"/>
    <mergeCell ref="G318:H318"/>
    <mergeCell ref="G279:H279"/>
    <mergeCell ref="G280:H280"/>
    <mergeCell ref="G281:H281"/>
    <mergeCell ref="G282:H282"/>
    <mergeCell ref="G347:H347"/>
    <mergeCell ref="G348:H348"/>
    <mergeCell ref="G340:H340"/>
    <mergeCell ref="G341:H341"/>
    <mergeCell ref="G343:H343"/>
    <mergeCell ref="G333:H333"/>
    <mergeCell ref="G334:H334"/>
    <mergeCell ref="G335:H335"/>
    <mergeCell ref="G336:H336"/>
    <mergeCell ref="G337:H337"/>
    <mergeCell ref="G338:H338"/>
    <mergeCell ref="G339:H339"/>
    <mergeCell ref="G291:H291"/>
    <mergeCell ref="G292:H292"/>
    <mergeCell ref="G288:H288"/>
    <mergeCell ref="I343:L343"/>
    <mergeCell ref="G344:H344"/>
    <mergeCell ref="G345:H345"/>
    <mergeCell ref="G346:H346"/>
    <mergeCell ref="G319:H319"/>
    <mergeCell ref="G321:H321"/>
    <mergeCell ref="G322:H322"/>
    <mergeCell ref="G323:H323"/>
    <mergeCell ref="G324:H324"/>
    <mergeCell ref="G325:H325"/>
    <mergeCell ref="G326:H326"/>
    <mergeCell ref="G327:H327"/>
    <mergeCell ref="G328:H328"/>
    <mergeCell ref="G329:H329"/>
    <mergeCell ref="G330:H330"/>
    <mergeCell ref="G332:H332"/>
    <mergeCell ref="I332:L332"/>
    <mergeCell ref="I277:L277"/>
    <mergeCell ref="G278:H278"/>
    <mergeCell ref="J278:L286"/>
    <mergeCell ref="J256:L264"/>
    <mergeCell ref="J267:L275"/>
    <mergeCell ref="J289:L297"/>
    <mergeCell ref="J300:L308"/>
    <mergeCell ref="G253:H253"/>
    <mergeCell ref="I255:L255"/>
    <mergeCell ref="G257:H257"/>
    <mergeCell ref="G258:H258"/>
    <mergeCell ref="G259:H259"/>
    <mergeCell ref="G260:H260"/>
    <mergeCell ref="G261:H261"/>
    <mergeCell ref="G262:H262"/>
    <mergeCell ref="G263:H263"/>
    <mergeCell ref="G264:H264"/>
    <mergeCell ref="G266:H266"/>
    <mergeCell ref="I266:L266"/>
    <mergeCell ref="G267:H267"/>
    <mergeCell ref="G268:H268"/>
    <mergeCell ref="G269:H269"/>
    <mergeCell ref="G270:H270"/>
    <mergeCell ref="G271:H271"/>
    <mergeCell ref="I288:L288"/>
    <mergeCell ref="G289:H289"/>
    <mergeCell ref="G290:H290"/>
    <mergeCell ref="G300:H300"/>
    <mergeCell ref="G301:H301"/>
    <mergeCell ref="G293:H293"/>
    <mergeCell ref="G294:H294"/>
    <mergeCell ref="G295:H295"/>
    <mergeCell ref="G296:H296"/>
    <mergeCell ref="G297:H297"/>
    <mergeCell ref="G299:H299"/>
    <mergeCell ref="I299:L299"/>
    <mergeCell ref="I244:L244"/>
    <mergeCell ref="G245:H245"/>
    <mergeCell ref="J245:L253"/>
    <mergeCell ref="G246:H246"/>
    <mergeCell ref="G231:H231"/>
    <mergeCell ref="G233:H233"/>
    <mergeCell ref="I233:L233"/>
    <mergeCell ref="G234:H234"/>
    <mergeCell ref="G235:H235"/>
    <mergeCell ref="G236:H236"/>
    <mergeCell ref="G237:H237"/>
    <mergeCell ref="G238:H238"/>
    <mergeCell ref="G239:H239"/>
    <mergeCell ref="J234:L242"/>
    <mergeCell ref="G240:H240"/>
    <mergeCell ref="G241:H241"/>
    <mergeCell ref="G242:H242"/>
    <mergeCell ref="A212:A220"/>
    <mergeCell ref="A223:A231"/>
    <mergeCell ref="G283:H283"/>
    <mergeCell ref="G284:H284"/>
    <mergeCell ref="G285:H285"/>
    <mergeCell ref="G286:H286"/>
    <mergeCell ref="G247:H247"/>
    <mergeCell ref="G248:H248"/>
    <mergeCell ref="G255:H255"/>
    <mergeCell ref="G256:H256"/>
    <mergeCell ref="B223:D231"/>
    <mergeCell ref="B234:D242"/>
    <mergeCell ref="E234:E242"/>
    <mergeCell ref="F234:F242"/>
    <mergeCell ref="G249:H249"/>
    <mergeCell ref="G250:H250"/>
    <mergeCell ref="G251:H251"/>
    <mergeCell ref="G252:H252"/>
    <mergeCell ref="G244:H244"/>
    <mergeCell ref="G275:H275"/>
    <mergeCell ref="G277:H277"/>
    <mergeCell ref="G272:H272"/>
    <mergeCell ref="G273:H273"/>
    <mergeCell ref="G274:H274"/>
    <mergeCell ref="A189:D189"/>
    <mergeCell ref="G178:H178"/>
    <mergeCell ref="G179:H179"/>
    <mergeCell ref="A171:A179"/>
    <mergeCell ref="B171:D179"/>
    <mergeCell ref="E171:E179"/>
    <mergeCell ref="F171:F179"/>
    <mergeCell ref="J171:L179"/>
    <mergeCell ref="G172:H172"/>
    <mergeCell ref="G173:H173"/>
    <mergeCell ref="G181:H181"/>
    <mergeCell ref="G182:H182"/>
    <mergeCell ref="G183:H183"/>
    <mergeCell ref="G184:H184"/>
    <mergeCell ref="G185:H185"/>
    <mergeCell ref="G186:H186"/>
    <mergeCell ref="G187:H187"/>
    <mergeCell ref="G189:H189"/>
    <mergeCell ref="G174:H174"/>
    <mergeCell ref="G175:H175"/>
    <mergeCell ref="G176:H176"/>
    <mergeCell ref="G171:H171"/>
    <mergeCell ref="A164:D164"/>
    <mergeCell ref="A165:A168"/>
    <mergeCell ref="B165:D168"/>
    <mergeCell ref="E165:E168"/>
    <mergeCell ref="F165:F168"/>
    <mergeCell ref="G158:H158"/>
    <mergeCell ref="G159:H159"/>
    <mergeCell ref="B182:D187"/>
    <mergeCell ref="E182:E187"/>
    <mergeCell ref="F182:F187"/>
    <mergeCell ref="G165:H168"/>
    <mergeCell ref="G177:H177"/>
    <mergeCell ref="A181:D181"/>
    <mergeCell ref="A182:A187"/>
    <mergeCell ref="A170:D170"/>
    <mergeCell ref="G170:H170"/>
    <mergeCell ref="A153:D153"/>
    <mergeCell ref="G153:H153"/>
    <mergeCell ref="I153:L153"/>
    <mergeCell ref="G154:H154"/>
    <mergeCell ref="G155:H155"/>
    <mergeCell ref="G156:H156"/>
    <mergeCell ref="G157:H157"/>
    <mergeCell ref="A143:A151"/>
    <mergeCell ref="B143:D151"/>
    <mergeCell ref="E143:E151"/>
    <mergeCell ref="F143:F151"/>
    <mergeCell ref="J143:L151"/>
    <mergeCell ref="G144:H144"/>
    <mergeCell ref="G145:H145"/>
    <mergeCell ref="A154:A162"/>
    <mergeCell ref="E154:E162"/>
    <mergeCell ref="F154:F162"/>
    <mergeCell ref="J154:L162"/>
    <mergeCell ref="G162:H162"/>
    <mergeCell ref="B154:D162"/>
    <mergeCell ref="G148:H148"/>
    <mergeCell ref="A142:D142"/>
    <mergeCell ref="G142:H142"/>
    <mergeCell ref="I142:L142"/>
    <mergeCell ref="G143:H143"/>
    <mergeCell ref="G146:H146"/>
    <mergeCell ref="G147:H147"/>
    <mergeCell ref="I126:I129"/>
    <mergeCell ref="J126:L129"/>
    <mergeCell ref="I131:L131"/>
    <mergeCell ref="J132:L140"/>
    <mergeCell ref="G133:H133"/>
    <mergeCell ref="G134:H134"/>
    <mergeCell ref="G135:H135"/>
    <mergeCell ref="G132:H132"/>
    <mergeCell ref="A132:A140"/>
    <mergeCell ref="B126:D129"/>
    <mergeCell ref="E126:E129"/>
    <mergeCell ref="A131:D131"/>
    <mergeCell ref="B132:D140"/>
    <mergeCell ref="E132:E140"/>
    <mergeCell ref="F132:F140"/>
    <mergeCell ref="G136:H136"/>
    <mergeCell ref="G137:H137"/>
    <mergeCell ref="G138:H138"/>
    <mergeCell ref="G139:H139"/>
    <mergeCell ref="G140:H140"/>
    <mergeCell ref="E74:E82"/>
    <mergeCell ref="A122:L123"/>
    <mergeCell ref="A125:D125"/>
    <mergeCell ref="G125:H125"/>
    <mergeCell ref="I125:L125"/>
    <mergeCell ref="A126:A129"/>
    <mergeCell ref="F126:F129"/>
    <mergeCell ref="G126:H129"/>
    <mergeCell ref="G131:H131"/>
    <mergeCell ref="A99:D99"/>
    <mergeCell ref="G99:H99"/>
    <mergeCell ref="I99:L99"/>
    <mergeCell ref="A100:A108"/>
    <mergeCell ref="B100:D108"/>
    <mergeCell ref="E100:E108"/>
    <mergeCell ref="F100:F108"/>
    <mergeCell ref="G100:H100"/>
    <mergeCell ref="J100:L108"/>
    <mergeCell ref="G101:H101"/>
    <mergeCell ref="G102:H102"/>
    <mergeCell ref="G103:H103"/>
    <mergeCell ref="G104:H104"/>
    <mergeCell ref="A85:L86"/>
    <mergeCell ref="I88:L88"/>
    <mergeCell ref="G97:H97"/>
    <mergeCell ref="G90:H90"/>
    <mergeCell ref="G91:H91"/>
    <mergeCell ref="G92:H92"/>
    <mergeCell ref="G93:H93"/>
    <mergeCell ref="G94:H94"/>
    <mergeCell ref="G95:H95"/>
    <mergeCell ref="G96:H96"/>
    <mergeCell ref="G88:H88"/>
    <mergeCell ref="G89:H89"/>
    <mergeCell ref="J89:L97"/>
    <mergeCell ref="E614:I614"/>
    <mergeCell ref="E615:I615"/>
    <mergeCell ref="E63:E71"/>
    <mergeCell ref="F63:F71"/>
    <mergeCell ref="A52:A60"/>
    <mergeCell ref="B52:D60"/>
    <mergeCell ref="E52:E60"/>
    <mergeCell ref="F52:F60"/>
    <mergeCell ref="A62:D62"/>
    <mergeCell ref="B63:D71"/>
    <mergeCell ref="E613:I613"/>
    <mergeCell ref="G105:H105"/>
    <mergeCell ref="G106:H106"/>
    <mergeCell ref="F74:F82"/>
    <mergeCell ref="A88:D88"/>
    <mergeCell ref="B89:D97"/>
    <mergeCell ref="E89:E97"/>
    <mergeCell ref="F89:F97"/>
    <mergeCell ref="A63:A71"/>
    <mergeCell ref="A74:A82"/>
    <mergeCell ref="A89:A97"/>
    <mergeCell ref="A73:D73"/>
    <mergeCell ref="B74:D82"/>
    <mergeCell ref="G75:H75"/>
  </mergeCells>
  <conditionalFormatting sqref="H93:H97 H480:H484 I23:I24 I26:I27 I477:I484">
    <cfRule type="cellIs" dxfId="343" priority="31" operator="lessThan">
      <formula>0.1</formula>
    </cfRule>
  </conditionalFormatting>
  <conditionalFormatting sqref="I45:I46 I48:I49">
    <cfRule type="cellIs" dxfId="342" priority="18" operator="lessThan">
      <formula>0.1</formula>
    </cfRule>
  </conditionalFormatting>
  <conditionalFormatting sqref="H12:H16">
    <cfRule type="cellIs" dxfId="341" priority="33" operator="lessThan">
      <formula>0.1</formula>
    </cfRule>
  </conditionalFormatting>
  <conditionalFormatting sqref="I12:I16">
    <cfRule type="cellIs" dxfId="340" priority="34" operator="lessThan">
      <formula>0.1</formula>
    </cfRule>
  </conditionalFormatting>
  <conditionalFormatting sqref="I9:I11">
    <cfRule type="cellIs" dxfId="339" priority="35" operator="lessThan">
      <formula>0.1</formula>
    </cfRule>
  </conditionalFormatting>
  <conditionalFormatting sqref="I36">
    <cfRule type="cellIs" dxfId="338" priority="25" operator="lessThan">
      <formula>0.1</formula>
    </cfRule>
  </conditionalFormatting>
  <conditionalFormatting sqref="H45:H49">
    <cfRule type="cellIs" dxfId="337" priority="22" operator="lessThan">
      <formula>0.1</formula>
    </cfRule>
  </conditionalFormatting>
  <conditionalFormatting sqref="I31:I33">
    <cfRule type="cellIs" dxfId="336" priority="24" operator="lessThan">
      <formula>0.1</formula>
    </cfRule>
  </conditionalFormatting>
  <conditionalFormatting sqref="H67:H71">
    <cfRule type="cellIs" dxfId="335" priority="40" operator="lessThan">
      <formula>0.1</formula>
    </cfRule>
  </conditionalFormatting>
  <conditionalFormatting sqref="I68:I71">
    <cfRule type="cellIs" dxfId="334" priority="41" operator="lessThan">
      <formula>0.1</formula>
    </cfRule>
  </conditionalFormatting>
  <conditionalFormatting sqref="I64">
    <cfRule type="cellIs" dxfId="333" priority="43" operator="lessThan">
      <formula>0.1</formula>
    </cfRule>
  </conditionalFormatting>
  <conditionalFormatting sqref="I67">
    <cfRule type="cellIs" dxfId="332" priority="49" operator="lessThan">
      <formula>0.1</formula>
    </cfRule>
  </conditionalFormatting>
  <conditionalFormatting sqref="I90">
    <cfRule type="cellIs" dxfId="331" priority="50" operator="lessThan">
      <formula>0.1</formula>
    </cfRule>
  </conditionalFormatting>
  <conditionalFormatting sqref="I65:I66">
    <cfRule type="cellIs" dxfId="330" priority="52" operator="lessThan">
      <formula>0.1</formula>
    </cfRule>
  </conditionalFormatting>
  <conditionalFormatting sqref="I91:I92">
    <cfRule type="cellIs" dxfId="329" priority="53" operator="lessThan">
      <formula>0.1</formula>
    </cfRule>
  </conditionalFormatting>
  <conditionalFormatting sqref="I94:I97">
    <cfRule type="cellIs" dxfId="328" priority="54" operator="lessThan">
      <formula>0.1</formula>
    </cfRule>
  </conditionalFormatting>
  <conditionalFormatting sqref="H23:H27">
    <cfRule type="cellIs" dxfId="327" priority="125" operator="lessThan">
      <formula>0.1</formula>
    </cfRule>
  </conditionalFormatting>
  <conditionalFormatting sqref="I20:I22">
    <cfRule type="cellIs" dxfId="326" priority="126" operator="lessThan">
      <formula>0.1</formula>
    </cfRule>
  </conditionalFormatting>
  <conditionalFormatting sqref="I93">
    <cfRule type="cellIs" dxfId="325" priority="131" operator="lessThan">
      <formula>0.1</formula>
    </cfRule>
  </conditionalFormatting>
  <conditionalFormatting sqref="I133:I140">
    <cfRule type="cellIs" dxfId="324" priority="280" operator="lessThan">
      <formula>0.1</formula>
    </cfRule>
  </conditionalFormatting>
  <conditionalFormatting sqref="H158:H162">
    <cfRule type="cellIs" dxfId="323" priority="281" operator="lessThan">
      <formula>0.1</formula>
    </cfRule>
  </conditionalFormatting>
  <conditionalFormatting sqref="I155:I161">
    <cfRule type="cellIs" dxfId="322" priority="282" operator="lessThan">
      <formula>0.1</formula>
    </cfRule>
  </conditionalFormatting>
  <conditionalFormatting sqref="H194:H198">
    <cfRule type="cellIs" dxfId="321" priority="283" operator="lessThan">
      <formula>0.1</formula>
    </cfRule>
  </conditionalFormatting>
  <conditionalFormatting sqref="I191:I198">
    <cfRule type="cellIs" dxfId="320" priority="284" operator="lessThan">
      <formula>0.1</formula>
    </cfRule>
  </conditionalFormatting>
  <conditionalFormatting sqref="I202:I209">
    <cfRule type="cellIs" dxfId="319" priority="285" operator="lessThan">
      <formula>0.1</formula>
    </cfRule>
  </conditionalFormatting>
  <conditionalFormatting sqref="I224:I231">
    <cfRule type="cellIs" dxfId="318" priority="286" operator="lessThan">
      <formula>0.1</formula>
    </cfRule>
  </conditionalFormatting>
  <conditionalFormatting sqref="H238:H242">
    <cfRule type="cellIs" dxfId="317" priority="287" operator="lessThan">
      <formula>0.1</formula>
    </cfRule>
  </conditionalFormatting>
  <conditionalFormatting sqref="I235:I242">
    <cfRule type="cellIs" dxfId="316" priority="288" operator="lessThan">
      <formula>0.1</formula>
    </cfRule>
  </conditionalFormatting>
  <conditionalFormatting sqref="H175:H179">
    <cfRule type="cellIs" dxfId="315" priority="289" operator="lessThan">
      <formula>0.1</formula>
    </cfRule>
  </conditionalFormatting>
  <conditionalFormatting sqref="H136:H140">
    <cfRule type="cellIs" dxfId="314" priority="290" operator="lessThan">
      <formula>0.1</formula>
    </cfRule>
  </conditionalFormatting>
  <conditionalFormatting sqref="H205:H209">
    <cfRule type="cellIs" dxfId="313" priority="291" operator="lessThan">
      <formula>0.1</formula>
    </cfRule>
  </conditionalFormatting>
  <conditionalFormatting sqref="H249:H253">
    <cfRule type="cellIs" dxfId="312" priority="292" operator="lessThan">
      <formula>0.1</formula>
    </cfRule>
  </conditionalFormatting>
  <conditionalFormatting sqref="H282:H286">
    <cfRule type="cellIs" dxfId="311" priority="293" operator="lessThan">
      <formula>0.1</formula>
    </cfRule>
  </conditionalFormatting>
  <conditionalFormatting sqref="H293:H297">
    <cfRule type="cellIs" dxfId="310" priority="294" operator="lessThan">
      <formula>0.1</formula>
    </cfRule>
  </conditionalFormatting>
  <conditionalFormatting sqref="I279:I286">
    <cfRule type="cellIs" dxfId="309" priority="295" operator="lessThan">
      <formula>0.1</formula>
    </cfRule>
  </conditionalFormatting>
  <conditionalFormatting sqref="I246:I253">
    <cfRule type="cellIs" dxfId="308" priority="296" operator="lessThan">
      <formula>0.1</formula>
    </cfRule>
  </conditionalFormatting>
  <conditionalFormatting sqref="I290:I297">
    <cfRule type="cellIs" dxfId="307" priority="297" operator="lessThan">
      <formula>0.1</formula>
    </cfRule>
  </conditionalFormatting>
  <conditionalFormatting sqref="H304:H308">
    <cfRule type="cellIs" dxfId="306" priority="298" operator="lessThan">
      <formula>0.1</formula>
    </cfRule>
  </conditionalFormatting>
  <conditionalFormatting sqref="H315:H319">
    <cfRule type="cellIs" dxfId="305" priority="299" operator="lessThan">
      <formula>0.1</formula>
    </cfRule>
  </conditionalFormatting>
  <conditionalFormatting sqref="I301:I308">
    <cfRule type="cellIs" dxfId="304" priority="300" operator="lessThan">
      <formula>0.1</formula>
    </cfRule>
  </conditionalFormatting>
  <conditionalFormatting sqref="I312:I319">
    <cfRule type="cellIs" dxfId="303" priority="301" operator="lessThan">
      <formula>0.1</formula>
    </cfRule>
  </conditionalFormatting>
  <conditionalFormatting sqref="I323:I330">
    <cfRule type="cellIs" dxfId="302" priority="302" operator="lessThan">
      <formula>0.1</formula>
    </cfRule>
  </conditionalFormatting>
  <conditionalFormatting sqref="H326:H330">
    <cfRule type="cellIs" dxfId="301" priority="303" operator="lessThan">
      <formula>0.1</formula>
    </cfRule>
  </conditionalFormatting>
  <conditionalFormatting sqref="I334:I341">
    <cfRule type="cellIs" dxfId="300" priority="304" operator="lessThan">
      <formula>0.1</formula>
    </cfRule>
  </conditionalFormatting>
  <conditionalFormatting sqref="H337:H341">
    <cfRule type="cellIs" dxfId="299" priority="305" operator="lessThan">
      <formula>0.1</formula>
    </cfRule>
  </conditionalFormatting>
  <conditionalFormatting sqref="I345:I352">
    <cfRule type="cellIs" dxfId="298" priority="306" operator="lessThan">
      <formula>0.1</formula>
    </cfRule>
  </conditionalFormatting>
  <conditionalFormatting sqref="H348:H352">
    <cfRule type="cellIs" dxfId="297" priority="307" operator="lessThan">
      <formula>0.1</formula>
    </cfRule>
  </conditionalFormatting>
  <conditionalFormatting sqref="I356:I363">
    <cfRule type="cellIs" dxfId="296" priority="308" operator="lessThan">
      <formula>0.1</formula>
    </cfRule>
  </conditionalFormatting>
  <conditionalFormatting sqref="H359:H363">
    <cfRule type="cellIs" dxfId="295" priority="309" operator="lessThan">
      <formula>0.1</formula>
    </cfRule>
  </conditionalFormatting>
  <conditionalFormatting sqref="H370:H374">
    <cfRule type="cellIs" dxfId="294" priority="310" operator="lessThan">
      <formula>0.1</formula>
    </cfRule>
  </conditionalFormatting>
  <conditionalFormatting sqref="I367:I374">
    <cfRule type="cellIs" dxfId="293" priority="311" operator="lessThan">
      <formula>0.1</formula>
    </cfRule>
  </conditionalFormatting>
  <conditionalFormatting sqref="H381:H385">
    <cfRule type="cellIs" dxfId="292" priority="312" operator="lessThan">
      <formula>0.1</formula>
    </cfRule>
  </conditionalFormatting>
  <conditionalFormatting sqref="I378:I385">
    <cfRule type="cellIs" dxfId="291" priority="313" operator="lessThan">
      <formula>0.1</formula>
    </cfRule>
  </conditionalFormatting>
  <conditionalFormatting sqref="H392:H396">
    <cfRule type="cellIs" dxfId="290" priority="314" operator="lessThan">
      <formula>0.1</formula>
    </cfRule>
  </conditionalFormatting>
  <conditionalFormatting sqref="I389:I396">
    <cfRule type="cellIs" dxfId="289" priority="315" operator="lessThan">
      <formula>0.1</formula>
    </cfRule>
  </conditionalFormatting>
  <conditionalFormatting sqref="H403:H407">
    <cfRule type="cellIs" dxfId="288" priority="316" operator="lessThan">
      <formula>0.1</formula>
    </cfRule>
  </conditionalFormatting>
  <conditionalFormatting sqref="I400:I407">
    <cfRule type="cellIs" dxfId="287" priority="317" operator="lessThan">
      <formula>0.1</formula>
    </cfRule>
  </conditionalFormatting>
  <conditionalFormatting sqref="H414:H418">
    <cfRule type="cellIs" dxfId="286" priority="318" operator="lessThan">
      <formula>0.1</formula>
    </cfRule>
  </conditionalFormatting>
  <conditionalFormatting sqref="I411:I418">
    <cfRule type="cellIs" dxfId="285" priority="319" operator="lessThan">
      <formula>0.1</formula>
    </cfRule>
  </conditionalFormatting>
  <conditionalFormatting sqref="H425:H429">
    <cfRule type="cellIs" dxfId="284" priority="320" operator="lessThan">
      <formula>0.1</formula>
    </cfRule>
  </conditionalFormatting>
  <conditionalFormatting sqref="I422:I429">
    <cfRule type="cellIs" dxfId="283" priority="321" operator="lessThan">
      <formula>0.1</formula>
    </cfRule>
  </conditionalFormatting>
  <conditionalFormatting sqref="H436:H440">
    <cfRule type="cellIs" dxfId="282" priority="322" operator="lessThan">
      <formula>0.1</formula>
    </cfRule>
  </conditionalFormatting>
  <conditionalFormatting sqref="I433:I440">
    <cfRule type="cellIs" dxfId="281" priority="323" operator="lessThan">
      <formula>0.1</formula>
    </cfRule>
  </conditionalFormatting>
  <conditionalFormatting sqref="H447:H451">
    <cfRule type="cellIs" dxfId="280" priority="324" operator="lessThan">
      <formula>0.1</formula>
    </cfRule>
  </conditionalFormatting>
  <conditionalFormatting sqref="I444:I451">
    <cfRule type="cellIs" dxfId="279" priority="325" operator="lessThan">
      <formula>0.1</formula>
    </cfRule>
  </conditionalFormatting>
  <conditionalFormatting sqref="H458:H462">
    <cfRule type="cellIs" dxfId="278" priority="326" operator="lessThan">
      <formula>0.1</formula>
    </cfRule>
  </conditionalFormatting>
  <conditionalFormatting sqref="I455:I462">
    <cfRule type="cellIs" dxfId="277" priority="327" operator="lessThan">
      <formula>0.1</formula>
    </cfRule>
  </conditionalFormatting>
  <conditionalFormatting sqref="H225:H231">
    <cfRule type="cellIs" dxfId="276" priority="328" operator="lessThan">
      <formula>0.1</formula>
    </cfRule>
  </conditionalFormatting>
  <conditionalFormatting sqref="H216:H220">
    <cfRule type="cellIs" dxfId="275" priority="329" operator="lessThan">
      <formula>0.1</formula>
    </cfRule>
  </conditionalFormatting>
  <conditionalFormatting sqref="I213:I220">
    <cfRule type="cellIs" dxfId="274" priority="330" operator="lessThan">
      <formula>0.1</formula>
    </cfRule>
  </conditionalFormatting>
  <conditionalFormatting sqref="H469:H473">
    <cfRule type="cellIs" dxfId="273" priority="331" operator="lessThan">
      <formula>0.1</formula>
    </cfRule>
  </conditionalFormatting>
  <conditionalFormatting sqref="I466:I473">
    <cfRule type="cellIs" dxfId="272" priority="332" operator="lessThan">
      <formula>0.1</formula>
    </cfRule>
  </conditionalFormatting>
  <conditionalFormatting sqref="H260:H264">
    <cfRule type="cellIs" dxfId="271" priority="333" operator="lessThan">
      <formula>0.1</formula>
    </cfRule>
  </conditionalFormatting>
  <conditionalFormatting sqref="I257:I264">
    <cfRule type="cellIs" dxfId="270" priority="334" operator="lessThan">
      <formula>0.1</formula>
    </cfRule>
  </conditionalFormatting>
  <conditionalFormatting sqref="H271:H275">
    <cfRule type="cellIs" dxfId="269" priority="335" operator="lessThan">
      <formula>0.1</formula>
    </cfRule>
  </conditionalFormatting>
  <conditionalFormatting sqref="I268:I275">
    <cfRule type="cellIs" dxfId="268" priority="336" operator="lessThan">
      <formula>0.1</formula>
    </cfRule>
  </conditionalFormatting>
  <conditionalFormatting sqref="E525">
    <cfRule type="cellIs" dxfId="267" priority="337" operator="lessThan">
      <formula>0.1</formula>
    </cfRule>
  </conditionalFormatting>
  <conditionalFormatting sqref="H78:H82">
    <cfRule type="cellIs" dxfId="266" priority="349" operator="lessThan">
      <formula>0.1</formula>
    </cfRule>
  </conditionalFormatting>
  <conditionalFormatting sqref="I75">
    <cfRule type="cellIs" dxfId="265" priority="350" operator="lessThan">
      <formula>0.1</formula>
    </cfRule>
  </conditionalFormatting>
  <conditionalFormatting sqref="I76:I77">
    <cfRule type="cellIs" dxfId="264" priority="351" operator="lessThan">
      <formula>0.1</formula>
    </cfRule>
  </conditionalFormatting>
  <conditionalFormatting sqref="I79:I82">
    <cfRule type="cellIs" dxfId="263" priority="352" operator="lessThan">
      <formula>0.1</formula>
    </cfRule>
  </conditionalFormatting>
  <conditionalFormatting sqref="I78">
    <cfRule type="cellIs" dxfId="262" priority="353" operator="lessThan">
      <formula>0.1</formula>
    </cfRule>
  </conditionalFormatting>
  <conditionalFormatting sqref="I171:I179">
    <cfRule type="cellIs" dxfId="261" priority="397" operator="lessThan">
      <formula>0.1</formula>
    </cfRule>
  </conditionalFormatting>
  <conditionalFormatting sqref="I144:I151">
    <cfRule type="cellIs" dxfId="260" priority="398" operator="lessThan">
      <formula>0.1</formula>
    </cfRule>
  </conditionalFormatting>
  <conditionalFormatting sqref="I182:I187">
    <cfRule type="cellIs" dxfId="259" priority="400" operator="lessThan">
      <formula>0.1</formula>
    </cfRule>
  </conditionalFormatting>
  <conditionalFormatting sqref="H147:H151">
    <cfRule type="cellIs" dxfId="258" priority="402" operator="lessThan">
      <formula>0.1</formula>
    </cfRule>
  </conditionalFormatting>
  <conditionalFormatting sqref="H185:H187">
    <cfRule type="cellIs" dxfId="257" priority="403" operator="lessThan">
      <formula>0.1</formula>
    </cfRule>
  </conditionalFormatting>
  <conditionalFormatting sqref="H491:H495 I488:I495">
    <cfRule type="cellIs" dxfId="256" priority="411" operator="lessThan">
      <formula>0.1</formula>
    </cfRule>
  </conditionalFormatting>
  <conditionalFormatting sqref="H513:H517 I510:I517">
    <cfRule type="cellIs" dxfId="255" priority="412" operator="lessThan">
      <formula>0.1</formula>
    </cfRule>
  </conditionalFormatting>
  <conditionalFormatting sqref="H502:H506 I499:I506">
    <cfRule type="cellIs" dxfId="254" priority="413" operator="lessThan">
      <formula>0.1</formula>
    </cfRule>
  </conditionalFormatting>
  <conditionalFormatting sqref="I267">
    <cfRule type="cellIs" dxfId="253" priority="472" operator="lessThan">
      <formula>0.1</formula>
    </cfRule>
  </conditionalFormatting>
  <conditionalFormatting sqref="I25">
    <cfRule type="cellIs" dxfId="252" priority="494" operator="lessThan">
      <formula>0.1</formula>
    </cfRule>
  </conditionalFormatting>
  <conditionalFormatting sqref="I89">
    <cfRule type="cellIs" dxfId="251" priority="526" operator="lessThan">
      <formula>0.1</formula>
    </cfRule>
  </conditionalFormatting>
  <conditionalFormatting sqref="I74">
    <cfRule type="cellIs" dxfId="250" priority="527" operator="lessThan">
      <formula>0.1</formula>
    </cfRule>
  </conditionalFormatting>
  <conditionalFormatting sqref="I63">
    <cfRule type="cellIs" dxfId="249" priority="528" operator="lessThan">
      <formula>0.1</formula>
    </cfRule>
  </conditionalFormatting>
  <conditionalFormatting sqref="I19">
    <cfRule type="cellIs" dxfId="248" priority="532" operator="lessThan">
      <formula>0.1</formula>
    </cfRule>
  </conditionalFormatting>
  <conditionalFormatting sqref="I8">
    <cfRule type="cellIs" dxfId="247" priority="533" operator="lessThan">
      <formula>0.1</formula>
    </cfRule>
  </conditionalFormatting>
  <conditionalFormatting sqref="I132">
    <cfRule type="cellIs" dxfId="246" priority="561" operator="lessThan">
      <formula>0.1</formula>
    </cfRule>
  </conditionalFormatting>
  <conditionalFormatting sqref="I143">
    <cfRule type="cellIs" dxfId="245" priority="563" operator="lessThan">
      <formula>0.1</formula>
    </cfRule>
  </conditionalFormatting>
  <conditionalFormatting sqref="I190">
    <cfRule type="cellIs" dxfId="244" priority="564" operator="lessThan">
      <formula>0.1</formula>
    </cfRule>
  </conditionalFormatting>
  <conditionalFormatting sqref="I201">
    <cfRule type="cellIs" dxfId="243" priority="565" operator="lessThan">
      <formula>0.1</formula>
    </cfRule>
  </conditionalFormatting>
  <conditionalFormatting sqref="I212">
    <cfRule type="cellIs" dxfId="242" priority="566" operator="lessThan">
      <formula>0.1</formula>
    </cfRule>
  </conditionalFormatting>
  <conditionalFormatting sqref="I223">
    <cfRule type="cellIs" dxfId="241" priority="570" operator="lessThan">
      <formula>0.1</formula>
    </cfRule>
  </conditionalFormatting>
  <conditionalFormatting sqref="I234">
    <cfRule type="cellIs" dxfId="240" priority="571" operator="lessThan">
      <formula>0.1</formula>
    </cfRule>
  </conditionalFormatting>
  <conditionalFormatting sqref="I245">
    <cfRule type="cellIs" dxfId="239" priority="572" operator="lessThan">
      <formula>0.1</formula>
    </cfRule>
  </conditionalFormatting>
  <conditionalFormatting sqref="I256">
    <cfRule type="cellIs" dxfId="238" priority="574" operator="lessThan">
      <formula>0.1</formula>
    </cfRule>
  </conditionalFormatting>
  <conditionalFormatting sqref="I278">
    <cfRule type="cellIs" dxfId="237" priority="575" operator="lessThan">
      <formula>0.1</formula>
    </cfRule>
  </conditionalFormatting>
  <conditionalFormatting sqref="I289">
    <cfRule type="cellIs" dxfId="236" priority="577" operator="lessThan">
      <formula>0.1</formula>
    </cfRule>
  </conditionalFormatting>
  <conditionalFormatting sqref="I300">
    <cfRule type="cellIs" dxfId="235" priority="578" operator="lessThan">
      <formula>0.1</formula>
    </cfRule>
  </conditionalFormatting>
  <conditionalFormatting sqref="I311">
    <cfRule type="cellIs" dxfId="234" priority="579" operator="lessThan">
      <formula>0.1</formula>
    </cfRule>
  </conditionalFormatting>
  <conditionalFormatting sqref="I322">
    <cfRule type="cellIs" dxfId="233" priority="580" operator="lessThan">
      <formula>0.1</formula>
    </cfRule>
  </conditionalFormatting>
  <conditionalFormatting sqref="I333">
    <cfRule type="cellIs" dxfId="232" priority="581" operator="lessThan">
      <formula>0.1</formula>
    </cfRule>
  </conditionalFormatting>
  <conditionalFormatting sqref="I344">
    <cfRule type="cellIs" dxfId="231" priority="582" operator="lessThan">
      <formula>0.1</formula>
    </cfRule>
  </conditionalFormatting>
  <conditionalFormatting sqref="I355">
    <cfRule type="cellIs" dxfId="230" priority="583" operator="lessThan">
      <formula>0.1</formula>
    </cfRule>
  </conditionalFormatting>
  <conditionalFormatting sqref="I366">
    <cfRule type="cellIs" dxfId="229" priority="584" operator="lessThan">
      <formula>0.1</formula>
    </cfRule>
  </conditionalFormatting>
  <conditionalFormatting sqref="I377">
    <cfRule type="cellIs" dxfId="228" priority="585" operator="lessThan">
      <formula>0.1</formula>
    </cfRule>
  </conditionalFormatting>
  <conditionalFormatting sqref="I388">
    <cfRule type="cellIs" dxfId="227" priority="586" operator="lessThan">
      <formula>0.1</formula>
    </cfRule>
  </conditionalFormatting>
  <conditionalFormatting sqref="I399">
    <cfRule type="cellIs" dxfId="226" priority="587" operator="lessThan">
      <formula>0.1</formula>
    </cfRule>
  </conditionalFormatting>
  <conditionalFormatting sqref="I410">
    <cfRule type="cellIs" dxfId="225" priority="588" operator="lessThan">
      <formula>0.1</formula>
    </cfRule>
  </conditionalFormatting>
  <conditionalFormatting sqref="I421">
    <cfRule type="cellIs" dxfId="224" priority="589" operator="lessThan">
      <formula>0.1</formula>
    </cfRule>
  </conditionalFormatting>
  <conditionalFormatting sqref="I432">
    <cfRule type="cellIs" dxfId="223" priority="590" operator="lessThan">
      <formula>0.1</formula>
    </cfRule>
  </conditionalFormatting>
  <conditionalFormatting sqref="I443">
    <cfRule type="cellIs" dxfId="222" priority="591" operator="lessThan">
      <formula>0.1</formula>
    </cfRule>
  </conditionalFormatting>
  <conditionalFormatting sqref="I454">
    <cfRule type="cellIs" dxfId="221" priority="592" operator="lessThan">
      <formula>0.1</formula>
    </cfRule>
  </conditionalFormatting>
  <conditionalFormatting sqref="I465">
    <cfRule type="cellIs" dxfId="220" priority="593" operator="lessThan">
      <formula>0.1</formula>
    </cfRule>
  </conditionalFormatting>
  <conditionalFormatting sqref="I476">
    <cfRule type="cellIs" dxfId="219" priority="594" operator="lessThan">
      <formula>0.1</formula>
    </cfRule>
  </conditionalFormatting>
  <conditionalFormatting sqref="I487">
    <cfRule type="cellIs" dxfId="218" priority="595" operator="lessThan">
      <formula>0.1</formula>
    </cfRule>
  </conditionalFormatting>
  <conditionalFormatting sqref="I498">
    <cfRule type="cellIs" dxfId="217" priority="596" operator="lessThan">
      <formula>0.1</formula>
    </cfRule>
  </conditionalFormatting>
  <conditionalFormatting sqref="I509">
    <cfRule type="cellIs" dxfId="216" priority="597" operator="lessThan">
      <formula>0.1</formula>
    </cfRule>
  </conditionalFormatting>
  <conditionalFormatting sqref="I58">
    <cfRule type="cellIs" dxfId="215" priority="15" operator="lessThan">
      <formula>0.1</formula>
    </cfRule>
  </conditionalFormatting>
  <conditionalFormatting sqref="I53:I55">
    <cfRule type="cellIs" dxfId="214" priority="14" operator="lessThan">
      <formula>0.1</formula>
    </cfRule>
  </conditionalFormatting>
  <conditionalFormatting sqref="I56:I57 I59:I60">
    <cfRule type="cellIs" dxfId="213" priority="13" operator="lessThan">
      <formula>0.1</formula>
    </cfRule>
  </conditionalFormatting>
  <conditionalFormatting sqref="H34:H38">
    <cfRule type="cellIs" dxfId="212" priority="27" operator="lessThan">
      <formula>0.1</formula>
    </cfRule>
  </conditionalFormatting>
  <conditionalFormatting sqref="I34:I35 I37:I38">
    <cfRule type="cellIs" dxfId="211" priority="23" operator="lessThan">
      <formula>0.1</formula>
    </cfRule>
  </conditionalFormatting>
  <conditionalFormatting sqref="I100">
    <cfRule type="cellIs" dxfId="210" priority="12" operator="lessThan">
      <formula>0.1</formula>
    </cfRule>
  </conditionalFormatting>
  <conditionalFormatting sqref="I42:I44">
    <cfRule type="cellIs" dxfId="209" priority="19" operator="lessThan">
      <formula>0.1</formula>
    </cfRule>
  </conditionalFormatting>
  <conditionalFormatting sqref="I30">
    <cfRule type="cellIs" dxfId="208" priority="26" operator="lessThan">
      <formula>0.1</formula>
    </cfRule>
  </conditionalFormatting>
  <conditionalFormatting sqref="I52">
    <cfRule type="cellIs" dxfId="207" priority="16" operator="lessThan">
      <formula>0.1</formula>
    </cfRule>
  </conditionalFormatting>
  <conditionalFormatting sqref="I47">
    <cfRule type="cellIs" dxfId="206" priority="20" operator="lessThan">
      <formula>0.1</formula>
    </cfRule>
  </conditionalFormatting>
  <conditionalFormatting sqref="I41">
    <cfRule type="cellIs" dxfId="205" priority="21" operator="lessThan">
      <formula>0.1</formula>
    </cfRule>
  </conditionalFormatting>
  <conditionalFormatting sqref="H56:H60">
    <cfRule type="cellIs" dxfId="204" priority="17" operator="lessThan">
      <formula>0.1</formula>
    </cfRule>
  </conditionalFormatting>
  <conditionalFormatting sqref="H104:H108">
    <cfRule type="cellIs" dxfId="203" priority="7" operator="lessThan">
      <formula>0.1</formula>
    </cfRule>
  </conditionalFormatting>
  <conditionalFormatting sqref="I101">
    <cfRule type="cellIs" dxfId="202" priority="8" operator="lessThan">
      <formula>0.1</formula>
    </cfRule>
  </conditionalFormatting>
  <conditionalFormatting sqref="I102:I103">
    <cfRule type="cellIs" dxfId="201" priority="9" operator="lessThan">
      <formula>0.1</formula>
    </cfRule>
  </conditionalFormatting>
  <conditionalFormatting sqref="I105:I108">
    <cfRule type="cellIs" dxfId="200" priority="10" operator="lessThan">
      <formula>0.1</formula>
    </cfRule>
  </conditionalFormatting>
  <conditionalFormatting sqref="H115:H119">
    <cfRule type="cellIs" dxfId="199" priority="1" operator="lessThan">
      <formula>0.1</formula>
    </cfRule>
  </conditionalFormatting>
  <conditionalFormatting sqref="I112">
    <cfRule type="cellIs" dxfId="198" priority="2" operator="lessThan">
      <formula>0.1</formula>
    </cfRule>
  </conditionalFormatting>
  <conditionalFormatting sqref="I113:I114">
    <cfRule type="cellIs" dxfId="197" priority="3" operator="lessThan">
      <formula>0.1</formula>
    </cfRule>
  </conditionalFormatting>
  <conditionalFormatting sqref="I104">
    <cfRule type="cellIs" dxfId="196" priority="11" operator="lessThan">
      <formula>0.1</formula>
    </cfRule>
  </conditionalFormatting>
  <conditionalFormatting sqref="I111">
    <cfRule type="cellIs" dxfId="195" priority="6" operator="lessThan">
      <formula>0.1</formula>
    </cfRule>
  </conditionalFormatting>
  <conditionalFormatting sqref="I116:I119">
    <cfRule type="cellIs" dxfId="194" priority="4" operator="lessThan">
      <formula>0.1</formula>
    </cfRule>
  </conditionalFormatting>
  <conditionalFormatting sqref="I115">
    <cfRule type="cellIs" dxfId="193" priority="5" operator="lessThan">
      <formula>0.1</formula>
    </cfRule>
  </conditionalFormatting>
  <printOptions horizontalCentered="1"/>
  <pageMargins left="1.1811023622047245" right="1.1811023622047245" top="0.78740157480314965" bottom="0.78740157480314965" header="0" footer="0"/>
  <pageSetup scale="7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7"/>
  <dimension ref="A1:AC241"/>
  <sheetViews>
    <sheetView view="pageBreakPreview" topLeftCell="E1" zoomScale="70" zoomScaleNormal="100" zoomScaleSheetLayoutView="70" workbookViewId="0">
      <selection activeCell="I28" sqref="I28:I193"/>
    </sheetView>
  </sheetViews>
  <sheetFormatPr baseColWidth="10" defaultColWidth="12.7109375" defaultRowHeight="15" customHeight="1" x14ac:dyDescent="0.2"/>
  <cols>
    <col min="1" max="16" width="10.42578125" customWidth="1"/>
    <col min="17" max="17" width="11.42578125" customWidth="1"/>
    <col min="18" max="20" width="10.42578125" customWidth="1"/>
    <col min="21" max="21" width="11.42578125" customWidth="1"/>
    <col min="22" max="29" width="10.42578125" customWidth="1"/>
  </cols>
  <sheetData>
    <row r="1" spans="1:29" ht="12.75" customHeight="1" x14ac:dyDescent="0.2">
      <c r="A1" s="1056" t="s">
        <v>883</v>
      </c>
      <c r="B1" s="1029"/>
      <c r="C1" s="1029"/>
      <c r="D1" s="1029"/>
      <c r="E1" s="1029"/>
      <c r="F1" s="1029"/>
      <c r="G1" s="1029"/>
      <c r="H1" s="1029"/>
      <c r="I1" s="1029"/>
      <c r="J1" s="1029"/>
      <c r="K1" s="1029"/>
      <c r="L1" s="1029"/>
      <c r="M1" s="1029"/>
      <c r="N1" s="1029"/>
      <c r="O1" s="1029"/>
      <c r="P1" s="1029"/>
      <c r="Q1" s="1029"/>
      <c r="R1" s="1029"/>
      <c r="S1" s="1029"/>
      <c r="T1" s="1029"/>
      <c r="U1" s="1029"/>
      <c r="V1" s="1029"/>
      <c r="W1" s="1029"/>
      <c r="X1" s="1029"/>
      <c r="Y1" s="1029"/>
      <c r="Z1" s="1029"/>
      <c r="AA1" s="1029"/>
      <c r="AB1" s="1029"/>
      <c r="AC1" s="1029"/>
    </row>
    <row r="2" spans="1:29" ht="12.75" customHeight="1" x14ac:dyDescent="0.2">
      <c r="A2" s="887"/>
      <c r="B2" s="468"/>
      <c r="C2" s="468"/>
      <c r="D2" s="468"/>
      <c r="E2" s="468"/>
      <c r="F2" s="468"/>
      <c r="G2" s="468"/>
      <c r="H2" s="468"/>
      <c r="I2" s="468"/>
      <c r="J2" s="468"/>
      <c r="K2" s="468"/>
      <c r="L2" s="468"/>
      <c r="M2" s="468"/>
      <c r="N2" s="468"/>
      <c r="O2" s="468"/>
      <c r="P2" s="468"/>
      <c r="Q2" s="468"/>
      <c r="R2" s="468"/>
      <c r="S2" s="468"/>
      <c r="T2" s="468"/>
      <c r="U2" s="468"/>
      <c r="V2" s="468"/>
      <c r="W2" s="468"/>
      <c r="X2" s="468"/>
      <c r="Y2" s="468"/>
      <c r="Z2" s="468"/>
      <c r="AA2" s="468"/>
      <c r="AB2" s="468"/>
      <c r="AC2" s="468"/>
    </row>
    <row r="3" spans="1:29" ht="12.75" customHeight="1" x14ac:dyDescent="0.25">
      <c r="A3" s="7"/>
      <c r="B3" s="7"/>
      <c r="C3" s="7"/>
      <c r="D3" s="7"/>
      <c r="E3" s="7"/>
      <c r="F3" s="7"/>
      <c r="G3" s="7"/>
      <c r="H3" s="7"/>
      <c r="I3" s="7"/>
      <c r="J3" s="7"/>
      <c r="K3" s="7"/>
      <c r="L3" s="7"/>
      <c r="M3" s="7"/>
      <c r="N3" s="7"/>
      <c r="O3" s="7"/>
      <c r="P3" s="7"/>
      <c r="Q3" s="7"/>
      <c r="R3" s="7"/>
      <c r="S3" s="7"/>
      <c r="T3" s="7"/>
      <c r="U3" s="7"/>
      <c r="V3" s="7"/>
      <c r="W3" s="7"/>
      <c r="X3" s="7"/>
      <c r="Y3" s="7"/>
      <c r="Z3" s="7"/>
      <c r="AA3" s="7"/>
      <c r="AB3" s="7"/>
      <c r="AC3" s="7"/>
    </row>
    <row r="4" spans="1:29" ht="12.75" customHeight="1" x14ac:dyDescent="0.25">
      <c r="A4" s="7"/>
      <c r="B4" s="7"/>
      <c r="C4" s="7"/>
      <c r="D4" s="7"/>
      <c r="E4" s="7"/>
      <c r="F4" s="7"/>
      <c r="G4" s="7"/>
      <c r="H4" s="1065" t="s">
        <v>1600</v>
      </c>
      <c r="I4" s="1065"/>
      <c r="J4" s="1065"/>
      <c r="K4" s="1065"/>
      <c r="L4" s="1065"/>
      <c r="M4" s="1065"/>
      <c r="N4" s="7"/>
      <c r="O4" s="7"/>
      <c r="P4" s="7"/>
      <c r="Q4" s="494" t="s">
        <v>1426</v>
      </c>
      <c r="R4" s="495"/>
      <c r="S4" s="844" t="s">
        <v>10</v>
      </c>
      <c r="T4" s="844" t="s">
        <v>884</v>
      </c>
      <c r="U4" s="7"/>
      <c r="Y4" s="7"/>
      <c r="Z4" s="872" t="s">
        <v>885</v>
      </c>
      <c r="AA4" s="416"/>
      <c r="AB4" s="89" t="s">
        <v>886</v>
      </c>
      <c r="AC4" s="12">
        <v>1500</v>
      </c>
    </row>
    <row r="5" spans="1:29" ht="12.75" customHeight="1" x14ac:dyDescent="0.25">
      <c r="A5" s="7"/>
      <c r="B5" s="7"/>
      <c r="C5" s="7"/>
      <c r="D5" s="7"/>
      <c r="E5" s="7"/>
      <c r="F5" s="7"/>
      <c r="G5" s="7"/>
      <c r="H5" s="1065"/>
      <c r="I5" s="1065"/>
      <c r="J5" s="1065"/>
      <c r="K5" s="1065"/>
      <c r="L5" s="1065"/>
      <c r="M5" s="1065"/>
      <c r="N5" s="7"/>
      <c r="O5" s="7"/>
      <c r="P5" s="7"/>
      <c r="Q5" s="517"/>
      <c r="R5" s="518"/>
      <c r="S5" s="437"/>
      <c r="T5" s="437"/>
      <c r="U5" s="7"/>
      <c r="Y5" s="7"/>
      <c r="Z5" s="7"/>
      <c r="AA5" s="7"/>
      <c r="AB5" s="7"/>
      <c r="AC5" s="7"/>
    </row>
    <row r="6" spans="1:29" ht="12.75" customHeight="1" x14ac:dyDescent="0.25">
      <c r="A6" s="7"/>
      <c r="B6" s="7"/>
      <c r="C6" s="7"/>
      <c r="D6" s="7"/>
      <c r="E6" s="7"/>
      <c r="F6" s="7"/>
      <c r="G6" s="7"/>
      <c r="H6" s="1065"/>
      <c r="I6" s="1065"/>
      <c r="J6" s="1065"/>
      <c r="K6" s="1065"/>
      <c r="L6" s="1065"/>
      <c r="M6" s="1065"/>
      <c r="N6" s="7"/>
      <c r="O6" s="7"/>
      <c r="P6" s="7"/>
      <c r="Q6" s="1057" t="s">
        <v>1425</v>
      </c>
      <c r="R6" s="416"/>
      <c r="S6" s="12">
        <f>SUMIF($F$28:$F$163,Q6,$D$28:$D$163)</f>
        <v>0</v>
      </c>
      <c r="T6" s="3">
        <v>8.7349999999999994</v>
      </c>
      <c r="U6" s="7"/>
      <c r="Y6" s="7"/>
      <c r="Z6" s="7"/>
      <c r="AA6" s="7"/>
      <c r="AB6" s="7"/>
      <c r="AC6" s="7"/>
    </row>
    <row r="7" spans="1:29" ht="12.75" customHeight="1" x14ac:dyDescent="0.25">
      <c r="A7" s="5"/>
      <c r="B7" s="5"/>
      <c r="C7" s="5"/>
      <c r="D7" s="5"/>
      <c r="E7" s="5"/>
      <c r="F7" s="5"/>
      <c r="G7" s="94"/>
      <c r="H7" s="1065"/>
      <c r="I7" s="1065"/>
      <c r="J7" s="1065"/>
      <c r="K7" s="1065"/>
      <c r="L7" s="1065"/>
      <c r="M7" s="1065"/>
      <c r="N7" s="5"/>
      <c r="O7" s="5"/>
      <c r="P7" s="5"/>
      <c r="Q7" s="1057" t="s">
        <v>1424</v>
      </c>
      <c r="R7" s="416"/>
      <c r="S7" s="12">
        <f>SUMIF($F$28:$F$163,Q7,$D$28:$D$163)</f>
        <v>0</v>
      </c>
      <c r="T7" s="3">
        <v>5.1479999999999997</v>
      </c>
      <c r="U7" s="5"/>
      <c r="Y7" s="7"/>
      <c r="Z7" s="5"/>
      <c r="AA7" s="5"/>
      <c r="AB7" s="5"/>
      <c r="AC7" s="5"/>
    </row>
    <row r="8" spans="1:29" ht="12.75" customHeight="1" x14ac:dyDescent="0.25">
      <c r="A8" s="7"/>
      <c r="B8" s="7"/>
      <c r="C8" s="7"/>
      <c r="D8" s="7"/>
      <c r="E8" s="7"/>
      <c r="F8" s="7"/>
      <c r="G8" s="7"/>
      <c r="H8" s="1065"/>
      <c r="I8" s="1065"/>
      <c r="J8" s="1065"/>
      <c r="K8" s="1065"/>
      <c r="L8" s="1065"/>
      <c r="M8" s="1065"/>
      <c r="N8" s="7"/>
      <c r="O8" s="7"/>
      <c r="P8" s="7"/>
      <c r="Q8" s="1057" t="s">
        <v>887</v>
      </c>
      <c r="R8" s="416"/>
      <c r="S8" s="12">
        <f>SUMIF($F$28:$F$193,Q8,$D$28:$D$193)</f>
        <v>5565.1300000000037</v>
      </c>
      <c r="T8" s="3">
        <v>6.31</v>
      </c>
      <c r="U8" s="7"/>
      <c r="Y8" s="7"/>
      <c r="Z8" s="7"/>
      <c r="AA8" s="7"/>
      <c r="AB8" s="7"/>
      <c r="AC8" s="7"/>
    </row>
    <row r="9" spans="1:29" ht="12.75" customHeight="1" x14ac:dyDescent="0.25">
      <c r="A9" s="7"/>
      <c r="B9" s="7"/>
      <c r="C9" s="7"/>
      <c r="D9" s="7"/>
      <c r="E9" s="7"/>
      <c r="F9" s="7"/>
      <c r="G9" s="7"/>
      <c r="H9" s="1065"/>
      <c r="I9" s="1065"/>
      <c r="J9" s="1065"/>
      <c r="K9" s="1065"/>
      <c r="L9" s="1065"/>
      <c r="M9" s="1065"/>
      <c r="N9" s="7"/>
      <c r="O9" s="7"/>
      <c r="P9" s="7"/>
      <c r="Q9" s="1063" t="s">
        <v>888</v>
      </c>
      <c r="R9" s="416"/>
      <c r="S9" s="12">
        <f>SUMIF($F$28:$F$163,Q9,$D$28:$D$163)</f>
        <v>0</v>
      </c>
      <c r="T9" s="3">
        <v>7.44</v>
      </c>
      <c r="U9" s="7"/>
      <c r="Y9" s="7"/>
      <c r="Z9" s="7"/>
      <c r="AA9" s="7"/>
      <c r="AB9" s="7"/>
      <c r="AC9" s="7"/>
    </row>
    <row r="10" spans="1:29" ht="12.75" customHeight="1" x14ac:dyDescent="0.25">
      <c r="A10" s="7"/>
      <c r="B10" s="7"/>
      <c r="C10" s="7"/>
      <c r="D10" s="7"/>
      <c r="E10" s="7"/>
      <c r="F10" s="7"/>
      <c r="G10" s="7"/>
      <c r="H10" s="1065"/>
      <c r="I10" s="1065"/>
      <c r="J10" s="1065"/>
      <c r="K10" s="1065"/>
      <c r="L10" s="1065"/>
      <c r="M10" s="1065"/>
      <c r="N10" s="7"/>
      <c r="O10" s="7"/>
      <c r="P10" s="7"/>
      <c r="Q10" s="1063" t="s">
        <v>889</v>
      </c>
      <c r="R10" s="416"/>
      <c r="S10" s="12">
        <f>SUMIF($F$28:$F$163,Q10,$D$28:$D$163)</f>
        <v>0</v>
      </c>
      <c r="T10" s="3">
        <v>9.9</v>
      </c>
      <c r="U10" s="7"/>
      <c r="Y10" s="7"/>
      <c r="Z10" s="7"/>
      <c r="AA10" s="7"/>
      <c r="AB10" s="7"/>
      <c r="AC10" s="7"/>
    </row>
    <row r="11" spans="1:29" ht="12.75" customHeight="1" x14ac:dyDescent="0.25">
      <c r="A11" s="7"/>
      <c r="B11" s="7"/>
      <c r="C11" s="7"/>
      <c r="D11" s="7"/>
      <c r="E11" s="7"/>
      <c r="F11" s="7"/>
      <c r="G11" s="7"/>
      <c r="H11" s="1065"/>
      <c r="I11" s="1065"/>
      <c r="J11" s="1065"/>
      <c r="K11" s="1065"/>
      <c r="L11" s="1065"/>
      <c r="M11" s="1065"/>
      <c r="N11" s="7"/>
      <c r="O11" s="7"/>
      <c r="P11" s="7"/>
      <c r="Q11" s="7"/>
      <c r="R11" s="7"/>
      <c r="S11" s="229">
        <f>SUM(S6:S10)</f>
        <v>5565.1300000000037</v>
      </c>
      <c r="T11" s="7"/>
      <c r="U11" s="7"/>
      <c r="Y11" s="7"/>
      <c r="Z11" s="7"/>
      <c r="AA11" s="7"/>
      <c r="AB11" s="7"/>
      <c r="AC11" s="7"/>
    </row>
    <row r="12" spans="1:29" ht="12.75" customHeight="1" x14ac:dyDescent="0.25">
      <c r="A12" s="7"/>
      <c r="B12" s="7"/>
      <c r="C12" s="7"/>
      <c r="D12" s="7"/>
      <c r="E12" s="7"/>
      <c r="F12" s="7"/>
      <c r="G12" s="7"/>
      <c r="H12" s="1065"/>
      <c r="I12" s="1065"/>
      <c r="J12" s="1065"/>
      <c r="K12" s="1065"/>
      <c r="L12" s="1065"/>
      <c r="M12" s="1065"/>
      <c r="N12" s="7"/>
      <c r="O12" s="7"/>
      <c r="P12" s="7"/>
      <c r="Q12" s="7"/>
      <c r="R12" s="7"/>
      <c r="S12" s="121"/>
      <c r="T12" s="7"/>
      <c r="U12" s="7"/>
      <c r="V12" s="7"/>
      <c r="W12" s="7"/>
      <c r="X12" s="121"/>
      <c r="Y12" s="7"/>
      <c r="Z12" s="7"/>
      <c r="AA12" s="7"/>
      <c r="AB12" s="7"/>
      <c r="AC12" s="7"/>
    </row>
    <row r="13" spans="1:29" ht="12.75" customHeight="1" x14ac:dyDescent="0.25">
      <c r="A13" s="7"/>
      <c r="B13" s="7"/>
      <c r="C13" s="7"/>
      <c r="D13" s="7"/>
      <c r="E13" s="7"/>
      <c r="F13" s="7"/>
      <c r="G13" s="7"/>
      <c r="H13" s="1065"/>
      <c r="I13" s="1065"/>
      <c r="J13" s="1065"/>
      <c r="K13" s="1065"/>
      <c r="L13" s="1065"/>
      <c r="M13" s="1065"/>
      <c r="N13" s="7"/>
      <c r="O13" s="7"/>
      <c r="P13" s="7"/>
      <c r="Q13" s="7"/>
      <c r="R13" s="7"/>
      <c r="S13" s="230"/>
      <c r="T13" s="7"/>
      <c r="U13" s="7"/>
      <c r="V13" s="7"/>
      <c r="W13" s="7"/>
      <c r="X13" s="121"/>
      <c r="Y13" s="7"/>
      <c r="Z13" s="7"/>
      <c r="AA13" s="7"/>
      <c r="AB13" s="7"/>
      <c r="AC13" s="7"/>
    </row>
    <row r="14" spans="1:29" ht="12.75" customHeight="1" x14ac:dyDescent="0.25">
      <c r="A14" s="7"/>
      <c r="B14" s="7"/>
      <c r="C14" s="7"/>
      <c r="D14" s="7"/>
      <c r="E14" s="7"/>
      <c r="F14" s="7"/>
      <c r="G14" s="7"/>
      <c r="H14" s="1065"/>
      <c r="I14" s="1065"/>
      <c r="J14" s="1065"/>
      <c r="K14" s="1065"/>
      <c r="L14" s="1065"/>
      <c r="M14" s="1065"/>
      <c r="N14" s="7"/>
      <c r="O14" s="7"/>
      <c r="P14" s="7"/>
      <c r="Q14" s="135"/>
      <c r="R14" s="116"/>
      <c r="S14" s="116"/>
      <c r="T14" s="7"/>
      <c r="U14" s="7"/>
      <c r="V14" s="7"/>
      <c r="W14" s="7"/>
      <c r="X14" s="121"/>
      <c r="Y14" s="7"/>
      <c r="Z14" s="7"/>
      <c r="AA14" s="7"/>
      <c r="AB14" s="7"/>
      <c r="AC14" s="7"/>
    </row>
    <row r="15" spans="1:29" ht="12.75" customHeight="1" x14ac:dyDescent="0.25">
      <c r="A15" s="7"/>
      <c r="B15" s="7"/>
      <c r="C15" s="7"/>
      <c r="D15" s="7"/>
      <c r="E15" s="7"/>
      <c r="F15" s="7"/>
      <c r="G15" s="7"/>
      <c r="H15" s="1065"/>
      <c r="I15" s="1065"/>
      <c r="J15" s="1065"/>
      <c r="K15" s="1065"/>
      <c r="L15" s="1065"/>
      <c r="M15" s="1065"/>
      <c r="N15" s="7"/>
      <c r="O15" s="7"/>
      <c r="P15" s="7"/>
      <c r="Q15" s="116"/>
      <c r="R15" s="116"/>
      <c r="S15" s="116"/>
      <c r="T15" s="7"/>
      <c r="U15" s="7"/>
      <c r="V15" s="7"/>
      <c r="W15" s="7"/>
      <c r="X15" s="121"/>
      <c r="Y15" s="7"/>
      <c r="Z15" s="7"/>
      <c r="AA15" s="7"/>
      <c r="AB15" s="7"/>
      <c r="AC15" s="7"/>
    </row>
    <row r="16" spans="1:29" ht="12.75" customHeight="1" x14ac:dyDescent="0.25">
      <c r="A16" s="7"/>
      <c r="B16" s="7"/>
      <c r="C16" s="7"/>
      <c r="D16" s="7"/>
      <c r="E16" s="7"/>
      <c r="F16" s="7"/>
      <c r="G16" s="7"/>
      <c r="H16" s="1065"/>
      <c r="I16" s="1065"/>
      <c r="J16" s="1065"/>
      <c r="K16" s="1065"/>
      <c r="L16" s="1065"/>
      <c r="M16" s="1065"/>
      <c r="N16" s="7"/>
      <c r="O16" s="7"/>
      <c r="P16" s="7"/>
      <c r="Q16" s="1061"/>
      <c r="R16" s="1062"/>
      <c r="S16" s="133"/>
      <c r="T16" s="7"/>
      <c r="U16" s="7"/>
      <c r="V16" s="7"/>
      <c r="W16" s="7"/>
      <c r="X16" s="121"/>
      <c r="Y16" s="7"/>
      <c r="Z16" s="7"/>
      <c r="AA16" s="7"/>
      <c r="AB16" s="7"/>
      <c r="AC16" s="7"/>
    </row>
    <row r="17" spans="1:29" ht="12.75" customHeight="1" x14ac:dyDescent="0.25">
      <c r="A17" s="7"/>
      <c r="B17" s="7"/>
      <c r="C17" s="7"/>
      <c r="D17" s="7"/>
      <c r="E17" s="7"/>
      <c r="F17" s="7"/>
      <c r="G17" s="7"/>
      <c r="H17" s="1065"/>
      <c r="I17" s="1065"/>
      <c r="J17" s="1065"/>
      <c r="K17" s="1065"/>
      <c r="L17" s="1065"/>
      <c r="M17" s="1065"/>
      <c r="N17" s="7"/>
      <c r="O17" s="7"/>
      <c r="P17" s="7"/>
      <c r="Q17" s="1061"/>
      <c r="R17" s="1062"/>
      <c r="S17" s="133"/>
      <c r="T17" s="7"/>
      <c r="U17" s="7"/>
      <c r="V17" s="7"/>
      <c r="W17" s="7"/>
      <c r="X17" s="121"/>
      <c r="Y17" s="7"/>
      <c r="Z17" s="7"/>
      <c r="AA17" s="7"/>
      <c r="AB17" s="7"/>
      <c r="AC17" s="7"/>
    </row>
    <row r="18" spans="1:29" ht="12.75" customHeight="1" x14ac:dyDescent="0.25">
      <c r="A18" s="7"/>
      <c r="B18" s="7"/>
      <c r="C18" s="7"/>
      <c r="D18" s="7"/>
      <c r="E18" s="7"/>
      <c r="F18" s="7"/>
      <c r="G18" s="7"/>
      <c r="H18" s="1065"/>
      <c r="I18" s="1065"/>
      <c r="J18" s="1065"/>
      <c r="K18" s="1065"/>
      <c r="L18" s="1065"/>
      <c r="M18" s="1065"/>
      <c r="N18" s="7"/>
      <c r="O18" s="7"/>
      <c r="P18" s="7"/>
      <c r="Q18" s="1061"/>
      <c r="R18" s="1062"/>
      <c r="S18" s="133"/>
      <c r="T18" s="7"/>
      <c r="U18" s="7"/>
      <c r="V18" s="7"/>
      <c r="W18" s="7"/>
      <c r="X18" s="121"/>
      <c r="Y18" s="7"/>
      <c r="Z18" s="7"/>
      <c r="AA18" s="7"/>
      <c r="AB18" s="7"/>
      <c r="AC18" s="7"/>
    </row>
    <row r="19" spans="1:29" ht="12.75" customHeight="1" x14ac:dyDescent="0.25">
      <c r="A19" s="7"/>
      <c r="B19" s="7"/>
      <c r="C19" s="7"/>
      <c r="D19" s="7"/>
      <c r="E19" s="7"/>
      <c r="F19" s="7"/>
      <c r="G19" s="7"/>
      <c r="H19" s="7"/>
      <c r="I19" s="7"/>
      <c r="J19" s="7"/>
      <c r="K19" s="7"/>
      <c r="L19" s="7"/>
      <c r="M19" s="7"/>
      <c r="N19" s="7"/>
      <c r="O19" s="7"/>
      <c r="P19" s="7"/>
      <c r="Q19" s="1061"/>
      <c r="R19" s="1062"/>
      <c r="S19" s="133"/>
      <c r="T19" s="7"/>
      <c r="U19" s="7"/>
      <c r="V19" s="7"/>
      <c r="W19" s="7"/>
      <c r="X19" s="121"/>
      <c r="Y19" s="7"/>
      <c r="Z19" s="7"/>
      <c r="AA19" s="7"/>
      <c r="AB19" s="7"/>
      <c r="AC19" s="7"/>
    </row>
    <row r="20" spans="1:29" ht="12.75" customHeight="1" x14ac:dyDescent="0.25">
      <c r="A20" s="7"/>
      <c r="B20" s="7"/>
      <c r="C20" s="7"/>
      <c r="D20" s="7"/>
      <c r="E20" s="7"/>
      <c r="F20" s="7"/>
      <c r="G20" s="7"/>
      <c r="H20" s="7"/>
      <c r="I20" s="7"/>
      <c r="J20" s="7"/>
      <c r="K20" s="7"/>
      <c r="L20" s="7"/>
      <c r="M20" s="7"/>
      <c r="N20" s="7"/>
      <c r="O20" s="7"/>
      <c r="P20" s="7"/>
      <c r="Q20" s="1061"/>
      <c r="R20" s="1062"/>
      <c r="S20" s="133"/>
      <c r="T20" s="7"/>
      <c r="U20" s="7"/>
      <c r="V20" s="7"/>
      <c r="W20" s="7"/>
      <c r="X20" s="121"/>
      <c r="Y20" s="7"/>
      <c r="Z20" s="7"/>
      <c r="AA20" s="7"/>
      <c r="AB20" s="7"/>
      <c r="AC20" s="7"/>
    </row>
    <row r="21" spans="1:29" ht="12.75" customHeight="1" x14ac:dyDescent="0.25">
      <c r="A21" s="7"/>
      <c r="B21" s="7"/>
      <c r="C21" s="7"/>
      <c r="D21" s="7"/>
      <c r="E21" s="7"/>
      <c r="F21" s="7"/>
      <c r="G21" s="7"/>
      <c r="H21" s="7"/>
      <c r="I21" s="7"/>
      <c r="J21" s="7"/>
      <c r="K21" s="7"/>
      <c r="L21" s="7"/>
      <c r="M21" s="7"/>
      <c r="N21" s="7"/>
      <c r="O21" s="7"/>
      <c r="P21" s="7"/>
      <c r="Q21" s="134"/>
      <c r="R21" s="134"/>
      <c r="S21" s="121"/>
      <c r="T21" s="7"/>
      <c r="U21" s="7"/>
      <c r="V21" s="7"/>
      <c r="W21" s="7"/>
      <c r="X21" s="121"/>
      <c r="Y21" s="7"/>
      <c r="Z21" s="7"/>
      <c r="AA21" s="7"/>
      <c r="AB21" s="7"/>
      <c r="AC21" s="7"/>
    </row>
    <row r="22" spans="1:29" ht="12.75" customHeight="1" x14ac:dyDescent="0.25">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row>
    <row r="23" spans="1:29" ht="12.75" customHeight="1" x14ac:dyDescent="0.25">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row>
    <row r="24" spans="1:29" ht="12.75"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row>
    <row r="25" spans="1:29" s="212" customFormat="1" ht="12.75" customHeight="1" x14ac:dyDescent="0.25">
      <c r="A25" s="982" t="s">
        <v>1128</v>
      </c>
      <c r="B25" s="1060"/>
      <c r="C25" s="1060"/>
      <c r="D25" s="1060"/>
      <c r="E25" s="1060"/>
      <c r="F25" s="1060"/>
      <c r="G25" s="1060"/>
      <c r="H25" s="1060"/>
      <c r="I25" s="1060"/>
      <c r="J25" s="1060"/>
      <c r="K25" s="221" t="s">
        <v>890</v>
      </c>
      <c r="L25" s="221" t="s">
        <v>891</v>
      </c>
      <c r="M25" s="221" t="s">
        <v>892</v>
      </c>
      <c r="N25" s="221" t="s">
        <v>893</v>
      </c>
      <c r="O25" s="222" t="s">
        <v>894</v>
      </c>
      <c r="P25" s="222" t="s">
        <v>895</v>
      </c>
      <c r="Q25" s="222" t="s">
        <v>18</v>
      </c>
      <c r="R25" s="222" t="s">
        <v>19</v>
      </c>
      <c r="S25" s="222" t="s">
        <v>896</v>
      </c>
      <c r="T25" s="222" t="s">
        <v>897</v>
      </c>
      <c r="U25" s="222" t="s">
        <v>898</v>
      </c>
      <c r="V25" s="222" t="s">
        <v>899</v>
      </c>
      <c r="W25" s="222" t="s">
        <v>900</v>
      </c>
      <c r="X25" s="222" t="s">
        <v>901</v>
      </c>
      <c r="Y25" s="1058" t="s">
        <v>902</v>
      </c>
      <c r="Z25" s="995" t="s">
        <v>903</v>
      </c>
      <c r="AA25" s="995" t="s">
        <v>904</v>
      </c>
      <c r="AB25" s="1058" t="s">
        <v>905</v>
      </c>
      <c r="AC25" s="995" t="s">
        <v>906</v>
      </c>
    </row>
    <row r="26" spans="1:29" s="212" customFormat="1" ht="12.75" customHeight="1" x14ac:dyDescent="0.25">
      <c r="A26" s="1060"/>
      <c r="B26" s="1060"/>
      <c r="C26" s="1060"/>
      <c r="D26" s="1060"/>
      <c r="E26" s="1060"/>
      <c r="F26" s="1060"/>
      <c r="G26" s="1060"/>
      <c r="H26" s="1060"/>
      <c r="I26" s="1060"/>
      <c r="J26" s="1060"/>
      <c r="K26" s="223">
        <f t="shared" ref="K26:X26" si="0">SUM(K28:K193)</f>
        <v>5227.3266090000016</v>
      </c>
      <c r="L26" s="223">
        <f t="shared" si="0"/>
        <v>261.36633045000008</v>
      </c>
      <c r="M26" s="223">
        <f t="shared" si="0"/>
        <v>0</v>
      </c>
      <c r="N26" s="223">
        <f t="shared" si="0"/>
        <v>4965.9602785499983</v>
      </c>
      <c r="O26" s="223">
        <f t="shared" si="0"/>
        <v>417.38475000000005</v>
      </c>
      <c r="P26" s="223">
        <f t="shared" si="0"/>
        <v>1003.9597499999996</v>
      </c>
      <c r="Q26" s="223">
        <f t="shared" si="0"/>
        <v>0</v>
      </c>
      <c r="R26" s="223">
        <f t="shared" si="0"/>
        <v>0</v>
      </c>
      <c r="S26" s="223">
        <f t="shared" si="0"/>
        <v>3433.6903590000034</v>
      </c>
      <c r="T26" s="223">
        <f t="shared" si="0"/>
        <v>372.29174999999992</v>
      </c>
      <c r="U26" s="223">
        <f t="shared" si="0"/>
        <v>6618.5200000000013</v>
      </c>
      <c r="V26" s="223">
        <f t="shared" si="0"/>
        <v>2331.727124999999</v>
      </c>
      <c r="W26" s="223">
        <f t="shared" si="0"/>
        <v>0</v>
      </c>
      <c r="X26" s="223">
        <f t="shared" si="0"/>
        <v>372.29174999999992</v>
      </c>
      <c r="Y26" s="1058"/>
      <c r="Z26" s="1060"/>
      <c r="AA26" s="1060"/>
      <c r="AB26" s="1058"/>
      <c r="AC26" s="1060"/>
    </row>
    <row r="27" spans="1:29" s="212" customFormat="1" ht="12.75" customHeight="1" x14ac:dyDescent="0.25">
      <c r="A27" s="221" t="s">
        <v>907</v>
      </c>
      <c r="B27" s="221" t="s">
        <v>908</v>
      </c>
      <c r="C27" s="221" t="s">
        <v>909</v>
      </c>
      <c r="D27" s="221" t="s">
        <v>910</v>
      </c>
      <c r="E27" s="221" t="s">
        <v>911</v>
      </c>
      <c r="F27" s="1064" t="s">
        <v>912</v>
      </c>
      <c r="G27" s="1060"/>
      <c r="H27" s="221" t="s">
        <v>913</v>
      </c>
      <c r="I27" s="221" t="s">
        <v>732</v>
      </c>
      <c r="J27" s="221" t="s">
        <v>914</v>
      </c>
      <c r="K27" s="221" t="s">
        <v>890</v>
      </c>
      <c r="L27" s="221" t="s">
        <v>891</v>
      </c>
      <c r="M27" s="221" t="s">
        <v>892</v>
      </c>
      <c r="N27" s="221" t="s">
        <v>893</v>
      </c>
      <c r="O27" s="222" t="s">
        <v>894</v>
      </c>
      <c r="P27" s="222" t="s">
        <v>895</v>
      </c>
      <c r="Q27" s="222" t="s">
        <v>18</v>
      </c>
      <c r="R27" s="222" t="s">
        <v>19</v>
      </c>
      <c r="S27" s="222" t="s">
        <v>896</v>
      </c>
      <c r="T27" s="222" t="s">
        <v>897</v>
      </c>
      <c r="U27" s="222" t="s">
        <v>898</v>
      </c>
      <c r="V27" s="222" t="s">
        <v>899</v>
      </c>
      <c r="W27" s="222" t="s">
        <v>900</v>
      </c>
      <c r="X27" s="222" t="s">
        <v>901</v>
      </c>
      <c r="Y27" s="1059"/>
      <c r="Z27" s="224">
        <f>+SUM(Z28:Z163)</f>
        <v>0</v>
      </c>
      <c r="AA27" s="224">
        <f>+SUM(AA28:AA163)</f>
        <v>0</v>
      </c>
      <c r="AB27" s="1059"/>
      <c r="AC27" s="225">
        <f>SUM(AC28:AC163)</f>
        <v>0</v>
      </c>
    </row>
    <row r="28" spans="1:29" s="212" customFormat="1" ht="12.75" customHeight="1" x14ac:dyDescent="0.25">
      <c r="A28" t="s">
        <v>1129</v>
      </c>
      <c r="B28" t="s">
        <v>1256</v>
      </c>
      <c r="C28" t="s">
        <v>1257</v>
      </c>
      <c r="D28">
        <v>52.23</v>
      </c>
      <c r="E28" s="199">
        <v>6</v>
      </c>
      <c r="F28" s="1050" t="s">
        <v>887</v>
      </c>
      <c r="G28" s="1050"/>
      <c r="H28" s="226" t="s">
        <v>7</v>
      </c>
      <c r="I28" s="223">
        <v>0.75</v>
      </c>
      <c r="J28" s="223">
        <f>HLOOKUP(H28,AA_Cimentacion,Indice!$N$31,FALSE)+((E28*25.4)/1000)+HLOOKUP(H28,AA_Cimentacion,Indice!$N$35,FALSE)</f>
        <v>1.2524000000000002</v>
      </c>
      <c r="K28" s="223">
        <f>I28*J28*D28</f>
        <v>49.059639000000004</v>
      </c>
      <c r="L28" s="223">
        <f>HLOOKUP(H28,AA_Cimentacion,Indice!$N$32,FALSE)*K28</f>
        <v>2.4529819500000003</v>
      </c>
      <c r="M28" s="223">
        <f>HLOOKUP(H28,AA_Cimentacion,Indice!$N$33,FALSE)*K28</f>
        <v>0</v>
      </c>
      <c r="N28" s="223">
        <f>HLOOKUP(H28,AA_Cimentacion,Indice!$N$34,FALSE)*K28</f>
        <v>46.606657050000003</v>
      </c>
      <c r="O28" s="223">
        <f>HLOOKUP(H28,AA_Cimentacion,Indice!$N$35,FALSE)*I28*D28</f>
        <v>3.9172500000000006</v>
      </c>
      <c r="P28" s="223">
        <f>HLOOKUP(H28,AA_Cimentacion,Indice!$N$36,FALSE)*D28*I28</f>
        <v>11.751749999999999</v>
      </c>
      <c r="Q28" s="223">
        <f>HLOOKUP(H28,AA_Cimentacion,Indice!$N$37,FALSE)*I28*D28</f>
        <v>0</v>
      </c>
      <c r="R28" s="223">
        <f>HLOOKUP(H28,AA_Cimentacion,Indice!$N$38,FALSE)*I28*D28</f>
        <v>0</v>
      </c>
      <c r="S28" s="223">
        <f t="shared" ref="S28:S163" si="1">(K28-O28-P28-Q28-R28-T28)</f>
        <v>33.390639</v>
      </c>
      <c r="T28" s="223">
        <f>HLOOKUP(H28,AA_Cimentacion,Indice!$N$39,FALSE)*I28*D28</f>
        <v>0</v>
      </c>
      <c r="U28" s="223">
        <f>IF(H28=Indice!$M$29,D28*2,0)</f>
        <v>0</v>
      </c>
      <c r="V28" s="223">
        <f>IF(Y28="Mular",0,(K28-S28)*(1+Indice!$M$25))</f>
        <v>20.369700000000005</v>
      </c>
      <c r="W28" s="223">
        <f>IF(Y28="Mular",(K28-S28)*(1+Indice!$M$25),0)</f>
        <v>0</v>
      </c>
      <c r="X28" s="223">
        <f t="shared" ref="X28:X163" si="2">T28</f>
        <v>0</v>
      </c>
      <c r="Y28" s="223" t="s">
        <v>8</v>
      </c>
      <c r="Z28" s="223">
        <f t="shared" ref="Z28:Z47" si="3">IF(Y28="Mular",(VLOOKUP(F28,AA_Cantidadesredes,4,FALSE)*D28),0)</f>
        <v>0</v>
      </c>
      <c r="AA28" s="223">
        <v>0</v>
      </c>
      <c r="AB28" s="223">
        <v>0</v>
      </c>
      <c r="AC28" s="223">
        <f t="shared" ref="AC28:AC163" si="4">(AA28+Z28)/400</f>
        <v>0</v>
      </c>
    </row>
    <row r="29" spans="1:29" s="212" customFormat="1" ht="12.75" customHeight="1" x14ac:dyDescent="0.25">
      <c r="A29" t="s">
        <v>1130</v>
      </c>
      <c r="B29" t="s">
        <v>1257</v>
      </c>
      <c r="C29" t="s">
        <v>1258</v>
      </c>
      <c r="D29">
        <v>41.37</v>
      </c>
      <c r="E29" s="199">
        <v>6</v>
      </c>
      <c r="F29" s="1050" t="s">
        <v>887</v>
      </c>
      <c r="G29" s="1050"/>
      <c r="H29" s="226" t="s">
        <v>7</v>
      </c>
      <c r="I29" s="223">
        <v>0.75</v>
      </c>
      <c r="J29" s="223">
        <f>HLOOKUP(H29,AA_Cimentacion,Indice!$N$31,FALSE)+((E29*25.4)/1000)+HLOOKUP(H29,AA_Cimentacion,Indice!$N$35,FALSE)</f>
        <v>1.2524000000000002</v>
      </c>
      <c r="K29" s="223">
        <f t="shared" ref="K29:K163" si="5">I29*J29*D29</f>
        <v>38.858841000000005</v>
      </c>
      <c r="L29" s="223">
        <f>HLOOKUP(H29,AA_Cimentacion,Indice!$N$32,FALSE)*K29</f>
        <v>1.9429420500000003</v>
      </c>
      <c r="M29" s="223">
        <f>HLOOKUP(H29,AA_Cimentacion,Indice!$N$33,FALSE)*K29</f>
        <v>0</v>
      </c>
      <c r="N29" s="223">
        <f>HLOOKUP(H29,AA_Cimentacion,Indice!$N$34,FALSE)*K29</f>
        <v>36.915898950000006</v>
      </c>
      <c r="O29" s="223">
        <f>HLOOKUP(H29,AA_Cimentacion,Indice!$N$35,FALSE)*I29*D29</f>
        <v>3.1027500000000003</v>
      </c>
      <c r="P29" s="223">
        <f>HLOOKUP(H29,AA_Cimentacion,Indice!$N$36,FALSE)*D29*I29</f>
        <v>9.3082499999999992</v>
      </c>
      <c r="Q29" s="223">
        <f>HLOOKUP(H29,AA_Cimentacion,Indice!$N$37,FALSE)*I29*D29</f>
        <v>0</v>
      </c>
      <c r="R29" s="223">
        <f>HLOOKUP(H29,AA_Cimentacion,Indice!$N$38,FALSE)*I29*D29</f>
        <v>0</v>
      </c>
      <c r="S29" s="223">
        <f t="shared" si="1"/>
        <v>26.447841000000004</v>
      </c>
      <c r="T29" s="223">
        <f>HLOOKUP(H29,AA_Cimentacion,Indice!$N$39,FALSE)*I29*D29</f>
        <v>0</v>
      </c>
      <c r="U29" s="223">
        <f>IF(H29=Indice!$M$29,D29*2,0)</f>
        <v>0</v>
      </c>
      <c r="V29" s="223">
        <f>IF(Y29="Mular",0,(K29-S29)*(1+Indice!$M$25))</f>
        <v>16.134300000000003</v>
      </c>
      <c r="W29" s="223">
        <f>IF(Y29="Mular",(K29-S29)*(1+Indice!$M$25),0)</f>
        <v>0</v>
      </c>
      <c r="X29" s="223">
        <f t="shared" si="2"/>
        <v>0</v>
      </c>
      <c r="Y29" s="223" t="s">
        <v>8</v>
      </c>
      <c r="Z29" s="223">
        <f t="shared" si="3"/>
        <v>0</v>
      </c>
      <c r="AA29" s="223">
        <v>0</v>
      </c>
      <c r="AB29" s="223">
        <v>0</v>
      </c>
      <c r="AC29" s="223">
        <f t="shared" si="4"/>
        <v>0</v>
      </c>
    </row>
    <row r="30" spans="1:29" s="212" customFormat="1" ht="12.75" customHeight="1" x14ac:dyDescent="0.25">
      <c r="A30" t="s">
        <v>1131</v>
      </c>
      <c r="B30" t="s">
        <v>1258</v>
      </c>
      <c r="C30" t="s">
        <v>1259</v>
      </c>
      <c r="D30">
        <v>48.02</v>
      </c>
      <c r="E30" s="199">
        <v>6</v>
      </c>
      <c r="F30" s="1050" t="s">
        <v>887</v>
      </c>
      <c r="G30" s="1050"/>
      <c r="H30" s="226" t="s">
        <v>7</v>
      </c>
      <c r="I30" s="223">
        <v>0.75</v>
      </c>
      <c r="J30" s="223">
        <f>HLOOKUP(H30,AA_Cimentacion,Indice!$N$31,FALSE)+((E30*25.4)/1000)+HLOOKUP(H30,AA_Cimentacion,Indice!$N$35,FALSE)</f>
        <v>1.2524000000000002</v>
      </c>
      <c r="K30" s="223">
        <f t="shared" si="5"/>
        <v>45.10518600000001</v>
      </c>
      <c r="L30" s="223">
        <f>HLOOKUP(H30,AA_Cimentacion,Indice!$N$32,FALSE)*K30</f>
        <v>2.2552593000000005</v>
      </c>
      <c r="M30" s="223">
        <f>HLOOKUP(H30,AA_Cimentacion,Indice!$N$33,FALSE)*K30</f>
        <v>0</v>
      </c>
      <c r="N30" s="223">
        <f>HLOOKUP(H30,AA_Cimentacion,Indice!$N$34,FALSE)*K30</f>
        <v>42.849926700000005</v>
      </c>
      <c r="O30" s="223">
        <f>HLOOKUP(H30,AA_Cimentacion,Indice!$N$35,FALSE)*I30*D30</f>
        <v>3.6015000000000006</v>
      </c>
      <c r="P30" s="223">
        <f>HLOOKUP(H30,AA_Cimentacion,Indice!$N$36,FALSE)*D30*I30</f>
        <v>10.804500000000001</v>
      </c>
      <c r="Q30" s="223">
        <f>HLOOKUP(H30,AA_Cimentacion,Indice!$N$37,FALSE)*I30*D30</f>
        <v>0</v>
      </c>
      <c r="R30" s="223">
        <f>HLOOKUP(H30,AA_Cimentacion,Indice!$N$38,FALSE)*I30*D30</f>
        <v>0</v>
      </c>
      <c r="S30" s="223">
        <f t="shared" si="1"/>
        <v>30.699186000000008</v>
      </c>
      <c r="T30" s="223">
        <f>HLOOKUP(H30,AA_Cimentacion,Indice!$N$39,FALSE)*I30*D30</f>
        <v>0</v>
      </c>
      <c r="U30" s="223">
        <f>IF(H30=Indice!$M$29,D30*2,0)</f>
        <v>0</v>
      </c>
      <c r="V30" s="223">
        <f>IF(Y30="Mular",0,(K30-S30)*(1+Indice!$M$25))</f>
        <v>18.727800000000002</v>
      </c>
      <c r="W30" s="223">
        <f>IF(Y30="Mular",(K30-S30)*(1+Indice!$M$25),0)</f>
        <v>0</v>
      </c>
      <c r="X30" s="223">
        <f t="shared" si="2"/>
        <v>0</v>
      </c>
      <c r="Y30" s="223" t="s">
        <v>8</v>
      </c>
      <c r="Z30" s="223">
        <f t="shared" si="3"/>
        <v>0</v>
      </c>
      <c r="AA30" s="223">
        <v>0</v>
      </c>
      <c r="AB30" s="223">
        <v>0</v>
      </c>
      <c r="AC30" s="223">
        <f t="shared" si="4"/>
        <v>0</v>
      </c>
    </row>
    <row r="31" spans="1:29" s="212" customFormat="1" ht="12.75" customHeight="1" x14ac:dyDescent="0.25">
      <c r="A31" t="s">
        <v>1132</v>
      </c>
      <c r="B31" t="s">
        <v>1259</v>
      </c>
      <c r="C31" t="s">
        <v>1260</v>
      </c>
      <c r="D31">
        <v>42.99</v>
      </c>
      <c r="E31" s="199">
        <v>6</v>
      </c>
      <c r="F31" s="1050" t="s">
        <v>887</v>
      </c>
      <c r="G31" s="1050"/>
      <c r="H31" s="226" t="s">
        <v>7</v>
      </c>
      <c r="I31" s="223">
        <v>0.75</v>
      </c>
      <c r="J31" s="223">
        <f>HLOOKUP(H31,AA_Cimentacion,Indice!$N$31,FALSE)+((E31*25.4)/1000)+HLOOKUP(H31,AA_Cimentacion,Indice!$N$35,FALSE)</f>
        <v>1.2524000000000002</v>
      </c>
      <c r="K31" s="223">
        <f t="shared" si="5"/>
        <v>40.380507000000009</v>
      </c>
      <c r="L31" s="223">
        <f>HLOOKUP(H31,AA_Cimentacion,Indice!$N$32,FALSE)*K31</f>
        <v>2.0190253500000006</v>
      </c>
      <c r="M31" s="223">
        <f>HLOOKUP(H31,AA_Cimentacion,Indice!$N$33,FALSE)*K31</f>
        <v>0</v>
      </c>
      <c r="N31" s="223">
        <f>HLOOKUP(H31,AA_Cimentacion,Indice!$N$34,FALSE)*K31</f>
        <v>38.361481650000009</v>
      </c>
      <c r="O31" s="223">
        <f>HLOOKUP(H31,AA_Cimentacion,Indice!$N$35,FALSE)*I31*D31</f>
        <v>3.2242500000000005</v>
      </c>
      <c r="P31" s="223">
        <f>HLOOKUP(H31,AA_Cimentacion,Indice!$N$36,FALSE)*D31*I31</f>
        <v>9.6727500000000006</v>
      </c>
      <c r="Q31" s="223">
        <f>HLOOKUP(H31,AA_Cimentacion,Indice!$N$37,FALSE)*I31*D31</f>
        <v>0</v>
      </c>
      <c r="R31" s="223">
        <f>HLOOKUP(H31,AA_Cimentacion,Indice!$N$38,FALSE)*I31*D31</f>
        <v>0</v>
      </c>
      <c r="S31" s="223">
        <f t="shared" si="1"/>
        <v>27.48350700000001</v>
      </c>
      <c r="T31" s="223">
        <f>HLOOKUP(H31,AA_Cimentacion,Indice!$N$39,FALSE)*I31*D31</f>
        <v>0</v>
      </c>
      <c r="U31" s="223">
        <f>IF(H31=Indice!$M$29,D31*2,0)</f>
        <v>0</v>
      </c>
      <c r="V31" s="223">
        <f>IF(Y31="Mular",0,(K31-S31)*(1+Indice!$M$25))</f>
        <v>16.766099999999998</v>
      </c>
      <c r="W31" s="223">
        <f>IF(Y31="Mular",(K31-S31)*(1+Indice!$M$25),0)</f>
        <v>0</v>
      </c>
      <c r="X31" s="223">
        <f t="shared" si="2"/>
        <v>0</v>
      </c>
      <c r="Y31" s="223" t="s">
        <v>8</v>
      </c>
      <c r="Z31" s="223">
        <f t="shared" si="3"/>
        <v>0</v>
      </c>
      <c r="AA31" s="223">
        <v>0</v>
      </c>
      <c r="AB31" s="223">
        <v>0</v>
      </c>
      <c r="AC31" s="223">
        <f t="shared" si="4"/>
        <v>0</v>
      </c>
    </row>
    <row r="32" spans="1:29" s="212" customFormat="1" ht="12.75" customHeight="1" x14ac:dyDescent="0.25">
      <c r="A32" t="s">
        <v>1133</v>
      </c>
      <c r="B32" t="s">
        <v>1260</v>
      </c>
      <c r="C32" t="s">
        <v>1261</v>
      </c>
      <c r="D32">
        <v>74.540000000000006</v>
      </c>
      <c r="E32" s="199">
        <v>6</v>
      </c>
      <c r="F32" s="1050" t="s">
        <v>887</v>
      </c>
      <c r="G32" s="1050"/>
      <c r="H32" s="226" t="s">
        <v>7</v>
      </c>
      <c r="I32" s="223">
        <v>0.75</v>
      </c>
      <c r="J32" s="223">
        <f>HLOOKUP(H32,AA_Cimentacion,Indice!$N$31,FALSE)+((E32*25.4)/1000)+HLOOKUP(H32,AA_Cimentacion,Indice!$N$35,FALSE)</f>
        <v>1.2524000000000002</v>
      </c>
      <c r="K32" s="223">
        <f t="shared" si="5"/>
        <v>70.015422000000015</v>
      </c>
      <c r="L32" s="223">
        <f>HLOOKUP(H32,AA_Cimentacion,Indice!$N$32,FALSE)*K32</f>
        <v>3.500771100000001</v>
      </c>
      <c r="M32" s="223">
        <f>HLOOKUP(H32,AA_Cimentacion,Indice!$N$33,FALSE)*K32</f>
        <v>0</v>
      </c>
      <c r="N32" s="223">
        <f>HLOOKUP(H32,AA_Cimentacion,Indice!$N$34,FALSE)*K32</f>
        <v>66.514650900000007</v>
      </c>
      <c r="O32" s="223">
        <f>HLOOKUP(H32,AA_Cimentacion,Indice!$N$35,FALSE)*I32*D32</f>
        <v>5.5905000000000014</v>
      </c>
      <c r="P32" s="223">
        <f>HLOOKUP(H32,AA_Cimentacion,Indice!$N$36,FALSE)*D32*I32</f>
        <v>16.771500000000003</v>
      </c>
      <c r="Q32" s="223">
        <f>HLOOKUP(H32,AA_Cimentacion,Indice!$N$37,FALSE)*I32*D32</f>
        <v>0</v>
      </c>
      <c r="R32" s="223">
        <f>HLOOKUP(H32,AA_Cimentacion,Indice!$N$38,FALSE)*I32*D32</f>
        <v>0</v>
      </c>
      <c r="S32" s="223">
        <f t="shared" si="1"/>
        <v>47.653422000000006</v>
      </c>
      <c r="T32" s="223">
        <f>HLOOKUP(H32,AA_Cimentacion,Indice!$N$39,FALSE)*I32*D32</f>
        <v>0</v>
      </c>
      <c r="U32" s="223">
        <f>IF(H32=Indice!$M$29,D32*2,0)</f>
        <v>0</v>
      </c>
      <c r="V32" s="223">
        <f>IF(Y32="Mular",0,(K32-S32)*(1+Indice!$M$25))</f>
        <v>29.070600000000013</v>
      </c>
      <c r="W32" s="223">
        <f>IF(Y32="Mular",(K32-S32)*(1+Indice!$M$25),0)</f>
        <v>0</v>
      </c>
      <c r="X32" s="223">
        <f t="shared" si="2"/>
        <v>0</v>
      </c>
      <c r="Y32" s="223" t="s">
        <v>8</v>
      </c>
      <c r="Z32" s="223">
        <f t="shared" si="3"/>
        <v>0</v>
      </c>
      <c r="AA32" s="223">
        <v>0</v>
      </c>
      <c r="AB32" s="223">
        <v>0</v>
      </c>
      <c r="AC32" s="223">
        <f t="shared" si="4"/>
        <v>0</v>
      </c>
    </row>
    <row r="33" spans="1:29" s="212" customFormat="1" ht="12.75" customHeight="1" x14ac:dyDescent="0.25">
      <c r="A33" t="s">
        <v>1134</v>
      </c>
      <c r="B33" t="s">
        <v>1261</v>
      </c>
      <c r="C33" t="s">
        <v>1262</v>
      </c>
      <c r="D33">
        <v>64.150000000000006</v>
      </c>
      <c r="E33" s="199">
        <v>6</v>
      </c>
      <c r="F33" s="1050" t="s">
        <v>887</v>
      </c>
      <c r="G33" s="1050"/>
      <c r="H33" s="226" t="s">
        <v>7</v>
      </c>
      <c r="I33" s="223">
        <v>0.75</v>
      </c>
      <c r="J33" s="223">
        <f>HLOOKUP(H33,AA_Cimentacion,Indice!$N$31,FALSE)+((E33*25.4)/1000)+HLOOKUP(H33,AA_Cimentacion,Indice!$N$35,FALSE)</f>
        <v>1.2524000000000002</v>
      </c>
      <c r="K33" s="223">
        <f t="shared" si="5"/>
        <v>60.256095000000016</v>
      </c>
      <c r="L33" s="223">
        <f>HLOOKUP(H33,AA_Cimentacion,Indice!$N$32,FALSE)*K33</f>
        <v>3.0128047500000008</v>
      </c>
      <c r="M33" s="223">
        <f>HLOOKUP(H33,AA_Cimentacion,Indice!$N$33,FALSE)*K33</f>
        <v>0</v>
      </c>
      <c r="N33" s="223">
        <f>HLOOKUP(H33,AA_Cimentacion,Indice!$N$34,FALSE)*K33</f>
        <v>57.243290250000015</v>
      </c>
      <c r="O33" s="223">
        <f>HLOOKUP(H33,AA_Cimentacion,Indice!$N$35,FALSE)*I33*D33</f>
        <v>4.8112500000000011</v>
      </c>
      <c r="P33" s="223">
        <f>HLOOKUP(H33,AA_Cimentacion,Indice!$N$36,FALSE)*D33*I33</f>
        <v>14.43375</v>
      </c>
      <c r="Q33" s="223">
        <f>HLOOKUP(H33,AA_Cimentacion,Indice!$N$37,FALSE)*I33*D33</f>
        <v>0</v>
      </c>
      <c r="R33" s="223">
        <f>HLOOKUP(H33,AA_Cimentacion,Indice!$N$38,FALSE)*I33*D33</f>
        <v>0</v>
      </c>
      <c r="S33" s="223">
        <f t="shared" si="1"/>
        <v>41.011095000000012</v>
      </c>
      <c r="T33" s="223">
        <f>HLOOKUP(H33,AA_Cimentacion,Indice!$N$39,FALSE)*I33*D33</f>
        <v>0</v>
      </c>
      <c r="U33" s="223">
        <f>IF(H33=Indice!$M$29,D33*2,0)</f>
        <v>0</v>
      </c>
      <c r="V33" s="223">
        <f>IF(Y33="Mular",0,(K33-S33)*(1+Indice!$M$25))</f>
        <v>25.018500000000007</v>
      </c>
      <c r="W33" s="223">
        <f>IF(Y33="Mular",(K33-S33)*(1+Indice!$M$25),0)</f>
        <v>0</v>
      </c>
      <c r="X33" s="223">
        <f t="shared" si="2"/>
        <v>0</v>
      </c>
      <c r="Y33" s="223" t="s">
        <v>8</v>
      </c>
      <c r="Z33" s="223">
        <f t="shared" si="3"/>
        <v>0</v>
      </c>
      <c r="AA33" s="223">
        <v>0</v>
      </c>
      <c r="AB33" s="223">
        <v>0</v>
      </c>
      <c r="AC33" s="223">
        <f t="shared" si="4"/>
        <v>0</v>
      </c>
    </row>
    <row r="34" spans="1:29" s="212" customFormat="1" ht="12.75" customHeight="1" x14ac:dyDescent="0.25">
      <c r="A34" t="s">
        <v>1135</v>
      </c>
      <c r="B34" t="s">
        <v>1262</v>
      </c>
      <c r="C34" t="s">
        <v>1263</v>
      </c>
      <c r="D34">
        <v>22.86</v>
      </c>
      <c r="E34" s="199">
        <v>6</v>
      </c>
      <c r="F34" s="1050" t="s">
        <v>887</v>
      </c>
      <c r="G34" s="1050"/>
      <c r="H34" s="226" t="s">
        <v>7</v>
      </c>
      <c r="I34" s="223">
        <v>0.75</v>
      </c>
      <c r="J34" s="223">
        <f>HLOOKUP(H34,AA_Cimentacion,Indice!$N$31,FALSE)+((E34*25.4)/1000)+HLOOKUP(H34,AA_Cimentacion,Indice!$N$35,FALSE)</f>
        <v>1.2524000000000002</v>
      </c>
      <c r="K34" s="223">
        <f t="shared" si="5"/>
        <v>21.472398000000002</v>
      </c>
      <c r="L34" s="223">
        <f>HLOOKUP(H34,AA_Cimentacion,Indice!$N$32,FALSE)*K34</f>
        <v>1.0736199000000002</v>
      </c>
      <c r="M34" s="223">
        <f>HLOOKUP(H34,AA_Cimentacion,Indice!$N$33,FALSE)*K34</f>
        <v>0</v>
      </c>
      <c r="N34" s="223">
        <f>HLOOKUP(H34,AA_Cimentacion,Indice!$N$34,FALSE)*K34</f>
        <v>20.398778100000001</v>
      </c>
      <c r="O34" s="223">
        <f>HLOOKUP(H34,AA_Cimentacion,Indice!$N$35,FALSE)*I34*D34</f>
        <v>1.7145000000000001</v>
      </c>
      <c r="P34" s="223">
        <f>HLOOKUP(H34,AA_Cimentacion,Indice!$N$36,FALSE)*D34*I34</f>
        <v>5.1434999999999995</v>
      </c>
      <c r="Q34" s="223">
        <f>HLOOKUP(H34,AA_Cimentacion,Indice!$N$37,FALSE)*I34*D34</f>
        <v>0</v>
      </c>
      <c r="R34" s="223">
        <f>HLOOKUP(H34,AA_Cimentacion,Indice!$N$38,FALSE)*I34*D34</f>
        <v>0</v>
      </c>
      <c r="S34" s="223">
        <f t="shared" si="1"/>
        <v>14.614398000000001</v>
      </c>
      <c r="T34" s="223">
        <f>HLOOKUP(H34,AA_Cimentacion,Indice!$N$39,FALSE)*I34*D34</f>
        <v>0</v>
      </c>
      <c r="U34" s="223">
        <f>IF(H34=Indice!$M$29,D34*2,0)</f>
        <v>0</v>
      </c>
      <c r="V34" s="223">
        <f>IF(Y34="Mular",0,(K34-S34)*(1+Indice!$M$25))</f>
        <v>8.9154000000000018</v>
      </c>
      <c r="W34" s="223">
        <f>IF(Y34="Mular",(K34-S34)*(1+Indice!$M$25),0)</f>
        <v>0</v>
      </c>
      <c r="X34" s="223">
        <f t="shared" si="2"/>
        <v>0</v>
      </c>
      <c r="Y34" s="223" t="s">
        <v>8</v>
      </c>
      <c r="Z34" s="223">
        <f t="shared" si="3"/>
        <v>0</v>
      </c>
      <c r="AA34" s="223">
        <v>0</v>
      </c>
      <c r="AB34" s="223">
        <v>0</v>
      </c>
      <c r="AC34" s="223">
        <f t="shared" si="4"/>
        <v>0</v>
      </c>
    </row>
    <row r="35" spans="1:29" s="212" customFormat="1" ht="12.75" customHeight="1" x14ac:dyDescent="0.25">
      <c r="A35" t="s">
        <v>1136</v>
      </c>
      <c r="B35" t="s">
        <v>1263</v>
      </c>
      <c r="C35" t="s">
        <v>1264</v>
      </c>
      <c r="D35">
        <v>52.09</v>
      </c>
      <c r="E35" s="199">
        <v>6</v>
      </c>
      <c r="F35" s="1050" t="s">
        <v>887</v>
      </c>
      <c r="G35" s="1050"/>
      <c r="H35" s="226" t="s">
        <v>7</v>
      </c>
      <c r="I35" s="223">
        <v>0.75</v>
      </c>
      <c r="J35" s="223">
        <f>HLOOKUP(H35,AA_Cimentacion,Indice!$N$31,FALSE)+((E35*25.4)/1000)+HLOOKUP(H35,AA_Cimentacion,Indice!$N$35,FALSE)</f>
        <v>1.2524000000000002</v>
      </c>
      <c r="K35" s="223">
        <f t="shared" si="5"/>
        <v>48.928137000000014</v>
      </c>
      <c r="L35" s="223">
        <f>HLOOKUP(H35,AA_Cimentacion,Indice!$N$32,FALSE)*K35</f>
        <v>2.4464068500000007</v>
      </c>
      <c r="M35" s="223">
        <f>HLOOKUP(H35,AA_Cimentacion,Indice!$N$33,FALSE)*K35</f>
        <v>0</v>
      </c>
      <c r="N35" s="223">
        <f>HLOOKUP(H35,AA_Cimentacion,Indice!$N$34,FALSE)*K35</f>
        <v>46.481730150000011</v>
      </c>
      <c r="O35" s="223">
        <f>HLOOKUP(H35,AA_Cimentacion,Indice!$N$35,FALSE)*I35*D35</f>
        <v>3.9067500000000011</v>
      </c>
      <c r="P35" s="223">
        <f>HLOOKUP(H35,AA_Cimentacion,Indice!$N$36,FALSE)*D35*I35</f>
        <v>11.72025</v>
      </c>
      <c r="Q35" s="223">
        <f>HLOOKUP(H35,AA_Cimentacion,Indice!$N$37,FALSE)*I35*D35</f>
        <v>0</v>
      </c>
      <c r="R35" s="223">
        <f>HLOOKUP(H35,AA_Cimentacion,Indice!$N$38,FALSE)*I35*D35</f>
        <v>0</v>
      </c>
      <c r="S35" s="223">
        <f t="shared" si="1"/>
        <v>33.301137000000011</v>
      </c>
      <c r="T35" s="223">
        <f>HLOOKUP(H35,AA_Cimentacion,Indice!$N$39,FALSE)*I35*D35</f>
        <v>0</v>
      </c>
      <c r="U35" s="223">
        <f>IF(H35=Indice!$M$29,D35*2,0)</f>
        <v>0</v>
      </c>
      <c r="V35" s="223">
        <f>IF(Y35="Mular",0,(K35-S35)*(1+Indice!$M$25))</f>
        <v>20.315100000000005</v>
      </c>
      <c r="W35" s="223">
        <f>IF(Y35="Mular",(K35-S35)*(1+Indice!$M$25),0)</f>
        <v>0</v>
      </c>
      <c r="X35" s="223">
        <f t="shared" si="2"/>
        <v>0</v>
      </c>
      <c r="Y35" s="223" t="s">
        <v>8</v>
      </c>
      <c r="Z35" s="223">
        <f t="shared" si="3"/>
        <v>0</v>
      </c>
      <c r="AA35" s="223">
        <v>0</v>
      </c>
      <c r="AB35" s="223">
        <v>0</v>
      </c>
      <c r="AC35" s="223">
        <f t="shared" si="4"/>
        <v>0</v>
      </c>
    </row>
    <row r="36" spans="1:29" s="212" customFormat="1" ht="12.75" customHeight="1" x14ac:dyDescent="0.25">
      <c r="A36" t="s">
        <v>1137</v>
      </c>
      <c r="B36" t="s">
        <v>1264</v>
      </c>
      <c r="C36" t="s">
        <v>1265</v>
      </c>
      <c r="D36">
        <v>54.15</v>
      </c>
      <c r="E36" s="199">
        <v>6</v>
      </c>
      <c r="F36" s="1050" t="s">
        <v>887</v>
      </c>
      <c r="G36" s="1050"/>
      <c r="H36" s="226" t="s">
        <v>7</v>
      </c>
      <c r="I36" s="223">
        <v>0.75</v>
      </c>
      <c r="J36" s="223">
        <f>HLOOKUP(H36,AA_Cimentacion,Indice!$N$31,FALSE)+((E36*25.4)/1000)+HLOOKUP(H36,AA_Cimentacion,Indice!$N$35,FALSE)</f>
        <v>1.2524000000000002</v>
      </c>
      <c r="K36" s="223">
        <f t="shared" si="5"/>
        <v>50.863095000000008</v>
      </c>
      <c r="L36" s="223">
        <f>HLOOKUP(H36,AA_Cimentacion,Indice!$N$32,FALSE)*K36</f>
        <v>2.5431547500000007</v>
      </c>
      <c r="M36" s="223">
        <f>HLOOKUP(H36,AA_Cimentacion,Indice!$N$33,FALSE)*K36</f>
        <v>0</v>
      </c>
      <c r="N36" s="223">
        <f>HLOOKUP(H36,AA_Cimentacion,Indice!$N$34,FALSE)*K36</f>
        <v>48.319940250000009</v>
      </c>
      <c r="O36" s="223">
        <f>HLOOKUP(H36,AA_Cimentacion,Indice!$N$35,FALSE)*I36*D36</f>
        <v>4.0612500000000002</v>
      </c>
      <c r="P36" s="223">
        <f>HLOOKUP(H36,AA_Cimentacion,Indice!$N$36,FALSE)*D36*I36</f>
        <v>12.183749999999998</v>
      </c>
      <c r="Q36" s="223">
        <f>HLOOKUP(H36,AA_Cimentacion,Indice!$N$37,FALSE)*I36*D36</f>
        <v>0</v>
      </c>
      <c r="R36" s="223">
        <f>HLOOKUP(H36,AA_Cimentacion,Indice!$N$38,FALSE)*I36*D36</f>
        <v>0</v>
      </c>
      <c r="S36" s="223">
        <f t="shared" si="1"/>
        <v>34.618095000000011</v>
      </c>
      <c r="T36" s="223">
        <f>HLOOKUP(H36,AA_Cimentacion,Indice!$N$39,FALSE)*I36*D36</f>
        <v>0</v>
      </c>
      <c r="U36" s="223">
        <f>IF(H36=Indice!$M$29,D36*2,0)</f>
        <v>0</v>
      </c>
      <c r="V36" s="223">
        <f>IF(Y36="Mular",0,(K36-S36)*(1+Indice!$M$25))</f>
        <v>21.118499999999997</v>
      </c>
      <c r="W36" s="223">
        <f>IF(Y36="Mular",(K36-S36)*(1+Indice!$M$25),0)</f>
        <v>0</v>
      </c>
      <c r="X36" s="223">
        <f t="shared" si="2"/>
        <v>0</v>
      </c>
      <c r="Y36" s="223" t="s">
        <v>8</v>
      </c>
      <c r="Z36" s="223">
        <f t="shared" si="3"/>
        <v>0</v>
      </c>
      <c r="AA36" s="223">
        <v>0</v>
      </c>
      <c r="AB36" s="223">
        <v>0</v>
      </c>
      <c r="AC36" s="223">
        <f t="shared" si="4"/>
        <v>0</v>
      </c>
    </row>
    <row r="37" spans="1:29" s="212" customFormat="1" ht="12.75" customHeight="1" x14ac:dyDescent="0.25">
      <c r="A37" t="s">
        <v>1138</v>
      </c>
      <c r="B37" t="s">
        <v>1265</v>
      </c>
      <c r="C37" t="s">
        <v>1266</v>
      </c>
      <c r="D37">
        <v>42.32</v>
      </c>
      <c r="E37" s="199">
        <v>6</v>
      </c>
      <c r="F37" s="1050" t="s">
        <v>887</v>
      </c>
      <c r="G37" s="1050"/>
      <c r="H37" s="226" t="s">
        <v>7</v>
      </c>
      <c r="I37" s="223">
        <v>0.75</v>
      </c>
      <c r="J37" s="223">
        <f>HLOOKUP(H37,AA_Cimentacion,Indice!$N$31,FALSE)+((E37*25.4)/1000)+HLOOKUP(H37,AA_Cimentacion,Indice!$N$35,FALSE)</f>
        <v>1.2524000000000002</v>
      </c>
      <c r="K37" s="223">
        <f t="shared" si="5"/>
        <v>39.751176000000008</v>
      </c>
      <c r="L37" s="223">
        <f>HLOOKUP(H37,AA_Cimentacion,Indice!$N$32,FALSE)*K37</f>
        <v>1.9875588000000004</v>
      </c>
      <c r="M37" s="223">
        <f>HLOOKUP(H37,AA_Cimentacion,Indice!$N$33,FALSE)*K37</f>
        <v>0</v>
      </c>
      <c r="N37" s="223">
        <f>HLOOKUP(H37,AA_Cimentacion,Indice!$N$34,FALSE)*K37</f>
        <v>37.763617200000006</v>
      </c>
      <c r="O37" s="223">
        <f>HLOOKUP(H37,AA_Cimentacion,Indice!$N$35,FALSE)*I37*D37</f>
        <v>3.1740000000000004</v>
      </c>
      <c r="P37" s="223">
        <f>HLOOKUP(H37,AA_Cimentacion,Indice!$N$36,FALSE)*D37*I37</f>
        <v>9.5220000000000002</v>
      </c>
      <c r="Q37" s="223">
        <f>HLOOKUP(H37,AA_Cimentacion,Indice!$N$37,FALSE)*I37*D37</f>
        <v>0</v>
      </c>
      <c r="R37" s="223">
        <f>HLOOKUP(H37,AA_Cimentacion,Indice!$N$38,FALSE)*I37*D37</f>
        <v>0</v>
      </c>
      <c r="S37" s="223">
        <f t="shared" si="1"/>
        <v>27.05517600000001</v>
      </c>
      <c r="T37" s="223">
        <f>HLOOKUP(H37,AA_Cimentacion,Indice!$N$39,FALSE)*I37*D37</f>
        <v>0</v>
      </c>
      <c r="U37" s="223">
        <f>IF(H37=Indice!$M$29,D37*2,0)</f>
        <v>0</v>
      </c>
      <c r="V37" s="223">
        <f>IF(Y37="Mular",0,(K37-S37)*(1+Indice!$M$25))</f>
        <v>16.504799999999999</v>
      </c>
      <c r="W37" s="223">
        <f>IF(Y37="Mular",(K37-S37)*(1+Indice!$M$25),0)</f>
        <v>0</v>
      </c>
      <c r="X37" s="223">
        <f t="shared" si="2"/>
        <v>0</v>
      </c>
      <c r="Y37" s="223" t="s">
        <v>8</v>
      </c>
      <c r="Z37" s="223">
        <f t="shared" si="3"/>
        <v>0</v>
      </c>
      <c r="AA37" s="223">
        <v>0</v>
      </c>
      <c r="AB37" s="223">
        <v>0</v>
      </c>
      <c r="AC37" s="223">
        <f t="shared" si="4"/>
        <v>0</v>
      </c>
    </row>
    <row r="38" spans="1:29" s="212" customFormat="1" ht="12.75" customHeight="1" x14ac:dyDescent="0.25">
      <c r="A38" t="s">
        <v>1139</v>
      </c>
      <c r="B38" t="s">
        <v>1266</v>
      </c>
      <c r="C38" t="s">
        <v>1267</v>
      </c>
      <c r="D38">
        <v>45.2</v>
      </c>
      <c r="E38" s="199">
        <v>6</v>
      </c>
      <c r="F38" s="1050" t="s">
        <v>887</v>
      </c>
      <c r="G38" s="1050"/>
      <c r="H38" s="226" t="s">
        <v>7</v>
      </c>
      <c r="I38" s="223">
        <v>0.75</v>
      </c>
      <c r="J38" s="223">
        <f>HLOOKUP(H38,AA_Cimentacion,Indice!$N$31,FALSE)+((E38*25.4)/1000)+HLOOKUP(H38,AA_Cimentacion,Indice!$N$35,FALSE)</f>
        <v>1.2524000000000002</v>
      </c>
      <c r="K38" s="223">
        <f t="shared" si="5"/>
        <v>42.456360000000011</v>
      </c>
      <c r="L38" s="223">
        <f>HLOOKUP(H38,AA_Cimentacion,Indice!$N$32,FALSE)*K38</f>
        <v>2.1228180000000005</v>
      </c>
      <c r="M38" s="223">
        <f>HLOOKUP(H38,AA_Cimentacion,Indice!$N$33,FALSE)*K38</f>
        <v>0</v>
      </c>
      <c r="N38" s="223">
        <f>HLOOKUP(H38,AA_Cimentacion,Indice!$N$34,FALSE)*K38</f>
        <v>40.333542000000008</v>
      </c>
      <c r="O38" s="223">
        <f>HLOOKUP(H38,AA_Cimentacion,Indice!$N$35,FALSE)*I38*D38</f>
        <v>3.3900000000000006</v>
      </c>
      <c r="P38" s="223">
        <f>HLOOKUP(H38,AA_Cimentacion,Indice!$N$36,FALSE)*D38*I38</f>
        <v>10.17</v>
      </c>
      <c r="Q38" s="223">
        <f>HLOOKUP(H38,AA_Cimentacion,Indice!$N$37,FALSE)*I38*D38</f>
        <v>0</v>
      </c>
      <c r="R38" s="223">
        <f>HLOOKUP(H38,AA_Cimentacion,Indice!$N$38,FALSE)*I38*D38</f>
        <v>0</v>
      </c>
      <c r="S38" s="223">
        <f t="shared" si="1"/>
        <v>28.896360000000008</v>
      </c>
      <c r="T38" s="223">
        <f>HLOOKUP(H38,AA_Cimentacion,Indice!$N$39,FALSE)*I38*D38</f>
        <v>0</v>
      </c>
      <c r="U38" s="223">
        <f>IF(H38=Indice!$M$29,D38*2,0)</f>
        <v>0</v>
      </c>
      <c r="V38" s="223">
        <f>IF(Y38="Mular",0,(K38-S38)*(1+Indice!$M$25))</f>
        <v>17.628000000000004</v>
      </c>
      <c r="W38" s="223">
        <f>IF(Y38="Mular",(K38-S38)*(1+Indice!$M$25),0)</f>
        <v>0</v>
      </c>
      <c r="X38" s="223">
        <f t="shared" si="2"/>
        <v>0</v>
      </c>
      <c r="Y38" s="223" t="s">
        <v>8</v>
      </c>
      <c r="Z38" s="223">
        <f t="shared" si="3"/>
        <v>0</v>
      </c>
      <c r="AA38" s="223">
        <v>0</v>
      </c>
      <c r="AB38" s="223">
        <v>0</v>
      </c>
      <c r="AC38" s="223">
        <f t="shared" si="4"/>
        <v>0</v>
      </c>
    </row>
    <row r="39" spans="1:29" s="212" customFormat="1" ht="12.75" customHeight="1" x14ac:dyDescent="0.25">
      <c r="A39" t="s">
        <v>1140</v>
      </c>
      <c r="B39" t="s">
        <v>1267</v>
      </c>
      <c r="C39" t="s">
        <v>1268</v>
      </c>
      <c r="D39">
        <v>27.12</v>
      </c>
      <c r="E39" s="199">
        <v>6</v>
      </c>
      <c r="F39" s="1050" t="s">
        <v>887</v>
      </c>
      <c r="G39" s="1050"/>
      <c r="H39" s="226" t="s">
        <v>7</v>
      </c>
      <c r="I39" s="223">
        <v>0.75</v>
      </c>
      <c r="J39" s="223">
        <f>HLOOKUP(H39,AA_Cimentacion,Indice!$N$31,FALSE)+((E39*25.4)/1000)+HLOOKUP(H39,AA_Cimentacion,Indice!$N$35,FALSE)</f>
        <v>1.2524000000000002</v>
      </c>
      <c r="K39" s="223">
        <f t="shared" si="5"/>
        <v>25.473816000000003</v>
      </c>
      <c r="L39" s="223">
        <f>HLOOKUP(H39,AA_Cimentacion,Indice!$N$32,FALSE)*K39</f>
        <v>1.2736908000000002</v>
      </c>
      <c r="M39" s="223">
        <f>HLOOKUP(H39,AA_Cimentacion,Indice!$N$33,FALSE)*K39</f>
        <v>0</v>
      </c>
      <c r="N39" s="223">
        <f>HLOOKUP(H39,AA_Cimentacion,Indice!$N$34,FALSE)*K39</f>
        <v>24.200125200000002</v>
      </c>
      <c r="O39" s="223">
        <f>HLOOKUP(H39,AA_Cimentacion,Indice!$N$35,FALSE)*I39*D39</f>
        <v>2.0340000000000003</v>
      </c>
      <c r="P39" s="223">
        <f>HLOOKUP(H39,AA_Cimentacion,Indice!$N$36,FALSE)*D39*I39</f>
        <v>6.1019999999999994</v>
      </c>
      <c r="Q39" s="223">
        <f>HLOOKUP(H39,AA_Cimentacion,Indice!$N$37,FALSE)*I39*D39</f>
        <v>0</v>
      </c>
      <c r="R39" s="223">
        <f>HLOOKUP(H39,AA_Cimentacion,Indice!$N$38,FALSE)*I39*D39</f>
        <v>0</v>
      </c>
      <c r="S39" s="223">
        <f t="shared" si="1"/>
        <v>17.337816000000004</v>
      </c>
      <c r="T39" s="223">
        <f>HLOOKUP(H39,AA_Cimentacion,Indice!$N$39,FALSE)*I39*D39</f>
        <v>0</v>
      </c>
      <c r="U39" s="223">
        <f>IF(H39=Indice!$M$29,D39*2,0)</f>
        <v>0</v>
      </c>
      <c r="V39" s="223">
        <f>IF(Y39="Mular",0,(K39-S39)*(1+Indice!$M$25))</f>
        <v>10.576799999999999</v>
      </c>
      <c r="W39" s="223">
        <f>IF(Y39="Mular",(K39-S39)*(1+Indice!$M$25),0)</f>
        <v>0</v>
      </c>
      <c r="X39" s="223">
        <f t="shared" si="2"/>
        <v>0</v>
      </c>
      <c r="Y39" s="223" t="s">
        <v>8</v>
      </c>
      <c r="Z39" s="223">
        <f t="shared" si="3"/>
        <v>0</v>
      </c>
      <c r="AA39" s="223">
        <v>0</v>
      </c>
      <c r="AB39" s="223">
        <v>0</v>
      </c>
      <c r="AC39" s="223">
        <f t="shared" si="4"/>
        <v>0</v>
      </c>
    </row>
    <row r="40" spans="1:29" s="212" customFormat="1" ht="12.75" customHeight="1" x14ac:dyDescent="0.25">
      <c r="A40" t="s">
        <v>1141</v>
      </c>
      <c r="B40" t="s">
        <v>1268</v>
      </c>
      <c r="C40" t="s">
        <v>1269</v>
      </c>
      <c r="D40">
        <v>33.549999999999997</v>
      </c>
      <c r="E40" s="199">
        <v>6</v>
      </c>
      <c r="F40" s="1050" t="s">
        <v>887</v>
      </c>
      <c r="G40" s="1050"/>
      <c r="H40" s="226" t="s">
        <v>7</v>
      </c>
      <c r="I40" s="223">
        <v>0.75</v>
      </c>
      <c r="J40" s="223">
        <f>HLOOKUP(H40,AA_Cimentacion,Indice!$N$31,FALSE)+((E40*25.4)/1000)+HLOOKUP(H40,AA_Cimentacion,Indice!$N$35,FALSE)</f>
        <v>1.2524000000000002</v>
      </c>
      <c r="K40" s="223">
        <f t="shared" si="5"/>
        <v>31.513515000000002</v>
      </c>
      <c r="L40" s="223">
        <f>HLOOKUP(H40,AA_Cimentacion,Indice!$N$32,FALSE)*K40</f>
        <v>1.5756757500000003</v>
      </c>
      <c r="M40" s="223">
        <f>HLOOKUP(H40,AA_Cimentacion,Indice!$N$33,FALSE)*K40</f>
        <v>0</v>
      </c>
      <c r="N40" s="223">
        <f>HLOOKUP(H40,AA_Cimentacion,Indice!$N$34,FALSE)*K40</f>
        <v>29.93783925</v>
      </c>
      <c r="O40" s="223">
        <f>HLOOKUP(H40,AA_Cimentacion,Indice!$N$35,FALSE)*I40*D40</f>
        <v>2.5162500000000003</v>
      </c>
      <c r="P40" s="223">
        <f>HLOOKUP(H40,AA_Cimentacion,Indice!$N$36,FALSE)*D40*I40</f>
        <v>7.5487500000000001</v>
      </c>
      <c r="Q40" s="223">
        <f>HLOOKUP(H40,AA_Cimentacion,Indice!$N$37,FALSE)*I40*D40</f>
        <v>0</v>
      </c>
      <c r="R40" s="223">
        <f>HLOOKUP(H40,AA_Cimentacion,Indice!$N$38,FALSE)*I40*D40</f>
        <v>0</v>
      </c>
      <c r="S40" s="223">
        <f t="shared" si="1"/>
        <v>21.448515</v>
      </c>
      <c r="T40" s="223">
        <f>HLOOKUP(H40,AA_Cimentacion,Indice!$N$39,FALSE)*I40*D40</f>
        <v>0</v>
      </c>
      <c r="U40" s="223">
        <f>IF(H40=Indice!$M$29,D40*2,0)</f>
        <v>0</v>
      </c>
      <c r="V40" s="223">
        <f>IF(Y40="Mular",0,(K40-S40)*(1+Indice!$M$25))</f>
        <v>13.084500000000002</v>
      </c>
      <c r="W40" s="223">
        <f>IF(Y40="Mular",(K40-S40)*(1+Indice!$M$25),0)</f>
        <v>0</v>
      </c>
      <c r="X40" s="223">
        <f t="shared" si="2"/>
        <v>0</v>
      </c>
      <c r="Y40" s="223" t="s">
        <v>8</v>
      </c>
      <c r="Z40" s="223">
        <f t="shared" si="3"/>
        <v>0</v>
      </c>
      <c r="AA40" s="223">
        <v>0</v>
      </c>
      <c r="AB40" s="223">
        <v>0</v>
      </c>
      <c r="AC40" s="223">
        <f t="shared" si="4"/>
        <v>0</v>
      </c>
    </row>
    <row r="41" spans="1:29" s="212" customFormat="1" ht="12.75" customHeight="1" x14ac:dyDescent="0.25">
      <c r="A41" t="s">
        <v>1142</v>
      </c>
      <c r="B41" t="s">
        <v>1269</v>
      </c>
      <c r="C41" t="s">
        <v>1270</v>
      </c>
      <c r="D41">
        <v>46.38</v>
      </c>
      <c r="E41" s="199">
        <v>6</v>
      </c>
      <c r="F41" s="1050" t="s">
        <v>887</v>
      </c>
      <c r="G41" s="1050"/>
      <c r="H41" s="226" t="s">
        <v>7</v>
      </c>
      <c r="I41" s="223">
        <v>0.75</v>
      </c>
      <c r="J41" s="223">
        <f>HLOOKUP(H41,AA_Cimentacion,Indice!$N$31,FALSE)+((E41*25.4)/1000)+HLOOKUP(H41,AA_Cimentacion,Indice!$N$35,FALSE)</f>
        <v>1.2524000000000002</v>
      </c>
      <c r="K41" s="223">
        <f t="shared" si="5"/>
        <v>43.564734000000009</v>
      </c>
      <c r="L41" s="223">
        <f>HLOOKUP(H41,AA_Cimentacion,Indice!$N$32,FALSE)*K41</f>
        <v>2.1782367000000007</v>
      </c>
      <c r="M41" s="223">
        <f>HLOOKUP(H41,AA_Cimentacion,Indice!$N$33,FALSE)*K41</f>
        <v>0</v>
      </c>
      <c r="N41" s="223">
        <f>HLOOKUP(H41,AA_Cimentacion,Indice!$N$34,FALSE)*K41</f>
        <v>41.386497300000009</v>
      </c>
      <c r="O41" s="223">
        <f>HLOOKUP(H41,AA_Cimentacion,Indice!$N$35,FALSE)*I41*D41</f>
        <v>3.4785000000000008</v>
      </c>
      <c r="P41" s="223">
        <f>HLOOKUP(H41,AA_Cimentacion,Indice!$N$36,FALSE)*D41*I41</f>
        <v>10.435499999999999</v>
      </c>
      <c r="Q41" s="223">
        <f>HLOOKUP(H41,AA_Cimentacion,Indice!$N$37,FALSE)*I41*D41</f>
        <v>0</v>
      </c>
      <c r="R41" s="223">
        <f>HLOOKUP(H41,AA_Cimentacion,Indice!$N$38,FALSE)*I41*D41</f>
        <v>0</v>
      </c>
      <c r="S41" s="223">
        <f t="shared" si="1"/>
        <v>29.650734000000007</v>
      </c>
      <c r="T41" s="223">
        <f>HLOOKUP(H41,AA_Cimentacion,Indice!$N$39,FALSE)*I41*D41</f>
        <v>0</v>
      </c>
      <c r="U41" s="223">
        <f>IF(H41=Indice!$M$29,D41*2,0)</f>
        <v>0</v>
      </c>
      <c r="V41" s="223">
        <f>IF(Y41="Mular",0,(K41-S41)*(1+Indice!$M$25))</f>
        <v>18.088200000000004</v>
      </c>
      <c r="W41" s="223">
        <f>IF(Y41="Mular",(K41-S41)*(1+Indice!$M$25),0)</f>
        <v>0</v>
      </c>
      <c r="X41" s="223">
        <f t="shared" si="2"/>
        <v>0</v>
      </c>
      <c r="Y41" s="223" t="s">
        <v>8</v>
      </c>
      <c r="Z41" s="223">
        <f t="shared" si="3"/>
        <v>0</v>
      </c>
      <c r="AA41" s="223">
        <v>0</v>
      </c>
      <c r="AB41" s="223">
        <v>0</v>
      </c>
      <c r="AC41" s="223">
        <f t="shared" si="4"/>
        <v>0</v>
      </c>
    </row>
    <row r="42" spans="1:29" s="212" customFormat="1" ht="12.75" customHeight="1" x14ac:dyDescent="0.25">
      <c r="A42" t="s">
        <v>1143</v>
      </c>
      <c r="B42" t="s">
        <v>1270</v>
      </c>
      <c r="C42" t="s">
        <v>1271</v>
      </c>
      <c r="D42">
        <v>56.29</v>
      </c>
      <c r="E42" s="199">
        <v>6</v>
      </c>
      <c r="F42" s="1050" t="s">
        <v>887</v>
      </c>
      <c r="G42" s="1050"/>
      <c r="H42" s="226" t="s">
        <v>7</v>
      </c>
      <c r="I42" s="223">
        <v>0.75</v>
      </c>
      <c r="J42" s="223">
        <f>HLOOKUP(H42,AA_Cimentacion,Indice!$N$31,FALSE)+((E42*25.4)/1000)+HLOOKUP(H42,AA_Cimentacion,Indice!$N$35,FALSE)</f>
        <v>1.2524000000000002</v>
      </c>
      <c r="K42" s="223">
        <f t="shared" si="5"/>
        <v>52.873197000000005</v>
      </c>
      <c r="L42" s="223">
        <f>HLOOKUP(H42,AA_Cimentacion,Indice!$N$32,FALSE)*K42</f>
        <v>2.6436598500000006</v>
      </c>
      <c r="M42" s="223">
        <f>HLOOKUP(H42,AA_Cimentacion,Indice!$N$33,FALSE)*K42</f>
        <v>0</v>
      </c>
      <c r="N42" s="223">
        <f>HLOOKUP(H42,AA_Cimentacion,Indice!$N$34,FALSE)*K42</f>
        <v>50.229537149999999</v>
      </c>
      <c r="O42" s="223">
        <f>HLOOKUP(H42,AA_Cimentacion,Indice!$N$35,FALSE)*I42*D42</f>
        <v>4.221750000000001</v>
      </c>
      <c r="P42" s="223">
        <f>HLOOKUP(H42,AA_Cimentacion,Indice!$N$36,FALSE)*D42*I42</f>
        <v>12.66525</v>
      </c>
      <c r="Q42" s="223">
        <f>HLOOKUP(H42,AA_Cimentacion,Indice!$N$37,FALSE)*I42*D42</f>
        <v>0</v>
      </c>
      <c r="R42" s="223">
        <f>HLOOKUP(H42,AA_Cimentacion,Indice!$N$38,FALSE)*I42*D42</f>
        <v>0</v>
      </c>
      <c r="S42" s="223">
        <f t="shared" si="1"/>
        <v>35.986197000000004</v>
      </c>
      <c r="T42" s="223">
        <f>HLOOKUP(H42,AA_Cimentacion,Indice!$N$39,FALSE)*I42*D42</f>
        <v>0</v>
      </c>
      <c r="U42" s="223">
        <f>IF(H42=Indice!$M$29,D42*2,0)</f>
        <v>0</v>
      </c>
      <c r="V42" s="223">
        <f>IF(Y42="Mular",0,(K42-S42)*(1+Indice!$M$25))</f>
        <v>21.953100000000003</v>
      </c>
      <c r="W42" s="223">
        <f>IF(Y42="Mular",(K42-S42)*(1+Indice!$M$25),0)</f>
        <v>0</v>
      </c>
      <c r="X42" s="223">
        <f t="shared" si="2"/>
        <v>0</v>
      </c>
      <c r="Y42" s="223" t="s">
        <v>8</v>
      </c>
      <c r="Z42" s="223">
        <f t="shared" si="3"/>
        <v>0</v>
      </c>
      <c r="AA42" s="223">
        <v>0</v>
      </c>
      <c r="AB42" s="223">
        <v>0</v>
      </c>
      <c r="AC42" s="223">
        <f t="shared" si="4"/>
        <v>0</v>
      </c>
    </row>
    <row r="43" spans="1:29" s="212" customFormat="1" ht="12.75" customHeight="1" x14ac:dyDescent="0.25">
      <c r="A43" t="s">
        <v>1144</v>
      </c>
      <c r="B43" t="s">
        <v>1271</v>
      </c>
      <c r="C43" t="s">
        <v>1272</v>
      </c>
      <c r="D43">
        <v>90.5</v>
      </c>
      <c r="E43" s="199">
        <v>6</v>
      </c>
      <c r="F43" s="1050" t="s">
        <v>887</v>
      </c>
      <c r="G43" s="1050"/>
      <c r="H43" s="226" t="s">
        <v>7</v>
      </c>
      <c r="I43" s="223">
        <v>0.75</v>
      </c>
      <c r="J43" s="223">
        <f>HLOOKUP(H43,AA_Cimentacion,Indice!$N$31,FALSE)+((E43*25.4)/1000)+HLOOKUP(H43,AA_Cimentacion,Indice!$N$35,FALSE)</f>
        <v>1.2524000000000002</v>
      </c>
      <c r="K43" s="223">
        <f t="shared" si="5"/>
        <v>85.006650000000008</v>
      </c>
      <c r="L43" s="223">
        <f>HLOOKUP(H43,AA_Cimentacion,Indice!$N$32,FALSE)*K43</f>
        <v>4.2503325000000007</v>
      </c>
      <c r="M43" s="223">
        <f>HLOOKUP(H43,AA_Cimentacion,Indice!$N$33,FALSE)*K43</f>
        <v>0</v>
      </c>
      <c r="N43" s="223">
        <f>HLOOKUP(H43,AA_Cimentacion,Indice!$N$34,FALSE)*K43</f>
        <v>80.756317500000009</v>
      </c>
      <c r="O43" s="223">
        <f>HLOOKUP(H43,AA_Cimentacion,Indice!$N$35,FALSE)*I43*D43</f>
        <v>6.7875000000000014</v>
      </c>
      <c r="P43" s="223">
        <f>HLOOKUP(H43,AA_Cimentacion,Indice!$N$36,FALSE)*D43*I43</f>
        <v>20.362499999999997</v>
      </c>
      <c r="Q43" s="223">
        <f>HLOOKUP(H43,AA_Cimentacion,Indice!$N$37,FALSE)*I43*D43</f>
        <v>0</v>
      </c>
      <c r="R43" s="223">
        <f>HLOOKUP(H43,AA_Cimentacion,Indice!$N$38,FALSE)*I43*D43</f>
        <v>0</v>
      </c>
      <c r="S43" s="223">
        <f t="shared" si="1"/>
        <v>57.856650000000016</v>
      </c>
      <c r="T43" s="223">
        <f>HLOOKUP(H43,AA_Cimentacion,Indice!$N$39,FALSE)*I43*D43</f>
        <v>0</v>
      </c>
      <c r="U43" s="223">
        <f>IF(H43=Indice!$M$29,D43*2,0)</f>
        <v>0</v>
      </c>
      <c r="V43" s="223">
        <f>IF(Y43="Mular",0,(K43-S43)*(1+Indice!$M$25))</f>
        <v>35.294999999999987</v>
      </c>
      <c r="W43" s="223">
        <f>IF(Y43="Mular",(K43-S43)*(1+Indice!$M$25),0)</f>
        <v>0</v>
      </c>
      <c r="X43" s="223">
        <f t="shared" si="2"/>
        <v>0</v>
      </c>
      <c r="Y43" s="223" t="s">
        <v>8</v>
      </c>
      <c r="Z43" s="223">
        <f t="shared" si="3"/>
        <v>0</v>
      </c>
      <c r="AA43" s="223">
        <v>0</v>
      </c>
      <c r="AB43" s="223">
        <v>0</v>
      </c>
      <c r="AC43" s="223">
        <f t="shared" si="4"/>
        <v>0</v>
      </c>
    </row>
    <row r="44" spans="1:29" s="212" customFormat="1" ht="12.75" customHeight="1" x14ac:dyDescent="0.25">
      <c r="A44" t="s">
        <v>1145</v>
      </c>
      <c r="B44" t="s">
        <v>1273</v>
      </c>
      <c r="C44" t="s">
        <v>1274</v>
      </c>
      <c r="D44">
        <v>48.87</v>
      </c>
      <c r="E44" s="199">
        <v>6</v>
      </c>
      <c r="F44" s="1050" t="s">
        <v>887</v>
      </c>
      <c r="G44" s="1050"/>
      <c r="H44" s="226" t="s">
        <v>7</v>
      </c>
      <c r="I44" s="223">
        <v>0.75</v>
      </c>
      <c r="J44" s="223">
        <f>HLOOKUP(H44,AA_Cimentacion,Indice!$N$31,FALSE)+((E44*25.4)/1000)+HLOOKUP(H44,AA_Cimentacion,Indice!$N$35,FALSE)</f>
        <v>1.2524000000000002</v>
      </c>
      <c r="K44" s="223">
        <f t="shared" si="5"/>
        <v>45.903591000000006</v>
      </c>
      <c r="L44" s="223">
        <f>HLOOKUP(H44,AA_Cimentacion,Indice!$N$32,FALSE)*K44</f>
        <v>2.2951795500000003</v>
      </c>
      <c r="M44" s="223">
        <f>HLOOKUP(H44,AA_Cimentacion,Indice!$N$33,FALSE)*K44</f>
        <v>0</v>
      </c>
      <c r="N44" s="223">
        <f>HLOOKUP(H44,AA_Cimentacion,Indice!$N$34,FALSE)*K44</f>
        <v>43.608411450000006</v>
      </c>
      <c r="O44" s="223">
        <f>HLOOKUP(H44,AA_Cimentacion,Indice!$N$35,FALSE)*I44*D44</f>
        <v>3.6652500000000003</v>
      </c>
      <c r="P44" s="223">
        <f>HLOOKUP(H44,AA_Cimentacion,Indice!$N$36,FALSE)*D44*I44</f>
        <v>10.995749999999997</v>
      </c>
      <c r="Q44" s="223">
        <f>HLOOKUP(H44,AA_Cimentacion,Indice!$N$37,FALSE)*I44*D44</f>
        <v>0</v>
      </c>
      <c r="R44" s="223">
        <f>HLOOKUP(H44,AA_Cimentacion,Indice!$N$38,FALSE)*I44*D44</f>
        <v>0</v>
      </c>
      <c r="S44" s="223">
        <f t="shared" si="1"/>
        <v>31.242591000000008</v>
      </c>
      <c r="T44" s="223">
        <f>HLOOKUP(H44,AA_Cimentacion,Indice!$N$39,FALSE)*I44*D44</f>
        <v>0</v>
      </c>
      <c r="U44" s="223">
        <f>IF(H44=Indice!$M$29,D44*2,0)</f>
        <v>0</v>
      </c>
      <c r="V44" s="223">
        <f>IF(Y44="Mular",0,(K44-S44)*(1+Indice!$M$25))</f>
        <v>19.059299999999997</v>
      </c>
      <c r="W44" s="223">
        <f>IF(Y44="Mular",(K44-S44)*(1+Indice!$M$25),0)</f>
        <v>0</v>
      </c>
      <c r="X44" s="223">
        <f t="shared" si="2"/>
        <v>0</v>
      </c>
      <c r="Y44" s="223" t="s">
        <v>8</v>
      </c>
      <c r="Z44" s="223">
        <f t="shared" si="3"/>
        <v>0</v>
      </c>
      <c r="AA44" s="223">
        <v>0</v>
      </c>
      <c r="AB44" s="223">
        <v>0</v>
      </c>
      <c r="AC44" s="223">
        <f t="shared" si="4"/>
        <v>0</v>
      </c>
    </row>
    <row r="45" spans="1:29" s="212" customFormat="1" ht="12.75" customHeight="1" x14ac:dyDescent="0.25">
      <c r="A45" t="s">
        <v>1146</v>
      </c>
      <c r="B45" t="s">
        <v>1274</v>
      </c>
      <c r="C45" t="s">
        <v>1275</v>
      </c>
      <c r="D45">
        <v>38.72</v>
      </c>
      <c r="E45" s="199">
        <v>6</v>
      </c>
      <c r="F45" s="1050" t="s">
        <v>887</v>
      </c>
      <c r="G45" s="1050"/>
      <c r="H45" s="226" t="s">
        <v>7</v>
      </c>
      <c r="I45" s="223">
        <v>0.75</v>
      </c>
      <c r="J45" s="223">
        <f>HLOOKUP(H45,AA_Cimentacion,Indice!$N$31,FALSE)+((E45*25.4)/1000)+HLOOKUP(H45,AA_Cimentacion,Indice!$N$35,FALSE)</f>
        <v>1.2524000000000002</v>
      </c>
      <c r="K45" s="223">
        <f t="shared" si="5"/>
        <v>36.369696000000005</v>
      </c>
      <c r="L45" s="223">
        <f>HLOOKUP(H45,AA_Cimentacion,Indice!$N$32,FALSE)*K45</f>
        <v>1.8184848000000002</v>
      </c>
      <c r="M45" s="223">
        <f>HLOOKUP(H45,AA_Cimentacion,Indice!$N$33,FALSE)*K45</f>
        <v>0</v>
      </c>
      <c r="N45" s="223">
        <f>HLOOKUP(H45,AA_Cimentacion,Indice!$N$34,FALSE)*K45</f>
        <v>34.551211200000004</v>
      </c>
      <c r="O45" s="223">
        <f>HLOOKUP(H45,AA_Cimentacion,Indice!$N$35,FALSE)*I45*D45</f>
        <v>2.9040000000000004</v>
      </c>
      <c r="P45" s="223">
        <f>HLOOKUP(H45,AA_Cimentacion,Indice!$N$36,FALSE)*D45*I45</f>
        <v>8.7119999999999997</v>
      </c>
      <c r="Q45" s="223">
        <f>HLOOKUP(H45,AA_Cimentacion,Indice!$N$37,FALSE)*I45*D45</f>
        <v>0</v>
      </c>
      <c r="R45" s="223">
        <f>HLOOKUP(H45,AA_Cimentacion,Indice!$N$38,FALSE)*I45*D45</f>
        <v>0</v>
      </c>
      <c r="S45" s="223">
        <f t="shared" si="1"/>
        <v>24.753696000000001</v>
      </c>
      <c r="T45" s="223">
        <f>HLOOKUP(H45,AA_Cimentacion,Indice!$N$39,FALSE)*I45*D45</f>
        <v>0</v>
      </c>
      <c r="U45" s="223">
        <f>IF(H45=Indice!$M$29,D45*2,0)</f>
        <v>0</v>
      </c>
      <c r="V45" s="223">
        <f>IF(Y45="Mular",0,(K45-S45)*(1+Indice!$M$25))</f>
        <v>15.100800000000005</v>
      </c>
      <c r="W45" s="223">
        <f>IF(Y45="Mular",(K45-S45)*(1+Indice!$M$25),0)</f>
        <v>0</v>
      </c>
      <c r="X45" s="223">
        <f t="shared" si="2"/>
        <v>0</v>
      </c>
      <c r="Y45" s="223" t="s">
        <v>8</v>
      </c>
      <c r="Z45" s="223">
        <f t="shared" si="3"/>
        <v>0</v>
      </c>
      <c r="AA45" s="223">
        <v>0</v>
      </c>
      <c r="AB45" s="223">
        <v>0</v>
      </c>
      <c r="AC45" s="223">
        <f t="shared" si="4"/>
        <v>0</v>
      </c>
    </row>
    <row r="46" spans="1:29" s="212" customFormat="1" ht="12.75" customHeight="1" x14ac:dyDescent="0.25">
      <c r="A46" t="s">
        <v>1147</v>
      </c>
      <c r="B46" t="s">
        <v>1275</v>
      </c>
      <c r="C46" t="s">
        <v>1276</v>
      </c>
      <c r="D46">
        <v>68.87</v>
      </c>
      <c r="E46" s="199">
        <v>6</v>
      </c>
      <c r="F46" s="1050" t="s">
        <v>887</v>
      </c>
      <c r="G46" s="1050"/>
      <c r="H46" s="226" t="s">
        <v>7</v>
      </c>
      <c r="I46" s="223">
        <v>0.75</v>
      </c>
      <c r="J46" s="223">
        <f>HLOOKUP(H46,AA_Cimentacion,Indice!$N$31,FALSE)+((E46*25.4)/1000)+HLOOKUP(H46,AA_Cimentacion,Indice!$N$35,FALSE)</f>
        <v>1.2524000000000002</v>
      </c>
      <c r="K46" s="223">
        <f t="shared" si="5"/>
        <v>64.689591000000007</v>
      </c>
      <c r="L46" s="223">
        <f>HLOOKUP(H46,AA_Cimentacion,Indice!$N$32,FALSE)*K46</f>
        <v>3.2344795500000005</v>
      </c>
      <c r="M46" s="223">
        <f>HLOOKUP(H46,AA_Cimentacion,Indice!$N$33,FALSE)*K46</f>
        <v>0</v>
      </c>
      <c r="N46" s="223">
        <f>HLOOKUP(H46,AA_Cimentacion,Indice!$N$34,FALSE)*K46</f>
        <v>61.455111450000004</v>
      </c>
      <c r="O46" s="223">
        <f>HLOOKUP(H46,AA_Cimentacion,Indice!$N$35,FALSE)*I46*D46</f>
        <v>5.1652500000000012</v>
      </c>
      <c r="P46" s="223">
        <f>HLOOKUP(H46,AA_Cimentacion,Indice!$N$36,FALSE)*D46*I46</f>
        <v>15.495750000000001</v>
      </c>
      <c r="Q46" s="223">
        <f>HLOOKUP(H46,AA_Cimentacion,Indice!$N$37,FALSE)*I46*D46</f>
        <v>0</v>
      </c>
      <c r="R46" s="223">
        <f>HLOOKUP(H46,AA_Cimentacion,Indice!$N$38,FALSE)*I46*D46</f>
        <v>0</v>
      </c>
      <c r="S46" s="223">
        <f t="shared" si="1"/>
        <v>44.028591000000006</v>
      </c>
      <c r="T46" s="223">
        <f>HLOOKUP(H46,AA_Cimentacion,Indice!$N$39,FALSE)*I46*D46</f>
        <v>0</v>
      </c>
      <c r="U46" s="223">
        <f>IF(H46=Indice!$M$29,D46*2,0)</f>
        <v>0</v>
      </c>
      <c r="V46" s="223">
        <f>IF(Y46="Mular",0,(K46-S46)*(1+Indice!$M$25))</f>
        <v>26.859300000000001</v>
      </c>
      <c r="W46" s="223">
        <f>IF(Y46="Mular",(K46-S46)*(1+Indice!$M$25),0)</f>
        <v>0</v>
      </c>
      <c r="X46" s="223">
        <f t="shared" si="2"/>
        <v>0</v>
      </c>
      <c r="Y46" s="223" t="s">
        <v>8</v>
      </c>
      <c r="Z46" s="223">
        <f t="shared" si="3"/>
        <v>0</v>
      </c>
      <c r="AA46" s="223">
        <v>0</v>
      </c>
      <c r="AB46" s="223">
        <v>0</v>
      </c>
      <c r="AC46" s="223">
        <f t="shared" si="4"/>
        <v>0</v>
      </c>
    </row>
    <row r="47" spans="1:29" s="212" customFormat="1" ht="12.75" customHeight="1" x14ac:dyDescent="0.25">
      <c r="A47" t="s">
        <v>1148</v>
      </c>
      <c r="B47" t="s">
        <v>1276</v>
      </c>
      <c r="C47" t="s">
        <v>1277</v>
      </c>
      <c r="D47">
        <v>74.709999999999994</v>
      </c>
      <c r="E47" s="199">
        <v>6</v>
      </c>
      <c r="F47" s="1050" t="s">
        <v>887</v>
      </c>
      <c r="G47" s="1050"/>
      <c r="H47" s="226" t="s">
        <v>7</v>
      </c>
      <c r="I47" s="223">
        <v>0.75</v>
      </c>
      <c r="J47" s="223">
        <f>HLOOKUP(H47,AA_Cimentacion,Indice!$N$31,FALSE)+((E47*25.4)/1000)+HLOOKUP(H47,AA_Cimentacion,Indice!$N$35,FALSE)</f>
        <v>1.2524000000000002</v>
      </c>
      <c r="K47" s="223">
        <f t="shared" si="5"/>
        <v>70.175103000000007</v>
      </c>
      <c r="L47" s="223">
        <f>HLOOKUP(H47,AA_Cimentacion,Indice!$N$32,FALSE)*K47</f>
        <v>3.5087551500000007</v>
      </c>
      <c r="M47" s="223">
        <f>HLOOKUP(H47,AA_Cimentacion,Indice!$N$33,FALSE)*K47</f>
        <v>0</v>
      </c>
      <c r="N47" s="223">
        <f>HLOOKUP(H47,AA_Cimentacion,Indice!$N$34,FALSE)*K47</f>
        <v>66.666347850000008</v>
      </c>
      <c r="O47" s="223">
        <f>HLOOKUP(H47,AA_Cimentacion,Indice!$N$35,FALSE)*I47*D47</f>
        <v>5.6032500000000001</v>
      </c>
      <c r="P47" s="223">
        <f>HLOOKUP(H47,AA_Cimentacion,Indice!$N$36,FALSE)*D47*I47</f>
        <v>16.809749999999998</v>
      </c>
      <c r="Q47" s="223">
        <f>HLOOKUP(H47,AA_Cimentacion,Indice!$N$37,FALSE)*I47*D47</f>
        <v>0</v>
      </c>
      <c r="R47" s="223">
        <f>HLOOKUP(H47,AA_Cimentacion,Indice!$N$38,FALSE)*I47*D47</f>
        <v>0</v>
      </c>
      <c r="S47" s="223">
        <f t="shared" si="1"/>
        <v>47.76210300000001</v>
      </c>
      <c r="T47" s="223">
        <f>HLOOKUP(H47,AA_Cimentacion,Indice!$N$39,FALSE)*I47*D47</f>
        <v>0</v>
      </c>
      <c r="U47" s="223">
        <f>IF(H47=Indice!$M$29,D47*2,0)</f>
        <v>0</v>
      </c>
      <c r="V47" s="223">
        <f>IF(Y47="Mular",0,(K47-S47)*(1+Indice!$M$25))</f>
        <v>29.136899999999997</v>
      </c>
      <c r="W47" s="223">
        <f>IF(Y47="Mular",(K47-S47)*(1+Indice!$M$25),0)</f>
        <v>0</v>
      </c>
      <c r="X47" s="223">
        <f t="shared" si="2"/>
        <v>0</v>
      </c>
      <c r="Y47" s="223" t="s">
        <v>8</v>
      </c>
      <c r="Z47" s="223">
        <f t="shared" si="3"/>
        <v>0</v>
      </c>
      <c r="AA47" s="223">
        <v>0</v>
      </c>
      <c r="AB47" s="223">
        <v>0</v>
      </c>
      <c r="AC47" s="223">
        <f t="shared" si="4"/>
        <v>0</v>
      </c>
    </row>
    <row r="48" spans="1:29" s="212" customFormat="1" ht="12.75" customHeight="1" x14ac:dyDescent="0.25">
      <c r="A48" t="s">
        <v>1149</v>
      </c>
      <c r="B48" t="s">
        <v>1277</v>
      </c>
      <c r="C48" t="s">
        <v>1278</v>
      </c>
      <c r="D48">
        <v>51.14</v>
      </c>
      <c r="E48" s="199">
        <v>6</v>
      </c>
      <c r="F48" s="1050" t="s">
        <v>887</v>
      </c>
      <c r="G48" s="1050"/>
      <c r="H48" s="226" t="s">
        <v>7</v>
      </c>
      <c r="I48" s="223">
        <v>0.75</v>
      </c>
      <c r="J48" s="223">
        <f>HLOOKUP(H48,AA_Cimentacion,Indice!$N$31,FALSE)+((E48*25.4)/1000)+HLOOKUP(H48,AA_Cimentacion,Indice!$N$35,FALSE)</f>
        <v>1.2524000000000002</v>
      </c>
      <c r="K48" s="223">
        <f t="shared" si="5"/>
        <v>48.035802000000004</v>
      </c>
      <c r="L48" s="223">
        <f>HLOOKUP(H48,AA_Cimentacion,Indice!$N$32,FALSE)*K48</f>
        <v>2.4017901000000004</v>
      </c>
      <c r="M48" s="223">
        <f>HLOOKUP(H48,AA_Cimentacion,Indice!$N$33,FALSE)*K48</f>
        <v>0</v>
      </c>
      <c r="N48" s="223">
        <f>HLOOKUP(H48,AA_Cimentacion,Indice!$N$34,FALSE)*K48</f>
        <v>45.634011900000004</v>
      </c>
      <c r="O48" s="223">
        <f>HLOOKUP(H48,AA_Cimentacion,Indice!$N$35,FALSE)*I48*D48</f>
        <v>3.8355000000000006</v>
      </c>
      <c r="P48" s="223">
        <f>HLOOKUP(H48,AA_Cimentacion,Indice!$N$36,FALSE)*D48*I48</f>
        <v>11.506499999999999</v>
      </c>
      <c r="Q48" s="223">
        <f>HLOOKUP(H48,AA_Cimentacion,Indice!$N$37,FALSE)*I48*D48</f>
        <v>0</v>
      </c>
      <c r="R48" s="223">
        <f>HLOOKUP(H48,AA_Cimentacion,Indice!$N$38,FALSE)*I48*D48</f>
        <v>0</v>
      </c>
      <c r="S48" s="223">
        <f t="shared" si="1"/>
        <v>32.693802000000005</v>
      </c>
      <c r="T48" s="223">
        <f>HLOOKUP(H48,AA_Cimentacion,Indice!$N$39,FALSE)*I48*D48</f>
        <v>0</v>
      </c>
      <c r="U48" s="223">
        <f>IF(H48=Indice!$M$29,D48*2,0)</f>
        <v>0</v>
      </c>
      <c r="V48" s="223">
        <f>IF(Y48="Mular",0,(K48-S48)*(1+Indice!$M$25))</f>
        <v>19.944599999999998</v>
      </c>
      <c r="W48" s="223">
        <f>IF(Y48="Mular",(K48-S48)*(1+Indice!$M$25),0)</f>
        <v>0</v>
      </c>
      <c r="X48" s="223">
        <f t="shared" si="2"/>
        <v>0</v>
      </c>
      <c r="Y48" s="223" t="s">
        <v>8</v>
      </c>
      <c r="Z48" s="223">
        <f t="shared" ref="Z48:Z111" si="6">IF(Y48="Mular",(VLOOKUP(F48,AA_Cantidadesredes,4,FALSE)*D48),0)</f>
        <v>0</v>
      </c>
      <c r="AA48" s="223">
        <v>0</v>
      </c>
      <c r="AB48" s="223">
        <v>0</v>
      </c>
      <c r="AC48" s="223">
        <f t="shared" si="4"/>
        <v>0</v>
      </c>
    </row>
    <row r="49" spans="1:29" s="212" customFormat="1" ht="12.75" customHeight="1" x14ac:dyDescent="0.25">
      <c r="A49" t="s">
        <v>1150</v>
      </c>
      <c r="B49" t="s">
        <v>1278</v>
      </c>
      <c r="C49" t="s">
        <v>1279</v>
      </c>
      <c r="D49">
        <v>45.95</v>
      </c>
      <c r="E49" s="199">
        <v>6</v>
      </c>
      <c r="F49" s="1050" t="s">
        <v>887</v>
      </c>
      <c r="G49" s="1050"/>
      <c r="H49" s="226" t="s">
        <v>7</v>
      </c>
      <c r="I49" s="223">
        <v>0.75</v>
      </c>
      <c r="J49" s="223">
        <f>HLOOKUP(H49,AA_Cimentacion,Indice!$N$31,FALSE)+((E49*25.4)/1000)+HLOOKUP(H49,AA_Cimentacion,Indice!$N$35,FALSE)</f>
        <v>1.2524000000000002</v>
      </c>
      <c r="K49" s="223">
        <f t="shared" si="5"/>
        <v>43.160835000000006</v>
      </c>
      <c r="L49" s="223">
        <f>HLOOKUP(H49,AA_Cimentacion,Indice!$N$32,FALSE)*K49</f>
        <v>2.1580417500000002</v>
      </c>
      <c r="M49" s="223">
        <f>HLOOKUP(H49,AA_Cimentacion,Indice!$N$33,FALSE)*K49</f>
        <v>0</v>
      </c>
      <c r="N49" s="223">
        <f>HLOOKUP(H49,AA_Cimentacion,Indice!$N$34,FALSE)*K49</f>
        <v>41.002793250000003</v>
      </c>
      <c r="O49" s="223">
        <f>HLOOKUP(H49,AA_Cimentacion,Indice!$N$35,FALSE)*I49*D49</f>
        <v>3.4462500000000009</v>
      </c>
      <c r="P49" s="223">
        <f>HLOOKUP(H49,AA_Cimentacion,Indice!$N$36,FALSE)*D49*I49</f>
        <v>10.338750000000001</v>
      </c>
      <c r="Q49" s="223">
        <f>HLOOKUP(H49,AA_Cimentacion,Indice!$N$37,FALSE)*I49*D49</f>
        <v>0</v>
      </c>
      <c r="R49" s="223">
        <f>HLOOKUP(H49,AA_Cimentacion,Indice!$N$38,FALSE)*I49*D49</f>
        <v>0</v>
      </c>
      <c r="S49" s="223">
        <f t="shared" si="1"/>
        <v>29.375835000000006</v>
      </c>
      <c r="T49" s="223">
        <f>HLOOKUP(H49,AA_Cimentacion,Indice!$N$39,FALSE)*I49*D49</f>
        <v>0</v>
      </c>
      <c r="U49" s="223">
        <f>IF(H49=Indice!$M$29,D49*2,0)</f>
        <v>0</v>
      </c>
      <c r="V49" s="223">
        <f>IF(Y49="Mular",0,(K49-S49)*(1+Indice!$M$25))</f>
        <v>17.920500000000001</v>
      </c>
      <c r="W49" s="223">
        <f>IF(Y49="Mular",(K49-S49)*(1+Indice!$M$25),0)</f>
        <v>0</v>
      </c>
      <c r="X49" s="223">
        <f t="shared" si="2"/>
        <v>0</v>
      </c>
      <c r="Y49" s="223" t="s">
        <v>8</v>
      </c>
      <c r="Z49" s="223">
        <f t="shared" si="6"/>
        <v>0</v>
      </c>
      <c r="AA49" s="223">
        <v>0</v>
      </c>
      <c r="AB49" s="223">
        <v>0</v>
      </c>
      <c r="AC49" s="223">
        <f t="shared" si="4"/>
        <v>0</v>
      </c>
    </row>
    <row r="50" spans="1:29" s="212" customFormat="1" ht="12.75" customHeight="1" x14ac:dyDescent="0.25">
      <c r="A50" t="s">
        <v>1151</v>
      </c>
      <c r="B50" t="s">
        <v>1279</v>
      </c>
      <c r="C50" t="s">
        <v>1280</v>
      </c>
      <c r="D50">
        <v>55.38</v>
      </c>
      <c r="E50" s="199">
        <v>6</v>
      </c>
      <c r="F50" s="1050" t="s">
        <v>887</v>
      </c>
      <c r="G50" s="1050"/>
      <c r="H50" s="226" t="s">
        <v>7</v>
      </c>
      <c r="I50" s="223">
        <v>0.75</v>
      </c>
      <c r="J50" s="223">
        <f>HLOOKUP(H50,AA_Cimentacion,Indice!$N$31,FALSE)+((E50*25.4)/1000)+HLOOKUP(H50,AA_Cimentacion,Indice!$N$35,FALSE)</f>
        <v>1.2524000000000002</v>
      </c>
      <c r="K50" s="223">
        <f t="shared" si="5"/>
        <v>52.018434000000013</v>
      </c>
      <c r="L50" s="223">
        <f>HLOOKUP(H50,AA_Cimentacion,Indice!$N$32,FALSE)*K50</f>
        <v>2.6009217000000007</v>
      </c>
      <c r="M50" s="223">
        <f>HLOOKUP(H50,AA_Cimentacion,Indice!$N$33,FALSE)*K50</f>
        <v>0</v>
      </c>
      <c r="N50" s="223">
        <f>HLOOKUP(H50,AA_Cimentacion,Indice!$N$34,FALSE)*K50</f>
        <v>49.417512300000013</v>
      </c>
      <c r="O50" s="223">
        <f>HLOOKUP(H50,AA_Cimentacion,Indice!$N$35,FALSE)*I50*D50</f>
        <v>4.1535000000000011</v>
      </c>
      <c r="P50" s="223">
        <f>HLOOKUP(H50,AA_Cimentacion,Indice!$N$36,FALSE)*D50*I50</f>
        <v>12.4605</v>
      </c>
      <c r="Q50" s="223">
        <f>HLOOKUP(H50,AA_Cimentacion,Indice!$N$37,FALSE)*I50*D50</f>
        <v>0</v>
      </c>
      <c r="R50" s="223">
        <f>HLOOKUP(H50,AA_Cimentacion,Indice!$N$38,FALSE)*I50*D50</f>
        <v>0</v>
      </c>
      <c r="S50" s="223">
        <f t="shared" si="1"/>
        <v>35.404434000000009</v>
      </c>
      <c r="T50" s="223">
        <f>HLOOKUP(H50,AA_Cimentacion,Indice!$N$39,FALSE)*I50*D50</f>
        <v>0</v>
      </c>
      <c r="U50" s="223">
        <f>IF(H50=Indice!$M$29,D50*2,0)</f>
        <v>0</v>
      </c>
      <c r="V50" s="223">
        <f>IF(Y50="Mular",0,(K50-S50)*(1+Indice!$M$25))</f>
        <v>21.598200000000006</v>
      </c>
      <c r="W50" s="223">
        <f>IF(Y50="Mular",(K50-S50)*(1+Indice!$M$25),0)</f>
        <v>0</v>
      </c>
      <c r="X50" s="223">
        <f t="shared" si="2"/>
        <v>0</v>
      </c>
      <c r="Y50" s="223" t="s">
        <v>8</v>
      </c>
      <c r="Z50" s="223">
        <f t="shared" si="6"/>
        <v>0</v>
      </c>
      <c r="AA50" s="223">
        <v>0</v>
      </c>
      <c r="AB50" s="223">
        <v>0</v>
      </c>
      <c r="AC50" s="223">
        <f t="shared" si="4"/>
        <v>0</v>
      </c>
    </row>
    <row r="51" spans="1:29" s="212" customFormat="1" ht="12.75" customHeight="1" x14ac:dyDescent="0.25">
      <c r="A51" t="s">
        <v>1152</v>
      </c>
      <c r="B51" t="s">
        <v>1280</v>
      </c>
      <c r="C51" t="s">
        <v>1281</v>
      </c>
      <c r="D51">
        <v>22.92</v>
      </c>
      <c r="E51" s="199">
        <v>6</v>
      </c>
      <c r="F51" s="1050" t="s">
        <v>887</v>
      </c>
      <c r="G51" s="1050"/>
      <c r="H51" s="226" t="s">
        <v>7</v>
      </c>
      <c r="I51" s="223">
        <v>0.75</v>
      </c>
      <c r="J51" s="223">
        <f>HLOOKUP(H51,AA_Cimentacion,Indice!$N$31,FALSE)+((E51*25.4)/1000)+HLOOKUP(H51,AA_Cimentacion,Indice!$N$35,FALSE)</f>
        <v>1.2524000000000002</v>
      </c>
      <c r="K51" s="223">
        <f t="shared" si="5"/>
        <v>21.528756000000005</v>
      </c>
      <c r="L51" s="223">
        <f>HLOOKUP(H51,AA_Cimentacion,Indice!$N$32,FALSE)*K51</f>
        <v>1.0764378000000003</v>
      </c>
      <c r="M51" s="223">
        <f>HLOOKUP(H51,AA_Cimentacion,Indice!$N$33,FALSE)*K51</f>
        <v>0</v>
      </c>
      <c r="N51" s="223">
        <f>HLOOKUP(H51,AA_Cimentacion,Indice!$N$34,FALSE)*K51</f>
        <v>20.452318200000004</v>
      </c>
      <c r="O51" s="223">
        <f>HLOOKUP(H51,AA_Cimentacion,Indice!$N$35,FALSE)*I51*D51</f>
        <v>1.7190000000000003</v>
      </c>
      <c r="P51" s="223">
        <f>HLOOKUP(H51,AA_Cimentacion,Indice!$N$36,FALSE)*D51*I51</f>
        <v>5.157</v>
      </c>
      <c r="Q51" s="223">
        <f>HLOOKUP(H51,AA_Cimentacion,Indice!$N$37,FALSE)*I51*D51</f>
        <v>0</v>
      </c>
      <c r="R51" s="223">
        <f>HLOOKUP(H51,AA_Cimentacion,Indice!$N$38,FALSE)*I51*D51</f>
        <v>0</v>
      </c>
      <c r="S51" s="223">
        <f t="shared" si="1"/>
        <v>14.652756000000004</v>
      </c>
      <c r="T51" s="223">
        <f>HLOOKUP(H51,AA_Cimentacion,Indice!$N$39,FALSE)*I51*D51</f>
        <v>0</v>
      </c>
      <c r="U51" s="223">
        <f>IF(H51=Indice!$M$29,D51*2,0)</f>
        <v>0</v>
      </c>
      <c r="V51" s="223">
        <f>IF(Y51="Mular",0,(K51-S51)*(1+Indice!$M$25))</f>
        <v>8.9388000000000023</v>
      </c>
      <c r="W51" s="223">
        <f>IF(Y51="Mular",(K51-S51)*(1+Indice!$M$25),0)</f>
        <v>0</v>
      </c>
      <c r="X51" s="223">
        <f t="shared" si="2"/>
        <v>0</v>
      </c>
      <c r="Y51" s="223" t="s">
        <v>8</v>
      </c>
      <c r="Z51" s="223">
        <f t="shared" si="6"/>
        <v>0</v>
      </c>
      <c r="AA51" s="223">
        <v>0</v>
      </c>
      <c r="AB51" s="223">
        <v>0</v>
      </c>
      <c r="AC51" s="223">
        <f t="shared" si="4"/>
        <v>0</v>
      </c>
    </row>
    <row r="52" spans="1:29" s="212" customFormat="1" ht="12.75" customHeight="1" x14ac:dyDescent="0.25">
      <c r="A52" t="s">
        <v>1447</v>
      </c>
      <c r="B52" t="s">
        <v>1281</v>
      </c>
      <c r="C52" t="s">
        <v>1282</v>
      </c>
      <c r="D52">
        <v>26.04</v>
      </c>
      <c r="E52" s="199">
        <v>6</v>
      </c>
      <c r="F52" s="1050" t="s">
        <v>887</v>
      </c>
      <c r="G52" s="1050"/>
      <c r="H52" s="226" t="s">
        <v>7</v>
      </c>
      <c r="I52" s="223">
        <v>0.75</v>
      </c>
      <c r="J52" s="223">
        <f>HLOOKUP(H52,AA_Cimentacion,Indice!$N$31,FALSE)+((E52*25.4)/1000)+HLOOKUP(H52,AA_Cimentacion,Indice!$N$35,FALSE)</f>
        <v>1.2524000000000002</v>
      </c>
      <c r="K52" s="223">
        <f t="shared" si="5"/>
        <v>24.459372000000002</v>
      </c>
      <c r="L52" s="223">
        <f>HLOOKUP(H52,AA_Cimentacion,Indice!$N$32,FALSE)*K52</f>
        <v>1.2229686000000002</v>
      </c>
      <c r="M52" s="223">
        <f>HLOOKUP(H52,AA_Cimentacion,Indice!$N$33,FALSE)*K52</f>
        <v>0</v>
      </c>
      <c r="N52" s="223">
        <f>HLOOKUP(H52,AA_Cimentacion,Indice!$N$34,FALSE)*K52</f>
        <v>23.2364034</v>
      </c>
      <c r="O52" s="223">
        <f>HLOOKUP(H52,AA_Cimentacion,Indice!$N$35,FALSE)*I52*D52</f>
        <v>1.9530000000000003</v>
      </c>
      <c r="P52" s="223">
        <f>HLOOKUP(H52,AA_Cimentacion,Indice!$N$36,FALSE)*D52*I52</f>
        <v>5.859</v>
      </c>
      <c r="Q52" s="223">
        <f>HLOOKUP(H52,AA_Cimentacion,Indice!$N$37,FALSE)*I52*D52</f>
        <v>0</v>
      </c>
      <c r="R52" s="223">
        <f>HLOOKUP(H52,AA_Cimentacion,Indice!$N$38,FALSE)*I52*D52</f>
        <v>0</v>
      </c>
      <c r="S52" s="223">
        <f t="shared" si="1"/>
        <v>16.647372000000004</v>
      </c>
      <c r="T52" s="223">
        <f>HLOOKUP(H52,AA_Cimentacion,Indice!$N$39,FALSE)*I52*D52</f>
        <v>0</v>
      </c>
      <c r="U52" s="223">
        <f>IF(H52=Indice!$M$29,D52*2,0)</f>
        <v>0</v>
      </c>
      <c r="V52" s="223">
        <f>IF(Y52="Mular",0,(K52-S52)*(1+Indice!$M$25))</f>
        <v>10.155599999999998</v>
      </c>
      <c r="W52" s="223">
        <f>IF(Y52="Mular",(K52-S52)*(1+Indice!$M$25),0)</f>
        <v>0</v>
      </c>
      <c r="X52" s="223">
        <f t="shared" si="2"/>
        <v>0</v>
      </c>
      <c r="Y52" s="223" t="s">
        <v>8</v>
      </c>
      <c r="Z52" s="223">
        <f t="shared" si="6"/>
        <v>0</v>
      </c>
      <c r="AA52" s="223">
        <v>0</v>
      </c>
      <c r="AB52" s="223">
        <v>0</v>
      </c>
      <c r="AC52" s="223">
        <f t="shared" si="4"/>
        <v>0</v>
      </c>
    </row>
    <row r="53" spans="1:29" s="212" customFormat="1" ht="12.75" customHeight="1" x14ac:dyDescent="0.25">
      <c r="A53" t="s">
        <v>1153</v>
      </c>
      <c r="B53" t="s">
        <v>1282</v>
      </c>
      <c r="C53" t="s">
        <v>1283</v>
      </c>
      <c r="D53">
        <v>33.57</v>
      </c>
      <c r="E53" s="199">
        <v>6</v>
      </c>
      <c r="F53" s="1050" t="s">
        <v>887</v>
      </c>
      <c r="G53" s="1050"/>
      <c r="H53" s="226" t="s">
        <v>7</v>
      </c>
      <c r="I53" s="223">
        <v>0.75</v>
      </c>
      <c r="J53" s="223">
        <f>HLOOKUP(H53,AA_Cimentacion,Indice!$N$31,FALSE)+((E53*25.4)/1000)+HLOOKUP(H53,AA_Cimentacion,Indice!$N$35,FALSE)</f>
        <v>1.2524000000000002</v>
      </c>
      <c r="K53" s="223">
        <f t="shared" si="5"/>
        <v>31.532301000000004</v>
      </c>
      <c r="L53" s="223">
        <f>HLOOKUP(H53,AA_Cimentacion,Indice!$N$32,FALSE)*K53</f>
        <v>1.5766150500000002</v>
      </c>
      <c r="M53" s="223">
        <f>HLOOKUP(H53,AA_Cimentacion,Indice!$N$33,FALSE)*K53</f>
        <v>0</v>
      </c>
      <c r="N53" s="223">
        <f>HLOOKUP(H53,AA_Cimentacion,Indice!$N$34,FALSE)*K53</f>
        <v>29.955685950000003</v>
      </c>
      <c r="O53" s="223">
        <f>HLOOKUP(H53,AA_Cimentacion,Indice!$N$35,FALSE)*I53*D53</f>
        <v>2.5177500000000004</v>
      </c>
      <c r="P53" s="223">
        <f>HLOOKUP(H53,AA_Cimentacion,Indice!$N$36,FALSE)*D53*I53</f>
        <v>7.5532500000000002</v>
      </c>
      <c r="Q53" s="223">
        <f>HLOOKUP(H53,AA_Cimentacion,Indice!$N$37,FALSE)*I53*D53</f>
        <v>0</v>
      </c>
      <c r="R53" s="223">
        <f>HLOOKUP(H53,AA_Cimentacion,Indice!$N$38,FALSE)*I53*D53</f>
        <v>0</v>
      </c>
      <c r="S53" s="223">
        <f t="shared" si="1"/>
        <v>21.461301000000006</v>
      </c>
      <c r="T53" s="223">
        <f>HLOOKUP(H53,AA_Cimentacion,Indice!$N$39,FALSE)*I53*D53</f>
        <v>0</v>
      </c>
      <c r="U53" s="223">
        <f>IF(H53=Indice!$M$29,D53*2,0)</f>
        <v>0</v>
      </c>
      <c r="V53" s="223">
        <f>IF(Y53="Mular",0,(K53-S53)*(1+Indice!$M$25))</f>
        <v>13.092299999999998</v>
      </c>
      <c r="W53" s="223">
        <f>IF(Y53="Mular",(K53-S53)*(1+Indice!$M$25),0)</f>
        <v>0</v>
      </c>
      <c r="X53" s="223">
        <f t="shared" si="2"/>
        <v>0</v>
      </c>
      <c r="Y53" s="223" t="s">
        <v>8</v>
      </c>
      <c r="Z53" s="223">
        <f t="shared" si="6"/>
        <v>0</v>
      </c>
      <c r="AA53" s="223">
        <v>0</v>
      </c>
      <c r="AB53" s="223">
        <v>0</v>
      </c>
      <c r="AC53" s="223">
        <f t="shared" si="4"/>
        <v>0</v>
      </c>
    </row>
    <row r="54" spans="1:29" s="212" customFormat="1" ht="12.75" customHeight="1" x14ac:dyDescent="0.25">
      <c r="A54" t="s">
        <v>1154</v>
      </c>
      <c r="B54" t="s">
        <v>1283</v>
      </c>
      <c r="C54" t="s">
        <v>1284</v>
      </c>
      <c r="D54">
        <v>38.200000000000003</v>
      </c>
      <c r="E54" s="199">
        <v>6</v>
      </c>
      <c r="F54" s="1050" t="s">
        <v>887</v>
      </c>
      <c r="G54" s="1050"/>
      <c r="H54" s="226" t="s">
        <v>7</v>
      </c>
      <c r="I54" s="223">
        <v>0.75</v>
      </c>
      <c r="J54" s="223">
        <f>HLOOKUP(H54,AA_Cimentacion,Indice!$N$31,FALSE)+((E54*25.4)/1000)+HLOOKUP(H54,AA_Cimentacion,Indice!$N$35,FALSE)</f>
        <v>1.2524000000000002</v>
      </c>
      <c r="K54" s="223">
        <f t="shared" si="5"/>
        <v>35.881260000000005</v>
      </c>
      <c r="L54" s="223">
        <f>HLOOKUP(H54,AA_Cimentacion,Indice!$N$32,FALSE)*K54</f>
        <v>1.7940630000000004</v>
      </c>
      <c r="M54" s="223">
        <f>HLOOKUP(H54,AA_Cimentacion,Indice!$N$33,FALSE)*K54</f>
        <v>0</v>
      </c>
      <c r="N54" s="223">
        <f>HLOOKUP(H54,AA_Cimentacion,Indice!$N$34,FALSE)*K54</f>
        <v>34.087197000000003</v>
      </c>
      <c r="O54" s="223">
        <f>HLOOKUP(H54,AA_Cimentacion,Indice!$N$35,FALSE)*I54*D54</f>
        <v>2.8650000000000007</v>
      </c>
      <c r="P54" s="223">
        <f>HLOOKUP(H54,AA_Cimentacion,Indice!$N$36,FALSE)*D54*I54</f>
        <v>8.5950000000000006</v>
      </c>
      <c r="Q54" s="223">
        <f>HLOOKUP(H54,AA_Cimentacion,Indice!$N$37,FALSE)*I54*D54</f>
        <v>0</v>
      </c>
      <c r="R54" s="223">
        <f>HLOOKUP(H54,AA_Cimentacion,Indice!$N$38,FALSE)*I54*D54</f>
        <v>0</v>
      </c>
      <c r="S54" s="223">
        <f t="shared" si="1"/>
        <v>24.421260000000004</v>
      </c>
      <c r="T54" s="223">
        <f>HLOOKUP(H54,AA_Cimentacion,Indice!$N$39,FALSE)*I54*D54</f>
        <v>0</v>
      </c>
      <c r="U54" s="223">
        <f>IF(H54=Indice!$M$29,D54*2,0)</f>
        <v>0</v>
      </c>
      <c r="V54" s="223">
        <f>IF(Y54="Mular",0,(K54-S54)*(1+Indice!$M$25))</f>
        <v>14.898000000000001</v>
      </c>
      <c r="W54" s="223">
        <f>IF(Y54="Mular",(K54-S54)*(1+Indice!$M$25),0)</f>
        <v>0</v>
      </c>
      <c r="X54" s="223">
        <f t="shared" si="2"/>
        <v>0</v>
      </c>
      <c r="Y54" s="223" t="s">
        <v>8</v>
      </c>
      <c r="Z54" s="223">
        <f t="shared" si="6"/>
        <v>0</v>
      </c>
      <c r="AA54" s="223">
        <v>0</v>
      </c>
      <c r="AB54" s="223">
        <v>0</v>
      </c>
      <c r="AC54" s="223">
        <f t="shared" si="4"/>
        <v>0</v>
      </c>
    </row>
    <row r="55" spans="1:29" s="212" customFormat="1" ht="12.75" customHeight="1" x14ac:dyDescent="0.25">
      <c r="A55" t="s">
        <v>1155</v>
      </c>
      <c r="B55" t="s">
        <v>1284</v>
      </c>
      <c r="C55" t="s">
        <v>1285</v>
      </c>
      <c r="D55">
        <v>24.44</v>
      </c>
      <c r="E55" s="199">
        <v>6</v>
      </c>
      <c r="F55" s="1050" t="s">
        <v>887</v>
      </c>
      <c r="G55" s="1050"/>
      <c r="H55" s="226" t="s">
        <v>7</v>
      </c>
      <c r="I55" s="223">
        <v>0.75</v>
      </c>
      <c r="J55" s="223">
        <f>HLOOKUP(H55,AA_Cimentacion,Indice!$N$31,FALSE)+((E55*25.4)/1000)+HLOOKUP(H55,AA_Cimentacion,Indice!$N$35,FALSE)</f>
        <v>1.2524000000000002</v>
      </c>
      <c r="K55" s="223">
        <f t="shared" si="5"/>
        <v>22.956492000000004</v>
      </c>
      <c r="L55" s="223">
        <f>HLOOKUP(H55,AA_Cimentacion,Indice!$N$32,FALSE)*K55</f>
        <v>1.1478246000000003</v>
      </c>
      <c r="M55" s="223">
        <f>HLOOKUP(H55,AA_Cimentacion,Indice!$N$33,FALSE)*K55</f>
        <v>0</v>
      </c>
      <c r="N55" s="223">
        <f>HLOOKUP(H55,AA_Cimentacion,Indice!$N$34,FALSE)*K55</f>
        <v>21.808667400000004</v>
      </c>
      <c r="O55" s="223">
        <f>HLOOKUP(H55,AA_Cimentacion,Indice!$N$35,FALSE)*I55*D55</f>
        <v>1.8330000000000004</v>
      </c>
      <c r="P55" s="223">
        <f>HLOOKUP(H55,AA_Cimentacion,Indice!$N$36,FALSE)*D55*I55</f>
        <v>5.4989999999999997</v>
      </c>
      <c r="Q55" s="223">
        <f>HLOOKUP(H55,AA_Cimentacion,Indice!$N$37,FALSE)*I55*D55</f>
        <v>0</v>
      </c>
      <c r="R55" s="223">
        <f>HLOOKUP(H55,AA_Cimentacion,Indice!$N$38,FALSE)*I55*D55</f>
        <v>0</v>
      </c>
      <c r="S55" s="223">
        <f t="shared" si="1"/>
        <v>15.624492000000004</v>
      </c>
      <c r="T55" s="223">
        <f>HLOOKUP(H55,AA_Cimentacion,Indice!$N$39,FALSE)*I55*D55</f>
        <v>0</v>
      </c>
      <c r="U55" s="223">
        <f>IF(H55=Indice!$M$29,D55*2,0)</f>
        <v>0</v>
      </c>
      <c r="V55" s="223">
        <f>IF(Y55="Mular",0,(K55-S55)*(1+Indice!$M$25))</f>
        <v>9.531600000000001</v>
      </c>
      <c r="W55" s="223">
        <f>IF(Y55="Mular",(K55-S55)*(1+Indice!$M$25),0)</f>
        <v>0</v>
      </c>
      <c r="X55" s="223">
        <f t="shared" si="2"/>
        <v>0</v>
      </c>
      <c r="Y55" s="223" t="s">
        <v>8</v>
      </c>
      <c r="Z55" s="223">
        <f t="shared" si="6"/>
        <v>0</v>
      </c>
      <c r="AA55" s="223">
        <v>0</v>
      </c>
      <c r="AB55" s="223">
        <v>0</v>
      </c>
      <c r="AC55" s="223">
        <f t="shared" si="4"/>
        <v>0</v>
      </c>
    </row>
    <row r="56" spans="1:29" s="212" customFormat="1" ht="12.75" customHeight="1" x14ac:dyDescent="0.25">
      <c r="A56" t="s">
        <v>1156</v>
      </c>
      <c r="B56" t="s">
        <v>1285</v>
      </c>
      <c r="C56" t="s">
        <v>1286</v>
      </c>
      <c r="D56">
        <v>18.510000000000002</v>
      </c>
      <c r="E56" s="199">
        <v>6</v>
      </c>
      <c r="F56" s="1050" t="s">
        <v>887</v>
      </c>
      <c r="G56" s="1050"/>
      <c r="H56" s="226" t="s">
        <v>7</v>
      </c>
      <c r="I56" s="223">
        <v>0.75</v>
      </c>
      <c r="J56" s="223">
        <f>HLOOKUP(H56,AA_Cimentacion,Indice!$N$31,FALSE)+((E56*25.4)/1000)+HLOOKUP(H56,AA_Cimentacion,Indice!$N$35,FALSE)</f>
        <v>1.2524000000000002</v>
      </c>
      <c r="K56" s="223">
        <f t="shared" si="5"/>
        <v>17.386443000000003</v>
      </c>
      <c r="L56" s="223">
        <f>HLOOKUP(H56,AA_Cimentacion,Indice!$N$32,FALSE)*K56</f>
        <v>0.86932215000000024</v>
      </c>
      <c r="M56" s="223">
        <f>HLOOKUP(H56,AA_Cimentacion,Indice!$N$33,FALSE)*K56</f>
        <v>0</v>
      </c>
      <c r="N56" s="223">
        <f>HLOOKUP(H56,AA_Cimentacion,Indice!$N$34,FALSE)*K56</f>
        <v>16.517120850000001</v>
      </c>
      <c r="O56" s="223">
        <f>HLOOKUP(H56,AA_Cimentacion,Indice!$N$35,FALSE)*I56*D56</f>
        <v>1.3882500000000004</v>
      </c>
      <c r="P56" s="223">
        <f>HLOOKUP(H56,AA_Cimentacion,Indice!$N$36,FALSE)*D56*I56</f>
        <v>4.1647499999999997</v>
      </c>
      <c r="Q56" s="223">
        <f>HLOOKUP(H56,AA_Cimentacion,Indice!$N$37,FALSE)*I56*D56</f>
        <v>0</v>
      </c>
      <c r="R56" s="223">
        <f>HLOOKUP(H56,AA_Cimentacion,Indice!$N$38,FALSE)*I56*D56</f>
        <v>0</v>
      </c>
      <c r="S56" s="223">
        <f t="shared" si="1"/>
        <v>11.833443000000003</v>
      </c>
      <c r="T56" s="223">
        <f>HLOOKUP(H56,AA_Cimentacion,Indice!$N$39,FALSE)*I56*D56</f>
        <v>0</v>
      </c>
      <c r="U56" s="223">
        <f>IF(H56=Indice!$M$29,D56*2,0)</f>
        <v>0</v>
      </c>
      <c r="V56" s="223">
        <f>IF(Y56="Mular",0,(K56-S56)*(1+Indice!$M$25))</f>
        <v>7.2189000000000014</v>
      </c>
      <c r="W56" s="223">
        <f>IF(Y56="Mular",(K56-S56)*(1+Indice!$M$25),0)</f>
        <v>0</v>
      </c>
      <c r="X56" s="223">
        <f t="shared" si="2"/>
        <v>0</v>
      </c>
      <c r="Y56" s="223" t="s">
        <v>8</v>
      </c>
      <c r="Z56" s="223">
        <f t="shared" si="6"/>
        <v>0</v>
      </c>
      <c r="AA56" s="223">
        <v>0</v>
      </c>
      <c r="AB56" s="223">
        <v>0</v>
      </c>
      <c r="AC56" s="223">
        <f t="shared" si="4"/>
        <v>0</v>
      </c>
    </row>
    <row r="57" spans="1:29" s="212" customFormat="1" ht="12.75" customHeight="1" x14ac:dyDescent="0.25">
      <c r="A57" t="s">
        <v>1157</v>
      </c>
      <c r="B57" t="s">
        <v>1286</v>
      </c>
      <c r="C57" t="s">
        <v>1287</v>
      </c>
      <c r="D57">
        <v>17.82</v>
      </c>
      <c r="E57" s="199">
        <v>6</v>
      </c>
      <c r="F57" s="1050" t="s">
        <v>887</v>
      </c>
      <c r="G57" s="1050"/>
      <c r="H57" s="226" t="s">
        <v>7</v>
      </c>
      <c r="I57" s="223">
        <v>0.75</v>
      </c>
      <c r="J57" s="223">
        <f>HLOOKUP(H57,AA_Cimentacion,Indice!$N$31,FALSE)+((E57*25.4)/1000)+HLOOKUP(H57,AA_Cimentacion,Indice!$N$35,FALSE)</f>
        <v>1.2524000000000002</v>
      </c>
      <c r="K57" s="223">
        <f t="shared" si="5"/>
        <v>16.738326000000004</v>
      </c>
      <c r="L57" s="223">
        <f>HLOOKUP(H57,AA_Cimentacion,Indice!$N$32,FALSE)*K57</f>
        <v>0.83691630000000028</v>
      </c>
      <c r="M57" s="223">
        <f>HLOOKUP(H57,AA_Cimentacion,Indice!$N$33,FALSE)*K57</f>
        <v>0</v>
      </c>
      <c r="N57" s="223">
        <f>HLOOKUP(H57,AA_Cimentacion,Indice!$N$34,FALSE)*K57</f>
        <v>15.901409700000004</v>
      </c>
      <c r="O57" s="223">
        <f>HLOOKUP(H57,AA_Cimentacion,Indice!$N$35,FALSE)*I57*D57</f>
        <v>1.3365000000000002</v>
      </c>
      <c r="P57" s="223">
        <f>HLOOKUP(H57,AA_Cimentacion,Indice!$N$36,FALSE)*D57*I57</f>
        <v>4.0095000000000001</v>
      </c>
      <c r="Q57" s="223">
        <f>HLOOKUP(H57,AA_Cimentacion,Indice!$N$37,FALSE)*I57*D57</f>
        <v>0</v>
      </c>
      <c r="R57" s="223">
        <f>HLOOKUP(H57,AA_Cimentacion,Indice!$N$38,FALSE)*I57*D57</f>
        <v>0</v>
      </c>
      <c r="S57" s="223">
        <f t="shared" si="1"/>
        <v>11.392326000000004</v>
      </c>
      <c r="T57" s="223">
        <f>HLOOKUP(H57,AA_Cimentacion,Indice!$N$39,FALSE)*I57*D57</f>
        <v>0</v>
      </c>
      <c r="U57" s="223">
        <f>IF(H57=Indice!$M$29,D57*2,0)</f>
        <v>0</v>
      </c>
      <c r="V57" s="223">
        <f>IF(Y57="Mular",0,(K57-S57)*(1+Indice!$M$25))</f>
        <v>6.9498000000000006</v>
      </c>
      <c r="W57" s="223">
        <f>IF(Y57="Mular",(K57-S57)*(1+Indice!$M$25),0)</f>
        <v>0</v>
      </c>
      <c r="X57" s="223">
        <f t="shared" si="2"/>
        <v>0</v>
      </c>
      <c r="Y57" s="223" t="s">
        <v>8</v>
      </c>
      <c r="Z57" s="223">
        <f t="shared" si="6"/>
        <v>0</v>
      </c>
      <c r="AA57" s="223">
        <v>0</v>
      </c>
      <c r="AB57" s="223">
        <v>0</v>
      </c>
      <c r="AC57" s="223">
        <f t="shared" si="4"/>
        <v>0</v>
      </c>
    </row>
    <row r="58" spans="1:29" s="212" customFormat="1" ht="12.75" customHeight="1" x14ac:dyDescent="0.25">
      <c r="A58" t="s">
        <v>1158</v>
      </c>
      <c r="B58" t="s">
        <v>1287</v>
      </c>
      <c r="C58" t="s">
        <v>1288</v>
      </c>
      <c r="D58">
        <v>18.66</v>
      </c>
      <c r="E58" s="199">
        <v>6</v>
      </c>
      <c r="F58" s="1050" t="s">
        <v>887</v>
      </c>
      <c r="G58" s="1050"/>
      <c r="H58" s="226" t="s">
        <v>7</v>
      </c>
      <c r="I58" s="223">
        <v>0.75</v>
      </c>
      <c r="J58" s="223">
        <f>HLOOKUP(H58,AA_Cimentacion,Indice!$N$31,FALSE)+((E58*25.4)/1000)+HLOOKUP(H58,AA_Cimentacion,Indice!$N$35,FALSE)</f>
        <v>1.2524000000000002</v>
      </c>
      <c r="K58" s="223">
        <f t="shared" si="5"/>
        <v>17.527338000000004</v>
      </c>
      <c r="L58" s="223">
        <f>HLOOKUP(H58,AA_Cimentacion,Indice!$N$32,FALSE)*K58</f>
        <v>0.87636690000000028</v>
      </c>
      <c r="M58" s="223">
        <f>HLOOKUP(H58,AA_Cimentacion,Indice!$N$33,FALSE)*K58</f>
        <v>0</v>
      </c>
      <c r="N58" s="223">
        <f>HLOOKUP(H58,AA_Cimentacion,Indice!$N$34,FALSE)*K58</f>
        <v>16.650971100000003</v>
      </c>
      <c r="O58" s="223">
        <f>HLOOKUP(H58,AA_Cimentacion,Indice!$N$35,FALSE)*I58*D58</f>
        <v>1.3995000000000002</v>
      </c>
      <c r="P58" s="223">
        <f>HLOOKUP(H58,AA_Cimentacion,Indice!$N$36,FALSE)*D58*I58</f>
        <v>4.1985000000000001</v>
      </c>
      <c r="Q58" s="223">
        <f>HLOOKUP(H58,AA_Cimentacion,Indice!$N$37,FALSE)*I58*D58</f>
        <v>0</v>
      </c>
      <c r="R58" s="223">
        <f>HLOOKUP(H58,AA_Cimentacion,Indice!$N$38,FALSE)*I58*D58</f>
        <v>0</v>
      </c>
      <c r="S58" s="223">
        <f t="shared" si="1"/>
        <v>11.929338000000005</v>
      </c>
      <c r="T58" s="223">
        <f>HLOOKUP(H58,AA_Cimentacion,Indice!$N$39,FALSE)*I58*D58</f>
        <v>0</v>
      </c>
      <c r="U58" s="223">
        <f>IF(H58=Indice!$M$29,D58*2,0)</f>
        <v>0</v>
      </c>
      <c r="V58" s="223">
        <f>IF(Y58="Mular",0,(K58-S58)*(1+Indice!$M$25))</f>
        <v>7.2773999999999992</v>
      </c>
      <c r="W58" s="223">
        <f>IF(Y58="Mular",(K58-S58)*(1+Indice!$M$25),0)</f>
        <v>0</v>
      </c>
      <c r="X58" s="223">
        <f t="shared" si="2"/>
        <v>0</v>
      </c>
      <c r="Y58" s="223" t="s">
        <v>8</v>
      </c>
      <c r="Z58" s="223">
        <f t="shared" si="6"/>
        <v>0</v>
      </c>
      <c r="AA58" s="223">
        <v>0</v>
      </c>
      <c r="AB58" s="223">
        <v>0</v>
      </c>
      <c r="AC58" s="223">
        <f t="shared" si="4"/>
        <v>0</v>
      </c>
    </row>
    <row r="59" spans="1:29" s="212" customFormat="1" ht="12.75" customHeight="1" x14ac:dyDescent="0.25">
      <c r="A59" t="s">
        <v>1159</v>
      </c>
      <c r="B59" t="s">
        <v>1288</v>
      </c>
      <c r="C59" t="s">
        <v>1289</v>
      </c>
      <c r="D59">
        <v>23.8</v>
      </c>
      <c r="E59" s="199">
        <v>6</v>
      </c>
      <c r="F59" s="1050" t="s">
        <v>887</v>
      </c>
      <c r="G59" s="1050"/>
      <c r="H59" s="226" t="s">
        <v>7</v>
      </c>
      <c r="I59" s="223">
        <v>0.75</v>
      </c>
      <c r="J59" s="223">
        <f>HLOOKUP(H59,AA_Cimentacion,Indice!$N$31,FALSE)+((E59*25.4)/1000)+HLOOKUP(H59,AA_Cimentacion,Indice!$N$35,FALSE)</f>
        <v>1.2524000000000002</v>
      </c>
      <c r="K59" s="223">
        <f t="shared" si="5"/>
        <v>22.355340000000005</v>
      </c>
      <c r="L59" s="223">
        <f>HLOOKUP(H59,AA_Cimentacion,Indice!$N$32,FALSE)*K59</f>
        <v>1.1177670000000004</v>
      </c>
      <c r="M59" s="223">
        <f>HLOOKUP(H59,AA_Cimentacion,Indice!$N$33,FALSE)*K59</f>
        <v>0</v>
      </c>
      <c r="N59" s="223">
        <f>HLOOKUP(H59,AA_Cimentacion,Indice!$N$34,FALSE)*K59</f>
        <v>21.237573000000005</v>
      </c>
      <c r="O59" s="223">
        <f>HLOOKUP(H59,AA_Cimentacion,Indice!$N$35,FALSE)*I59*D59</f>
        <v>1.7850000000000004</v>
      </c>
      <c r="P59" s="223">
        <f>HLOOKUP(H59,AA_Cimentacion,Indice!$N$36,FALSE)*D59*I59</f>
        <v>5.3549999999999995</v>
      </c>
      <c r="Q59" s="223">
        <f>HLOOKUP(H59,AA_Cimentacion,Indice!$N$37,FALSE)*I59*D59</f>
        <v>0</v>
      </c>
      <c r="R59" s="223">
        <f>HLOOKUP(H59,AA_Cimentacion,Indice!$N$38,FALSE)*I59*D59</f>
        <v>0</v>
      </c>
      <c r="S59" s="223">
        <f t="shared" si="1"/>
        <v>15.215340000000005</v>
      </c>
      <c r="T59" s="223">
        <f>HLOOKUP(H59,AA_Cimentacion,Indice!$N$39,FALSE)*I59*D59</f>
        <v>0</v>
      </c>
      <c r="U59" s="223">
        <f>IF(H59=Indice!$M$29,D59*2,0)</f>
        <v>0</v>
      </c>
      <c r="V59" s="223">
        <f>IF(Y59="Mular",0,(K59-S59)*(1+Indice!$M$25))</f>
        <v>9.2820000000000018</v>
      </c>
      <c r="W59" s="223">
        <f>IF(Y59="Mular",(K59-S59)*(1+Indice!$M$25),0)</f>
        <v>0</v>
      </c>
      <c r="X59" s="223">
        <f t="shared" si="2"/>
        <v>0</v>
      </c>
      <c r="Y59" s="223" t="s">
        <v>8</v>
      </c>
      <c r="Z59" s="223">
        <f t="shared" si="6"/>
        <v>0</v>
      </c>
      <c r="AA59" s="223">
        <v>0</v>
      </c>
      <c r="AB59" s="223">
        <v>0</v>
      </c>
      <c r="AC59" s="223">
        <f t="shared" si="4"/>
        <v>0</v>
      </c>
    </row>
    <row r="60" spans="1:29" s="212" customFormat="1" ht="12.75" customHeight="1" x14ac:dyDescent="0.25">
      <c r="A60" t="s">
        <v>1160</v>
      </c>
      <c r="B60" t="s">
        <v>1289</v>
      </c>
      <c r="C60" t="s">
        <v>1290</v>
      </c>
      <c r="D60">
        <v>14.69</v>
      </c>
      <c r="E60" s="199">
        <v>6</v>
      </c>
      <c r="F60" s="1050" t="s">
        <v>887</v>
      </c>
      <c r="G60" s="1050"/>
      <c r="H60" s="226" t="s">
        <v>7</v>
      </c>
      <c r="I60" s="223">
        <v>0.75</v>
      </c>
      <c r="J60" s="223">
        <f>HLOOKUP(H60,AA_Cimentacion,Indice!$N$31,FALSE)+((E60*25.4)/1000)+HLOOKUP(H60,AA_Cimentacion,Indice!$N$35,FALSE)</f>
        <v>1.2524000000000002</v>
      </c>
      <c r="K60" s="223">
        <f t="shared" si="5"/>
        <v>13.798317000000001</v>
      </c>
      <c r="L60" s="223">
        <f>HLOOKUP(H60,AA_Cimentacion,Indice!$N$32,FALSE)*K60</f>
        <v>0.68991585000000011</v>
      </c>
      <c r="M60" s="223">
        <f>HLOOKUP(H60,AA_Cimentacion,Indice!$N$33,FALSE)*K60</f>
        <v>0</v>
      </c>
      <c r="N60" s="223">
        <f>HLOOKUP(H60,AA_Cimentacion,Indice!$N$34,FALSE)*K60</f>
        <v>13.108401150000001</v>
      </c>
      <c r="O60" s="223">
        <f>HLOOKUP(H60,AA_Cimentacion,Indice!$N$35,FALSE)*I60*D60</f>
        <v>1.1017500000000002</v>
      </c>
      <c r="P60" s="223">
        <f>HLOOKUP(H60,AA_Cimentacion,Indice!$N$36,FALSE)*D60*I60</f>
        <v>3.30525</v>
      </c>
      <c r="Q60" s="223">
        <f>HLOOKUP(H60,AA_Cimentacion,Indice!$N$37,FALSE)*I60*D60</f>
        <v>0</v>
      </c>
      <c r="R60" s="223">
        <f>HLOOKUP(H60,AA_Cimentacion,Indice!$N$38,FALSE)*I60*D60</f>
        <v>0</v>
      </c>
      <c r="S60" s="223">
        <f t="shared" si="1"/>
        <v>9.3913170000000008</v>
      </c>
      <c r="T60" s="223">
        <f>HLOOKUP(H60,AA_Cimentacion,Indice!$N$39,FALSE)*I60*D60</f>
        <v>0</v>
      </c>
      <c r="U60" s="223">
        <f>IF(H60=Indice!$M$29,D60*2,0)</f>
        <v>0</v>
      </c>
      <c r="V60" s="223">
        <f>IF(Y60="Mular",0,(K60-S60)*(1+Indice!$M$25))</f>
        <v>5.7290999999999999</v>
      </c>
      <c r="W60" s="223">
        <f>IF(Y60="Mular",(K60-S60)*(1+Indice!$M$25),0)</f>
        <v>0</v>
      </c>
      <c r="X60" s="223">
        <f t="shared" si="2"/>
        <v>0</v>
      </c>
      <c r="Y60" s="223" t="s">
        <v>8</v>
      </c>
      <c r="Z60" s="223">
        <f t="shared" si="6"/>
        <v>0</v>
      </c>
      <c r="AA60" s="223">
        <v>0</v>
      </c>
      <c r="AB60" s="223">
        <v>0</v>
      </c>
      <c r="AC60" s="223">
        <f t="shared" si="4"/>
        <v>0</v>
      </c>
    </row>
    <row r="61" spans="1:29" s="212" customFormat="1" ht="12.75" customHeight="1" x14ac:dyDescent="0.25">
      <c r="A61" t="s">
        <v>1161</v>
      </c>
      <c r="B61" t="s">
        <v>1290</v>
      </c>
      <c r="C61" t="s">
        <v>1291</v>
      </c>
      <c r="D61">
        <v>15.87</v>
      </c>
      <c r="E61" s="199">
        <v>6</v>
      </c>
      <c r="F61" s="1050" t="s">
        <v>887</v>
      </c>
      <c r="G61" s="1050"/>
      <c r="H61" s="226" t="s">
        <v>7</v>
      </c>
      <c r="I61" s="223">
        <v>0.75</v>
      </c>
      <c r="J61" s="223">
        <f>HLOOKUP(H61,AA_Cimentacion,Indice!$N$31,FALSE)+((E61*25.4)/1000)+HLOOKUP(H61,AA_Cimentacion,Indice!$N$35,FALSE)</f>
        <v>1.2524000000000002</v>
      </c>
      <c r="K61" s="223">
        <f t="shared" si="5"/>
        <v>14.906691000000002</v>
      </c>
      <c r="L61" s="223">
        <f>HLOOKUP(H61,AA_Cimentacion,Indice!$N$32,FALSE)*K61</f>
        <v>0.74533455000000015</v>
      </c>
      <c r="M61" s="223">
        <f>HLOOKUP(H61,AA_Cimentacion,Indice!$N$33,FALSE)*K61</f>
        <v>0</v>
      </c>
      <c r="N61" s="223">
        <f>HLOOKUP(H61,AA_Cimentacion,Indice!$N$34,FALSE)*K61</f>
        <v>14.161356450000001</v>
      </c>
      <c r="O61" s="223">
        <f>HLOOKUP(H61,AA_Cimentacion,Indice!$N$35,FALSE)*I61*D61</f>
        <v>1.19025</v>
      </c>
      <c r="P61" s="223">
        <f>HLOOKUP(H61,AA_Cimentacion,Indice!$N$36,FALSE)*D61*I61</f>
        <v>3.5707499999999994</v>
      </c>
      <c r="Q61" s="223">
        <f>HLOOKUP(H61,AA_Cimentacion,Indice!$N$37,FALSE)*I61*D61</f>
        <v>0</v>
      </c>
      <c r="R61" s="223">
        <f>HLOOKUP(H61,AA_Cimentacion,Indice!$N$38,FALSE)*I61*D61</f>
        <v>0</v>
      </c>
      <c r="S61" s="223">
        <f t="shared" si="1"/>
        <v>10.145691000000003</v>
      </c>
      <c r="T61" s="223">
        <f>HLOOKUP(H61,AA_Cimentacion,Indice!$N$39,FALSE)*I61*D61</f>
        <v>0</v>
      </c>
      <c r="U61" s="223">
        <f>IF(H61=Indice!$M$29,D61*2,0)</f>
        <v>0</v>
      </c>
      <c r="V61" s="223">
        <f>IF(Y61="Mular",0,(K61-S61)*(1+Indice!$M$25))</f>
        <v>6.1892999999999994</v>
      </c>
      <c r="W61" s="223">
        <f>IF(Y61="Mular",(K61-S61)*(1+Indice!$M$25),0)</f>
        <v>0</v>
      </c>
      <c r="X61" s="223">
        <f t="shared" si="2"/>
        <v>0</v>
      </c>
      <c r="Y61" s="223" t="s">
        <v>8</v>
      </c>
      <c r="Z61" s="223">
        <f t="shared" si="6"/>
        <v>0</v>
      </c>
      <c r="AA61" s="223">
        <v>0</v>
      </c>
      <c r="AB61" s="223">
        <v>0</v>
      </c>
      <c r="AC61" s="223">
        <f t="shared" si="4"/>
        <v>0</v>
      </c>
    </row>
    <row r="62" spans="1:29" s="212" customFormat="1" ht="12.75" customHeight="1" x14ac:dyDescent="0.25">
      <c r="A62" t="s">
        <v>1162</v>
      </c>
      <c r="B62" t="s">
        <v>1291</v>
      </c>
      <c r="C62" t="s">
        <v>1292</v>
      </c>
      <c r="D62">
        <v>25.69</v>
      </c>
      <c r="E62" s="199">
        <v>6</v>
      </c>
      <c r="F62" s="1050" t="s">
        <v>887</v>
      </c>
      <c r="G62" s="1050"/>
      <c r="H62" s="226" t="s">
        <v>7</v>
      </c>
      <c r="I62" s="223">
        <v>0.75</v>
      </c>
      <c r="J62" s="223">
        <f>HLOOKUP(H62,AA_Cimentacion,Indice!$N$31,FALSE)+((E62*25.4)/1000)+HLOOKUP(H62,AA_Cimentacion,Indice!$N$35,FALSE)</f>
        <v>1.2524000000000002</v>
      </c>
      <c r="K62" s="223">
        <f t="shared" si="5"/>
        <v>24.130617000000004</v>
      </c>
      <c r="L62" s="223">
        <f>HLOOKUP(H62,AA_Cimentacion,Indice!$N$32,FALSE)*K62</f>
        <v>1.2065308500000003</v>
      </c>
      <c r="M62" s="223">
        <f>HLOOKUP(H62,AA_Cimentacion,Indice!$N$33,FALSE)*K62</f>
        <v>0</v>
      </c>
      <c r="N62" s="223">
        <f>HLOOKUP(H62,AA_Cimentacion,Indice!$N$34,FALSE)*K62</f>
        <v>22.924086150000004</v>
      </c>
      <c r="O62" s="223">
        <f>HLOOKUP(H62,AA_Cimentacion,Indice!$N$35,FALSE)*I62*D62</f>
        <v>1.9267500000000004</v>
      </c>
      <c r="P62" s="223">
        <f>HLOOKUP(H62,AA_Cimentacion,Indice!$N$36,FALSE)*D62*I62</f>
        <v>5.7802499999999997</v>
      </c>
      <c r="Q62" s="223">
        <f>HLOOKUP(H62,AA_Cimentacion,Indice!$N$37,FALSE)*I62*D62</f>
        <v>0</v>
      </c>
      <c r="R62" s="223">
        <f>HLOOKUP(H62,AA_Cimentacion,Indice!$N$38,FALSE)*I62*D62</f>
        <v>0</v>
      </c>
      <c r="S62" s="223">
        <f t="shared" si="1"/>
        <v>16.423617000000004</v>
      </c>
      <c r="T62" s="223">
        <f>HLOOKUP(H62,AA_Cimentacion,Indice!$N$39,FALSE)*I62*D62</f>
        <v>0</v>
      </c>
      <c r="U62" s="223">
        <f>IF(H62=Indice!$M$29,D62*2,0)</f>
        <v>0</v>
      </c>
      <c r="V62" s="223">
        <f>IF(Y62="Mular",0,(K62-S62)*(1+Indice!$M$25))</f>
        <v>10.019100000000002</v>
      </c>
      <c r="W62" s="223">
        <f>IF(Y62="Mular",(K62-S62)*(1+Indice!$M$25),0)</f>
        <v>0</v>
      </c>
      <c r="X62" s="223">
        <f t="shared" si="2"/>
        <v>0</v>
      </c>
      <c r="Y62" s="223" t="s">
        <v>8</v>
      </c>
      <c r="Z62" s="223">
        <f t="shared" si="6"/>
        <v>0</v>
      </c>
      <c r="AA62" s="223">
        <v>0</v>
      </c>
      <c r="AB62" s="223">
        <v>0</v>
      </c>
      <c r="AC62" s="223">
        <f t="shared" si="4"/>
        <v>0</v>
      </c>
    </row>
    <row r="63" spans="1:29" s="212" customFormat="1" ht="12.75" customHeight="1" x14ac:dyDescent="0.25">
      <c r="A63" t="s">
        <v>1163</v>
      </c>
      <c r="B63" t="s">
        <v>1292</v>
      </c>
      <c r="C63" t="s">
        <v>1293</v>
      </c>
      <c r="D63">
        <v>22.02</v>
      </c>
      <c r="E63" s="199">
        <v>6</v>
      </c>
      <c r="F63" s="1050" t="s">
        <v>887</v>
      </c>
      <c r="G63" s="1050"/>
      <c r="H63" s="226" t="s">
        <v>7</v>
      </c>
      <c r="I63" s="223">
        <v>0.75</v>
      </c>
      <c r="J63" s="223">
        <f>HLOOKUP(H63,AA_Cimentacion,Indice!$N$31,FALSE)+((E63*25.4)/1000)+HLOOKUP(H63,AA_Cimentacion,Indice!$N$35,FALSE)</f>
        <v>1.2524000000000002</v>
      </c>
      <c r="K63" s="223">
        <f t="shared" si="5"/>
        <v>20.683386000000002</v>
      </c>
      <c r="L63" s="223">
        <f>HLOOKUP(H63,AA_Cimentacion,Indice!$N$32,FALSE)*K63</f>
        <v>1.0341693000000001</v>
      </c>
      <c r="M63" s="223">
        <f>HLOOKUP(H63,AA_Cimentacion,Indice!$N$33,FALSE)*K63</f>
        <v>0</v>
      </c>
      <c r="N63" s="223">
        <f>HLOOKUP(H63,AA_Cimentacion,Indice!$N$34,FALSE)*K63</f>
        <v>19.6492167</v>
      </c>
      <c r="O63" s="223">
        <f>HLOOKUP(H63,AA_Cimentacion,Indice!$N$35,FALSE)*I63*D63</f>
        <v>1.6515000000000002</v>
      </c>
      <c r="P63" s="223">
        <f>HLOOKUP(H63,AA_Cimentacion,Indice!$N$36,FALSE)*D63*I63</f>
        <v>4.9544999999999995</v>
      </c>
      <c r="Q63" s="223">
        <f>HLOOKUP(H63,AA_Cimentacion,Indice!$N$37,FALSE)*I63*D63</f>
        <v>0</v>
      </c>
      <c r="R63" s="223">
        <f>HLOOKUP(H63,AA_Cimentacion,Indice!$N$38,FALSE)*I63*D63</f>
        <v>0</v>
      </c>
      <c r="S63" s="223">
        <f t="shared" si="1"/>
        <v>14.077386000000004</v>
      </c>
      <c r="T63" s="223">
        <f>HLOOKUP(H63,AA_Cimentacion,Indice!$N$39,FALSE)*I63*D63</f>
        <v>0</v>
      </c>
      <c r="U63" s="223">
        <f>IF(H63=Indice!$M$29,D63*2,0)</f>
        <v>0</v>
      </c>
      <c r="V63" s="223">
        <f>IF(Y63="Mular",0,(K63-S63)*(1+Indice!$M$25))</f>
        <v>8.5877999999999979</v>
      </c>
      <c r="W63" s="223">
        <f>IF(Y63="Mular",(K63-S63)*(1+Indice!$M$25),0)</f>
        <v>0</v>
      </c>
      <c r="X63" s="223">
        <f t="shared" si="2"/>
        <v>0</v>
      </c>
      <c r="Y63" s="223" t="s">
        <v>8</v>
      </c>
      <c r="Z63" s="223">
        <f t="shared" si="6"/>
        <v>0</v>
      </c>
      <c r="AA63" s="223">
        <v>0</v>
      </c>
      <c r="AB63" s="223">
        <v>0</v>
      </c>
      <c r="AC63" s="223">
        <f t="shared" si="4"/>
        <v>0</v>
      </c>
    </row>
    <row r="64" spans="1:29" s="212" customFormat="1" ht="12.75" customHeight="1" x14ac:dyDescent="0.25">
      <c r="A64" t="s">
        <v>1164</v>
      </c>
      <c r="B64" t="s">
        <v>1293</v>
      </c>
      <c r="C64" t="s">
        <v>1294</v>
      </c>
      <c r="D64">
        <v>15.97</v>
      </c>
      <c r="E64" s="199">
        <v>6</v>
      </c>
      <c r="F64" s="1050" t="s">
        <v>887</v>
      </c>
      <c r="G64" s="1050"/>
      <c r="H64" s="226" t="s">
        <v>7</v>
      </c>
      <c r="I64" s="223">
        <v>0.75</v>
      </c>
      <c r="J64" s="223">
        <f>HLOOKUP(H64,AA_Cimentacion,Indice!$N$31,FALSE)+((E64*25.4)/1000)+HLOOKUP(H64,AA_Cimentacion,Indice!$N$35,FALSE)</f>
        <v>1.2524000000000002</v>
      </c>
      <c r="K64" s="223">
        <f t="shared" si="5"/>
        <v>15.000621000000002</v>
      </c>
      <c r="L64" s="223">
        <f>HLOOKUP(H64,AA_Cimentacion,Indice!$N$32,FALSE)*K64</f>
        <v>0.75003105000000014</v>
      </c>
      <c r="M64" s="223">
        <f>HLOOKUP(H64,AA_Cimentacion,Indice!$N$33,FALSE)*K64</f>
        <v>0</v>
      </c>
      <c r="N64" s="223">
        <f>HLOOKUP(H64,AA_Cimentacion,Indice!$N$34,FALSE)*K64</f>
        <v>14.250589950000002</v>
      </c>
      <c r="O64" s="223">
        <f>HLOOKUP(H64,AA_Cimentacion,Indice!$N$35,FALSE)*I64*D64</f>
        <v>1.1977500000000003</v>
      </c>
      <c r="P64" s="223">
        <f>HLOOKUP(H64,AA_Cimentacion,Indice!$N$36,FALSE)*D64*I64</f>
        <v>3.5932500000000003</v>
      </c>
      <c r="Q64" s="223">
        <f>HLOOKUP(H64,AA_Cimentacion,Indice!$N$37,FALSE)*I64*D64</f>
        <v>0</v>
      </c>
      <c r="R64" s="223">
        <f>HLOOKUP(H64,AA_Cimentacion,Indice!$N$38,FALSE)*I64*D64</f>
        <v>0</v>
      </c>
      <c r="S64" s="223">
        <f t="shared" si="1"/>
        <v>10.209621000000002</v>
      </c>
      <c r="T64" s="223">
        <f>HLOOKUP(H64,AA_Cimentacion,Indice!$N$39,FALSE)*I64*D64</f>
        <v>0</v>
      </c>
      <c r="U64" s="223">
        <f>IF(H64=Indice!$M$29,D64*2,0)</f>
        <v>0</v>
      </c>
      <c r="V64" s="223">
        <f>IF(Y64="Mular",0,(K64-S64)*(1+Indice!$M$25))</f>
        <v>6.2283000000000008</v>
      </c>
      <c r="W64" s="223">
        <f>IF(Y64="Mular",(K64-S64)*(1+Indice!$M$25),0)</f>
        <v>0</v>
      </c>
      <c r="X64" s="223">
        <f t="shared" si="2"/>
        <v>0</v>
      </c>
      <c r="Y64" s="223" t="s">
        <v>8</v>
      </c>
      <c r="Z64" s="223">
        <f t="shared" si="6"/>
        <v>0</v>
      </c>
      <c r="AA64" s="223">
        <v>0</v>
      </c>
      <c r="AB64" s="223">
        <v>0</v>
      </c>
      <c r="AC64" s="223">
        <f t="shared" si="4"/>
        <v>0</v>
      </c>
    </row>
    <row r="65" spans="1:29" s="212" customFormat="1" ht="12.75" customHeight="1" x14ac:dyDescent="0.25">
      <c r="A65" t="s">
        <v>1165</v>
      </c>
      <c r="B65" t="s">
        <v>1294</v>
      </c>
      <c r="C65" t="s">
        <v>1295</v>
      </c>
      <c r="D65">
        <v>23.41</v>
      </c>
      <c r="E65" s="199">
        <v>6</v>
      </c>
      <c r="F65" s="1050" t="s">
        <v>887</v>
      </c>
      <c r="G65" s="1050"/>
      <c r="H65" s="226" t="s">
        <v>7</v>
      </c>
      <c r="I65" s="223">
        <v>0.75</v>
      </c>
      <c r="J65" s="223">
        <f>HLOOKUP(H65,AA_Cimentacion,Indice!$N$31,FALSE)+((E65*25.4)/1000)+HLOOKUP(H65,AA_Cimentacion,Indice!$N$35,FALSE)</f>
        <v>1.2524000000000002</v>
      </c>
      <c r="K65" s="223">
        <f t="shared" si="5"/>
        <v>21.989013000000003</v>
      </c>
      <c r="L65" s="223">
        <f>HLOOKUP(H65,AA_Cimentacion,Indice!$N$32,FALSE)*K65</f>
        <v>1.0994506500000003</v>
      </c>
      <c r="M65" s="223">
        <f>HLOOKUP(H65,AA_Cimentacion,Indice!$N$33,FALSE)*K65</f>
        <v>0</v>
      </c>
      <c r="N65" s="223">
        <f>HLOOKUP(H65,AA_Cimentacion,Indice!$N$34,FALSE)*K65</f>
        <v>20.889562350000002</v>
      </c>
      <c r="O65" s="223">
        <f>HLOOKUP(H65,AA_Cimentacion,Indice!$N$35,FALSE)*I65*D65</f>
        <v>1.7557500000000004</v>
      </c>
      <c r="P65" s="223">
        <f>HLOOKUP(H65,AA_Cimentacion,Indice!$N$36,FALSE)*D65*I65</f>
        <v>5.2672499999999998</v>
      </c>
      <c r="Q65" s="223">
        <f>HLOOKUP(H65,AA_Cimentacion,Indice!$N$37,FALSE)*I65*D65</f>
        <v>0</v>
      </c>
      <c r="R65" s="223">
        <f>HLOOKUP(H65,AA_Cimentacion,Indice!$N$38,FALSE)*I65*D65</f>
        <v>0</v>
      </c>
      <c r="S65" s="223">
        <f t="shared" si="1"/>
        <v>14.966013000000004</v>
      </c>
      <c r="T65" s="223">
        <f>HLOOKUP(H65,AA_Cimentacion,Indice!$N$39,FALSE)*I65*D65</f>
        <v>0</v>
      </c>
      <c r="U65" s="223">
        <f>IF(H65=Indice!$M$29,D65*2,0)</f>
        <v>0</v>
      </c>
      <c r="V65" s="223">
        <f>IF(Y65="Mular",0,(K65-S65)*(1+Indice!$M$25))</f>
        <v>9.1298999999999992</v>
      </c>
      <c r="W65" s="223">
        <f>IF(Y65="Mular",(K65-S65)*(1+Indice!$M$25),0)</f>
        <v>0</v>
      </c>
      <c r="X65" s="223">
        <f t="shared" si="2"/>
        <v>0</v>
      </c>
      <c r="Y65" s="223" t="s">
        <v>8</v>
      </c>
      <c r="Z65" s="223">
        <f t="shared" si="6"/>
        <v>0</v>
      </c>
      <c r="AA65" s="223">
        <v>0</v>
      </c>
      <c r="AB65" s="223">
        <v>0</v>
      </c>
      <c r="AC65" s="223">
        <f t="shared" si="4"/>
        <v>0</v>
      </c>
    </row>
    <row r="66" spans="1:29" s="212" customFormat="1" ht="12.75" customHeight="1" x14ac:dyDescent="0.25">
      <c r="A66" t="s">
        <v>1166</v>
      </c>
      <c r="B66" t="s">
        <v>1295</v>
      </c>
      <c r="C66" t="s">
        <v>1296</v>
      </c>
      <c r="D66">
        <v>27.96</v>
      </c>
      <c r="E66" s="199">
        <v>6</v>
      </c>
      <c r="F66" s="1050" t="s">
        <v>887</v>
      </c>
      <c r="G66" s="1050"/>
      <c r="H66" s="226" t="s">
        <v>7</v>
      </c>
      <c r="I66" s="223">
        <v>0.75</v>
      </c>
      <c r="J66" s="223">
        <f>HLOOKUP(H66,AA_Cimentacion,Indice!$N$31,FALSE)+((E66*25.4)/1000)+HLOOKUP(H66,AA_Cimentacion,Indice!$N$35,FALSE)</f>
        <v>1.2524000000000002</v>
      </c>
      <c r="K66" s="223">
        <f t="shared" si="5"/>
        <v>26.262828000000006</v>
      </c>
      <c r="L66" s="223">
        <f>HLOOKUP(H66,AA_Cimentacion,Indice!$N$32,FALSE)*K66</f>
        <v>1.3131414000000003</v>
      </c>
      <c r="M66" s="223">
        <f>HLOOKUP(H66,AA_Cimentacion,Indice!$N$33,FALSE)*K66</f>
        <v>0</v>
      </c>
      <c r="N66" s="223">
        <f>HLOOKUP(H66,AA_Cimentacion,Indice!$N$34,FALSE)*K66</f>
        <v>24.949686600000003</v>
      </c>
      <c r="O66" s="223">
        <f>HLOOKUP(H66,AA_Cimentacion,Indice!$N$35,FALSE)*I66*D66</f>
        <v>2.0970000000000004</v>
      </c>
      <c r="P66" s="223">
        <f>HLOOKUP(H66,AA_Cimentacion,Indice!$N$36,FALSE)*D66*I66</f>
        <v>6.2910000000000004</v>
      </c>
      <c r="Q66" s="223">
        <f>HLOOKUP(H66,AA_Cimentacion,Indice!$N$37,FALSE)*I66*D66</f>
        <v>0</v>
      </c>
      <c r="R66" s="223">
        <f>HLOOKUP(H66,AA_Cimentacion,Indice!$N$38,FALSE)*I66*D66</f>
        <v>0</v>
      </c>
      <c r="S66" s="223">
        <f t="shared" si="1"/>
        <v>17.874828000000004</v>
      </c>
      <c r="T66" s="223">
        <f>HLOOKUP(H66,AA_Cimentacion,Indice!$N$39,FALSE)*I66*D66</f>
        <v>0</v>
      </c>
      <c r="U66" s="223">
        <f>IF(H66=Indice!$M$29,D66*2,0)</f>
        <v>0</v>
      </c>
      <c r="V66" s="223">
        <f>IF(Y66="Mular",0,(K66-S66)*(1+Indice!$M$25))</f>
        <v>10.904400000000003</v>
      </c>
      <c r="W66" s="223">
        <f>IF(Y66="Mular",(K66-S66)*(1+Indice!$M$25),0)</f>
        <v>0</v>
      </c>
      <c r="X66" s="223">
        <f t="shared" si="2"/>
        <v>0</v>
      </c>
      <c r="Y66" s="223" t="s">
        <v>8</v>
      </c>
      <c r="Z66" s="223">
        <f t="shared" si="6"/>
        <v>0</v>
      </c>
      <c r="AA66" s="223">
        <v>0</v>
      </c>
      <c r="AB66" s="223">
        <v>0</v>
      </c>
      <c r="AC66" s="223">
        <f t="shared" si="4"/>
        <v>0</v>
      </c>
    </row>
    <row r="67" spans="1:29" s="212" customFormat="1" ht="12.75" customHeight="1" x14ac:dyDescent="0.25">
      <c r="A67" t="s">
        <v>1167</v>
      </c>
      <c r="B67" t="s">
        <v>1296</v>
      </c>
      <c r="C67" t="s">
        <v>1297</v>
      </c>
      <c r="D67">
        <v>62.8</v>
      </c>
      <c r="E67" s="199">
        <v>6</v>
      </c>
      <c r="F67" s="1050" t="s">
        <v>887</v>
      </c>
      <c r="G67" s="1050"/>
      <c r="H67" s="226" t="s">
        <v>7</v>
      </c>
      <c r="I67" s="223">
        <v>0.75</v>
      </c>
      <c r="J67" s="223">
        <f>HLOOKUP(H67,AA_Cimentacion,Indice!$N$31,FALSE)+((E67*25.4)/1000)+HLOOKUP(H67,AA_Cimentacion,Indice!$N$35,FALSE)</f>
        <v>1.2524000000000002</v>
      </c>
      <c r="K67" s="223">
        <f t="shared" si="5"/>
        <v>58.988040000000005</v>
      </c>
      <c r="L67" s="223">
        <f>HLOOKUP(H67,AA_Cimentacion,Indice!$N$32,FALSE)*K67</f>
        <v>2.9494020000000005</v>
      </c>
      <c r="M67" s="223">
        <f>HLOOKUP(H67,AA_Cimentacion,Indice!$N$33,FALSE)*K67</f>
        <v>0</v>
      </c>
      <c r="N67" s="223">
        <f>HLOOKUP(H67,AA_Cimentacion,Indice!$N$34,FALSE)*K67</f>
        <v>56.038637999999999</v>
      </c>
      <c r="O67" s="223">
        <f>HLOOKUP(H67,AA_Cimentacion,Indice!$N$35,FALSE)*I67*D67</f>
        <v>4.7100000000000009</v>
      </c>
      <c r="P67" s="223">
        <f>HLOOKUP(H67,AA_Cimentacion,Indice!$N$36,FALSE)*D67*I67</f>
        <v>14.129999999999999</v>
      </c>
      <c r="Q67" s="223">
        <f>HLOOKUP(H67,AA_Cimentacion,Indice!$N$37,FALSE)*I67*D67</f>
        <v>0</v>
      </c>
      <c r="R67" s="223">
        <f>HLOOKUP(H67,AA_Cimentacion,Indice!$N$38,FALSE)*I67*D67</f>
        <v>0</v>
      </c>
      <c r="S67" s="223">
        <f t="shared" si="1"/>
        <v>40.148040000000009</v>
      </c>
      <c r="T67" s="223">
        <f>HLOOKUP(H67,AA_Cimentacion,Indice!$N$39,FALSE)*I67*D67</f>
        <v>0</v>
      </c>
      <c r="U67" s="223">
        <f>IF(H67=Indice!$M$29,D67*2,0)</f>
        <v>0</v>
      </c>
      <c r="V67" s="223">
        <f>IF(Y67="Mular",0,(K67-S67)*(1+Indice!$M$25))</f>
        <v>24.491999999999997</v>
      </c>
      <c r="W67" s="223">
        <f>IF(Y67="Mular",(K67-S67)*(1+Indice!$M$25),0)</f>
        <v>0</v>
      </c>
      <c r="X67" s="223">
        <f t="shared" si="2"/>
        <v>0</v>
      </c>
      <c r="Y67" s="223" t="s">
        <v>8</v>
      </c>
      <c r="Z67" s="223">
        <f t="shared" si="6"/>
        <v>0</v>
      </c>
      <c r="AA67" s="223">
        <v>0</v>
      </c>
      <c r="AB67" s="223">
        <v>0</v>
      </c>
      <c r="AC67" s="223">
        <f t="shared" si="4"/>
        <v>0</v>
      </c>
    </row>
    <row r="68" spans="1:29" s="212" customFormat="1" ht="12.75" customHeight="1" x14ac:dyDescent="0.25">
      <c r="A68" t="s">
        <v>1168</v>
      </c>
      <c r="B68" t="s">
        <v>1297</v>
      </c>
      <c r="C68" t="s">
        <v>1298</v>
      </c>
      <c r="D68">
        <v>44</v>
      </c>
      <c r="E68" s="199">
        <v>6</v>
      </c>
      <c r="F68" s="1050" t="s">
        <v>887</v>
      </c>
      <c r="G68" s="1050"/>
      <c r="H68" s="226" t="s">
        <v>7</v>
      </c>
      <c r="I68" s="223">
        <v>0.75</v>
      </c>
      <c r="J68" s="223">
        <f>HLOOKUP(H68,AA_Cimentacion,Indice!$N$31,FALSE)+((E68*25.4)/1000)+HLOOKUP(H68,AA_Cimentacion,Indice!$N$35,FALSE)</f>
        <v>1.2524000000000002</v>
      </c>
      <c r="K68" s="223">
        <f t="shared" si="5"/>
        <v>41.329200000000007</v>
      </c>
      <c r="L68" s="223">
        <f>HLOOKUP(H68,AA_Cimentacion,Indice!$N$32,FALSE)*K68</f>
        <v>2.0664600000000006</v>
      </c>
      <c r="M68" s="223">
        <f>HLOOKUP(H68,AA_Cimentacion,Indice!$N$33,FALSE)*K68</f>
        <v>0</v>
      </c>
      <c r="N68" s="223">
        <f>HLOOKUP(H68,AA_Cimentacion,Indice!$N$34,FALSE)*K68</f>
        <v>39.262740000000008</v>
      </c>
      <c r="O68" s="223">
        <f>HLOOKUP(H68,AA_Cimentacion,Indice!$N$35,FALSE)*I68*D68</f>
        <v>3.3000000000000007</v>
      </c>
      <c r="P68" s="223">
        <f>HLOOKUP(H68,AA_Cimentacion,Indice!$N$36,FALSE)*D68*I68</f>
        <v>9.8999999999999986</v>
      </c>
      <c r="Q68" s="223">
        <f>HLOOKUP(H68,AA_Cimentacion,Indice!$N$37,FALSE)*I68*D68</f>
        <v>0</v>
      </c>
      <c r="R68" s="223">
        <f>HLOOKUP(H68,AA_Cimentacion,Indice!$N$38,FALSE)*I68*D68</f>
        <v>0</v>
      </c>
      <c r="S68" s="223">
        <f t="shared" si="1"/>
        <v>28.129200000000004</v>
      </c>
      <c r="T68" s="223">
        <f>HLOOKUP(H68,AA_Cimentacion,Indice!$N$39,FALSE)*I68*D68</f>
        <v>0</v>
      </c>
      <c r="U68" s="223">
        <f>IF(H68=Indice!$M$29,D68*2,0)</f>
        <v>0</v>
      </c>
      <c r="V68" s="223">
        <f>IF(Y68="Mular",0,(K68-S68)*(1+Indice!$M$25))</f>
        <v>17.160000000000004</v>
      </c>
      <c r="W68" s="223">
        <f>IF(Y68="Mular",(K68-S68)*(1+Indice!$M$25),0)</f>
        <v>0</v>
      </c>
      <c r="X68" s="223">
        <f t="shared" si="2"/>
        <v>0</v>
      </c>
      <c r="Y68" s="223" t="s">
        <v>8</v>
      </c>
      <c r="Z68" s="223">
        <f t="shared" si="6"/>
        <v>0</v>
      </c>
      <c r="AA68" s="223">
        <v>0</v>
      </c>
      <c r="AB68" s="223">
        <v>0</v>
      </c>
      <c r="AC68" s="223">
        <f t="shared" si="4"/>
        <v>0</v>
      </c>
    </row>
    <row r="69" spans="1:29" s="212" customFormat="1" ht="12.75" customHeight="1" x14ac:dyDescent="0.25">
      <c r="A69" t="s">
        <v>1169</v>
      </c>
      <c r="B69" t="s">
        <v>1298</v>
      </c>
      <c r="C69" t="s">
        <v>1299</v>
      </c>
      <c r="D69">
        <v>52.96</v>
      </c>
      <c r="E69" s="199">
        <v>6</v>
      </c>
      <c r="F69" s="1050" t="s">
        <v>887</v>
      </c>
      <c r="G69" s="1050"/>
      <c r="H69" s="226" t="s">
        <v>7</v>
      </c>
      <c r="I69" s="223">
        <v>0.75</v>
      </c>
      <c r="J69" s="223">
        <f>HLOOKUP(H69,AA_Cimentacion,Indice!$N$31,FALSE)+((E69*25.4)/1000)+HLOOKUP(H69,AA_Cimentacion,Indice!$N$35,FALSE)</f>
        <v>1.2524000000000002</v>
      </c>
      <c r="K69" s="223">
        <f t="shared" si="5"/>
        <v>49.745328000000008</v>
      </c>
      <c r="L69" s="223">
        <f>HLOOKUP(H69,AA_Cimentacion,Indice!$N$32,FALSE)*K69</f>
        <v>2.4872664000000007</v>
      </c>
      <c r="M69" s="223">
        <f>HLOOKUP(H69,AA_Cimentacion,Indice!$N$33,FALSE)*K69</f>
        <v>0</v>
      </c>
      <c r="N69" s="223">
        <f>HLOOKUP(H69,AA_Cimentacion,Indice!$N$34,FALSE)*K69</f>
        <v>47.258061600000005</v>
      </c>
      <c r="O69" s="223">
        <f>HLOOKUP(H69,AA_Cimentacion,Indice!$N$35,FALSE)*I69*D69</f>
        <v>3.9720000000000009</v>
      </c>
      <c r="P69" s="223">
        <f>HLOOKUP(H69,AA_Cimentacion,Indice!$N$36,FALSE)*D69*I69</f>
        <v>11.916</v>
      </c>
      <c r="Q69" s="223">
        <f>HLOOKUP(H69,AA_Cimentacion,Indice!$N$37,FALSE)*I69*D69</f>
        <v>0</v>
      </c>
      <c r="R69" s="223">
        <f>HLOOKUP(H69,AA_Cimentacion,Indice!$N$38,FALSE)*I69*D69</f>
        <v>0</v>
      </c>
      <c r="S69" s="223">
        <f t="shared" si="1"/>
        <v>33.85732800000001</v>
      </c>
      <c r="T69" s="223">
        <f>HLOOKUP(H69,AA_Cimentacion,Indice!$N$39,FALSE)*I69*D69</f>
        <v>0</v>
      </c>
      <c r="U69" s="223">
        <f>IF(H69=Indice!$M$29,D69*2,0)</f>
        <v>0</v>
      </c>
      <c r="V69" s="223">
        <f>IF(Y69="Mular",0,(K69-S69)*(1+Indice!$M$25))</f>
        <v>20.654399999999999</v>
      </c>
      <c r="W69" s="223">
        <f>IF(Y69="Mular",(K69-S69)*(1+Indice!$M$25),0)</f>
        <v>0</v>
      </c>
      <c r="X69" s="223">
        <f t="shared" si="2"/>
        <v>0</v>
      </c>
      <c r="Y69" s="223" t="s">
        <v>8</v>
      </c>
      <c r="Z69" s="223">
        <f t="shared" si="6"/>
        <v>0</v>
      </c>
      <c r="AA69" s="223">
        <v>0</v>
      </c>
      <c r="AB69" s="223">
        <v>0</v>
      </c>
      <c r="AC69" s="223">
        <f t="shared" si="4"/>
        <v>0</v>
      </c>
    </row>
    <row r="70" spans="1:29" s="212" customFormat="1" ht="12.75" customHeight="1" x14ac:dyDescent="0.25">
      <c r="A70" t="s">
        <v>1170</v>
      </c>
      <c r="B70" t="s">
        <v>1299</v>
      </c>
      <c r="C70" t="s">
        <v>1300</v>
      </c>
      <c r="D70">
        <v>36.29</v>
      </c>
      <c r="E70" s="199">
        <v>6</v>
      </c>
      <c r="F70" s="1050" t="s">
        <v>887</v>
      </c>
      <c r="G70" s="1050"/>
      <c r="H70" s="226" t="s">
        <v>7</v>
      </c>
      <c r="I70" s="223">
        <v>0.75</v>
      </c>
      <c r="J70" s="223">
        <f>HLOOKUP(H70,AA_Cimentacion,Indice!$N$31,FALSE)+((E70*25.4)/1000)+HLOOKUP(H70,AA_Cimentacion,Indice!$N$35,FALSE)</f>
        <v>1.2524000000000002</v>
      </c>
      <c r="K70" s="223">
        <f t="shared" si="5"/>
        <v>34.087197000000003</v>
      </c>
      <c r="L70" s="223">
        <f>HLOOKUP(H70,AA_Cimentacion,Indice!$N$32,FALSE)*K70</f>
        <v>1.7043598500000003</v>
      </c>
      <c r="M70" s="223">
        <f>HLOOKUP(H70,AA_Cimentacion,Indice!$N$33,FALSE)*K70</f>
        <v>0</v>
      </c>
      <c r="N70" s="223">
        <f>HLOOKUP(H70,AA_Cimentacion,Indice!$N$34,FALSE)*K70</f>
        <v>32.38283715</v>
      </c>
      <c r="O70" s="223">
        <f>HLOOKUP(H70,AA_Cimentacion,Indice!$N$35,FALSE)*I70*D70</f>
        <v>2.7217500000000006</v>
      </c>
      <c r="P70" s="223">
        <f>HLOOKUP(H70,AA_Cimentacion,Indice!$N$36,FALSE)*D70*I70</f>
        <v>8.1652499999999986</v>
      </c>
      <c r="Q70" s="223">
        <f>HLOOKUP(H70,AA_Cimentacion,Indice!$N$37,FALSE)*I70*D70</f>
        <v>0</v>
      </c>
      <c r="R70" s="223">
        <f>HLOOKUP(H70,AA_Cimentacion,Indice!$N$38,FALSE)*I70*D70</f>
        <v>0</v>
      </c>
      <c r="S70" s="223">
        <f t="shared" si="1"/>
        <v>23.200197000000003</v>
      </c>
      <c r="T70" s="223">
        <f>HLOOKUP(H70,AA_Cimentacion,Indice!$N$39,FALSE)*I70*D70</f>
        <v>0</v>
      </c>
      <c r="U70" s="223">
        <f>IF(H70=Indice!$M$29,D70*2,0)</f>
        <v>0</v>
      </c>
      <c r="V70" s="223">
        <f>IF(Y70="Mular",0,(K70-S70)*(1+Indice!$M$25))</f>
        <v>14.1531</v>
      </c>
      <c r="W70" s="223">
        <f>IF(Y70="Mular",(K70-S70)*(1+Indice!$M$25),0)</f>
        <v>0</v>
      </c>
      <c r="X70" s="223">
        <f t="shared" si="2"/>
        <v>0</v>
      </c>
      <c r="Y70" s="223" t="s">
        <v>8</v>
      </c>
      <c r="Z70" s="223">
        <f t="shared" si="6"/>
        <v>0</v>
      </c>
      <c r="AA70" s="223">
        <v>0</v>
      </c>
      <c r="AB70" s="223">
        <v>0</v>
      </c>
      <c r="AC70" s="223">
        <f t="shared" si="4"/>
        <v>0</v>
      </c>
    </row>
    <row r="71" spans="1:29" s="212" customFormat="1" ht="12.75" customHeight="1" x14ac:dyDescent="0.25">
      <c r="A71" t="s">
        <v>1171</v>
      </c>
      <c r="B71" t="s">
        <v>1300</v>
      </c>
      <c r="C71" t="s">
        <v>1301</v>
      </c>
      <c r="D71">
        <v>1.43</v>
      </c>
      <c r="E71" s="199">
        <v>6</v>
      </c>
      <c r="F71" s="1050" t="s">
        <v>887</v>
      </c>
      <c r="G71" s="1050"/>
      <c r="H71" s="226" t="s">
        <v>7</v>
      </c>
      <c r="I71" s="223">
        <v>0.75</v>
      </c>
      <c r="J71" s="223">
        <f>HLOOKUP(H71,AA_Cimentacion,Indice!$N$31,FALSE)+((E71*25.4)/1000)+HLOOKUP(H71,AA_Cimentacion,Indice!$N$35,FALSE)</f>
        <v>1.2524000000000002</v>
      </c>
      <c r="K71" s="223">
        <f t="shared" si="5"/>
        <v>1.343199</v>
      </c>
      <c r="L71" s="223">
        <f>HLOOKUP(H71,AA_Cimentacion,Indice!$N$32,FALSE)*K71</f>
        <v>6.715995000000001E-2</v>
      </c>
      <c r="M71" s="223">
        <f>HLOOKUP(H71,AA_Cimentacion,Indice!$N$33,FALSE)*K71</f>
        <v>0</v>
      </c>
      <c r="N71" s="223">
        <f>HLOOKUP(H71,AA_Cimentacion,Indice!$N$34,FALSE)*K71</f>
        <v>1.2760390500000001</v>
      </c>
      <c r="O71" s="223">
        <f>HLOOKUP(H71,AA_Cimentacion,Indice!$N$35,FALSE)*I71*D71</f>
        <v>0.10725000000000001</v>
      </c>
      <c r="P71" s="223">
        <f>HLOOKUP(H71,AA_Cimentacion,Indice!$N$36,FALSE)*D71*I71</f>
        <v>0.32174999999999998</v>
      </c>
      <c r="Q71" s="223">
        <f>HLOOKUP(H71,AA_Cimentacion,Indice!$N$37,FALSE)*I71*D71</f>
        <v>0</v>
      </c>
      <c r="R71" s="223">
        <f>HLOOKUP(H71,AA_Cimentacion,Indice!$N$38,FALSE)*I71*D71</f>
        <v>0</v>
      </c>
      <c r="S71" s="223">
        <f t="shared" si="1"/>
        <v>0.91419899999999998</v>
      </c>
      <c r="T71" s="223">
        <f>HLOOKUP(H71,AA_Cimentacion,Indice!$N$39,FALSE)*I71*D71</f>
        <v>0</v>
      </c>
      <c r="U71" s="223">
        <f>IF(H71=Indice!$M$29,D71*2,0)</f>
        <v>0</v>
      </c>
      <c r="V71" s="223">
        <f>IF(Y71="Mular",0,(K71-S71)*(1+Indice!$M$25))</f>
        <v>0.55770000000000008</v>
      </c>
      <c r="W71" s="223">
        <f>IF(Y71="Mular",(K71-S71)*(1+Indice!$M$25),0)</f>
        <v>0</v>
      </c>
      <c r="X71" s="223">
        <f t="shared" si="2"/>
        <v>0</v>
      </c>
      <c r="Y71" s="223" t="s">
        <v>8</v>
      </c>
      <c r="Z71" s="223">
        <f t="shared" si="6"/>
        <v>0</v>
      </c>
      <c r="AA71" s="223">
        <v>0</v>
      </c>
      <c r="AB71" s="223">
        <v>0</v>
      </c>
      <c r="AC71" s="223">
        <f t="shared" si="4"/>
        <v>0</v>
      </c>
    </row>
    <row r="72" spans="1:29" s="212" customFormat="1" ht="12.75" customHeight="1" x14ac:dyDescent="0.25">
      <c r="A72" t="s">
        <v>1172</v>
      </c>
      <c r="B72" t="s">
        <v>1302</v>
      </c>
      <c r="C72" t="s">
        <v>1303</v>
      </c>
      <c r="D72">
        <v>15.81</v>
      </c>
      <c r="E72" s="199">
        <v>6</v>
      </c>
      <c r="F72" s="1050" t="s">
        <v>887</v>
      </c>
      <c r="G72" s="1050"/>
      <c r="H72" s="226" t="s">
        <v>7</v>
      </c>
      <c r="I72" s="223">
        <v>0.75</v>
      </c>
      <c r="J72" s="223">
        <f>HLOOKUP(H72,AA_Cimentacion,Indice!$N$31,FALSE)+((E72*25.4)/1000)+HLOOKUP(H72,AA_Cimentacion,Indice!$N$35,FALSE)</f>
        <v>1.2524000000000002</v>
      </c>
      <c r="K72" s="223">
        <f t="shared" si="5"/>
        <v>14.850333000000003</v>
      </c>
      <c r="L72" s="223">
        <f>HLOOKUP(H72,AA_Cimentacion,Indice!$N$32,FALSE)*K72</f>
        <v>0.74251665000000022</v>
      </c>
      <c r="M72" s="223">
        <f>HLOOKUP(H72,AA_Cimentacion,Indice!$N$33,FALSE)*K72</f>
        <v>0</v>
      </c>
      <c r="N72" s="223">
        <f>HLOOKUP(H72,AA_Cimentacion,Indice!$N$34,FALSE)*K72</f>
        <v>14.107816350000002</v>
      </c>
      <c r="O72" s="223">
        <f>HLOOKUP(H72,AA_Cimentacion,Indice!$N$35,FALSE)*I72*D72</f>
        <v>1.1857500000000003</v>
      </c>
      <c r="P72" s="223">
        <f>HLOOKUP(H72,AA_Cimentacion,Indice!$N$36,FALSE)*D72*I72</f>
        <v>3.5572500000000002</v>
      </c>
      <c r="Q72" s="223">
        <f>HLOOKUP(H72,AA_Cimentacion,Indice!$N$37,FALSE)*I72*D72</f>
        <v>0</v>
      </c>
      <c r="R72" s="223">
        <f>HLOOKUP(H72,AA_Cimentacion,Indice!$N$38,FALSE)*I72*D72</f>
        <v>0</v>
      </c>
      <c r="S72" s="223">
        <f t="shared" si="1"/>
        <v>10.107333000000002</v>
      </c>
      <c r="T72" s="223">
        <f>HLOOKUP(H72,AA_Cimentacion,Indice!$N$39,FALSE)*I72*D72</f>
        <v>0</v>
      </c>
      <c r="U72" s="223">
        <f>IF(H72=Indice!$M$29,D72*2,0)</f>
        <v>0</v>
      </c>
      <c r="V72" s="223">
        <f>IF(Y72="Mular",0,(K72-S72)*(1+Indice!$M$25))</f>
        <v>6.1659000000000006</v>
      </c>
      <c r="W72" s="223">
        <f>IF(Y72="Mular",(K72-S72)*(1+Indice!$M$25),0)</f>
        <v>0</v>
      </c>
      <c r="X72" s="223">
        <f t="shared" si="2"/>
        <v>0</v>
      </c>
      <c r="Y72" s="223" t="s">
        <v>8</v>
      </c>
      <c r="Z72" s="223">
        <f t="shared" si="6"/>
        <v>0</v>
      </c>
      <c r="AA72" s="223">
        <v>0</v>
      </c>
      <c r="AB72" s="223">
        <v>0</v>
      </c>
      <c r="AC72" s="223">
        <f t="shared" si="4"/>
        <v>0</v>
      </c>
    </row>
    <row r="73" spans="1:29" s="212" customFormat="1" ht="12.75" customHeight="1" x14ac:dyDescent="0.25">
      <c r="A73" t="s">
        <v>1173</v>
      </c>
      <c r="B73" t="s">
        <v>1303</v>
      </c>
      <c r="C73" t="s">
        <v>1304</v>
      </c>
      <c r="D73">
        <v>10.5</v>
      </c>
      <c r="E73" s="199">
        <v>6</v>
      </c>
      <c r="F73" s="1050" t="s">
        <v>887</v>
      </c>
      <c r="G73" s="1050"/>
      <c r="H73" s="226" t="s">
        <v>7</v>
      </c>
      <c r="I73" s="223">
        <v>0.75</v>
      </c>
      <c r="J73" s="223">
        <f>HLOOKUP(H73,AA_Cimentacion,Indice!$N$31,FALSE)+((E73*25.4)/1000)+HLOOKUP(H73,AA_Cimentacion,Indice!$N$35,FALSE)</f>
        <v>1.2524000000000002</v>
      </c>
      <c r="K73" s="223">
        <f t="shared" si="5"/>
        <v>9.8626500000000021</v>
      </c>
      <c r="L73" s="223">
        <f>HLOOKUP(H73,AA_Cimentacion,Indice!$N$32,FALSE)*K73</f>
        <v>0.49313250000000014</v>
      </c>
      <c r="M73" s="223">
        <f>HLOOKUP(H73,AA_Cimentacion,Indice!$N$33,FALSE)*K73</f>
        <v>0</v>
      </c>
      <c r="N73" s="223">
        <f>HLOOKUP(H73,AA_Cimentacion,Indice!$N$34,FALSE)*K73</f>
        <v>9.3695175000000024</v>
      </c>
      <c r="O73" s="223">
        <f>HLOOKUP(H73,AA_Cimentacion,Indice!$N$35,FALSE)*I73*D73</f>
        <v>0.78750000000000009</v>
      </c>
      <c r="P73" s="223">
        <f>HLOOKUP(H73,AA_Cimentacion,Indice!$N$36,FALSE)*D73*I73</f>
        <v>2.3624999999999998</v>
      </c>
      <c r="Q73" s="223">
        <f>HLOOKUP(H73,AA_Cimentacion,Indice!$N$37,FALSE)*I73*D73</f>
        <v>0</v>
      </c>
      <c r="R73" s="223">
        <f>HLOOKUP(H73,AA_Cimentacion,Indice!$N$38,FALSE)*I73*D73</f>
        <v>0</v>
      </c>
      <c r="S73" s="223">
        <f t="shared" si="1"/>
        <v>6.7126500000000027</v>
      </c>
      <c r="T73" s="223">
        <f>HLOOKUP(H73,AA_Cimentacion,Indice!$N$39,FALSE)*I73*D73</f>
        <v>0</v>
      </c>
      <c r="U73" s="223">
        <f>IF(H73=Indice!$M$29,D73*2,0)</f>
        <v>0</v>
      </c>
      <c r="V73" s="223">
        <f>IF(Y73="Mular",0,(K73-S73)*(1+Indice!$M$25))</f>
        <v>4.0949999999999998</v>
      </c>
      <c r="W73" s="223">
        <f>IF(Y73="Mular",(K73-S73)*(1+Indice!$M$25),0)</f>
        <v>0</v>
      </c>
      <c r="X73" s="223">
        <f t="shared" si="2"/>
        <v>0</v>
      </c>
      <c r="Y73" s="223" t="s">
        <v>8</v>
      </c>
      <c r="Z73" s="223">
        <f t="shared" si="6"/>
        <v>0</v>
      </c>
      <c r="AA73" s="223">
        <v>0</v>
      </c>
      <c r="AB73" s="223">
        <v>0</v>
      </c>
      <c r="AC73" s="223">
        <f t="shared" si="4"/>
        <v>0</v>
      </c>
    </row>
    <row r="74" spans="1:29" s="212" customFormat="1" ht="12.75" customHeight="1" x14ac:dyDescent="0.25">
      <c r="A74" t="s">
        <v>1174</v>
      </c>
      <c r="B74" t="s">
        <v>1304</v>
      </c>
      <c r="C74" t="s">
        <v>1305</v>
      </c>
      <c r="D74">
        <v>7.73</v>
      </c>
      <c r="E74" s="199">
        <v>6</v>
      </c>
      <c r="F74" s="1050" t="s">
        <v>887</v>
      </c>
      <c r="G74" s="1050"/>
      <c r="H74" s="226" t="s">
        <v>7</v>
      </c>
      <c r="I74" s="223">
        <v>0.75</v>
      </c>
      <c r="J74" s="223">
        <f>HLOOKUP(H74,AA_Cimentacion,Indice!$N$31,FALSE)+((E74*25.4)/1000)+HLOOKUP(H74,AA_Cimentacion,Indice!$N$35,FALSE)</f>
        <v>1.2524000000000002</v>
      </c>
      <c r="K74" s="223">
        <f t="shared" si="5"/>
        <v>7.2607890000000017</v>
      </c>
      <c r="L74" s="223">
        <f>HLOOKUP(H74,AA_Cimentacion,Indice!$N$32,FALSE)*K74</f>
        <v>0.3630394500000001</v>
      </c>
      <c r="M74" s="223">
        <f>HLOOKUP(H74,AA_Cimentacion,Indice!$N$33,FALSE)*K74</f>
        <v>0</v>
      </c>
      <c r="N74" s="223">
        <f>HLOOKUP(H74,AA_Cimentacion,Indice!$N$34,FALSE)*K74</f>
        <v>6.8977495500000012</v>
      </c>
      <c r="O74" s="223">
        <f>HLOOKUP(H74,AA_Cimentacion,Indice!$N$35,FALSE)*I74*D74</f>
        <v>0.5797500000000001</v>
      </c>
      <c r="P74" s="223">
        <f>HLOOKUP(H74,AA_Cimentacion,Indice!$N$36,FALSE)*D74*I74</f>
        <v>1.73925</v>
      </c>
      <c r="Q74" s="223">
        <f>HLOOKUP(H74,AA_Cimentacion,Indice!$N$37,FALSE)*I74*D74</f>
        <v>0</v>
      </c>
      <c r="R74" s="223">
        <f>HLOOKUP(H74,AA_Cimentacion,Indice!$N$38,FALSE)*I74*D74</f>
        <v>0</v>
      </c>
      <c r="S74" s="223">
        <f t="shared" si="1"/>
        <v>4.9417890000000018</v>
      </c>
      <c r="T74" s="223">
        <f>HLOOKUP(H74,AA_Cimentacion,Indice!$N$39,FALSE)*I74*D74</f>
        <v>0</v>
      </c>
      <c r="U74" s="223">
        <f>IF(H74=Indice!$M$29,D74*2,0)</f>
        <v>0</v>
      </c>
      <c r="V74" s="223">
        <f>IF(Y74="Mular",0,(K74-S74)*(1+Indice!$M$25))</f>
        <v>3.0146999999999999</v>
      </c>
      <c r="W74" s="223">
        <f>IF(Y74="Mular",(K74-S74)*(1+Indice!$M$25),0)</f>
        <v>0</v>
      </c>
      <c r="X74" s="223">
        <f t="shared" si="2"/>
        <v>0</v>
      </c>
      <c r="Y74" s="223" t="s">
        <v>8</v>
      </c>
      <c r="Z74" s="223">
        <f t="shared" si="6"/>
        <v>0</v>
      </c>
      <c r="AA74" s="223">
        <v>0</v>
      </c>
      <c r="AB74" s="223">
        <v>0</v>
      </c>
      <c r="AC74" s="223">
        <f t="shared" si="4"/>
        <v>0</v>
      </c>
    </row>
    <row r="75" spans="1:29" s="212" customFormat="1" ht="12.75" customHeight="1" x14ac:dyDescent="0.25">
      <c r="A75" t="s">
        <v>1175</v>
      </c>
      <c r="B75" t="s">
        <v>1305</v>
      </c>
      <c r="C75" t="s">
        <v>1306</v>
      </c>
      <c r="D75">
        <v>5.63</v>
      </c>
      <c r="E75" s="199">
        <v>6</v>
      </c>
      <c r="F75" s="1050" t="s">
        <v>887</v>
      </c>
      <c r="G75" s="1050"/>
      <c r="H75" s="226" t="s">
        <v>7</v>
      </c>
      <c r="I75" s="223">
        <v>0.75</v>
      </c>
      <c r="J75" s="223">
        <f>HLOOKUP(H75,AA_Cimentacion,Indice!$N$31,FALSE)+((E75*25.4)/1000)+HLOOKUP(H75,AA_Cimentacion,Indice!$N$35,FALSE)</f>
        <v>1.2524000000000002</v>
      </c>
      <c r="K75" s="223">
        <f t="shared" si="5"/>
        <v>5.2882590000000009</v>
      </c>
      <c r="L75" s="223">
        <f>HLOOKUP(H75,AA_Cimentacion,Indice!$N$32,FALSE)*K75</f>
        <v>0.26441295000000004</v>
      </c>
      <c r="M75" s="223">
        <f>HLOOKUP(H75,AA_Cimentacion,Indice!$N$33,FALSE)*K75</f>
        <v>0</v>
      </c>
      <c r="N75" s="223">
        <f>HLOOKUP(H75,AA_Cimentacion,Indice!$N$34,FALSE)*K75</f>
        <v>5.0238460500000004</v>
      </c>
      <c r="O75" s="223">
        <f>HLOOKUP(H75,AA_Cimentacion,Indice!$N$35,FALSE)*I75*D75</f>
        <v>0.42225000000000007</v>
      </c>
      <c r="P75" s="223">
        <f>HLOOKUP(H75,AA_Cimentacion,Indice!$N$36,FALSE)*D75*I75</f>
        <v>1.2667499999999998</v>
      </c>
      <c r="Q75" s="223">
        <f>HLOOKUP(H75,AA_Cimentacion,Indice!$N$37,FALSE)*I75*D75</f>
        <v>0</v>
      </c>
      <c r="R75" s="223">
        <f>HLOOKUP(H75,AA_Cimentacion,Indice!$N$38,FALSE)*I75*D75</f>
        <v>0</v>
      </c>
      <c r="S75" s="223">
        <f t="shared" si="1"/>
        <v>3.5992590000000009</v>
      </c>
      <c r="T75" s="223">
        <f>HLOOKUP(H75,AA_Cimentacion,Indice!$N$39,FALSE)*I75*D75</f>
        <v>0</v>
      </c>
      <c r="U75" s="223">
        <f>IF(H75=Indice!$M$29,D75*2,0)</f>
        <v>0</v>
      </c>
      <c r="V75" s="223">
        <f>IF(Y75="Mular",0,(K75-S75)*(1+Indice!$M$25))</f>
        <v>2.1957</v>
      </c>
      <c r="W75" s="223">
        <f>IF(Y75="Mular",(K75-S75)*(1+Indice!$M$25),0)</f>
        <v>0</v>
      </c>
      <c r="X75" s="223">
        <f t="shared" si="2"/>
        <v>0</v>
      </c>
      <c r="Y75" s="223" t="s">
        <v>8</v>
      </c>
      <c r="Z75" s="223">
        <f t="shared" si="6"/>
        <v>0</v>
      </c>
      <c r="AA75" s="223">
        <v>0</v>
      </c>
      <c r="AB75" s="223">
        <v>0</v>
      </c>
      <c r="AC75" s="223">
        <f t="shared" si="4"/>
        <v>0</v>
      </c>
    </row>
    <row r="76" spans="1:29" s="212" customFormat="1" ht="12.75" customHeight="1" x14ac:dyDescent="0.25">
      <c r="A76" t="s">
        <v>1176</v>
      </c>
      <c r="B76" t="s">
        <v>1306</v>
      </c>
      <c r="C76" t="s">
        <v>1307</v>
      </c>
      <c r="D76">
        <v>7.57</v>
      </c>
      <c r="E76" s="199">
        <v>6</v>
      </c>
      <c r="F76" s="1050" t="s">
        <v>887</v>
      </c>
      <c r="G76" s="1050"/>
      <c r="H76" s="226" t="s">
        <v>7</v>
      </c>
      <c r="I76" s="223">
        <v>0.75</v>
      </c>
      <c r="J76" s="223">
        <f>HLOOKUP(H76,AA_Cimentacion,Indice!$N$31,FALSE)+((E76*25.4)/1000)+HLOOKUP(H76,AA_Cimentacion,Indice!$N$35,FALSE)</f>
        <v>1.2524000000000002</v>
      </c>
      <c r="K76" s="223">
        <f t="shared" si="5"/>
        <v>7.1105010000000011</v>
      </c>
      <c r="L76" s="223">
        <f>HLOOKUP(H76,AA_Cimentacion,Indice!$N$32,FALSE)*K76</f>
        <v>0.35552505000000006</v>
      </c>
      <c r="M76" s="223">
        <f>HLOOKUP(H76,AA_Cimentacion,Indice!$N$33,FALSE)*K76</f>
        <v>0</v>
      </c>
      <c r="N76" s="223">
        <f>HLOOKUP(H76,AA_Cimentacion,Indice!$N$34,FALSE)*K76</f>
        <v>6.7549759500000004</v>
      </c>
      <c r="O76" s="223">
        <f>HLOOKUP(H76,AA_Cimentacion,Indice!$N$35,FALSE)*I76*D76</f>
        <v>0.56775000000000009</v>
      </c>
      <c r="P76" s="223">
        <f>HLOOKUP(H76,AA_Cimentacion,Indice!$N$36,FALSE)*D76*I76</f>
        <v>1.7032499999999999</v>
      </c>
      <c r="Q76" s="223">
        <f>HLOOKUP(H76,AA_Cimentacion,Indice!$N$37,FALSE)*I76*D76</f>
        <v>0</v>
      </c>
      <c r="R76" s="223">
        <f>HLOOKUP(H76,AA_Cimentacion,Indice!$N$38,FALSE)*I76*D76</f>
        <v>0</v>
      </c>
      <c r="S76" s="223">
        <f t="shared" si="1"/>
        <v>4.8395010000000012</v>
      </c>
      <c r="T76" s="223">
        <f>HLOOKUP(H76,AA_Cimentacion,Indice!$N$39,FALSE)*I76*D76</f>
        <v>0</v>
      </c>
      <c r="U76" s="223">
        <f>IF(H76=Indice!$M$29,D76*2,0)</f>
        <v>0</v>
      </c>
      <c r="V76" s="223">
        <f>IF(Y76="Mular",0,(K76-S76)*(1+Indice!$M$25))</f>
        <v>2.9523000000000001</v>
      </c>
      <c r="W76" s="223">
        <f>IF(Y76="Mular",(K76-S76)*(1+Indice!$M$25),0)</f>
        <v>0</v>
      </c>
      <c r="X76" s="223">
        <f t="shared" si="2"/>
        <v>0</v>
      </c>
      <c r="Y76" s="223" t="s">
        <v>8</v>
      </c>
      <c r="Z76" s="223">
        <f t="shared" si="6"/>
        <v>0</v>
      </c>
      <c r="AA76" s="223">
        <v>0</v>
      </c>
      <c r="AB76" s="223">
        <v>0</v>
      </c>
      <c r="AC76" s="223">
        <f t="shared" si="4"/>
        <v>0</v>
      </c>
    </row>
    <row r="77" spans="1:29" s="212" customFormat="1" ht="12.75" customHeight="1" x14ac:dyDescent="0.25">
      <c r="A77" t="s">
        <v>1177</v>
      </c>
      <c r="B77" t="s">
        <v>1307</v>
      </c>
      <c r="C77" t="s">
        <v>1308</v>
      </c>
      <c r="D77">
        <v>21.93</v>
      </c>
      <c r="E77" s="199">
        <v>6</v>
      </c>
      <c r="F77" s="1050" t="s">
        <v>887</v>
      </c>
      <c r="G77" s="1050"/>
      <c r="H77" s="226" t="s">
        <v>7</v>
      </c>
      <c r="I77" s="223">
        <v>0.75</v>
      </c>
      <c r="J77" s="223">
        <f>HLOOKUP(H77,AA_Cimentacion,Indice!$N$31,FALSE)+((E77*25.4)/1000)+HLOOKUP(H77,AA_Cimentacion,Indice!$N$35,FALSE)</f>
        <v>1.2524000000000002</v>
      </c>
      <c r="K77" s="223">
        <f t="shared" si="5"/>
        <v>20.598849000000001</v>
      </c>
      <c r="L77" s="223">
        <f>HLOOKUP(H77,AA_Cimentacion,Indice!$N$32,FALSE)*K77</f>
        <v>1.0299424500000001</v>
      </c>
      <c r="M77" s="223">
        <f>HLOOKUP(H77,AA_Cimentacion,Indice!$N$33,FALSE)*K77</f>
        <v>0</v>
      </c>
      <c r="N77" s="223">
        <f>HLOOKUP(H77,AA_Cimentacion,Indice!$N$34,FALSE)*K77</f>
        <v>19.568906550000001</v>
      </c>
      <c r="O77" s="223">
        <f>HLOOKUP(H77,AA_Cimentacion,Indice!$N$35,FALSE)*I77*D77</f>
        <v>1.6447500000000002</v>
      </c>
      <c r="P77" s="223">
        <f>HLOOKUP(H77,AA_Cimentacion,Indice!$N$36,FALSE)*D77*I77</f>
        <v>4.9342499999999996</v>
      </c>
      <c r="Q77" s="223">
        <f>HLOOKUP(H77,AA_Cimentacion,Indice!$N$37,FALSE)*I77*D77</f>
        <v>0</v>
      </c>
      <c r="R77" s="223">
        <f>HLOOKUP(H77,AA_Cimentacion,Indice!$N$38,FALSE)*I77*D77</f>
        <v>0</v>
      </c>
      <c r="S77" s="223">
        <f t="shared" si="1"/>
        <v>14.019849000000001</v>
      </c>
      <c r="T77" s="223">
        <f>HLOOKUP(H77,AA_Cimentacion,Indice!$N$39,FALSE)*I77*D77</f>
        <v>0</v>
      </c>
      <c r="U77" s="223">
        <f>IF(H77=Indice!$M$29,D77*2,0)</f>
        <v>0</v>
      </c>
      <c r="V77" s="223">
        <f>IF(Y77="Mular",0,(K77-S77)*(1+Indice!$M$25))</f>
        <v>8.5527000000000015</v>
      </c>
      <c r="W77" s="223">
        <f>IF(Y77="Mular",(K77-S77)*(1+Indice!$M$25),0)</f>
        <v>0</v>
      </c>
      <c r="X77" s="223">
        <f t="shared" si="2"/>
        <v>0</v>
      </c>
      <c r="Y77" s="223" t="s">
        <v>8</v>
      </c>
      <c r="Z77" s="223">
        <f t="shared" si="6"/>
        <v>0</v>
      </c>
      <c r="AA77" s="223">
        <v>0</v>
      </c>
      <c r="AB77" s="223">
        <v>0</v>
      </c>
      <c r="AC77" s="223">
        <f t="shared" si="4"/>
        <v>0</v>
      </c>
    </row>
    <row r="78" spans="1:29" s="212" customFormat="1" ht="12.75" customHeight="1" x14ac:dyDescent="0.25">
      <c r="A78" t="s">
        <v>1178</v>
      </c>
      <c r="B78" t="s">
        <v>1308</v>
      </c>
      <c r="C78" t="s">
        <v>1309</v>
      </c>
      <c r="D78">
        <v>22.45</v>
      </c>
      <c r="E78" s="199">
        <v>6</v>
      </c>
      <c r="F78" s="1050" t="s">
        <v>887</v>
      </c>
      <c r="G78" s="1050"/>
      <c r="H78" s="226" t="s">
        <v>7</v>
      </c>
      <c r="I78" s="223">
        <v>0.75</v>
      </c>
      <c r="J78" s="223">
        <f>HLOOKUP(H78,AA_Cimentacion,Indice!$N$31,FALSE)+((E78*25.4)/1000)+HLOOKUP(H78,AA_Cimentacion,Indice!$N$35,FALSE)</f>
        <v>1.2524000000000002</v>
      </c>
      <c r="K78" s="223">
        <f t="shared" si="5"/>
        <v>21.087285000000001</v>
      </c>
      <c r="L78" s="223">
        <f>HLOOKUP(H78,AA_Cimentacion,Indice!$N$32,FALSE)*K78</f>
        <v>1.0543642500000001</v>
      </c>
      <c r="M78" s="223">
        <f>HLOOKUP(H78,AA_Cimentacion,Indice!$N$33,FALSE)*K78</f>
        <v>0</v>
      </c>
      <c r="N78" s="223">
        <f>HLOOKUP(H78,AA_Cimentacion,Indice!$N$34,FALSE)*K78</f>
        <v>20.032920749999999</v>
      </c>
      <c r="O78" s="223">
        <f>HLOOKUP(H78,AA_Cimentacion,Indice!$N$35,FALSE)*I78*D78</f>
        <v>1.6837500000000003</v>
      </c>
      <c r="P78" s="223">
        <f>HLOOKUP(H78,AA_Cimentacion,Indice!$N$36,FALSE)*D78*I78</f>
        <v>5.0512499999999996</v>
      </c>
      <c r="Q78" s="223">
        <f>HLOOKUP(H78,AA_Cimentacion,Indice!$N$37,FALSE)*I78*D78</f>
        <v>0</v>
      </c>
      <c r="R78" s="223">
        <f>HLOOKUP(H78,AA_Cimentacion,Indice!$N$38,FALSE)*I78*D78</f>
        <v>0</v>
      </c>
      <c r="S78" s="223">
        <f t="shared" si="1"/>
        <v>14.352285000000002</v>
      </c>
      <c r="T78" s="223">
        <f>HLOOKUP(H78,AA_Cimentacion,Indice!$N$39,FALSE)*I78*D78</f>
        <v>0</v>
      </c>
      <c r="U78" s="223">
        <f>IF(H78=Indice!$M$29,D78*2,0)</f>
        <v>0</v>
      </c>
      <c r="V78" s="223">
        <f>IF(Y78="Mular",0,(K78-S78)*(1+Indice!$M$25))</f>
        <v>8.7554999999999996</v>
      </c>
      <c r="W78" s="223">
        <f>IF(Y78="Mular",(K78-S78)*(1+Indice!$M$25),0)</f>
        <v>0</v>
      </c>
      <c r="X78" s="223">
        <f t="shared" si="2"/>
        <v>0</v>
      </c>
      <c r="Y78" s="223" t="s">
        <v>8</v>
      </c>
      <c r="Z78" s="223">
        <f t="shared" si="6"/>
        <v>0</v>
      </c>
      <c r="AA78" s="223">
        <v>0</v>
      </c>
      <c r="AB78" s="223">
        <v>0</v>
      </c>
      <c r="AC78" s="223">
        <f t="shared" si="4"/>
        <v>0</v>
      </c>
    </row>
    <row r="79" spans="1:29" s="212" customFormat="1" ht="12.75" customHeight="1" x14ac:dyDescent="0.25">
      <c r="A79" t="s">
        <v>1179</v>
      </c>
      <c r="B79" t="s">
        <v>1309</v>
      </c>
      <c r="C79" t="s">
        <v>1310</v>
      </c>
      <c r="D79">
        <v>24.67</v>
      </c>
      <c r="E79" s="199">
        <v>6</v>
      </c>
      <c r="F79" s="1050" t="s">
        <v>887</v>
      </c>
      <c r="G79" s="1050"/>
      <c r="H79" s="226" t="s">
        <v>7</v>
      </c>
      <c r="I79" s="223">
        <v>0.75</v>
      </c>
      <c r="J79" s="223">
        <f>HLOOKUP(H79,AA_Cimentacion,Indice!$N$31,FALSE)+((E79*25.4)/1000)+HLOOKUP(H79,AA_Cimentacion,Indice!$N$35,FALSE)</f>
        <v>1.2524000000000002</v>
      </c>
      <c r="K79" s="223">
        <f t="shared" si="5"/>
        <v>23.172531000000006</v>
      </c>
      <c r="L79" s="223">
        <f>HLOOKUP(H79,AA_Cimentacion,Indice!$N$32,FALSE)*K79</f>
        <v>1.1586265500000004</v>
      </c>
      <c r="M79" s="223">
        <f>HLOOKUP(H79,AA_Cimentacion,Indice!$N$33,FALSE)*K79</f>
        <v>0</v>
      </c>
      <c r="N79" s="223">
        <f>HLOOKUP(H79,AA_Cimentacion,Indice!$N$34,FALSE)*K79</f>
        <v>22.013904450000005</v>
      </c>
      <c r="O79" s="223">
        <f>HLOOKUP(H79,AA_Cimentacion,Indice!$N$35,FALSE)*I79*D79</f>
        <v>1.8502500000000004</v>
      </c>
      <c r="P79" s="223">
        <f>HLOOKUP(H79,AA_Cimentacion,Indice!$N$36,FALSE)*D79*I79</f>
        <v>5.5507499999999999</v>
      </c>
      <c r="Q79" s="223">
        <f>HLOOKUP(H79,AA_Cimentacion,Indice!$N$37,FALSE)*I79*D79</f>
        <v>0</v>
      </c>
      <c r="R79" s="223">
        <f>HLOOKUP(H79,AA_Cimentacion,Indice!$N$38,FALSE)*I79*D79</f>
        <v>0</v>
      </c>
      <c r="S79" s="223">
        <f t="shared" si="1"/>
        <v>15.771531000000007</v>
      </c>
      <c r="T79" s="223">
        <f>HLOOKUP(H79,AA_Cimentacion,Indice!$N$39,FALSE)*I79*D79</f>
        <v>0</v>
      </c>
      <c r="U79" s="223">
        <f>IF(H79=Indice!$M$29,D79*2,0)</f>
        <v>0</v>
      </c>
      <c r="V79" s="223">
        <f>IF(Y79="Mular",0,(K79-S79)*(1+Indice!$M$25))</f>
        <v>9.6212999999999997</v>
      </c>
      <c r="W79" s="223">
        <f>IF(Y79="Mular",(K79-S79)*(1+Indice!$M$25),0)</f>
        <v>0</v>
      </c>
      <c r="X79" s="223">
        <f t="shared" si="2"/>
        <v>0</v>
      </c>
      <c r="Y79" s="223" t="s">
        <v>8</v>
      </c>
      <c r="Z79" s="223">
        <f t="shared" si="6"/>
        <v>0</v>
      </c>
      <c r="AA79" s="223">
        <v>0</v>
      </c>
      <c r="AB79" s="223">
        <v>0</v>
      </c>
      <c r="AC79" s="223">
        <f t="shared" si="4"/>
        <v>0</v>
      </c>
    </row>
    <row r="80" spans="1:29" s="212" customFormat="1" ht="12.75" customHeight="1" x14ac:dyDescent="0.25">
      <c r="A80" t="s">
        <v>1180</v>
      </c>
      <c r="B80" t="s">
        <v>1310</v>
      </c>
      <c r="C80" t="s">
        <v>1311</v>
      </c>
      <c r="D80">
        <v>15.8</v>
      </c>
      <c r="E80" s="199">
        <v>6</v>
      </c>
      <c r="F80" s="1050" t="s">
        <v>887</v>
      </c>
      <c r="G80" s="1050"/>
      <c r="H80" s="226" t="s">
        <v>7</v>
      </c>
      <c r="I80" s="223">
        <v>0.75</v>
      </c>
      <c r="J80" s="223">
        <f>HLOOKUP(H80,AA_Cimentacion,Indice!$N$31,FALSE)+((E80*25.4)/1000)+HLOOKUP(H80,AA_Cimentacion,Indice!$N$35,FALSE)</f>
        <v>1.2524000000000002</v>
      </c>
      <c r="K80" s="223">
        <f t="shared" si="5"/>
        <v>14.840940000000003</v>
      </c>
      <c r="L80" s="223">
        <f>HLOOKUP(H80,AA_Cimentacion,Indice!$N$32,FALSE)*K80</f>
        <v>0.74204700000000023</v>
      </c>
      <c r="M80" s="223">
        <f>HLOOKUP(H80,AA_Cimentacion,Indice!$N$33,FALSE)*K80</f>
        <v>0</v>
      </c>
      <c r="N80" s="223">
        <f>HLOOKUP(H80,AA_Cimentacion,Indice!$N$34,FALSE)*K80</f>
        <v>14.098893000000002</v>
      </c>
      <c r="O80" s="223">
        <f>HLOOKUP(H80,AA_Cimentacion,Indice!$N$35,FALSE)*I80*D80</f>
        <v>1.1850000000000003</v>
      </c>
      <c r="P80" s="223">
        <f>HLOOKUP(H80,AA_Cimentacion,Indice!$N$36,FALSE)*D80*I80</f>
        <v>3.5550000000000002</v>
      </c>
      <c r="Q80" s="223">
        <f>HLOOKUP(H80,AA_Cimentacion,Indice!$N$37,FALSE)*I80*D80</f>
        <v>0</v>
      </c>
      <c r="R80" s="223">
        <f>HLOOKUP(H80,AA_Cimentacion,Indice!$N$38,FALSE)*I80*D80</f>
        <v>0</v>
      </c>
      <c r="S80" s="223">
        <f t="shared" si="1"/>
        <v>10.100940000000003</v>
      </c>
      <c r="T80" s="223">
        <f>HLOOKUP(H80,AA_Cimentacion,Indice!$N$39,FALSE)*I80*D80</f>
        <v>0</v>
      </c>
      <c r="U80" s="223">
        <f>IF(H80=Indice!$M$29,D80*2,0)</f>
        <v>0</v>
      </c>
      <c r="V80" s="223">
        <f>IF(Y80="Mular",0,(K80-S80)*(1+Indice!$M$25))</f>
        <v>6.1620000000000008</v>
      </c>
      <c r="W80" s="223">
        <f>IF(Y80="Mular",(K80-S80)*(1+Indice!$M$25),0)</f>
        <v>0</v>
      </c>
      <c r="X80" s="223">
        <f t="shared" si="2"/>
        <v>0</v>
      </c>
      <c r="Y80" s="223" t="s">
        <v>8</v>
      </c>
      <c r="Z80" s="223">
        <f t="shared" si="6"/>
        <v>0</v>
      </c>
      <c r="AA80" s="223">
        <v>0</v>
      </c>
      <c r="AB80" s="223">
        <v>0</v>
      </c>
      <c r="AC80" s="223">
        <f t="shared" si="4"/>
        <v>0</v>
      </c>
    </row>
    <row r="81" spans="1:29" s="212" customFormat="1" ht="12.75" customHeight="1" x14ac:dyDescent="0.25">
      <c r="A81" t="s">
        <v>1181</v>
      </c>
      <c r="B81" t="s">
        <v>1311</v>
      </c>
      <c r="C81" t="s">
        <v>1312</v>
      </c>
      <c r="D81">
        <v>15.49</v>
      </c>
      <c r="E81" s="199">
        <v>6</v>
      </c>
      <c r="F81" s="1050" t="s">
        <v>887</v>
      </c>
      <c r="G81" s="1050"/>
      <c r="H81" s="226" t="s">
        <v>7</v>
      </c>
      <c r="I81" s="223">
        <v>0.75</v>
      </c>
      <c r="J81" s="223">
        <f>HLOOKUP(H81,AA_Cimentacion,Indice!$N$31,FALSE)+((E81*25.4)/1000)+HLOOKUP(H81,AA_Cimentacion,Indice!$N$35,FALSE)</f>
        <v>1.2524000000000002</v>
      </c>
      <c r="K81" s="223">
        <f t="shared" si="5"/>
        <v>14.549757000000003</v>
      </c>
      <c r="L81" s="223">
        <f>HLOOKUP(H81,AA_Cimentacion,Indice!$N$32,FALSE)*K81</f>
        <v>0.72748785000000016</v>
      </c>
      <c r="M81" s="223">
        <f>HLOOKUP(H81,AA_Cimentacion,Indice!$N$33,FALSE)*K81</f>
        <v>0</v>
      </c>
      <c r="N81" s="223">
        <f>HLOOKUP(H81,AA_Cimentacion,Indice!$N$34,FALSE)*K81</f>
        <v>13.822269150000002</v>
      </c>
      <c r="O81" s="223">
        <f>HLOOKUP(H81,AA_Cimentacion,Indice!$N$35,FALSE)*I81*D81</f>
        <v>1.1617500000000003</v>
      </c>
      <c r="P81" s="223">
        <f>HLOOKUP(H81,AA_Cimentacion,Indice!$N$36,FALSE)*D81*I81</f>
        <v>3.4852500000000002</v>
      </c>
      <c r="Q81" s="223">
        <f>HLOOKUP(H81,AA_Cimentacion,Indice!$N$37,FALSE)*I81*D81</f>
        <v>0</v>
      </c>
      <c r="R81" s="223">
        <f>HLOOKUP(H81,AA_Cimentacion,Indice!$N$38,FALSE)*I81*D81</f>
        <v>0</v>
      </c>
      <c r="S81" s="223">
        <f t="shared" si="1"/>
        <v>9.9027570000000029</v>
      </c>
      <c r="T81" s="223">
        <f>HLOOKUP(H81,AA_Cimentacion,Indice!$N$39,FALSE)*I81*D81</f>
        <v>0</v>
      </c>
      <c r="U81" s="223">
        <f>IF(H81=Indice!$M$29,D81*2,0)</f>
        <v>0</v>
      </c>
      <c r="V81" s="223">
        <f>IF(Y81="Mular",0,(K81-S81)*(1+Indice!$M$25))</f>
        <v>6.0411000000000001</v>
      </c>
      <c r="W81" s="223">
        <f>IF(Y81="Mular",(K81-S81)*(1+Indice!$M$25),0)</f>
        <v>0</v>
      </c>
      <c r="X81" s="223">
        <f t="shared" si="2"/>
        <v>0</v>
      </c>
      <c r="Y81" s="223" t="s">
        <v>8</v>
      </c>
      <c r="Z81" s="223">
        <f t="shared" si="6"/>
        <v>0</v>
      </c>
      <c r="AA81" s="223">
        <v>0</v>
      </c>
      <c r="AB81" s="223">
        <v>0</v>
      </c>
      <c r="AC81" s="223">
        <f t="shared" si="4"/>
        <v>0</v>
      </c>
    </row>
    <row r="82" spans="1:29" s="212" customFormat="1" ht="12.75" customHeight="1" x14ac:dyDescent="0.25">
      <c r="A82" t="s">
        <v>1182</v>
      </c>
      <c r="B82" t="s">
        <v>1312</v>
      </c>
      <c r="C82" t="s">
        <v>1313</v>
      </c>
      <c r="D82">
        <v>19.91</v>
      </c>
      <c r="E82" s="199">
        <v>6</v>
      </c>
      <c r="F82" s="1050" t="s">
        <v>887</v>
      </c>
      <c r="G82" s="1050"/>
      <c r="H82" s="226" t="s">
        <v>7</v>
      </c>
      <c r="I82" s="223">
        <v>0.75</v>
      </c>
      <c r="J82" s="223">
        <f>HLOOKUP(H82,AA_Cimentacion,Indice!$N$31,FALSE)+((E82*25.4)/1000)+HLOOKUP(H82,AA_Cimentacion,Indice!$N$35,FALSE)</f>
        <v>1.2524000000000002</v>
      </c>
      <c r="K82" s="223">
        <f t="shared" si="5"/>
        <v>18.701463000000004</v>
      </c>
      <c r="L82" s="223">
        <f>HLOOKUP(H82,AA_Cimentacion,Indice!$N$32,FALSE)*K82</f>
        <v>0.93507315000000024</v>
      </c>
      <c r="M82" s="223">
        <f>HLOOKUP(H82,AA_Cimentacion,Indice!$N$33,FALSE)*K82</f>
        <v>0</v>
      </c>
      <c r="N82" s="223">
        <f>HLOOKUP(H82,AA_Cimentacion,Indice!$N$34,FALSE)*K82</f>
        <v>17.766389850000003</v>
      </c>
      <c r="O82" s="223">
        <f>HLOOKUP(H82,AA_Cimentacion,Indice!$N$35,FALSE)*I82*D82</f>
        <v>1.4932500000000002</v>
      </c>
      <c r="P82" s="223">
        <f>HLOOKUP(H82,AA_Cimentacion,Indice!$N$36,FALSE)*D82*I82</f>
        <v>4.4797500000000001</v>
      </c>
      <c r="Q82" s="223">
        <f>HLOOKUP(H82,AA_Cimentacion,Indice!$N$37,FALSE)*I82*D82</f>
        <v>0</v>
      </c>
      <c r="R82" s="223">
        <f>HLOOKUP(H82,AA_Cimentacion,Indice!$N$38,FALSE)*I82*D82</f>
        <v>0</v>
      </c>
      <c r="S82" s="223">
        <f t="shared" si="1"/>
        <v>12.728463000000005</v>
      </c>
      <c r="T82" s="223">
        <f>HLOOKUP(H82,AA_Cimentacion,Indice!$N$39,FALSE)*I82*D82</f>
        <v>0</v>
      </c>
      <c r="U82" s="223">
        <f>IF(H82=Indice!$M$29,D82*2,0)</f>
        <v>0</v>
      </c>
      <c r="V82" s="223">
        <f>IF(Y82="Mular",0,(K82-S82)*(1+Indice!$M$25))</f>
        <v>7.764899999999999</v>
      </c>
      <c r="W82" s="223">
        <f>IF(Y82="Mular",(K82-S82)*(1+Indice!$M$25),0)</f>
        <v>0</v>
      </c>
      <c r="X82" s="223">
        <f t="shared" si="2"/>
        <v>0</v>
      </c>
      <c r="Y82" s="223" t="s">
        <v>8</v>
      </c>
      <c r="Z82" s="223">
        <f t="shared" si="6"/>
        <v>0</v>
      </c>
      <c r="AA82" s="223">
        <v>0</v>
      </c>
      <c r="AB82" s="223">
        <v>0</v>
      </c>
      <c r="AC82" s="223">
        <f t="shared" si="4"/>
        <v>0</v>
      </c>
    </row>
    <row r="83" spans="1:29" s="212" customFormat="1" ht="12.75" customHeight="1" x14ac:dyDescent="0.25">
      <c r="A83" t="s">
        <v>1183</v>
      </c>
      <c r="B83" t="s">
        <v>1313</v>
      </c>
      <c r="C83" t="s">
        <v>1314</v>
      </c>
      <c r="D83">
        <v>21.18</v>
      </c>
      <c r="E83" s="199">
        <v>6</v>
      </c>
      <c r="F83" s="1050" t="s">
        <v>887</v>
      </c>
      <c r="G83" s="1050"/>
      <c r="H83" s="226" t="s">
        <v>7</v>
      </c>
      <c r="I83" s="223">
        <v>0.75</v>
      </c>
      <c r="J83" s="223">
        <f>HLOOKUP(H83,AA_Cimentacion,Indice!$N$31,FALSE)+((E83*25.4)/1000)+HLOOKUP(H83,AA_Cimentacion,Indice!$N$35,FALSE)</f>
        <v>1.2524000000000002</v>
      </c>
      <c r="K83" s="223">
        <f t="shared" si="5"/>
        <v>19.894374000000003</v>
      </c>
      <c r="L83" s="223">
        <f>HLOOKUP(H83,AA_Cimentacion,Indice!$N$32,FALSE)*K83</f>
        <v>0.99471870000000018</v>
      </c>
      <c r="M83" s="223">
        <f>HLOOKUP(H83,AA_Cimentacion,Indice!$N$33,FALSE)*K83</f>
        <v>0</v>
      </c>
      <c r="N83" s="223">
        <f>HLOOKUP(H83,AA_Cimentacion,Indice!$N$34,FALSE)*K83</f>
        <v>18.899655300000003</v>
      </c>
      <c r="O83" s="223">
        <f>HLOOKUP(H83,AA_Cimentacion,Indice!$N$35,FALSE)*I83*D83</f>
        <v>1.5885000000000002</v>
      </c>
      <c r="P83" s="223">
        <f>HLOOKUP(H83,AA_Cimentacion,Indice!$N$36,FALSE)*D83*I83</f>
        <v>4.7655000000000003</v>
      </c>
      <c r="Q83" s="223">
        <f>HLOOKUP(H83,AA_Cimentacion,Indice!$N$37,FALSE)*I83*D83</f>
        <v>0</v>
      </c>
      <c r="R83" s="223">
        <f>HLOOKUP(H83,AA_Cimentacion,Indice!$N$38,FALSE)*I83*D83</f>
        <v>0</v>
      </c>
      <c r="S83" s="223">
        <f t="shared" si="1"/>
        <v>13.540374000000003</v>
      </c>
      <c r="T83" s="223">
        <f>HLOOKUP(H83,AA_Cimentacion,Indice!$N$39,FALSE)*I83*D83</f>
        <v>0</v>
      </c>
      <c r="U83" s="223">
        <f>IF(H83=Indice!$M$29,D83*2,0)</f>
        <v>0</v>
      </c>
      <c r="V83" s="223">
        <f>IF(Y83="Mular",0,(K83-S83)*(1+Indice!$M$25))</f>
        <v>8.2601999999999993</v>
      </c>
      <c r="W83" s="223">
        <f>IF(Y83="Mular",(K83-S83)*(1+Indice!$M$25),0)</f>
        <v>0</v>
      </c>
      <c r="X83" s="223">
        <f t="shared" si="2"/>
        <v>0</v>
      </c>
      <c r="Y83" s="223" t="s">
        <v>8</v>
      </c>
      <c r="Z83" s="223">
        <f t="shared" si="6"/>
        <v>0</v>
      </c>
      <c r="AA83" s="223">
        <v>0</v>
      </c>
      <c r="AB83" s="223">
        <v>0</v>
      </c>
      <c r="AC83" s="223">
        <f t="shared" si="4"/>
        <v>0</v>
      </c>
    </row>
    <row r="84" spans="1:29" s="212" customFormat="1" ht="12.75" customHeight="1" x14ac:dyDescent="0.25">
      <c r="A84" t="s">
        <v>1184</v>
      </c>
      <c r="B84" t="s">
        <v>1314</v>
      </c>
      <c r="C84" t="s">
        <v>1315</v>
      </c>
      <c r="D84">
        <v>32.92</v>
      </c>
      <c r="E84" s="199">
        <v>6</v>
      </c>
      <c r="F84" s="1050" t="s">
        <v>887</v>
      </c>
      <c r="G84" s="1050"/>
      <c r="H84" s="226" t="s">
        <v>7</v>
      </c>
      <c r="I84" s="223">
        <v>0.75</v>
      </c>
      <c r="J84" s="223">
        <f>HLOOKUP(H84,AA_Cimentacion,Indice!$N$31,FALSE)+((E84*25.4)/1000)+HLOOKUP(H84,AA_Cimentacion,Indice!$N$35,FALSE)</f>
        <v>1.2524000000000002</v>
      </c>
      <c r="K84" s="223">
        <f t="shared" si="5"/>
        <v>30.921756000000006</v>
      </c>
      <c r="L84" s="223">
        <f>HLOOKUP(H84,AA_Cimentacion,Indice!$N$32,FALSE)*K84</f>
        <v>1.5460878000000005</v>
      </c>
      <c r="M84" s="223">
        <f>HLOOKUP(H84,AA_Cimentacion,Indice!$N$33,FALSE)*K84</f>
        <v>0</v>
      </c>
      <c r="N84" s="223">
        <f>HLOOKUP(H84,AA_Cimentacion,Indice!$N$34,FALSE)*K84</f>
        <v>29.375668200000003</v>
      </c>
      <c r="O84" s="223">
        <f>HLOOKUP(H84,AA_Cimentacion,Indice!$N$35,FALSE)*I84*D84</f>
        <v>2.4690000000000003</v>
      </c>
      <c r="P84" s="223">
        <f>HLOOKUP(H84,AA_Cimentacion,Indice!$N$36,FALSE)*D84*I84</f>
        <v>7.407</v>
      </c>
      <c r="Q84" s="223">
        <f>HLOOKUP(H84,AA_Cimentacion,Indice!$N$37,FALSE)*I84*D84</f>
        <v>0</v>
      </c>
      <c r="R84" s="223">
        <f>HLOOKUP(H84,AA_Cimentacion,Indice!$N$38,FALSE)*I84*D84</f>
        <v>0</v>
      </c>
      <c r="S84" s="223">
        <f t="shared" si="1"/>
        <v>21.045756000000004</v>
      </c>
      <c r="T84" s="223">
        <f>HLOOKUP(H84,AA_Cimentacion,Indice!$N$39,FALSE)*I84*D84</f>
        <v>0</v>
      </c>
      <c r="U84" s="223">
        <f>IF(H84=Indice!$M$29,D84*2,0)</f>
        <v>0</v>
      </c>
      <c r="V84" s="223">
        <f>IF(Y84="Mular",0,(K84-S84)*(1+Indice!$M$25))</f>
        <v>12.838800000000003</v>
      </c>
      <c r="W84" s="223">
        <f>IF(Y84="Mular",(K84-S84)*(1+Indice!$M$25),0)</f>
        <v>0</v>
      </c>
      <c r="X84" s="223">
        <f t="shared" si="2"/>
        <v>0</v>
      </c>
      <c r="Y84" s="223" t="s">
        <v>8</v>
      </c>
      <c r="Z84" s="223">
        <f t="shared" si="6"/>
        <v>0</v>
      </c>
      <c r="AA84" s="223">
        <v>0</v>
      </c>
      <c r="AB84" s="223">
        <v>0</v>
      </c>
      <c r="AC84" s="223">
        <f t="shared" si="4"/>
        <v>0</v>
      </c>
    </row>
    <row r="85" spans="1:29" s="212" customFormat="1" ht="12.75" customHeight="1" x14ac:dyDescent="0.25">
      <c r="A85" t="s">
        <v>1185</v>
      </c>
      <c r="B85" t="s">
        <v>1315</v>
      </c>
      <c r="C85" t="s">
        <v>1316</v>
      </c>
      <c r="D85">
        <v>35.159999999999997</v>
      </c>
      <c r="E85" s="199">
        <v>6</v>
      </c>
      <c r="F85" s="1050" t="s">
        <v>887</v>
      </c>
      <c r="G85" s="1050"/>
      <c r="H85" s="226" t="s">
        <v>7</v>
      </c>
      <c r="I85" s="223">
        <v>0.75</v>
      </c>
      <c r="J85" s="223">
        <f>HLOOKUP(H85,AA_Cimentacion,Indice!$N$31,FALSE)+((E85*25.4)/1000)+HLOOKUP(H85,AA_Cimentacion,Indice!$N$35,FALSE)</f>
        <v>1.2524000000000002</v>
      </c>
      <c r="K85" s="223">
        <f t="shared" si="5"/>
        <v>33.025787999999999</v>
      </c>
      <c r="L85" s="223">
        <f>HLOOKUP(H85,AA_Cimentacion,Indice!$N$32,FALSE)*K85</f>
        <v>1.6512894</v>
      </c>
      <c r="M85" s="223">
        <f>HLOOKUP(H85,AA_Cimentacion,Indice!$N$33,FALSE)*K85</f>
        <v>0</v>
      </c>
      <c r="N85" s="223">
        <f>HLOOKUP(H85,AA_Cimentacion,Indice!$N$34,FALSE)*K85</f>
        <v>31.374498599999995</v>
      </c>
      <c r="O85" s="223">
        <f>HLOOKUP(H85,AA_Cimentacion,Indice!$N$35,FALSE)*I85*D85</f>
        <v>2.637</v>
      </c>
      <c r="P85" s="223">
        <f>HLOOKUP(H85,AA_Cimentacion,Indice!$N$36,FALSE)*D85*I85</f>
        <v>7.9109999999999987</v>
      </c>
      <c r="Q85" s="223">
        <f>HLOOKUP(H85,AA_Cimentacion,Indice!$N$37,FALSE)*I85*D85</f>
        <v>0</v>
      </c>
      <c r="R85" s="223">
        <f>HLOOKUP(H85,AA_Cimentacion,Indice!$N$38,FALSE)*I85*D85</f>
        <v>0</v>
      </c>
      <c r="S85" s="223">
        <f t="shared" si="1"/>
        <v>22.477788</v>
      </c>
      <c r="T85" s="223">
        <f>HLOOKUP(H85,AA_Cimentacion,Indice!$N$39,FALSE)*I85*D85</f>
        <v>0</v>
      </c>
      <c r="U85" s="223">
        <f>IF(H85=Indice!$M$29,D85*2,0)</f>
        <v>0</v>
      </c>
      <c r="V85" s="223">
        <f>IF(Y85="Mular",0,(K85-S85)*(1+Indice!$M$25))</f>
        <v>13.712399999999999</v>
      </c>
      <c r="W85" s="223">
        <f>IF(Y85="Mular",(K85-S85)*(1+Indice!$M$25),0)</f>
        <v>0</v>
      </c>
      <c r="X85" s="223">
        <f t="shared" si="2"/>
        <v>0</v>
      </c>
      <c r="Y85" s="223" t="s">
        <v>8</v>
      </c>
      <c r="Z85" s="223">
        <f t="shared" si="6"/>
        <v>0</v>
      </c>
      <c r="AA85" s="223">
        <v>0</v>
      </c>
      <c r="AB85" s="223">
        <v>0</v>
      </c>
      <c r="AC85" s="223">
        <f t="shared" si="4"/>
        <v>0</v>
      </c>
    </row>
    <row r="86" spans="1:29" s="212" customFormat="1" ht="12.75" customHeight="1" x14ac:dyDescent="0.25">
      <c r="A86" t="s">
        <v>1186</v>
      </c>
      <c r="B86" t="s">
        <v>1316</v>
      </c>
      <c r="C86" t="s">
        <v>1317</v>
      </c>
      <c r="D86">
        <v>32.93</v>
      </c>
      <c r="E86" s="199">
        <v>6</v>
      </c>
      <c r="F86" s="1050" t="s">
        <v>887</v>
      </c>
      <c r="G86" s="1050"/>
      <c r="H86" s="226" t="s">
        <v>7</v>
      </c>
      <c r="I86" s="223">
        <v>0.75</v>
      </c>
      <c r="J86" s="223">
        <f>HLOOKUP(H86,AA_Cimentacion,Indice!$N$31,FALSE)+((E86*25.4)/1000)+HLOOKUP(H86,AA_Cimentacion,Indice!$N$35,FALSE)</f>
        <v>1.2524000000000002</v>
      </c>
      <c r="K86" s="223">
        <f t="shared" si="5"/>
        <v>30.931149000000005</v>
      </c>
      <c r="L86" s="223">
        <f>HLOOKUP(H86,AA_Cimentacion,Indice!$N$32,FALSE)*K86</f>
        <v>1.5465574500000003</v>
      </c>
      <c r="M86" s="223">
        <f>HLOOKUP(H86,AA_Cimentacion,Indice!$N$33,FALSE)*K86</f>
        <v>0</v>
      </c>
      <c r="N86" s="223">
        <f>HLOOKUP(H86,AA_Cimentacion,Indice!$N$34,FALSE)*K86</f>
        <v>29.384591550000003</v>
      </c>
      <c r="O86" s="223">
        <f>HLOOKUP(H86,AA_Cimentacion,Indice!$N$35,FALSE)*I86*D86</f>
        <v>2.4697500000000003</v>
      </c>
      <c r="P86" s="223">
        <f>HLOOKUP(H86,AA_Cimentacion,Indice!$N$36,FALSE)*D86*I86</f>
        <v>7.4092500000000001</v>
      </c>
      <c r="Q86" s="223">
        <f>HLOOKUP(H86,AA_Cimentacion,Indice!$N$37,FALSE)*I86*D86</f>
        <v>0</v>
      </c>
      <c r="R86" s="223">
        <f>HLOOKUP(H86,AA_Cimentacion,Indice!$N$38,FALSE)*I86*D86</f>
        <v>0</v>
      </c>
      <c r="S86" s="223">
        <f t="shared" si="1"/>
        <v>21.052149000000004</v>
      </c>
      <c r="T86" s="223">
        <f>HLOOKUP(H86,AA_Cimentacion,Indice!$N$39,FALSE)*I86*D86</f>
        <v>0</v>
      </c>
      <c r="U86" s="223">
        <f>IF(H86=Indice!$M$29,D86*2,0)</f>
        <v>0</v>
      </c>
      <c r="V86" s="223">
        <f>IF(Y86="Mular",0,(K86-S86)*(1+Indice!$M$25))</f>
        <v>12.842700000000002</v>
      </c>
      <c r="W86" s="223">
        <f>IF(Y86="Mular",(K86-S86)*(1+Indice!$M$25),0)</f>
        <v>0</v>
      </c>
      <c r="X86" s="223">
        <f t="shared" si="2"/>
        <v>0</v>
      </c>
      <c r="Y86" s="223" t="s">
        <v>8</v>
      </c>
      <c r="Z86" s="223">
        <f t="shared" si="6"/>
        <v>0</v>
      </c>
      <c r="AA86" s="223">
        <v>0</v>
      </c>
      <c r="AB86" s="223">
        <v>0</v>
      </c>
      <c r="AC86" s="223">
        <f t="shared" si="4"/>
        <v>0</v>
      </c>
    </row>
    <row r="87" spans="1:29" s="212" customFormat="1" ht="12.75" customHeight="1" x14ac:dyDescent="0.25">
      <c r="A87" t="s">
        <v>1187</v>
      </c>
      <c r="B87" t="s">
        <v>1317</v>
      </c>
      <c r="C87" t="s">
        <v>1318</v>
      </c>
      <c r="D87">
        <v>17.239999999999998</v>
      </c>
      <c r="E87" s="199">
        <v>6</v>
      </c>
      <c r="F87" s="1050" t="s">
        <v>887</v>
      </c>
      <c r="G87" s="1050"/>
      <c r="H87" s="226" t="s">
        <v>7</v>
      </c>
      <c r="I87" s="223">
        <v>0.75</v>
      </c>
      <c r="J87" s="223">
        <f>HLOOKUP(H87,AA_Cimentacion,Indice!$N$31,FALSE)+((E87*25.4)/1000)+HLOOKUP(H87,AA_Cimentacion,Indice!$N$35,FALSE)</f>
        <v>1.2524000000000002</v>
      </c>
      <c r="K87" s="223">
        <f t="shared" si="5"/>
        <v>16.193532000000001</v>
      </c>
      <c r="L87" s="223">
        <f>HLOOKUP(H87,AA_Cimentacion,Indice!$N$32,FALSE)*K87</f>
        <v>0.80967660000000008</v>
      </c>
      <c r="M87" s="223">
        <f>HLOOKUP(H87,AA_Cimentacion,Indice!$N$33,FALSE)*K87</f>
        <v>0</v>
      </c>
      <c r="N87" s="223">
        <f>HLOOKUP(H87,AA_Cimentacion,Indice!$N$34,FALSE)*K87</f>
        <v>15.3838554</v>
      </c>
      <c r="O87" s="223">
        <f>HLOOKUP(H87,AA_Cimentacion,Indice!$N$35,FALSE)*I87*D87</f>
        <v>1.2930000000000001</v>
      </c>
      <c r="P87" s="223">
        <f>HLOOKUP(H87,AA_Cimentacion,Indice!$N$36,FALSE)*D87*I87</f>
        <v>3.8789999999999996</v>
      </c>
      <c r="Q87" s="223">
        <f>HLOOKUP(H87,AA_Cimentacion,Indice!$N$37,FALSE)*I87*D87</f>
        <v>0</v>
      </c>
      <c r="R87" s="223">
        <f>HLOOKUP(H87,AA_Cimentacion,Indice!$N$38,FALSE)*I87*D87</f>
        <v>0</v>
      </c>
      <c r="S87" s="223">
        <f t="shared" si="1"/>
        <v>11.021532000000002</v>
      </c>
      <c r="T87" s="223">
        <f>HLOOKUP(H87,AA_Cimentacion,Indice!$N$39,FALSE)*I87*D87</f>
        <v>0</v>
      </c>
      <c r="U87" s="223">
        <f>IF(H87=Indice!$M$29,D87*2,0)</f>
        <v>0</v>
      </c>
      <c r="V87" s="223">
        <f>IF(Y87="Mular",0,(K87-S87)*(1+Indice!$M$25))</f>
        <v>6.7235999999999985</v>
      </c>
      <c r="W87" s="223">
        <f>IF(Y87="Mular",(K87-S87)*(1+Indice!$M$25),0)</f>
        <v>0</v>
      </c>
      <c r="X87" s="223">
        <f t="shared" si="2"/>
        <v>0</v>
      </c>
      <c r="Y87" s="223" t="s">
        <v>8</v>
      </c>
      <c r="Z87" s="223">
        <f t="shared" si="6"/>
        <v>0</v>
      </c>
      <c r="AA87" s="223">
        <v>0</v>
      </c>
      <c r="AB87" s="223">
        <v>0</v>
      </c>
      <c r="AC87" s="223">
        <f t="shared" si="4"/>
        <v>0</v>
      </c>
    </row>
    <row r="88" spans="1:29" s="212" customFormat="1" ht="12.75" customHeight="1" x14ac:dyDescent="0.25">
      <c r="A88" t="s">
        <v>1188</v>
      </c>
      <c r="B88" t="s">
        <v>1318</v>
      </c>
      <c r="C88" t="s">
        <v>1319</v>
      </c>
      <c r="D88">
        <v>18.43</v>
      </c>
      <c r="E88" s="199">
        <v>6</v>
      </c>
      <c r="F88" s="1050" t="s">
        <v>887</v>
      </c>
      <c r="G88" s="1050"/>
      <c r="H88" s="226" t="s">
        <v>7</v>
      </c>
      <c r="I88" s="223">
        <v>0.75</v>
      </c>
      <c r="J88" s="223">
        <f>HLOOKUP(H88,AA_Cimentacion,Indice!$N$31,FALSE)+((E88*25.4)/1000)+HLOOKUP(H88,AA_Cimentacion,Indice!$N$35,FALSE)</f>
        <v>1.2524000000000002</v>
      </c>
      <c r="K88" s="223">
        <f t="shared" si="5"/>
        <v>17.311299000000002</v>
      </c>
      <c r="L88" s="223">
        <f>HLOOKUP(H88,AA_Cimentacion,Indice!$N$32,FALSE)*K88</f>
        <v>0.86556495000000011</v>
      </c>
      <c r="M88" s="223">
        <f>HLOOKUP(H88,AA_Cimentacion,Indice!$N$33,FALSE)*K88</f>
        <v>0</v>
      </c>
      <c r="N88" s="223">
        <f>HLOOKUP(H88,AA_Cimentacion,Indice!$N$34,FALSE)*K88</f>
        <v>16.445734050000002</v>
      </c>
      <c r="O88" s="223">
        <f>HLOOKUP(H88,AA_Cimentacion,Indice!$N$35,FALSE)*I88*D88</f>
        <v>1.3822500000000002</v>
      </c>
      <c r="P88" s="223">
        <f>HLOOKUP(H88,AA_Cimentacion,Indice!$N$36,FALSE)*D88*I88</f>
        <v>4.1467499999999999</v>
      </c>
      <c r="Q88" s="223">
        <f>HLOOKUP(H88,AA_Cimentacion,Indice!$N$37,FALSE)*I88*D88</f>
        <v>0</v>
      </c>
      <c r="R88" s="223">
        <f>HLOOKUP(H88,AA_Cimentacion,Indice!$N$38,FALSE)*I88*D88</f>
        <v>0</v>
      </c>
      <c r="S88" s="223">
        <f t="shared" si="1"/>
        <v>11.782299000000002</v>
      </c>
      <c r="T88" s="223">
        <f>HLOOKUP(H88,AA_Cimentacion,Indice!$N$39,FALSE)*I88*D88</f>
        <v>0</v>
      </c>
      <c r="U88" s="223">
        <f>IF(H88=Indice!$M$29,D88*2,0)</f>
        <v>0</v>
      </c>
      <c r="V88" s="223">
        <f>IF(Y88="Mular",0,(K88-S88)*(1+Indice!$M$25))</f>
        <v>7.1877000000000004</v>
      </c>
      <c r="W88" s="223">
        <f>IF(Y88="Mular",(K88-S88)*(1+Indice!$M$25),0)</f>
        <v>0</v>
      </c>
      <c r="X88" s="223">
        <f t="shared" si="2"/>
        <v>0</v>
      </c>
      <c r="Y88" s="223" t="s">
        <v>8</v>
      </c>
      <c r="Z88" s="223">
        <f t="shared" si="6"/>
        <v>0</v>
      </c>
      <c r="AA88" s="223">
        <v>0</v>
      </c>
      <c r="AB88" s="223">
        <v>0</v>
      </c>
      <c r="AC88" s="223">
        <f t="shared" si="4"/>
        <v>0</v>
      </c>
    </row>
    <row r="89" spans="1:29" s="212" customFormat="1" ht="12.75" customHeight="1" x14ac:dyDescent="0.25">
      <c r="A89" t="s">
        <v>1189</v>
      </c>
      <c r="B89" t="s">
        <v>1319</v>
      </c>
      <c r="C89" t="s">
        <v>1320</v>
      </c>
      <c r="D89">
        <v>21.63</v>
      </c>
      <c r="E89" s="199">
        <v>6</v>
      </c>
      <c r="F89" s="1050" t="s">
        <v>887</v>
      </c>
      <c r="G89" s="1050"/>
      <c r="H89" s="226" t="s">
        <v>7</v>
      </c>
      <c r="I89" s="223">
        <v>0.75</v>
      </c>
      <c r="J89" s="223">
        <f>HLOOKUP(H89,AA_Cimentacion,Indice!$N$31,FALSE)+((E89*25.4)/1000)+HLOOKUP(H89,AA_Cimentacion,Indice!$N$35,FALSE)</f>
        <v>1.2524000000000002</v>
      </c>
      <c r="K89" s="223">
        <f t="shared" si="5"/>
        <v>20.317059</v>
      </c>
      <c r="L89" s="223">
        <f>HLOOKUP(H89,AA_Cimentacion,Indice!$N$32,FALSE)*K89</f>
        <v>1.01585295</v>
      </c>
      <c r="M89" s="223">
        <f>HLOOKUP(H89,AA_Cimentacion,Indice!$N$33,FALSE)*K89</f>
        <v>0</v>
      </c>
      <c r="N89" s="223">
        <f>HLOOKUP(H89,AA_Cimentacion,Indice!$N$34,FALSE)*K89</f>
        <v>19.301206050000001</v>
      </c>
      <c r="O89" s="223">
        <f>HLOOKUP(H89,AA_Cimentacion,Indice!$N$35,FALSE)*I89*D89</f>
        <v>1.6222500000000002</v>
      </c>
      <c r="P89" s="223">
        <f>HLOOKUP(H89,AA_Cimentacion,Indice!$N$36,FALSE)*D89*I89</f>
        <v>4.8667499999999997</v>
      </c>
      <c r="Q89" s="223">
        <f>HLOOKUP(H89,AA_Cimentacion,Indice!$N$37,FALSE)*I89*D89</f>
        <v>0</v>
      </c>
      <c r="R89" s="223">
        <f>HLOOKUP(H89,AA_Cimentacion,Indice!$N$38,FALSE)*I89*D89</f>
        <v>0</v>
      </c>
      <c r="S89" s="223">
        <f t="shared" si="1"/>
        <v>13.828059</v>
      </c>
      <c r="T89" s="223">
        <f>HLOOKUP(H89,AA_Cimentacion,Indice!$N$39,FALSE)*I89*D89</f>
        <v>0</v>
      </c>
      <c r="U89" s="223">
        <f>IF(H89=Indice!$M$29,D89*2,0)</f>
        <v>0</v>
      </c>
      <c r="V89" s="223">
        <f>IF(Y89="Mular",0,(K89-S89)*(1+Indice!$M$25))</f>
        <v>8.4357000000000006</v>
      </c>
      <c r="W89" s="223">
        <f>IF(Y89="Mular",(K89-S89)*(1+Indice!$M$25),0)</f>
        <v>0</v>
      </c>
      <c r="X89" s="223">
        <f t="shared" si="2"/>
        <v>0</v>
      </c>
      <c r="Y89" s="223" t="s">
        <v>8</v>
      </c>
      <c r="Z89" s="223">
        <f t="shared" si="6"/>
        <v>0</v>
      </c>
      <c r="AA89" s="223">
        <v>0</v>
      </c>
      <c r="AB89" s="223">
        <v>0</v>
      </c>
      <c r="AC89" s="223">
        <f t="shared" si="4"/>
        <v>0</v>
      </c>
    </row>
    <row r="90" spans="1:29" s="212" customFormat="1" ht="12.75" customHeight="1" x14ac:dyDescent="0.25">
      <c r="A90" t="s">
        <v>1190</v>
      </c>
      <c r="B90" t="s">
        <v>1320</v>
      </c>
      <c r="C90" t="s">
        <v>1321</v>
      </c>
      <c r="D90">
        <v>33.82</v>
      </c>
      <c r="E90" s="199">
        <v>6</v>
      </c>
      <c r="F90" s="1050" t="s">
        <v>887</v>
      </c>
      <c r="G90" s="1050"/>
      <c r="H90" s="226" t="s">
        <v>7</v>
      </c>
      <c r="I90" s="223">
        <v>0.75</v>
      </c>
      <c r="J90" s="223">
        <f>HLOOKUP(H90,AA_Cimentacion,Indice!$N$31,FALSE)+((E90*25.4)/1000)+HLOOKUP(H90,AA_Cimentacion,Indice!$N$35,FALSE)</f>
        <v>1.2524000000000002</v>
      </c>
      <c r="K90" s="223">
        <f t="shared" si="5"/>
        <v>31.767126000000005</v>
      </c>
      <c r="L90" s="223">
        <f>HLOOKUP(H90,AA_Cimentacion,Indice!$N$32,FALSE)*K90</f>
        <v>1.5883563000000003</v>
      </c>
      <c r="M90" s="223">
        <f>HLOOKUP(H90,AA_Cimentacion,Indice!$N$33,FALSE)*K90</f>
        <v>0</v>
      </c>
      <c r="N90" s="223">
        <f>HLOOKUP(H90,AA_Cimentacion,Indice!$N$34,FALSE)*K90</f>
        <v>30.178769700000004</v>
      </c>
      <c r="O90" s="223">
        <f>HLOOKUP(H90,AA_Cimentacion,Indice!$N$35,FALSE)*I90*D90</f>
        <v>2.5365000000000002</v>
      </c>
      <c r="P90" s="223">
        <f>HLOOKUP(H90,AA_Cimentacion,Indice!$N$36,FALSE)*D90*I90</f>
        <v>7.6094999999999988</v>
      </c>
      <c r="Q90" s="223">
        <f>HLOOKUP(H90,AA_Cimentacion,Indice!$N$37,FALSE)*I90*D90</f>
        <v>0</v>
      </c>
      <c r="R90" s="223">
        <f>HLOOKUP(H90,AA_Cimentacion,Indice!$N$38,FALSE)*I90*D90</f>
        <v>0</v>
      </c>
      <c r="S90" s="223">
        <f t="shared" si="1"/>
        <v>21.621126000000004</v>
      </c>
      <c r="T90" s="223">
        <f>HLOOKUP(H90,AA_Cimentacion,Indice!$N$39,FALSE)*I90*D90</f>
        <v>0</v>
      </c>
      <c r="U90" s="223">
        <f>IF(H90=Indice!$M$29,D90*2,0)</f>
        <v>0</v>
      </c>
      <c r="V90" s="223">
        <f>IF(Y90="Mular",0,(K90-S90)*(1+Indice!$M$25))</f>
        <v>13.189800000000002</v>
      </c>
      <c r="W90" s="223">
        <f>IF(Y90="Mular",(K90-S90)*(1+Indice!$M$25),0)</f>
        <v>0</v>
      </c>
      <c r="X90" s="223">
        <f t="shared" si="2"/>
        <v>0</v>
      </c>
      <c r="Y90" s="223" t="s">
        <v>8</v>
      </c>
      <c r="Z90" s="223">
        <f t="shared" si="6"/>
        <v>0</v>
      </c>
      <c r="AA90" s="223">
        <v>0</v>
      </c>
      <c r="AB90" s="223">
        <v>0</v>
      </c>
      <c r="AC90" s="223">
        <f t="shared" si="4"/>
        <v>0</v>
      </c>
    </row>
    <row r="91" spans="1:29" s="212" customFormat="1" ht="12.75" customHeight="1" x14ac:dyDescent="0.25">
      <c r="A91" t="s">
        <v>1191</v>
      </c>
      <c r="B91" t="s">
        <v>1321</v>
      </c>
      <c r="C91" t="s">
        <v>1322</v>
      </c>
      <c r="D91">
        <v>25.9</v>
      </c>
      <c r="E91" s="199">
        <v>6</v>
      </c>
      <c r="F91" s="1050" t="s">
        <v>887</v>
      </c>
      <c r="G91" s="1050"/>
      <c r="H91" s="226" t="s">
        <v>20</v>
      </c>
      <c r="I91" s="223">
        <v>0.75</v>
      </c>
      <c r="J91" s="223">
        <f>HLOOKUP(H91,AA_Cimentacion,Indice!$N$31,FALSE)+((E91*25.4)/1000)+HLOOKUP(H91,AA_Cimentacion,Indice!$N$35,FALSE)</f>
        <v>1.2524000000000002</v>
      </c>
      <c r="K91" s="223">
        <f t="shared" si="5"/>
        <v>24.327870000000001</v>
      </c>
      <c r="L91" s="223">
        <f>HLOOKUP(H91,AA_Cimentacion,Indice!$N$32,FALSE)*K91</f>
        <v>1.2163935000000001</v>
      </c>
      <c r="M91" s="223">
        <f>HLOOKUP(H91,AA_Cimentacion,Indice!$N$33,FALSE)*K91</f>
        <v>0</v>
      </c>
      <c r="N91" s="223">
        <f>HLOOKUP(H91,AA_Cimentacion,Indice!$N$34,FALSE)*K91</f>
        <v>23.111476499999998</v>
      </c>
      <c r="O91" s="223">
        <f>HLOOKUP(H91,AA_Cimentacion,Indice!$N$35,FALSE)*I91*D91</f>
        <v>1.9425000000000001</v>
      </c>
      <c r="P91" s="223">
        <f>HLOOKUP(H91,AA_Cimentacion,Indice!$N$36,FALSE)*D91*I91</f>
        <v>3.8849999999999998</v>
      </c>
      <c r="Q91" s="223">
        <f>HLOOKUP(H91,AA_Cimentacion,Indice!$N$37,FALSE)*I91*D91</f>
        <v>0</v>
      </c>
      <c r="R91" s="223">
        <f>HLOOKUP(H91,AA_Cimentacion,Indice!$N$38,FALSE)*I91*D91</f>
        <v>0</v>
      </c>
      <c r="S91" s="223">
        <f t="shared" si="1"/>
        <v>15.586620000000003</v>
      </c>
      <c r="T91" s="223">
        <f>HLOOKUP(H91,AA_Cimentacion,Indice!$N$39,FALSE)*I91*D91</f>
        <v>2.9137499999999994</v>
      </c>
      <c r="U91" s="223">
        <f>IF(H91=Indice!$M$29,D91*2,0)</f>
        <v>51.8</v>
      </c>
      <c r="V91" s="223">
        <f>IF(Y91="Mular",0,(K91-S91)*(1+Indice!$M$25))</f>
        <v>11.363624999999997</v>
      </c>
      <c r="W91" s="223">
        <f>IF(Y91="Mular",(K91-S91)*(1+Indice!$M$25),0)</f>
        <v>0</v>
      </c>
      <c r="X91" s="223">
        <f t="shared" si="2"/>
        <v>2.9137499999999994</v>
      </c>
      <c r="Y91" s="223" t="s">
        <v>8</v>
      </c>
      <c r="Z91" s="223">
        <f t="shared" si="6"/>
        <v>0</v>
      </c>
      <c r="AA91" s="223">
        <v>0</v>
      </c>
      <c r="AB91" s="223">
        <v>0</v>
      </c>
      <c r="AC91" s="223">
        <f t="shared" si="4"/>
        <v>0</v>
      </c>
    </row>
    <row r="92" spans="1:29" s="212" customFormat="1" ht="12.75" customHeight="1" x14ac:dyDescent="0.25">
      <c r="A92" t="s">
        <v>1192</v>
      </c>
      <c r="B92" t="s">
        <v>1322</v>
      </c>
      <c r="C92" t="s">
        <v>1323</v>
      </c>
      <c r="D92">
        <v>33.159999999999997</v>
      </c>
      <c r="E92" s="199">
        <v>6</v>
      </c>
      <c r="F92" s="1050" t="s">
        <v>887</v>
      </c>
      <c r="G92" s="1050"/>
      <c r="H92" s="226" t="s">
        <v>20</v>
      </c>
      <c r="I92" s="223">
        <v>0.75</v>
      </c>
      <c r="J92" s="223">
        <f>HLOOKUP(H92,AA_Cimentacion,Indice!$N$31,FALSE)+((E92*25.4)/1000)+HLOOKUP(H92,AA_Cimentacion,Indice!$N$35,FALSE)</f>
        <v>1.2524000000000002</v>
      </c>
      <c r="K92" s="223">
        <f t="shared" si="5"/>
        <v>31.147188</v>
      </c>
      <c r="L92" s="223">
        <f>HLOOKUP(H92,AA_Cimentacion,Indice!$N$32,FALSE)*K92</f>
        <v>1.5573594000000002</v>
      </c>
      <c r="M92" s="223">
        <f>HLOOKUP(H92,AA_Cimentacion,Indice!$N$33,FALSE)*K92</f>
        <v>0</v>
      </c>
      <c r="N92" s="223">
        <f>HLOOKUP(H92,AA_Cimentacion,Indice!$N$34,FALSE)*K92</f>
        <v>29.589828599999997</v>
      </c>
      <c r="O92" s="223">
        <f>HLOOKUP(H92,AA_Cimentacion,Indice!$N$35,FALSE)*I92*D92</f>
        <v>2.4870000000000001</v>
      </c>
      <c r="P92" s="223">
        <f>HLOOKUP(H92,AA_Cimentacion,Indice!$N$36,FALSE)*D92*I92</f>
        <v>4.9740000000000002</v>
      </c>
      <c r="Q92" s="223">
        <f>HLOOKUP(H92,AA_Cimentacion,Indice!$N$37,FALSE)*I92*D92</f>
        <v>0</v>
      </c>
      <c r="R92" s="223">
        <f>HLOOKUP(H92,AA_Cimentacion,Indice!$N$38,FALSE)*I92*D92</f>
        <v>0</v>
      </c>
      <c r="S92" s="223">
        <f t="shared" si="1"/>
        <v>19.955687999999999</v>
      </c>
      <c r="T92" s="223">
        <f>HLOOKUP(H92,AA_Cimentacion,Indice!$N$39,FALSE)*I92*D92</f>
        <v>3.7304999999999993</v>
      </c>
      <c r="U92" s="223">
        <f>IF(H92=Indice!$M$29,D92*2,0)</f>
        <v>66.319999999999993</v>
      </c>
      <c r="V92" s="223">
        <f>IF(Y92="Mular",0,(K92-S92)*(1+Indice!$M$25))</f>
        <v>14.548950000000001</v>
      </c>
      <c r="W92" s="223">
        <f>IF(Y92="Mular",(K92-S92)*(1+Indice!$M$25),0)</f>
        <v>0</v>
      </c>
      <c r="X92" s="223">
        <f t="shared" si="2"/>
        <v>3.7304999999999993</v>
      </c>
      <c r="Y92" s="223" t="s">
        <v>8</v>
      </c>
      <c r="Z92" s="223">
        <f t="shared" si="6"/>
        <v>0</v>
      </c>
      <c r="AA92" s="223">
        <v>0</v>
      </c>
      <c r="AB92" s="223">
        <v>0</v>
      </c>
      <c r="AC92" s="223">
        <f t="shared" si="4"/>
        <v>0</v>
      </c>
    </row>
    <row r="93" spans="1:29" s="212" customFormat="1" ht="12.75" customHeight="1" x14ac:dyDescent="0.25">
      <c r="A93" t="s">
        <v>1193</v>
      </c>
      <c r="B93" t="s">
        <v>1323</v>
      </c>
      <c r="C93" t="s">
        <v>1324</v>
      </c>
      <c r="D93">
        <v>25.22</v>
      </c>
      <c r="E93" s="199">
        <v>6</v>
      </c>
      <c r="F93" s="1050" t="s">
        <v>887</v>
      </c>
      <c r="G93" s="1050"/>
      <c r="H93" s="226" t="s">
        <v>20</v>
      </c>
      <c r="I93" s="223">
        <v>0.75</v>
      </c>
      <c r="J93" s="223">
        <f>HLOOKUP(H93,AA_Cimentacion,Indice!$N$31,FALSE)+((E93*25.4)/1000)+HLOOKUP(H93,AA_Cimentacion,Indice!$N$35,FALSE)</f>
        <v>1.2524000000000002</v>
      </c>
      <c r="K93" s="223">
        <f t="shared" si="5"/>
        <v>23.689146000000001</v>
      </c>
      <c r="L93" s="223">
        <f>HLOOKUP(H93,AA_Cimentacion,Indice!$N$32,FALSE)*K93</f>
        <v>1.1844573</v>
      </c>
      <c r="M93" s="223">
        <f>HLOOKUP(H93,AA_Cimentacion,Indice!$N$33,FALSE)*K93</f>
        <v>0</v>
      </c>
      <c r="N93" s="223">
        <f>HLOOKUP(H93,AA_Cimentacion,Indice!$N$34,FALSE)*K93</f>
        <v>22.504688699999999</v>
      </c>
      <c r="O93" s="223">
        <f>HLOOKUP(H93,AA_Cimentacion,Indice!$N$35,FALSE)*I93*D93</f>
        <v>1.8915000000000002</v>
      </c>
      <c r="P93" s="223">
        <f>HLOOKUP(H93,AA_Cimentacion,Indice!$N$36,FALSE)*D93*I93</f>
        <v>3.7830000000000004</v>
      </c>
      <c r="Q93" s="223">
        <f>HLOOKUP(H93,AA_Cimentacion,Indice!$N$37,FALSE)*I93*D93</f>
        <v>0</v>
      </c>
      <c r="R93" s="223">
        <f>HLOOKUP(H93,AA_Cimentacion,Indice!$N$38,FALSE)*I93*D93</f>
        <v>0</v>
      </c>
      <c r="S93" s="223">
        <f t="shared" si="1"/>
        <v>15.177396</v>
      </c>
      <c r="T93" s="223">
        <f>HLOOKUP(H93,AA_Cimentacion,Indice!$N$39,FALSE)*I93*D93</f>
        <v>2.8372499999999996</v>
      </c>
      <c r="U93" s="223">
        <f>IF(H93=Indice!$M$29,D93*2,0)</f>
        <v>50.44</v>
      </c>
      <c r="V93" s="223">
        <f>IF(Y93="Mular",0,(K93-S93)*(1+Indice!$M$25))</f>
        <v>11.065275000000002</v>
      </c>
      <c r="W93" s="223">
        <f>IF(Y93="Mular",(K93-S93)*(1+Indice!$M$25),0)</f>
        <v>0</v>
      </c>
      <c r="X93" s="223">
        <f t="shared" si="2"/>
        <v>2.8372499999999996</v>
      </c>
      <c r="Y93" s="223" t="s">
        <v>8</v>
      </c>
      <c r="Z93" s="223">
        <f t="shared" si="6"/>
        <v>0</v>
      </c>
      <c r="AA93" s="223">
        <v>0</v>
      </c>
      <c r="AB93" s="223">
        <v>0</v>
      </c>
      <c r="AC93" s="223">
        <f t="shared" si="4"/>
        <v>0</v>
      </c>
    </row>
    <row r="94" spans="1:29" s="212" customFormat="1" ht="12.75" customHeight="1" x14ac:dyDescent="0.25">
      <c r="A94" t="s">
        <v>1194</v>
      </c>
      <c r="B94" t="s">
        <v>1324</v>
      </c>
      <c r="C94" t="s">
        <v>1325</v>
      </c>
      <c r="D94">
        <v>12.69</v>
      </c>
      <c r="E94" s="199">
        <v>6</v>
      </c>
      <c r="F94" s="1050" t="s">
        <v>887</v>
      </c>
      <c r="G94" s="1050"/>
      <c r="H94" s="226" t="s">
        <v>20</v>
      </c>
      <c r="I94" s="223">
        <v>0.75</v>
      </c>
      <c r="J94" s="223">
        <f>HLOOKUP(H94,AA_Cimentacion,Indice!$N$31,FALSE)+((E94*25.4)/1000)+HLOOKUP(H94,AA_Cimentacion,Indice!$N$35,FALSE)</f>
        <v>1.2524000000000002</v>
      </c>
      <c r="K94" s="223">
        <f t="shared" si="5"/>
        <v>11.919717000000002</v>
      </c>
      <c r="L94" s="223">
        <f>HLOOKUP(H94,AA_Cimentacion,Indice!$N$32,FALSE)*K94</f>
        <v>0.59598585000000015</v>
      </c>
      <c r="M94" s="223">
        <f>HLOOKUP(H94,AA_Cimentacion,Indice!$N$33,FALSE)*K94</f>
        <v>0</v>
      </c>
      <c r="N94" s="223">
        <f>HLOOKUP(H94,AA_Cimentacion,Indice!$N$34,FALSE)*K94</f>
        <v>11.323731150000002</v>
      </c>
      <c r="O94" s="223">
        <f>HLOOKUP(H94,AA_Cimentacion,Indice!$N$35,FALSE)*I94*D94</f>
        <v>0.9517500000000001</v>
      </c>
      <c r="P94" s="223">
        <f>HLOOKUP(H94,AA_Cimentacion,Indice!$N$36,FALSE)*D94*I94</f>
        <v>1.9035000000000002</v>
      </c>
      <c r="Q94" s="223">
        <f>HLOOKUP(H94,AA_Cimentacion,Indice!$N$37,FALSE)*I94*D94</f>
        <v>0</v>
      </c>
      <c r="R94" s="223">
        <f>HLOOKUP(H94,AA_Cimentacion,Indice!$N$38,FALSE)*I94*D94</f>
        <v>0</v>
      </c>
      <c r="S94" s="223">
        <f t="shared" si="1"/>
        <v>7.6368420000000006</v>
      </c>
      <c r="T94" s="223">
        <f>HLOOKUP(H94,AA_Cimentacion,Indice!$N$39,FALSE)*I94*D94</f>
        <v>1.4276249999999997</v>
      </c>
      <c r="U94" s="223">
        <f>IF(H94=Indice!$M$29,D94*2,0)</f>
        <v>25.38</v>
      </c>
      <c r="V94" s="223">
        <f>IF(Y94="Mular",0,(K94-S94)*(1+Indice!$M$25))</f>
        <v>5.5677375000000024</v>
      </c>
      <c r="W94" s="223">
        <f>IF(Y94="Mular",(K94-S94)*(1+Indice!$M$25),0)</f>
        <v>0</v>
      </c>
      <c r="X94" s="223">
        <f t="shared" si="2"/>
        <v>1.4276249999999997</v>
      </c>
      <c r="Y94" s="223" t="s">
        <v>8</v>
      </c>
      <c r="Z94" s="223">
        <f t="shared" si="6"/>
        <v>0</v>
      </c>
      <c r="AA94" s="223">
        <v>0</v>
      </c>
      <c r="AB94" s="223">
        <v>0</v>
      </c>
      <c r="AC94" s="223">
        <f t="shared" si="4"/>
        <v>0</v>
      </c>
    </row>
    <row r="95" spans="1:29" s="212" customFormat="1" ht="12.75" customHeight="1" x14ac:dyDescent="0.25">
      <c r="A95" t="s">
        <v>1195</v>
      </c>
      <c r="B95" t="s">
        <v>1325</v>
      </c>
      <c r="C95" t="s">
        <v>1326</v>
      </c>
      <c r="D95">
        <v>20.78</v>
      </c>
      <c r="E95" s="199">
        <v>6</v>
      </c>
      <c r="F95" s="1050" t="s">
        <v>887</v>
      </c>
      <c r="G95" s="1050"/>
      <c r="H95" s="226" t="s">
        <v>20</v>
      </c>
      <c r="I95" s="223">
        <v>0.75</v>
      </c>
      <c r="J95" s="223">
        <f>HLOOKUP(H95,AA_Cimentacion,Indice!$N$31,FALSE)+((E95*25.4)/1000)+HLOOKUP(H95,AA_Cimentacion,Indice!$N$35,FALSE)</f>
        <v>1.2524000000000002</v>
      </c>
      <c r="K95" s="223">
        <f t="shared" si="5"/>
        <v>19.518654000000005</v>
      </c>
      <c r="L95" s="223">
        <f>HLOOKUP(H95,AA_Cimentacion,Indice!$N$32,FALSE)*K95</f>
        <v>0.97593270000000032</v>
      </c>
      <c r="M95" s="223">
        <f>HLOOKUP(H95,AA_Cimentacion,Indice!$N$33,FALSE)*K95</f>
        <v>0</v>
      </c>
      <c r="N95" s="223">
        <f>HLOOKUP(H95,AA_Cimentacion,Indice!$N$34,FALSE)*K95</f>
        <v>18.542721300000004</v>
      </c>
      <c r="O95" s="223">
        <f>HLOOKUP(H95,AA_Cimentacion,Indice!$N$35,FALSE)*I95*D95</f>
        <v>1.5585000000000002</v>
      </c>
      <c r="P95" s="223">
        <f>HLOOKUP(H95,AA_Cimentacion,Indice!$N$36,FALSE)*D95*I95</f>
        <v>3.1170000000000004</v>
      </c>
      <c r="Q95" s="223">
        <f>HLOOKUP(H95,AA_Cimentacion,Indice!$N$37,FALSE)*I95*D95</f>
        <v>0</v>
      </c>
      <c r="R95" s="223">
        <f>HLOOKUP(H95,AA_Cimentacion,Indice!$N$38,FALSE)*I95*D95</f>
        <v>0</v>
      </c>
      <c r="S95" s="223">
        <f t="shared" si="1"/>
        <v>12.505404000000006</v>
      </c>
      <c r="T95" s="223">
        <f>HLOOKUP(H95,AA_Cimentacion,Indice!$N$39,FALSE)*I95*D95</f>
        <v>2.3377499999999998</v>
      </c>
      <c r="U95" s="223">
        <f>IF(H95=Indice!$M$29,D95*2,0)</f>
        <v>41.56</v>
      </c>
      <c r="V95" s="223">
        <f>IF(Y95="Mular",0,(K95-S95)*(1+Indice!$M$25))</f>
        <v>9.1172249999999995</v>
      </c>
      <c r="W95" s="223">
        <f>IF(Y95="Mular",(K95-S95)*(1+Indice!$M$25),0)</f>
        <v>0</v>
      </c>
      <c r="X95" s="223">
        <f t="shared" si="2"/>
        <v>2.3377499999999998</v>
      </c>
      <c r="Y95" s="223" t="s">
        <v>8</v>
      </c>
      <c r="Z95" s="223">
        <f t="shared" si="6"/>
        <v>0</v>
      </c>
      <c r="AA95" s="223">
        <v>0</v>
      </c>
      <c r="AB95" s="223">
        <v>0</v>
      </c>
      <c r="AC95" s="223">
        <f t="shared" si="4"/>
        <v>0</v>
      </c>
    </row>
    <row r="96" spans="1:29" s="212" customFormat="1" ht="12.75" customHeight="1" x14ac:dyDescent="0.25">
      <c r="A96" t="s">
        <v>1196</v>
      </c>
      <c r="B96" t="s">
        <v>1326</v>
      </c>
      <c r="C96" t="s">
        <v>1327</v>
      </c>
      <c r="D96">
        <v>19.02</v>
      </c>
      <c r="E96" s="199">
        <v>6</v>
      </c>
      <c r="F96" s="1050" t="s">
        <v>887</v>
      </c>
      <c r="G96" s="1050"/>
      <c r="H96" s="226" t="s">
        <v>20</v>
      </c>
      <c r="I96" s="223">
        <v>0.75</v>
      </c>
      <c r="J96" s="223">
        <f>HLOOKUP(H96,AA_Cimentacion,Indice!$N$31,FALSE)+((E96*25.4)/1000)+HLOOKUP(H96,AA_Cimentacion,Indice!$N$35,FALSE)</f>
        <v>1.2524000000000002</v>
      </c>
      <c r="K96" s="223">
        <f t="shared" si="5"/>
        <v>17.865486000000001</v>
      </c>
      <c r="L96" s="223">
        <f>HLOOKUP(H96,AA_Cimentacion,Indice!$N$32,FALSE)*K96</f>
        <v>0.89327430000000008</v>
      </c>
      <c r="M96" s="223">
        <f>HLOOKUP(H96,AA_Cimentacion,Indice!$N$33,FALSE)*K96</f>
        <v>0</v>
      </c>
      <c r="N96" s="223">
        <f>HLOOKUP(H96,AA_Cimentacion,Indice!$N$34,FALSE)*K96</f>
        <v>16.972211699999999</v>
      </c>
      <c r="O96" s="223">
        <f>HLOOKUP(H96,AA_Cimentacion,Indice!$N$35,FALSE)*I96*D96</f>
        <v>1.4265000000000001</v>
      </c>
      <c r="P96" s="223">
        <f>HLOOKUP(H96,AA_Cimentacion,Indice!$N$36,FALSE)*D96*I96</f>
        <v>2.8530000000000002</v>
      </c>
      <c r="Q96" s="223">
        <f>HLOOKUP(H96,AA_Cimentacion,Indice!$N$37,FALSE)*I96*D96</f>
        <v>0</v>
      </c>
      <c r="R96" s="223">
        <f>HLOOKUP(H96,AA_Cimentacion,Indice!$N$38,FALSE)*I96*D96</f>
        <v>0</v>
      </c>
      <c r="S96" s="223">
        <f t="shared" si="1"/>
        <v>11.446236000000001</v>
      </c>
      <c r="T96" s="223">
        <f>HLOOKUP(H96,AA_Cimentacion,Indice!$N$39,FALSE)*I96*D96</f>
        <v>2.1397499999999998</v>
      </c>
      <c r="U96" s="223">
        <f>IF(H96=Indice!$M$29,D96*2,0)</f>
        <v>38.04</v>
      </c>
      <c r="V96" s="223">
        <f>IF(Y96="Mular",0,(K96-S96)*(1+Indice!$M$25))</f>
        <v>8.3450249999999997</v>
      </c>
      <c r="W96" s="223">
        <f>IF(Y96="Mular",(K96-S96)*(1+Indice!$M$25),0)</f>
        <v>0</v>
      </c>
      <c r="X96" s="223">
        <f t="shared" si="2"/>
        <v>2.1397499999999998</v>
      </c>
      <c r="Y96" s="223" t="s">
        <v>8</v>
      </c>
      <c r="Z96" s="223">
        <f t="shared" si="6"/>
        <v>0</v>
      </c>
      <c r="AA96" s="223">
        <v>0</v>
      </c>
      <c r="AB96" s="223">
        <v>0</v>
      </c>
      <c r="AC96" s="223">
        <f t="shared" si="4"/>
        <v>0</v>
      </c>
    </row>
    <row r="97" spans="1:29" s="212" customFormat="1" ht="12.75" customHeight="1" x14ac:dyDescent="0.25">
      <c r="A97" t="s">
        <v>1197</v>
      </c>
      <c r="B97" t="s">
        <v>1327</v>
      </c>
      <c r="C97" t="s">
        <v>1328</v>
      </c>
      <c r="D97">
        <v>20.440000000000001</v>
      </c>
      <c r="E97" s="199">
        <v>6</v>
      </c>
      <c r="F97" s="1050" t="s">
        <v>887</v>
      </c>
      <c r="G97" s="1050"/>
      <c r="H97" s="226" t="s">
        <v>20</v>
      </c>
      <c r="I97" s="223">
        <v>0.75</v>
      </c>
      <c r="J97" s="223">
        <f>HLOOKUP(H97,AA_Cimentacion,Indice!$N$31,FALSE)+((E97*25.4)/1000)+HLOOKUP(H97,AA_Cimentacion,Indice!$N$35,FALSE)</f>
        <v>1.2524000000000002</v>
      </c>
      <c r="K97" s="223">
        <f t="shared" si="5"/>
        <v>19.199292000000003</v>
      </c>
      <c r="L97" s="223">
        <f>HLOOKUP(H97,AA_Cimentacion,Indice!$N$32,FALSE)*K97</f>
        <v>0.95996460000000017</v>
      </c>
      <c r="M97" s="223">
        <f>HLOOKUP(H97,AA_Cimentacion,Indice!$N$33,FALSE)*K97</f>
        <v>0</v>
      </c>
      <c r="N97" s="223">
        <f>HLOOKUP(H97,AA_Cimentacion,Indice!$N$34,FALSE)*K97</f>
        <v>18.239327400000004</v>
      </c>
      <c r="O97" s="223">
        <f>HLOOKUP(H97,AA_Cimentacion,Indice!$N$35,FALSE)*I97*D97</f>
        <v>1.5330000000000004</v>
      </c>
      <c r="P97" s="223">
        <f>HLOOKUP(H97,AA_Cimentacion,Indice!$N$36,FALSE)*D97*I97</f>
        <v>3.0659999999999998</v>
      </c>
      <c r="Q97" s="223">
        <f>HLOOKUP(H97,AA_Cimentacion,Indice!$N$37,FALSE)*I97*D97</f>
        <v>0</v>
      </c>
      <c r="R97" s="223">
        <f>HLOOKUP(H97,AA_Cimentacion,Indice!$N$38,FALSE)*I97*D97</f>
        <v>0</v>
      </c>
      <c r="S97" s="223">
        <f t="shared" si="1"/>
        <v>12.300792000000003</v>
      </c>
      <c r="T97" s="223">
        <f>HLOOKUP(H97,AA_Cimentacion,Indice!$N$39,FALSE)*I97*D97</f>
        <v>2.2995000000000001</v>
      </c>
      <c r="U97" s="223">
        <f>IF(H97=Indice!$M$29,D97*2,0)</f>
        <v>40.880000000000003</v>
      </c>
      <c r="V97" s="223">
        <f>IF(Y97="Mular",0,(K97-S97)*(1+Indice!$M$25))</f>
        <v>8.9680499999999999</v>
      </c>
      <c r="W97" s="223">
        <f>IF(Y97="Mular",(K97-S97)*(1+Indice!$M$25),0)</f>
        <v>0</v>
      </c>
      <c r="X97" s="223">
        <f t="shared" si="2"/>
        <v>2.2995000000000001</v>
      </c>
      <c r="Y97" s="223" t="s">
        <v>8</v>
      </c>
      <c r="Z97" s="223">
        <f t="shared" si="6"/>
        <v>0</v>
      </c>
      <c r="AA97" s="223">
        <v>0</v>
      </c>
      <c r="AB97" s="223">
        <v>0</v>
      </c>
      <c r="AC97" s="223">
        <f t="shared" si="4"/>
        <v>0</v>
      </c>
    </row>
    <row r="98" spans="1:29" s="212" customFormat="1" ht="12.75" customHeight="1" x14ac:dyDescent="0.25">
      <c r="A98" t="s">
        <v>1198</v>
      </c>
      <c r="B98" t="s">
        <v>1328</v>
      </c>
      <c r="C98" t="s">
        <v>1329</v>
      </c>
      <c r="D98">
        <v>29</v>
      </c>
      <c r="E98" s="199">
        <v>6</v>
      </c>
      <c r="F98" s="1050" t="s">
        <v>887</v>
      </c>
      <c r="G98" s="1050"/>
      <c r="H98" s="226" t="s">
        <v>20</v>
      </c>
      <c r="I98" s="223">
        <v>0.75</v>
      </c>
      <c r="J98" s="223">
        <f>HLOOKUP(H98,AA_Cimentacion,Indice!$N$31,FALSE)+((E98*25.4)/1000)+HLOOKUP(H98,AA_Cimentacion,Indice!$N$35,FALSE)</f>
        <v>1.2524000000000002</v>
      </c>
      <c r="K98" s="223">
        <f t="shared" si="5"/>
        <v>27.239700000000003</v>
      </c>
      <c r="L98" s="223">
        <f>HLOOKUP(H98,AA_Cimentacion,Indice!$N$32,FALSE)*K98</f>
        <v>1.3619850000000002</v>
      </c>
      <c r="M98" s="223">
        <f>HLOOKUP(H98,AA_Cimentacion,Indice!$N$33,FALSE)*K98</f>
        <v>0</v>
      </c>
      <c r="N98" s="223">
        <f>HLOOKUP(H98,AA_Cimentacion,Indice!$N$34,FALSE)*K98</f>
        <v>25.877715000000002</v>
      </c>
      <c r="O98" s="223">
        <f>HLOOKUP(H98,AA_Cimentacion,Indice!$N$35,FALSE)*I98*D98</f>
        <v>2.1750000000000003</v>
      </c>
      <c r="P98" s="223">
        <f>HLOOKUP(H98,AA_Cimentacion,Indice!$N$36,FALSE)*D98*I98</f>
        <v>4.3500000000000005</v>
      </c>
      <c r="Q98" s="223">
        <f>HLOOKUP(H98,AA_Cimentacion,Indice!$N$37,FALSE)*I98*D98</f>
        <v>0</v>
      </c>
      <c r="R98" s="223">
        <f>HLOOKUP(H98,AA_Cimentacion,Indice!$N$38,FALSE)*I98*D98</f>
        <v>0</v>
      </c>
      <c r="S98" s="223">
        <f t="shared" si="1"/>
        <v>17.452200000000001</v>
      </c>
      <c r="T98" s="223">
        <f>HLOOKUP(H98,AA_Cimentacion,Indice!$N$39,FALSE)*I98*D98</f>
        <v>3.2624999999999997</v>
      </c>
      <c r="U98" s="223">
        <f>IF(H98=Indice!$M$29,D98*2,0)</f>
        <v>58</v>
      </c>
      <c r="V98" s="223">
        <f>IF(Y98="Mular",0,(K98-S98)*(1+Indice!$M$25))</f>
        <v>12.723750000000003</v>
      </c>
      <c r="W98" s="223">
        <f>IF(Y98="Mular",(K98-S98)*(1+Indice!$M$25),0)</f>
        <v>0</v>
      </c>
      <c r="X98" s="223">
        <f t="shared" si="2"/>
        <v>3.2624999999999997</v>
      </c>
      <c r="Y98" s="223" t="s">
        <v>8</v>
      </c>
      <c r="Z98" s="223">
        <f t="shared" si="6"/>
        <v>0</v>
      </c>
      <c r="AA98" s="223">
        <v>0</v>
      </c>
      <c r="AB98" s="223">
        <v>0</v>
      </c>
      <c r="AC98" s="223">
        <f t="shared" si="4"/>
        <v>0</v>
      </c>
    </row>
    <row r="99" spans="1:29" s="212" customFormat="1" ht="12.75" customHeight="1" x14ac:dyDescent="0.25">
      <c r="A99" t="s">
        <v>1199</v>
      </c>
      <c r="B99" t="s">
        <v>1329</v>
      </c>
      <c r="C99" t="s">
        <v>1330</v>
      </c>
      <c r="D99">
        <v>25.97</v>
      </c>
      <c r="E99" s="199">
        <v>6</v>
      </c>
      <c r="F99" s="1050" t="s">
        <v>887</v>
      </c>
      <c r="G99" s="1050"/>
      <c r="H99" s="226" t="s">
        <v>20</v>
      </c>
      <c r="I99" s="223">
        <v>0.75</v>
      </c>
      <c r="J99" s="223">
        <f>HLOOKUP(H99,AA_Cimentacion,Indice!$N$31,FALSE)+((E99*25.4)/1000)+HLOOKUP(H99,AA_Cimentacion,Indice!$N$35,FALSE)</f>
        <v>1.2524000000000002</v>
      </c>
      <c r="K99" s="223">
        <f t="shared" si="5"/>
        <v>24.393621000000003</v>
      </c>
      <c r="L99" s="223">
        <f>HLOOKUP(H99,AA_Cimentacion,Indice!$N$32,FALSE)*K99</f>
        <v>1.2196810500000002</v>
      </c>
      <c r="M99" s="223">
        <f>HLOOKUP(H99,AA_Cimentacion,Indice!$N$33,FALSE)*K99</f>
        <v>0</v>
      </c>
      <c r="N99" s="223">
        <f>HLOOKUP(H99,AA_Cimentacion,Indice!$N$34,FALSE)*K99</f>
        <v>23.173939950000001</v>
      </c>
      <c r="O99" s="223">
        <f>HLOOKUP(H99,AA_Cimentacion,Indice!$N$35,FALSE)*I99*D99</f>
        <v>1.9477500000000001</v>
      </c>
      <c r="P99" s="223">
        <f>HLOOKUP(H99,AA_Cimentacion,Indice!$N$36,FALSE)*D99*I99</f>
        <v>3.8955000000000002</v>
      </c>
      <c r="Q99" s="223">
        <f>HLOOKUP(H99,AA_Cimentacion,Indice!$N$37,FALSE)*I99*D99</f>
        <v>0</v>
      </c>
      <c r="R99" s="223">
        <f>HLOOKUP(H99,AA_Cimentacion,Indice!$N$38,FALSE)*I99*D99</f>
        <v>0</v>
      </c>
      <c r="S99" s="223">
        <f t="shared" si="1"/>
        <v>15.628746000000007</v>
      </c>
      <c r="T99" s="223">
        <f>HLOOKUP(H99,AA_Cimentacion,Indice!$N$39,FALSE)*I99*D99</f>
        <v>2.9216249999999997</v>
      </c>
      <c r="U99" s="223">
        <f>IF(H99=Indice!$M$29,D99*2,0)</f>
        <v>51.94</v>
      </c>
      <c r="V99" s="223">
        <f>IF(Y99="Mular",0,(K99-S99)*(1+Indice!$M$25))</f>
        <v>11.394337499999995</v>
      </c>
      <c r="W99" s="223">
        <f>IF(Y99="Mular",(K99-S99)*(1+Indice!$M$25),0)</f>
        <v>0</v>
      </c>
      <c r="X99" s="223">
        <f t="shared" si="2"/>
        <v>2.9216249999999997</v>
      </c>
      <c r="Y99" s="223" t="s">
        <v>8</v>
      </c>
      <c r="Z99" s="223">
        <f t="shared" si="6"/>
        <v>0</v>
      </c>
      <c r="AA99" s="223">
        <v>0</v>
      </c>
      <c r="AB99" s="223">
        <v>0</v>
      </c>
      <c r="AC99" s="223">
        <f t="shared" si="4"/>
        <v>0</v>
      </c>
    </row>
    <row r="100" spans="1:29" s="212" customFormat="1" ht="12.75" customHeight="1" x14ac:dyDescent="0.25">
      <c r="A100" t="s">
        <v>1200</v>
      </c>
      <c r="B100" t="s">
        <v>1330</v>
      </c>
      <c r="C100" t="s">
        <v>1331</v>
      </c>
      <c r="D100">
        <v>12.9</v>
      </c>
      <c r="E100" s="199">
        <v>6</v>
      </c>
      <c r="F100" s="1050" t="s">
        <v>887</v>
      </c>
      <c r="G100" s="1050"/>
      <c r="H100" s="226" t="s">
        <v>20</v>
      </c>
      <c r="I100" s="223">
        <v>0.75</v>
      </c>
      <c r="J100" s="223">
        <f>HLOOKUP(H100,AA_Cimentacion,Indice!$N$31,FALSE)+((E100*25.4)/1000)+HLOOKUP(H100,AA_Cimentacion,Indice!$N$35,FALSE)</f>
        <v>1.2524000000000002</v>
      </c>
      <c r="K100" s="223">
        <f t="shared" si="5"/>
        <v>12.116970000000002</v>
      </c>
      <c r="L100" s="223">
        <f>HLOOKUP(H100,AA_Cimentacion,Indice!$N$32,FALSE)*K100</f>
        <v>0.60584850000000012</v>
      </c>
      <c r="M100" s="223">
        <f>HLOOKUP(H100,AA_Cimentacion,Indice!$N$33,FALSE)*K100</f>
        <v>0</v>
      </c>
      <c r="N100" s="223">
        <f>HLOOKUP(H100,AA_Cimentacion,Indice!$N$34,FALSE)*K100</f>
        <v>11.511121500000002</v>
      </c>
      <c r="O100" s="223">
        <f>HLOOKUP(H100,AA_Cimentacion,Indice!$N$35,FALSE)*I100*D100</f>
        <v>0.96750000000000014</v>
      </c>
      <c r="P100" s="223">
        <f>HLOOKUP(H100,AA_Cimentacion,Indice!$N$36,FALSE)*D100*I100</f>
        <v>1.9350000000000001</v>
      </c>
      <c r="Q100" s="223">
        <f>HLOOKUP(H100,AA_Cimentacion,Indice!$N$37,FALSE)*I100*D100</f>
        <v>0</v>
      </c>
      <c r="R100" s="223">
        <f>HLOOKUP(H100,AA_Cimentacion,Indice!$N$38,FALSE)*I100*D100</f>
        <v>0</v>
      </c>
      <c r="S100" s="223">
        <f t="shared" si="1"/>
        <v>7.7632200000000022</v>
      </c>
      <c r="T100" s="223">
        <f>HLOOKUP(H100,AA_Cimentacion,Indice!$N$39,FALSE)*I100*D100</f>
        <v>1.4512499999999999</v>
      </c>
      <c r="U100" s="223">
        <f>IF(H100=Indice!$M$29,D100*2,0)</f>
        <v>25.8</v>
      </c>
      <c r="V100" s="223">
        <f>IF(Y100="Mular",0,(K100-S100)*(1+Indice!$M$25))</f>
        <v>5.6598749999999995</v>
      </c>
      <c r="W100" s="223">
        <f>IF(Y100="Mular",(K100-S100)*(1+Indice!$M$25),0)</f>
        <v>0</v>
      </c>
      <c r="X100" s="223">
        <f t="shared" si="2"/>
        <v>1.4512499999999999</v>
      </c>
      <c r="Y100" s="223" t="s">
        <v>8</v>
      </c>
      <c r="Z100" s="223">
        <f t="shared" si="6"/>
        <v>0</v>
      </c>
      <c r="AA100" s="223">
        <v>0</v>
      </c>
      <c r="AB100" s="223">
        <v>0</v>
      </c>
      <c r="AC100" s="223">
        <f t="shared" si="4"/>
        <v>0</v>
      </c>
    </row>
    <row r="101" spans="1:29" s="212" customFormat="1" ht="12.75" customHeight="1" x14ac:dyDescent="0.25">
      <c r="A101" t="s">
        <v>1201</v>
      </c>
      <c r="B101" t="s">
        <v>1331</v>
      </c>
      <c r="C101" t="s">
        <v>1332</v>
      </c>
      <c r="D101">
        <v>18.28</v>
      </c>
      <c r="E101" s="199">
        <v>6</v>
      </c>
      <c r="F101" s="1050" t="s">
        <v>887</v>
      </c>
      <c r="G101" s="1050"/>
      <c r="H101" s="226" t="s">
        <v>20</v>
      </c>
      <c r="I101" s="223">
        <v>0.75</v>
      </c>
      <c r="J101" s="223">
        <f>HLOOKUP(H101,AA_Cimentacion,Indice!$N$31,FALSE)+((E101*25.4)/1000)+HLOOKUP(H101,AA_Cimentacion,Indice!$N$35,FALSE)</f>
        <v>1.2524000000000002</v>
      </c>
      <c r="K101" s="223">
        <f t="shared" si="5"/>
        <v>17.170404000000005</v>
      </c>
      <c r="L101" s="223">
        <f>HLOOKUP(H101,AA_Cimentacion,Indice!$N$32,FALSE)*K101</f>
        <v>0.85852020000000029</v>
      </c>
      <c r="M101" s="223">
        <f>HLOOKUP(H101,AA_Cimentacion,Indice!$N$33,FALSE)*K101</f>
        <v>0</v>
      </c>
      <c r="N101" s="223">
        <f>HLOOKUP(H101,AA_Cimentacion,Indice!$N$34,FALSE)*K101</f>
        <v>16.311883800000004</v>
      </c>
      <c r="O101" s="223">
        <f>HLOOKUP(H101,AA_Cimentacion,Indice!$N$35,FALSE)*I101*D101</f>
        <v>1.3710000000000002</v>
      </c>
      <c r="P101" s="223">
        <f>HLOOKUP(H101,AA_Cimentacion,Indice!$N$36,FALSE)*D101*I101</f>
        <v>2.7420000000000004</v>
      </c>
      <c r="Q101" s="223">
        <f>HLOOKUP(H101,AA_Cimentacion,Indice!$N$37,FALSE)*I101*D101</f>
        <v>0</v>
      </c>
      <c r="R101" s="223">
        <f>HLOOKUP(H101,AA_Cimentacion,Indice!$N$38,FALSE)*I101*D101</f>
        <v>0</v>
      </c>
      <c r="S101" s="223">
        <f t="shared" si="1"/>
        <v>11.000904000000004</v>
      </c>
      <c r="T101" s="223">
        <f>HLOOKUP(H101,AA_Cimentacion,Indice!$N$39,FALSE)*I101*D101</f>
        <v>2.0564999999999998</v>
      </c>
      <c r="U101" s="223">
        <f>IF(H101=Indice!$M$29,D101*2,0)</f>
        <v>36.56</v>
      </c>
      <c r="V101" s="223">
        <f>IF(Y101="Mular",0,(K101-S101)*(1+Indice!$M$25))</f>
        <v>8.0203500000000023</v>
      </c>
      <c r="W101" s="223">
        <f>IF(Y101="Mular",(K101-S101)*(1+Indice!$M$25),0)</f>
        <v>0</v>
      </c>
      <c r="X101" s="223">
        <f t="shared" si="2"/>
        <v>2.0564999999999998</v>
      </c>
      <c r="Y101" s="223" t="s">
        <v>8</v>
      </c>
      <c r="Z101" s="223">
        <f t="shared" si="6"/>
        <v>0</v>
      </c>
      <c r="AA101" s="223">
        <v>0</v>
      </c>
      <c r="AB101" s="223">
        <v>0</v>
      </c>
      <c r="AC101" s="223">
        <f t="shared" si="4"/>
        <v>0</v>
      </c>
    </row>
    <row r="102" spans="1:29" s="212" customFormat="1" ht="12.75" customHeight="1" x14ac:dyDescent="0.25">
      <c r="A102" t="s">
        <v>1202</v>
      </c>
      <c r="B102" t="s">
        <v>1332</v>
      </c>
      <c r="C102" t="s">
        <v>1333</v>
      </c>
      <c r="D102">
        <v>20.11</v>
      </c>
      <c r="E102" s="199">
        <v>6</v>
      </c>
      <c r="F102" s="1050" t="s">
        <v>887</v>
      </c>
      <c r="G102" s="1050"/>
      <c r="H102" s="226" t="s">
        <v>20</v>
      </c>
      <c r="I102" s="223">
        <v>0.75</v>
      </c>
      <c r="J102" s="223">
        <f>HLOOKUP(H102,AA_Cimentacion,Indice!$N$31,FALSE)+((E102*25.4)/1000)+HLOOKUP(H102,AA_Cimentacion,Indice!$N$35,FALSE)</f>
        <v>1.2524000000000002</v>
      </c>
      <c r="K102" s="223">
        <f t="shared" si="5"/>
        <v>18.889323000000001</v>
      </c>
      <c r="L102" s="223">
        <f>HLOOKUP(H102,AA_Cimentacion,Indice!$N$32,FALSE)*K102</f>
        <v>0.94446615000000012</v>
      </c>
      <c r="M102" s="223">
        <f>HLOOKUP(H102,AA_Cimentacion,Indice!$N$33,FALSE)*K102</f>
        <v>0</v>
      </c>
      <c r="N102" s="223">
        <f>HLOOKUP(H102,AA_Cimentacion,Indice!$N$34,FALSE)*K102</f>
        <v>17.944856850000001</v>
      </c>
      <c r="O102" s="223">
        <f>HLOOKUP(H102,AA_Cimentacion,Indice!$N$35,FALSE)*I102*D102</f>
        <v>1.5082500000000001</v>
      </c>
      <c r="P102" s="223">
        <f>HLOOKUP(H102,AA_Cimentacion,Indice!$N$36,FALSE)*D102*I102</f>
        <v>3.0165000000000002</v>
      </c>
      <c r="Q102" s="223">
        <f>HLOOKUP(H102,AA_Cimentacion,Indice!$N$37,FALSE)*I102*D102</f>
        <v>0</v>
      </c>
      <c r="R102" s="223">
        <f>HLOOKUP(H102,AA_Cimentacion,Indice!$N$38,FALSE)*I102*D102</f>
        <v>0</v>
      </c>
      <c r="S102" s="223">
        <f t="shared" si="1"/>
        <v>12.102198000000001</v>
      </c>
      <c r="T102" s="223">
        <f>HLOOKUP(H102,AA_Cimentacion,Indice!$N$39,FALSE)*I102*D102</f>
        <v>2.2623749999999996</v>
      </c>
      <c r="U102" s="223">
        <f>IF(H102=Indice!$M$29,D102*2,0)</f>
        <v>40.22</v>
      </c>
      <c r="V102" s="223">
        <f>IF(Y102="Mular",0,(K102-S102)*(1+Indice!$M$25))</f>
        <v>8.8232625000000002</v>
      </c>
      <c r="W102" s="223">
        <f>IF(Y102="Mular",(K102-S102)*(1+Indice!$M$25),0)</f>
        <v>0</v>
      </c>
      <c r="X102" s="223">
        <f t="shared" si="2"/>
        <v>2.2623749999999996</v>
      </c>
      <c r="Y102" s="223" t="s">
        <v>8</v>
      </c>
      <c r="Z102" s="223">
        <f t="shared" si="6"/>
        <v>0</v>
      </c>
      <c r="AA102" s="223">
        <v>0</v>
      </c>
      <c r="AB102" s="223">
        <v>0</v>
      </c>
      <c r="AC102" s="223">
        <f t="shared" si="4"/>
        <v>0</v>
      </c>
    </row>
    <row r="103" spans="1:29" s="212" customFormat="1" ht="12.75" customHeight="1" x14ac:dyDescent="0.25">
      <c r="A103" t="s">
        <v>1203</v>
      </c>
      <c r="B103" t="s">
        <v>1333</v>
      </c>
      <c r="C103" t="s">
        <v>1334</v>
      </c>
      <c r="D103">
        <v>19.64</v>
      </c>
      <c r="E103" s="199">
        <v>6</v>
      </c>
      <c r="F103" s="1050" t="s">
        <v>887</v>
      </c>
      <c r="G103" s="1050"/>
      <c r="H103" s="226" t="s">
        <v>20</v>
      </c>
      <c r="I103" s="223">
        <v>0.75</v>
      </c>
      <c r="J103" s="223">
        <f>HLOOKUP(H103,AA_Cimentacion,Indice!$N$31,FALSE)+((E103*25.4)/1000)+HLOOKUP(H103,AA_Cimentacion,Indice!$N$35,FALSE)</f>
        <v>1.2524000000000002</v>
      </c>
      <c r="K103" s="223">
        <f t="shared" si="5"/>
        <v>18.447852000000005</v>
      </c>
      <c r="L103" s="223">
        <f>HLOOKUP(H103,AA_Cimentacion,Indice!$N$32,FALSE)*K103</f>
        <v>0.92239260000000023</v>
      </c>
      <c r="M103" s="223">
        <f>HLOOKUP(H103,AA_Cimentacion,Indice!$N$33,FALSE)*K103</f>
        <v>0</v>
      </c>
      <c r="N103" s="223">
        <f>HLOOKUP(H103,AA_Cimentacion,Indice!$N$34,FALSE)*K103</f>
        <v>17.525459400000003</v>
      </c>
      <c r="O103" s="223">
        <f>HLOOKUP(H103,AA_Cimentacion,Indice!$N$35,FALSE)*I103*D103</f>
        <v>1.4730000000000003</v>
      </c>
      <c r="P103" s="223">
        <f>HLOOKUP(H103,AA_Cimentacion,Indice!$N$36,FALSE)*D103*I103</f>
        <v>2.9460000000000002</v>
      </c>
      <c r="Q103" s="223">
        <f>HLOOKUP(H103,AA_Cimentacion,Indice!$N$37,FALSE)*I103*D103</f>
        <v>0</v>
      </c>
      <c r="R103" s="223">
        <f>HLOOKUP(H103,AA_Cimentacion,Indice!$N$38,FALSE)*I103*D103</f>
        <v>0</v>
      </c>
      <c r="S103" s="223">
        <f t="shared" si="1"/>
        <v>11.819352000000006</v>
      </c>
      <c r="T103" s="223">
        <f>HLOOKUP(H103,AA_Cimentacion,Indice!$N$39,FALSE)*I103*D103</f>
        <v>2.2094999999999998</v>
      </c>
      <c r="U103" s="223">
        <f>IF(H103=Indice!$M$29,D103*2,0)</f>
        <v>39.28</v>
      </c>
      <c r="V103" s="223">
        <f>IF(Y103="Mular",0,(K103-S103)*(1+Indice!$M$25))</f>
        <v>8.617049999999999</v>
      </c>
      <c r="W103" s="223">
        <f>IF(Y103="Mular",(K103-S103)*(1+Indice!$M$25),0)</f>
        <v>0</v>
      </c>
      <c r="X103" s="223">
        <f t="shared" si="2"/>
        <v>2.2094999999999998</v>
      </c>
      <c r="Y103" s="223" t="s">
        <v>8</v>
      </c>
      <c r="Z103" s="223">
        <f t="shared" si="6"/>
        <v>0</v>
      </c>
      <c r="AA103" s="223">
        <v>0</v>
      </c>
      <c r="AB103" s="223">
        <v>0</v>
      </c>
      <c r="AC103" s="223">
        <f t="shared" si="4"/>
        <v>0</v>
      </c>
    </row>
    <row r="104" spans="1:29" s="212" customFormat="1" ht="12.75" customHeight="1" x14ac:dyDescent="0.25">
      <c r="A104" t="s">
        <v>1204</v>
      </c>
      <c r="B104" t="s">
        <v>1334</v>
      </c>
      <c r="C104" t="s">
        <v>1335</v>
      </c>
      <c r="D104">
        <v>19.75</v>
      </c>
      <c r="E104" s="199">
        <v>6</v>
      </c>
      <c r="F104" s="1050" t="s">
        <v>887</v>
      </c>
      <c r="G104" s="1050"/>
      <c r="H104" s="226" t="s">
        <v>20</v>
      </c>
      <c r="I104" s="223">
        <v>0.75</v>
      </c>
      <c r="J104" s="223">
        <f>HLOOKUP(H104,AA_Cimentacion,Indice!$N$31,FALSE)+((E104*25.4)/1000)+HLOOKUP(H104,AA_Cimentacion,Indice!$N$35,FALSE)</f>
        <v>1.2524000000000002</v>
      </c>
      <c r="K104" s="223">
        <f t="shared" si="5"/>
        <v>18.551175000000004</v>
      </c>
      <c r="L104" s="223">
        <f>HLOOKUP(H104,AA_Cimentacion,Indice!$N$32,FALSE)*K104</f>
        <v>0.92755875000000021</v>
      </c>
      <c r="M104" s="223">
        <f>HLOOKUP(H104,AA_Cimentacion,Indice!$N$33,FALSE)*K104</f>
        <v>0</v>
      </c>
      <c r="N104" s="223">
        <f>HLOOKUP(H104,AA_Cimentacion,Indice!$N$34,FALSE)*K104</f>
        <v>17.623616250000005</v>
      </c>
      <c r="O104" s="223">
        <f>HLOOKUP(H104,AA_Cimentacion,Indice!$N$35,FALSE)*I104*D104</f>
        <v>1.4812500000000002</v>
      </c>
      <c r="P104" s="223">
        <f>HLOOKUP(H104,AA_Cimentacion,Indice!$N$36,FALSE)*D104*I104</f>
        <v>2.9625000000000004</v>
      </c>
      <c r="Q104" s="223">
        <f>HLOOKUP(H104,AA_Cimentacion,Indice!$N$37,FALSE)*I104*D104</f>
        <v>0</v>
      </c>
      <c r="R104" s="223">
        <f>HLOOKUP(H104,AA_Cimentacion,Indice!$N$38,FALSE)*I104*D104</f>
        <v>0</v>
      </c>
      <c r="S104" s="223">
        <f t="shared" si="1"/>
        <v>11.885550000000006</v>
      </c>
      <c r="T104" s="223">
        <f>HLOOKUP(H104,AA_Cimentacion,Indice!$N$39,FALSE)*I104*D104</f>
        <v>2.2218749999999998</v>
      </c>
      <c r="U104" s="223">
        <f>IF(H104=Indice!$M$29,D104*2,0)</f>
        <v>39.5</v>
      </c>
      <c r="V104" s="223">
        <f>IF(Y104="Mular",0,(K104-S104)*(1+Indice!$M$25))</f>
        <v>8.6653124999999989</v>
      </c>
      <c r="W104" s="223">
        <f>IF(Y104="Mular",(K104-S104)*(1+Indice!$M$25),0)</f>
        <v>0</v>
      </c>
      <c r="X104" s="223">
        <f t="shared" si="2"/>
        <v>2.2218749999999998</v>
      </c>
      <c r="Y104" s="223" t="s">
        <v>8</v>
      </c>
      <c r="Z104" s="223">
        <f t="shared" si="6"/>
        <v>0</v>
      </c>
      <c r="AA104" s="223">
        <v>0</v>
      </c>
      <c r="AB104" s="223">
        <v>0</v>
      </c>
      <c r="AC104" s="223">
        <f t="shared" si="4"/>
        <v>0</v>
      </c>
    </row>
    <row r="105" spans="1:29" s="212" customFormat="1" ht="12.75" customHeight="1" x14ac:dyDescent="0.25">
      <c r="A105" t="s">
        <v>1205</v>
      </c>
      <c r="B105" t="s">
        <v>1335</v>
      </c>
      <c r="C105" t="s">
        <v>1336</v>
      </c>
      <c r="D105">
        <v>15.35</v>
      </c>
      <c r="E105" s="199">
        <v>6</v>
      </c>
      <c r="F105" s="1050" t="s">
        <v>887</v>
      </c>
      <c r="G105" s="1050"/>
      <c r="H105" s="226" t="s">
        <v>20</v>
      </c>
      <c r="I105" s="223">
        <v>0.75</v>
      </c>
      <c r="J105" s="223">
        <f>HLOOKUP(H105,AA_Cimentacion,Indice!$N$31,FALSE)+((E105*25.4)/1000)+HLOOKUP(H105,AA_Cimentacion,Indice!$N$35,FALSE)</f>
        <v>1.2524000000000002</v>
      </c>
      <c r="K105" s="223">
        <f t="shared" si="5"/>
        <v>14.418255000000002</v>
      </c>
      <c r="L105" s="223">
        <f>HLOOKUP(H105,AA_Cimentacion,Indice!$N$32,FALSE)*K105</f>
        <v>0.7209127500000001</v>
      </c>
      <c r="M105" s="223">
        <f>HLOOKUP(H105,AA_Cimentacion,Indice!$N$33,FALSE)*K105</f>
        <v>0</v>
      </c>
      <c r="N105" s="223">
        <f>HLOOKUP(H105,AA_Cimentacion,Indice!$N$34,FALSE)*K105</f>
        <v>13.697342250000002</v>
      </c>
      <c r="O105" s="223">
        <f>HLOOKUP(H105,AA_Cimentacion,Indice!$N$35,FALSE)*I105*D105</f>
        <v>1.1512500000000001</v>
      </c>
      <c r="P105" s="223">
        <f>HLOOKUP(H105,AA_Cimentacion,Indice!$N$36,FALSE)*D105*I105</f>
        <v>2.3025000000000002</v>
      </c>
      <c r="Q105" s="223">
        <f>HLOOKUP(H105,AA_Cimentacion,Indice!$N$37,FALSE)*I105*D105</f>
        <v>0</v>
      </c>
      <c r="R105" s="223">
        <f>HLOOKUP(H105,AA_Cimentacion,Indice!$N$38,FALSE)*I105*D105</f>
        <v>0</v>
      </c>
      <c r="S105" s="223">
        <f t="shared" si="1"/>
        <v>9.2376300000000011</v>
      </c>
      <c r="T105" s="223">
        <f>HLOOKUP(H105,AA_Cimentacion,Indice!$N$39,FALSE)*I105*D105</f>
        <v>1.7268749999999997</v>
      </c>
      <c r="U105" s="223">
        <f>IF(H105=Indice!$M$29,D105*2,0)</f>
        <v>30.7</v>
      </c>
      <c r="V105" s="223">
        <f>IF(Y105="Mular",0,(K105-S105)*(1+Indice!$M$25))</f>
        <v>6.7348125000000012</v>
      </c>
      <c r="W105" s="223">
        <f>IF(Y105="Mular",(K105-S105)*(1+Indice!$M$25),0)</f>
        <v>0</v>
      </c>
      <c r="X105" s="223">
        <f t="shared" si="2"/>
        <v>1.7268749999999997</v>
      </c>
      <c r="Y105" s="223" t="s">
        <v>8</v>
      </c>
      <c r="Z105" s="223">
        <f t="shared" si="6"/>
        <v>0</v>
      </c>
      <c r="AA105" s="223">
        <v>0</v>
      </c>
      <c r="AB105" s="223">
        <v>0</v>
      </c>
      <c r="AC105" s="223">
        <f t="shared" si="4"/>
        <v>0</v>
      </c>
    </row>
    <row r="106" spans="1:29" s="212" customFormat="1" ht="12.75" customHeight="1" x14ac:dyDescent="0.25">
      <c r="A106" t="s">
        <v>1206</v>
      </c>
      <c r="B106" t="s">
        <v>1336</v>
      </c>
      <c r="C106" t="s">
        <v>1337</v>
      </c>
      <c r="D106">
        <v>19.149999999999999</v>
      </c>
      <c r="E106" s="199">
        <v>6</v>
      </c>
      <c r="F106" s="1050" t="s">
        <v>887</v>
      </c>
      <c r="G106" s="1050"/>
      <c r="H106" s="226" t="s">
        <v>20</v>
      </c>
      <c r="I106" s="223">
        <v>0.75</v>
      </c>
      <c r="J106" s="223">
        <f>HLOOKUP(H106,AA_Cimentacion,Indice!$N$31,FALSE)+((E106*25.4)/1000)+HLOOKUP(H106,AA_Cimentacion,Indice!$N$35,FALSE)</f>
        <v>1.2524000000000002</v>
      </c>
      <c r="K106" s="223">
        <f t="shared" si="5"/>
        <v>17.987595000000002</v>
      </c>
      <c r="L106" s="223">
        <f>HLOOKUP(H106,AA_Cimentacion,Indice!$N$32,FALSE)*K106</f>
        <v>0.89937975000000014</v>
      </c>
      <c r="M106" s="223">
        <f>HLOOKUP(H106,AA_Cimentacion,Indice!$N$33,FALSE)*K106</f>
        <v>0</v>
      </c>
      <c r="N106" s="223">
        <f>HLOOKUP(H106,AA_Cimentacion,Indice!$N$34,FALSE)*K106</f>
        <v>17.088215250000001</v>
      </c>
      <c r="O106" s="223">
        <f>HLOOKUP(H106,AA_Cimentacion,Indice!$N$35,FALSE)*I106*D106</f>
        <v>1.43625</v>
      </c>
      <c r="P106" s="223">
        <f>HLOOKUP(H106,AA_Cimentacion,Indice!$N$36,FALSE)*D106*I106</f>
        <v>2.8725000000000001</v>
      </c>
      <c r="Q106" s="223">
        <f>HLOOKUP(H106,AA_Cimentacion,Indice!$N$37,FALSE)*I106*D106</f>
        <v>0</v>
      </c>
      <c r="R106" s="223">
        <f>HLOOKUP(H106,AA_Cimentacion,Indice!$N$38,FALSE)*I106*D106</f>
        <v>0</v>
      </c>
      <c r="S106" s="223">
        <f t="shared" si="1"/>
        <v>11.524470000000001</v>
      </c>
      <c r="T106" s="223">
        <f>HLOOKUP(H106,AA_Cimentacion,Indice!$N$39,FALSE)*I106*D106</f>
        <v>2.1543749999999995</v>
      </c>
      <c r="U106" s="223">
        <f>IF(H106=Indice!$M$29,D106*2,0)</f>
        <v>38.299999999999997</v>
      </c>
      <c r="V106" s="223">
        <f>IF(Y106="Mular",0,(K106-S106)*(1+Indice!$M$25))</f>
        <v>8.4020625000000031</v>
      </c>
      <c r="W106" s="223">
        <f>IF(Y106="Mular",(K106-S106)*(1+Indice!$M$25),0)</f>
        <v>0</v>
      </c>
      <c r="X106" s="223">
        <f t="shared" si="2"/>
        <v>2.1543749999999995</v>
      </c>
      <c r="Y106" s="223" t="s">
        <v>8</v>
      </c>
      <c r="Z106" s="223">
        <f t="shared" si="6"/>
        <v>0</v>
      </c>
      <c r="AA106" s="223">
        <v>0</v>
      </c>
      <c r="AB106" s="223">
        <v>0</v>
      </c>
      <c r="AC106" s="223">
        <f t="shared" si="4"/>
        <v>0</v>
      </c>
    </row>
    <row r="107" spans="1:29" s="212" customFormat="1" ht="12.75" customHeight="1" x14ac:dyDescent="0.25">
      <c r="A107" t="s">
        <v>1207</v>
      </c>
      <c r="B107" t="s">
        <v>1337</v>
      </c>
      <c r="C107" t="s">
        <v>1338</v>
      </c>
      <c r="D107">
        <v>19.100000000000001</v>
      </c>
      <c r="E107" s="199">
        <v>6</v>
      </c>
      <c r="F107" s="1050" t="s">
        <v>887</v>
      </c>
      <c r="G107" s="1050"/>
      <c r="H107" s="226" t="s">
        <v>20</v>
      </c>
      <c r="I107" s="223">
        <v>0.75</v>
      </c>
      <c r="J107" s="223">
        <f>HLOOKUP(H107,AA_Cimentacion,Indice!$N$31,FALSE)+((E107*25.4)/1000)+HLOOKUP(H107,AA_Cimentacion,Indice!$N$35,FALSE)</f>
        <v>1.2524000000000002</v>
      </c>
      <c r="K107" s="223">
        <f t="shared" si="5"/>
        <v>17.940630000000002</v>
      </c>
      <c r="L107" s="223">
        <f>HLOOKUP(H107,AA_Cimentacion,Indice!$N$32,FALSE)*K107</f>
        <v>0.8970315000000002</v>
      </c>
      <c r="M107" s="223">
        <f>HLOOKUP(H107,AA_Cimentacion,Indice!$N$33,FALSE)*K107</f>
        <v>0</v>
      </c>
      <c r="N107" s="223">
        <f>HLOOKUP(H107,AA_Cimentacion,Indice!$N$34,FALSE)*K107</f>
        <v>17.043598500000002</v>
      </c>
      <c r="O107" s="223">
        <f>HLOOKUP(H107,AA_Cimentacion,Indice!$N$35,FALSE)*I107*D107</f>
        <v>1.4325000000000003</v>
      </c>
      <c r="P107" s="223">
        <f>HLOOKUP(H107,AA_Cimentacion,Indice!$N$36,FALSE)*D107*I107</f>
        <v>2.8650000000000002</v>
      </c>
      <c r="Q107" s="223">
        <f>HLOOKUP(H107,AA_Cimentacion,Indice!$N$37,FALSE)*I107*D107</f>
        <v>0</v>
      </c>
      <c r="R107" s="223">
        <f>HLOOKUP(H107,AA_Cimentacion,Indice!$N$38,FALSE)*I107*D107</f>
        <v>0</v>
      </c>
      <c r="S107" s="223">
        <f t="shared" si="1"/>
        <v>11.494380000000001</v>
      </c>
      <c r="T107" s="223">
        <f>HLOOKUP(H107,AA_Cimentacion,Indice!$N$39,FALSE)*I107*D107</f>
        <v>2.1487500000000002</v>
      </c>
      <c r="U107" s="223">
        <f>IF(H107=Indice!$M$29,D107*2,0)</f>
        <v>38.200000000000003</v>
      </c>
      <c r="V107" s="223">
        <f>IF(Y107="Mular",0,(K107-S107)*(1+Indice!$M$25))</f>
        <v>8.3801250000000014</v>
      </c>
      <c r="W107" s="223">
        <f>IF(Y107="Mular",(K107-S107)*(1+Indice!$M$25),0)</f>
        <v>0</v>
      </c>
      <c r="X107" s="223">
        <f t="shared" si="2"/>
        <v>2.1487500000000002</v>
      </c>
      <c r="Y107" s="223" t="s">
        <v>8</v>
      </c>
      <c r="Z107" s="223">
        <f t="shared" si="6"/>
        <v>0</v>
      </c>
      <c r="AA107" s="223">
        <v>0</v>
      </c>
      <c r="AB107" s="223">
        <v>0</v>
      </c>
      <c r="AC107" s="223">
        <f t="shared" si="4"/>
        <v>0</v>
      </c>
    </row>
    <row r="108" spans="1:29" s="212" customFormat="1" ht="12.75" customHeight="1" x14ac:dyDescent="0.25">
      <c r="A108" t="s">
        <v>1208</v>
      </c>
      <c r="B108" t="s">
        <v>1338</v>
      </c>
      <c r="C108" t="s">
        <v>1339</v>
      </c>
      <c r="D108">
        <v>19.559999999999999</v>
      </c>
      <c r="E108" s="199">
        <v>6</v>
      </c>
      <c r="F108" s="1050" t="s">
        <v>887</v>
      </c>
      <c r="G108" s="1050"/>
      <c r="H108" s="226" t="s">
        <v>20</v>
      </c>
      <c r="I108" s="223">
        <v>0.75</v>
      </c>
      <c r="J108" s="223">
        <f>HLOOKUP(H108,AA_Cimentacion,Indice!$N$31,FALSE)+((E108*25.4)/1000)+HLOOKUP(H108,AA_Cimentacion,Indice!$N$35,FALSE)</f>
        <v>1.2524000000000002</v>
      </c>
      <c r="K108" s="223">
        <f t="shared" si="5"/>
        <v>18.372708000000003</v>
      </c>
      <c r="L108" s="223">
        <f>HLOOKUP(H108,AA_Cimentacion,Indice!$N$32,FALSE)*K108</f>
        <v>0.91863540000000021</v>
      </c>
      <c r="M108" s="223">
        <f>HLOOKUP(H108,AA_Cimentacion,Indice!$N$33,FALSE)*K108</f>
        <v>0</v>
      </c>
      <c r="N108" s="223">
        <f>HLOOKUP(H108,AA_Cimentacion,Indice!$N$34,FALSE)*K108</f>
        <v>17.454072600000003</v>
      </c>
      <c r="O108" s="223">
        <f>HLOOKUP(H108,AA_Cimentacion,Indice!$N$35,FALSE)*I108*D108</f>
        <v>1.4670000000000001</v>
      </c>
      <c r="P108" s="223">
        <f>HLOOKUP(H108,AA_Cimentacion,Indice!$N$36,FALSE)*D108*I108</f>
        <v>2.9340000000000002</v>
      </c>
      <c r="Q108" s="223">
        <f>HLOOKUP(H108,AA_Cimentacion,Indice!$N$37,FALSE)*I108*D108</f>
        <v>0</v>
      </c>
      <c r="R108" s="223">
        <f>HLOOKUP(H108,AA_Cimentacion,Indice!$N$38,FALSE)*I108*D108</f>
        <v>0</v>
      </c>
      <c r="S108" s="223">
        <f t="shared" si="1"/>
        <v>11.771208000000003</v>
      </c>
      <c r="T108" s="223">
        <f>HLOOKUP(H108,AA_Cimentacion,Indice!$N$39,FALSE)*I108*D108</f>
        <v>2.2004999999999995</v>
      </c>
      <c r="U108" s="223">
        <f>IF(H108=Indice!$M$29,D108*2,0)</f>
        <v>39.119999999999997</v>
      </c>
      <c r="V108" s="223">
        <f>IF(Y108="Mular",0,(K108-S108)*(1+Indice!$M$25))</f>
        <v>8.5819499999999991</v>
      </c>
      <c r="W108" s="223">
        <f>IF(Y108="Mular",(K108-S108)*(1+Indice!$M$25),0)</f>
        <v>0</v>
      </c>
      <c r="X108" s="223">
        <f t="shared" si="2"/>
        <v>2.2004999999999995</v>
      </c>
      <c r="Y108" s="223" t="s">
        <v>8</v>
      </c>
      <c r="Z108" s="223">
        <f t="shared" si="6"/>
        <v>0</v>
      </c>
      <c r="AA108" s="223">
        <v>0</v>
      </c>
      <c r="AB108" s="223">
        <v>0</v>
      </c>
      <c r="AC108" s="223">
        <f t="shared" si="4"/>
        <v>0</v>
      </c>
    </row>
    <row r="109" spans="1:29" s="212" customFormat="1" ht="12.75" customHeight="1" x14ac:dyDescent="0.25">
      <c r="A109" t="s">
        <v>1209</v>
      </c>
      <c r="B109" t="s">
        <v>1339</v>
      </c>
      <c r="C109" t="s">
        <v>1340</v>
      </c>
      <c r="D109">
        <v>17.809999999999999</v>
      </c>
      <c r="E109" s="199">
        <v>6</v>
      </c>
      <c r="F109" s="1050" t="s">
        <v>887</v>
      </c>
      <c r="G109" s="1050"/>
      <c r="H109" s="226" t="s">
        <v>20</v>
      </c>
      <c r="I109" s="223">
        <v>0.75</v>
      </c>
      <c r="J109" s="223">
        <f>HLOOKUP(H109,AA_Cimentacion,Indice!$N$31,FALSE)+((E109*25.4)/1000)+HLOOKUP(H109,AA_Cimentacion,Indice!$N$35,FALSE)</f>
        <v>1.2524000000000002</v>
      </c>
      <c r="K109" s="223">
        <f t="shared" si="5"/>
        <v>16.728933000000001</v>
      </c>
      <c r="L109" s="223">
        <f>HLOOKUP(H109,AA_Cimentacion,Indice!$N$32,FALSE)*K109</f>
        <v>0.83644665000000007</v>
      </c>
      <c r="M109" s="223">
        <f>HLOOKUP(H109,AA_Cimentacion,Indice!$N$33,FALSE)*K109</f>
        <v>0</v>
      </c>
      <c r="N109" s="223">
        <f>HLOOKUP(H109,AA_Cimentacion,Indice!$N$34,FALSE)*K109</f>
        <v>15.89248635</v>
      </c>
      <c r="O109" s="223">
        <f>HLOOKUP(H109,AA_Cimentacion,Indice!$N$35,FALSE)*I109*D109</f>
        <v>1.33575</v>
      </c>
      <c r="P109" s="223">
        <f>HLOOKUP(H109,AA_Cimentacion,Indice!$N$36,FALSE)*D109*I109</f>
        <v>2.6715</v>
      </c>
      <c r="Q109" s="223">
        <f>HLOOKUP(H109,AA_Cimentacion,Indice!$N$37,FALSE)*I109*D109</f>
        <v>0</v>
      </c>
      <c r="R109" s="223">
        <f>HLOOKUP(H109,AA_Cimentacion,Indice!$N$38,FALSE)*I109*D109</f>
        <v>0</v>
      </c>
      <c r="S109" s="223">
        <f t="shared" si="1"/>
        <v>10.718058000000001</v>
      </c>
      <c r="T109" s="223">
        <f>HLOOKUP(H109,AA_Cimentacion,Indice!$N$39,FALSE)*I109*D109</f>
        <v>2.0036249999999995</v>
      </c>
      <c r="U109" s="223">
        <f>IF(H109=Indice!$M$29,D109*2,0)</f>
        <v>35.619999999999997</v>
      </c>
      <c r="V109" s="223">
        <f>IF(Y109="Mular",0,(K109-S109)*(1+Indice!$M$25))</f>
        <v>7.8141375000000011</v>
      </c>
      <c r="W109" s="223">
        <f>IF(Y109="Mular",(K109-S109)*(1+Indice!$M$25),0)</f>
        <v>0</v>
      </c>
      <c r="X109" s="223">
        <f t="shared" si="2"/>
        <v>2.0036249999999995</v>
      </c>
      <c r="Y109" s="223" t="s">
        <v>8</v>
      </c>
      <c r="Z109" s="223">
        <f t="shared" si="6"/>
        <v>0</v>
      </c>
      <c r="AA109" s="223">
        <v>0</v>
      </c>
      <c r="AB109" s="223">
        <v>0</v>
      </c>
      <c r="AC109" s="223">
        <f t="shared" si="4"/>
        <v>0</v>
      </c>
    </row>
    <row r="110" spans="1:29" s="212" customFormat="1" ht="12.75" customHeight="1" x14ac:dyDescent="0.25">
      <c r="A110" t="s">
        <v>1210</v>
      </c>
      <c r="B110" t="s">
        <v>1340</v>
      </c>
      <c r="C110" t="s">
        <v>1341</v>
      </c>
      <c r="D110">
        <v>20.77</v>
      </c>
      <c r="E110" s="199">
        <v>6</v>
      </c>
      <c r="F110" s="1050" t="s">
        <v>887</v>
      </c>
      <c r="G110" s="1050"/>
      <c r="H110" s="226" t="s">
        <v>20</v>
      </c>
      <c r="I110" s="223">
        <v>0.75</v>
      </c>
      <c r="J110" s="223">
        <f>HLOOKUP(H110,AA_Cimentacion,Indice!$N$31,FALSE)+((E110*25.4)/1000)+HLOOKUP(H110,AA_Cimentacion,Indice!$N$35,FALSE)</f>
        <v>1.2524000000000002</v>
      </c>
      <c r="K110" s="223">
        <f t="shared" si="5"/>
        <v>19.509261000000002</v>
      </c>
      <c r="L110" s="223">
        <f>HLOOKUP(H110,AA_Cimentacion,Indice!$N$32,FALSE)*K110</f>
        <v>0.97546305000000011</v>
      </c>
      <c r="M110" s="223">
        <f>HLOOKUP(H110,AA_Cimentacion,Indice!$N$33,FALSE)*K110</f>
        <v>0</v>
      </c>
      <c r="N110" s="223">
        <f>HLOOKUP(H110,AA_Cimentacion,Indice!$N$34,FALSE)*K110</f>
        <v>18.53379795</v>
      </c>
      <c r="O110" s="223">
        <f>HLOOKUP(H110,AA_Cimentacion,Indice!$N$35,FALSE)*I110*D110</f>
        <v>1.5577500000000002</v>
      </c>
      <c r="P110" s="223">
        <f>HLOOKUP(H110,AA_Cimentacion,Indice!$N$36,FALSE)*D110*I110</f>
        <v>3.1154999999999999</v>
      </c>
      <c r="Q110" s="223">
        <f>HLOOKUP(H110,AA_Cimentacion,Indice!$N$37,FALSE)*I110*D110</f>
        <v>0</v>
      </c>
      <c r="R110" s="223">
        <f>HLOOKUP(H110,AA_Cimentacion,Indice!$N$38,FALSE)*I110*D110</f>
        <v>0</v>
      </c>
      <c r="S110" s="223">
        <f t="shared" si="1"/>
        <v>12.499386000000003</v>
      </c>
      <c r="T110" s="223">
        <f>HLOOKUP(H110,AA_Cimentacion,Indice!$N$39,FALSE)*I110*D110</f>
        <v>2.3366249999999997</v>
      </c>
      <c r="U110" s="223">
        <f>IF(H110=Indice!$M$29,D110*2,0)</f>
        <v>41.54</v>
      </c>
      <c r="V110" s="223">
        <f>IF(Y110="Mular",0,(K110-S110)*(1+Indice!$M$25))</f>
        <v>9.1128374999999995</v>
      </c>
      <c r="W110" s="223">
        <f>IF(Y110="Mular",(K110-S110)*(1+Indice!$M$25),0)</f>
        <v>0</v>
      </c>
      <c r="X110" s="223">
        <f t="shared" si="2"/>
        <v>2.3366249999999997</v>
      </c>
      <c r="Y110" s="223" t="s">
        <v>8</v>
      </c>
      <c r="Z110" s="223">
        <f t="shared" si="6"/>
        <v>0</v>
      </c>
      <c r="AA110" s="223">
        <v>0</v>
      </c>
      <c r="AB110" s="223">
        <v>0</v>
      </c>
      <c r="AC110" s="223">
        <f t="shared" si="4"/>
        <v>0</v>
      </c>
    </row>
    <row r="111" spans="1:29" s="212" customFormat="1" ht="12.75" customHeight="1" x14ac:dyDescent="0.25">
      <c r="A111" t="s">
        <v>1211</v>
      </c>
      <c r="B111" t="s">
        <v>1341</v>
      </c>
      <c r="C111" t="s">
        <v>1342</v>
      </c>
      <c r="D111">
        <v>26.05</v>
      </c>
      <c r="E111" s="199">
        <v>6</v>
      </c>
      <c r="F111" s="1050" t="s">
        <v>887</v>
      </c>
      <c r="G111" s="1050"/>
      <c r="H111" s="226" t="s">
        <v>20</v>
      </c>
      <c r="I111" s="223">
        <v>0.75</v>
      </c>
      <c r="J111" s="223">
        <f>HLOOKUP(H111,AA_Cimentacion,Indice!$N$31,FALSE)+((E111*25.4)/1000)+HLOOKUP(H111,AA_Cimentacion,Indice!$N$35,FALSE)</f>
        <v>1.2524000000000002</v>
      </c>
      <c r="K111" s="223">
        <f t="shared" si="5"/>
        <v>24.468765000000005</v>
      </c>
      <c r="L111" s="223">
        <f>HLOOKUP(H111,AA_Cimentacion,Indice!$N$32,FALSE)*K111</f>
        <v>1.2234382500000003</v>
      </c>
      <c r="M111" s="223">
        <f>HLOOKUP(H111,AA_Cimentacion,Indice!$N$33,FALSE)*K111</f>
        <v>0</v>
      </c>
      <c r="N111" s="223">
        <f>HLOOKUP(H111,AA_Cimentacion,Indice!$N$34,FALSE)*K111</f>
        <v>23.245326750000004</v>
      </c>
      <c r="O111" s="223">
        <f>HLOOKUP(H111,AA_Cimentacion,Indice!$N$35,FALSE)*I111*D111</f>
        <v>1.9537500000000003</v>
      </c>
      <c r="P111" s="223">
        <f>HLOOKUP(H111,AA_Cimentacion,Indice!$N$36,FALSE)*D111*I111</f>
        <v>3.9075000000000006</v>
      </c>
      <c r="Q111" s="223">
        <f>HLOOKUP(H111,AA_Cimentacion,Indice!$N$37,FALSE)*I111*D111</f>
        <v>0</v>
      </c>
      <c r="R111" s="223">
        <f>HLOOKUP(H111,AA_Cimentacion,Indice!$N$38,FALSE)*I111*D111</f>
        <v>0</v>
      </c>
      <c r="S111" s="223">
        <f t="shared" si="1"/>
        <v>15.676890000000007</v>
      </c>
      <c r="T111" s="223">
        <f>HLOOKUP(H111,AA_Cimentacion,Indice!$N$39,FALSE)*I111*D111</f>
        <v>2.9306249999999996</v>
      </c>
      <c r="U111" s="223">
        <f>IF(H111=Indice!$M$29,D111*2,0)</f>
        <v>52.1</v>
      </c>
      <c r="V111" s="223">
        <f>IF(Y111="Mular",0,(K111-S111)*(1+Indice!$M$25))</f>
        <v>11.429437499999997</v>
      </c>
      <c r="W111" s="223">
        <f>IF(Y111="Mular",(K111-S111)*(1+Indice!$M$25),0)</f>
        <v>0</v>
      </c>
      <c r="X111" s="223">
        <f t="shared" si="2"/>
        <v>2.9306249999999996</v>
      </c>
      <c r="Y111" s="223" t="s">
        <v>8</v>
      </c>
      <c r="Z111" s="223">
        <f t="shared" si="6"/>
        <v>0</v>
      </c>
      <c r="AA111" s="223">
        <v>0</v>
      </c>
      <c r="AB111" s="223">
        <v>0</v>
      </c>
      <c r="AC111" s="223">
        <f t="shared" si="4"/>
        <v>0</v>
      </c>
    </row>
    <row r="112" spans="1:29" s="212" customFormat="1" ht="12.75" customHeight="1" x14ac:dyDescent="0.25">
      <c r="A112" t="s">
        <v>1212</v>
      </c>
      <c r="B112" t="s">
        <v>1342</v>
      </c>
      <c r="C112" t="s">
        <v>1343</v>
      </c>
      <c r="D112">
        <v>23</v>
      </c>
      <c r="E112" s="199">
        <v>6</v>
      </c>
      <c r="F112" s="1050" t="s">
        <v>887</v>
      </c>
      <c r="G112" s="1050"/>
      <c r="H112" s="226" t="s">
        <v>20</v>
      </c>
      <c r="I112" s="223">
        <v>0.75</v>
      </c>
      <c r="J112" s="223">
        <f>HLOOKUP(H112,AA_Cimentacion,Indice!$N$31,FALSE)+((E112*25.4)/1000)+HLOOKUP(H112,AA_Cimentacion,Indice!$N$35,FALSE)</f>
        <v>1.2524000000000002</v>
      </c>
      <c r="K112" s="223">
        <f t="shared" si="5"/>
        <v>21.603900000000003</v>
      </c>
      <c r="L112" s="223">
        <f>HLOOKUP(H112,AA_Cimentacion,Indice!$N$32,FALSE)*K112</f>
        <v>1.0801950000000002</v>
      </c>
      <c r="M112" s="223">
        <f>HLOOKUP(H112,AA_Cimentacion,Indice!$N$33,FALSE)*K112</f>
        <v>0</v>
      </c>
      <c r="N112" s="223">
        <f>HLOOKUP(H112,AA_Cimentacion,Indice!$N$34,FALSE)*K112</f>
        <v>20.523705000000003</v>
      </c>
      <c r="O112" s="223">
        <f>HLOOKUP(H112,AA_Cimentacion,Indice!$N$35,FALSE)*I112*D112</f>
        <v>1.7250000000000003</v>
      </c>
      <c r="P112" s="223">
        <f>HLOOKUP(H112,AA_Cimentacion,Indice!$N$36,FALSE)*D112*I112</f>
        <v>3.45</v>
      </c>
      <c r="Q112" s="223">
        <f>HLOOKUP(H112,AA_Cimentacion,Indice!$N$37,FALSE)*I112*D112</f>
        <v>0</v>
      </c>
      <c r="R112" s="223">
        <f>HLOOKUP(H112,AA_Cimentacion,Indice!$N$38,FALSE)*I112*D112</f>
        <v>0</v>
      </c>
      <c r="S112" s="223">
        <f t="shared" si="1"/>
        <v>13.841400000000002</v>
      </c>
      <c r="T112" s="223">
        <f>HLOOKUP(H112,AA_Cimentacion,Indice!$N$39,FALSE)*I112*D112</f>
        <v>2.5874999999999999</v>
      </c>
      <c r="U112" s="223">
        <f>IF(H112=Indice!$M$29,D112*2,0)</f>
        <v>46</v>
      </c>
      <c r="V112" s="223">
        <f>IF(Y112="Mular",0,(K112-S112)*(1+Indice!$M$25))</f>
        <v>10.091250000000002</v>
      </c>
      <c r="W112" s="223">
        <f>IF(Y112="Mular",(K112-S112)*(1+Indice!$M$25),0)</f>
        <v>0</v>
      </c>
      <c r="X112" s="223">
        <f t="shared" si="2"/>
        <v>2.5874999999999999</v>
      </c>
      <c r="Y112" s="223" t="s">
        <v>8</v>
      </c>
      <c r="Z112" s="223">
        <f t="shared" ref="Z112:Z163" si="7">IF(Y112="Mular",(VLOOKUP(F112,AA_Cantidadesredes,4,FALSE)*D112),0)</f>
        <v>0</v>
      </c>
      <c r="AA112" s="223">
        <v>0</v>
      </c>
      <c r="AB112" s="223">
        <v>0</v>
      </c>
      <c r="AC112" s="223">
        <f t="shared" si="4"/>
        <v>0</v>
      </c>
    </row>
    <row r="113" spans="1:29" s="212" customFormat="1" ht="12.75" customHeight="1" x14ac:dyDescent="0.25">
      <c r="A113" t="s">
        <v>1213</v>
      </c>
      <c r="B113" t="s">
        <v>1343</v>
      </c>
      <c r="C113" t="s">
        <v>1344</v>
      </c>
      <c r="D113">
        <v>17.38</v>
      </c>
      <c r="E113" s="199">
        <v>6</v>
      </c>
      <c r="F113" s="1050" t="s">
        <v>887</v>
      </c>
      <c r="G113" s="1050"/>
      <c r="H113" s="226" t="s">
        <v>20</v>
      </c>
      <c r="I113" s="223">
        <v>0.75</v>
      </c>
      <c r="J113" s="223">
        <f>HLOOKUP(H113,AA_Cimentacion,Indice!$N$31,FALSE)+((E113*25.4)/1000)+HLOOKUP(H113,AA_Cimentacion,Indice!$N$35,FALSE)</f>
        <v>1.2524000000000002</v>
      </c>
      <c r="K113" s="223">
        <f t="shared" si="5"/>
        <v>16.325034000000002</v>
      </c>
      <c r="L113" s="223">
        <f>HLOOKUP(H113,AA_Cimentacion,Indice!$N$32,FALSE)*K113</f>
        <v>0.81625170000000014</v>
      </c>
      <c r="M113" s="223">
        <f>HLOOKUP(H113,AA_Cimentacion,Indice!$N$33,FALSE)*K113</f>
        <v>0</v>
      </c>
      <c r="N113" s="223">
        <f>HLOOKUP(H113,AA_Cimentacion,Indice!$N$34,FALSE)*K113</f>
        <v>15.508782300000002</v>
      </c>
      <c r="O113" s="223">
        <f>HLOOKUP(H113,AA_Cimentacion,Indice!$N$35,FALSE)*I113*D113</f>
        <v>1.3035000000000001</v>
      </c>
      <c r="P113" s="223">
        <f>HLOOKUP(H113,AA_Cimentacion,Indice!$N$36,FALSE)*D113*I113</f>
        <v>2.6070000000000002</v>
      </c>
      <c r="Q113" s="223">
        <f>HLOOKUP(H113,AA_Cimentacion,Indice!$N$37,FALSE)*I113*D113</f>
        <v>0</v>
      </c>
      <c r="R113" s="223">
        <f>HLOOKUP(H113,AA_Cimentacion,Indice!$N$38,FALSE)*I113*D113</f>
        <v>0</v>
      </c>
      <c r="S113" s="223">
        <f t="shared" si="1"/>
        <v>10.459284000000004</v>
      </c>
      <c r="T113" s="223">
        <f>HLOOKUP(H113,AA_Cimentacion,Indice!$N$39,FALSE)*I113*D113</f>
        <v>1.9552499999999997</v>
      </c>
      <c r="U113" s="223">
        <f>IF(H113=Indice!$M$29,D113*2,0)</f>
        <v>34.76</v>
      </c>
      <c r="V113" s="223">
        <f>IF(Y113="Mular",0,(K113-S113)*(1+Indice!$M$25))</f>
        <v>7.625474999999998</v>
      </c>
      <c r="W113" s="223">
        <f>IF(Y113="Mular",(K113-S113)*(1+Indice!$M$25),0)</f>
        <v>0</v>
      </c>
      <c r="X113" s="223">
        <f t="shared" si="2"/>
        <v>1.9552499999999997</v>
      </c>
      <c r="Y113" s="223" t="s">
        <v>8</v>
      </c>
      <c r="Z113" s="223">
        <f t="shared" si="7"/>
        <v>0</v>
      </c>
      <c r="AA113" s="223">
        <v>0</v>
      </c>
      <c r="AB113" s="223">
        <v>0</v>
      </c>
      <c r="AC113" s="223">
        <f t="shared" si="4"/>
        <v>0</v>
      </c>
    </row>
    <row r="114" spans="1:29" s="212" customFormat="1" ht="12.75" customHeight="1" x14ac:dyDescent="0.25">
      <c r="A114" t="s">
        <v>1214</v>
      </c>
      <c r="B114" t="s">
        <v>1344</v>
      </c>
      <c r="C114" t="s">
        <v>1345</v>
      </c>
      <c r="D114">
        <v>11.55</v>
      </c>
      <c r="E114" s="199">
        <v>6</v>
      </c>
      <c r="F114" s="1050" t="s">
        <v>887</v>
      </c>
      <c r="G114" s="1050"/>
      <c r="H114" s="226" t="s">
        <v>20</v>
      </c>
      <c r="I114" s="223">
        <v>0.75</v>
      </c>
      <c r="J114" s="223">
        <f>HLOOKUP(H114,AA_Cimentacion,Indice!$N$31,FALSE)+((E114*25.4)/1000)+HLOOKUP(H114,AA_Cimentacion,Indice!$N$35,FALSE)</f>
        <v>1.2524000000000002</v>
      </c>
      <c r="K114" s="223">
        <f t="shared" si="5"/>
        <v>10.848915000000002</v>
      </c>
      <c r="L114" s="223">
        <f>HLOOKUP(H114,AA_Cimentacion,Indice!$N$32,FALSE)*K114</f>
        <v>0.54244575000000006</v>
      </c>
      <c r="M114" s="223">
        <f>HLOOKUP(H114,AA_Cimentacion,Indice!$N$33,FALSE)*K114</f>
        <v>0</v>
      </c>
      <c r="N114" s="223">
        <f>HLOOKUP(H114,AA_Cimentacion,Indice!$N$34,FALSE)*K114</f>
        <v>10.306469250000001</v>
      </c>
      <c r="O114" s="223">
        <f>HLOOKUP(H114,AA_Cimentacion,Indice!$N$35,FALSE)*I114*D114</f>
        <v>0.86625000000000019</v>
      </c>
      <c r="P114" s="223">
        <f>HLOOKUP(H114,AA_Cimentacion,Indice!$N$36,FALSE)*D114*I114</f>
        <v>1.7324999999999999</v>
      </c>
      <c r="Q114" s="223">
        <f>HLOOKUP(H114,AA_Cimentacion,Indice!$N$37,FALSE)*I114*D114</f>
        <v>0</v>
      </c>
      <c r="R114" s="223">
        <f>HLOOKUP(H114,AA_Cimentacion,Indice!$N$38,FALSE)*I114*D114</f>
        <v>0</v>
      </c>
      <c r="S114" s="223">
        <f t="shared" si="1"/>
        <v>6.9507900000000014</v>
      </c>
      <c r="T114" s="223">
        <f>HLOOKUP(H114,AA_Cimentacion,Indice!$N$39,FALSE)*I114*D114</f>
        <v>1.2993749999999999</v>
      </c>
      <c r="U114" s="223">
        <f>IF(H114=Indice!$M$29,D114*2,0)</f>
        <v>23.1</v>
      </c>
      <c r="V114" s="223">
        <f>IF(Y114="Mular",0,(K114-S114)*(1+Indice!$M$25))</f>
        <v>5.0675625000000002</v>
      </c>
      <c r="W114" s="223">
        <f>IF(Y114="Mular",(K114-S114)*(1+Indice!$M$25),0)</f>
        <v>0</v>
      </c>
      <c r="X114" s="223">
        <f t="shared" si="2"/>
        <v>1.2993749999999999</v>
      </c>
      <c r="Y114" s="223" t="s">
        <v>8</v>
      </c>
      <c r="Z114" s="223">
        <f t="shared" si="7"/>
        <v>0</v>
      </c>
      <c r="AA114" s="223">
        <v>0</v>
      </c>
      <c r="AB114" s="223">
        <v>0</v>
      </c>
      <c r="AC114" s="223">
        <f t="shared" si="4"/>
        <v>0</v>
      </c>
    </row>
    <row r="115" spans="1:29" s="212" customFormat="1" ht="12.75" customHeight="1" x14ac:dyDescent="0.25">
      <c r="A115" t="s">
        <v>1215</v>
      </c>
      <c r="B115" t="s">
        <v>1345</v>
      </c>
      <c r="C115" t="s">
        <v>1346</v>
      </c>
      <c r="D115">
        <v>8.7100000000000009</v>
      </c>
      <c r="E115" s="199">
        <v>6</v>
      </c>
      <c r="F115" s="1050" t="s">
        <v>887</v>
      </c>
      <c r="G115" s="1050"/>
      <c r="H115" s="226" t="s">
        <v>20</v>
      </c>
      <c r="I115" s="223">
        <v>0.75</v>
      </c>
      <c r="J115" s="223">
        <f>HLOOKUP(H115,AA_Cimentacion,Indice!$N$31,FALSE)+((E115*25.4)/1000)+HLOOKUP(H115,AA_Cimentacion,Indice!$N$35,FALSE)</f>
        <v>1.2524000000000002</v>
      </c>
      <c r="K115" s="223">
        <f t="shared" si="5"/>
        <v>8.1813030000000015</v>
      </c>
      <c r="L115" s="223">
        <f>HLOOKUP(H115,AA_Cimentacion,Indice!$N$32,FALSE)*K115</f>
        <v>0.4090651500000001</v>
      </c>
      <c r="M115" s="223">
        <f>HLOOKUP(H115,AA_Cimentacion,Indice!$N$33,FALSE)*K115</f>
        <v>0</v>
      </c>
      <c r="N115" s="223">
        <f>HLOOKUP(H115,AA_Cimentacion,Indice!$N$34,FALSE)*K115</f>
        <v>7.7722378500000007</v>
      </c>
      <c r="O115" s="223">
        <f>HLOOKUP(H115,AA_Cimentacion,Indice!$N$35,FALSE)*I115*D115</f>
        <v>0.65325000000000011</v>
      </c>
      <c r="P115" s="223">
        <f>HLOOKUP(H115,AA_Cimentacion,Indice!$N$36,FALSE)*D115*I115</f>
        <v>1.3065000000000002</v>
      </c>
      <c r="Q115" s="223">
        <f>HLOOKUP(H115,AA_Cimentacion,Indice!$N$37,FALSE)*I115*D115</f>
        <v>0</v>
      </c>
      <c r="R115" s="223">
        <f>HLOOKUP(H115,AA_Cimentacion,Indice!$N$38,FALSE)*I115*D115</f>
        <v>0</v>
      </c>
      <c r="S115" s="223">
        <f t="shared" si="1"/>
        <v>5.2416780000000021</v>
      </c>
      <c r="T115" s="223">
        <f>HLOOKUP(H115,AA_Cimentacion,Indice!$N$39,FALSE)*I115*D115</f>
        <v>0.97987500000000005</v>
      </c>
      <c r="U115" s="223">
        <f>IF(H115=Indice!$M$29,D115*2,0)</f>
        <v>17.420000000000002</v>
      </c>
      <c r="V115" s="223">
        <f>IF(Y115="Mular",0,(K115-S115)*(1+Indice!$M$25))</f>
        <v>3.8215124999999994</v>
      </c>
      <c r="W115" s="223">
        <f>IF(Y115="Mular",(K115-S115)*(1+Indice!$M$25),0)</f>
        <v>0</v>
      </c>
      <c r="X115" s="223">
        <f t="shared" si="2"/>
        <v>0.97987500000000005</v>
      </c>
      <c r="Y115" s="223" t="s">
        <v>8</v>
      </c>
      <c r="Z115" s="223">
        <f t="shared" si="7"/>
        <v>0</v>
      </c>
      <c r="AA115" s="223">
        <v>0</v>
      </c>
      <c r="AB115" s="223">
        <v>0</v>
      </c>
      <c r="AC115" s="223">
        <f t="shared" si="4"/>
        <v>0</v>
      </c>
    </row>
    <row r="116" spans="1:29" s="212" customFormat="1" ht="12.75" customHeight="1" x14ac:dyDescent="0.25">
      <c r="A116" t="s">
        <v>1216</v>
      </c>
      <c r="B116" t="s">
        <v>1346</v>
      </c>
      <c r="C116" t="s">
        <v>1347</v>
      </c>
      <c r="D116">
        <v>8.91</v>
      </c>
      <c r="E116" s="199">
        <v>6</v>
      </c>
      <c r="F116" s="1050" t="s">
        <v>887</v>
      </c>
      <c r="G116" s="1050"/>
      <c r="H116" s="226" t="s">
        <v>20</v>
      </c>
      <c r="I116" s="223">
        <v>0.75</v>
      </c>
      <c r="J116" s="223">
        <f>HLOOKUP(H116,AA_Cimentacion,Indice!$N$31,FALSE)+((E116*25.4)/1000)+HLOOKUP(H116,AA_Cimentacion,Indice!$N$35,FALSE)</f>
        <v>1.2524000000000002</v>
      </c>
      <c r="K116" s="223">
        <f t="shared" si="5"/>
        <v>8.3691630000000021</v>
      </c>
      <c r="L116" s="223">
        <f>HLOOKUP(H116,AA_Cimentacion,Indice!$N$32,FALSE)*K116</f>
        <v>0.41845815000000014</v>
      </c>
      <c r="M116" s="223">
        <f>HLOOKUP(H116,AA_Cimentacion,Indice!$N$33,FALSE)*K116</f>
        <v>0</v>
      </c>
      <c r="N116" s="223">
        <f>HLOOKUP(H116,AA_Cimentacion,Indice!$N$34,FALSE)*K116</f>
        <v>7.9507048500000019</v>
      </c>
      <c r="O116" s="223">
        <f>HLOOKUP(H116,AA_Cimentacion,Indice!$N$35,FALSE)*I116*D116</f>
        <v>0.66825000000000012</v>
      </c>
      <c r="P116" s="223">
        <f>HLOOKUP(H116,AA_Cimentacion,Indice!$N$36,FALSE)*D116*I116</f>
        <v>1.3365</v>
      </c>
      <c r="Q116" s="223">
        <f>HLOOKUP(H116,AA_Cimentacion,Indice!$N$37,FALSE)*I116*D116</f>
        <v>0</v>
      </c>
      <c r="R116" s="223">
        <f>HLOOKUP(H116,AA_Cimentacion,Indice!$N$38,FALSE)*I116*D116</f>
        <v>0</v>
      </c>
      <c r="S116" s="223">
        <f t="shared" si="1"/>
        <v>5.3620380000000019</v>
      </c>
      <c r="T116" s="223">
        <f>HLOOKUP(H116,AA_Cimentacion,Indice!$N$39,FALSE)*I116*D116</f>
        <v>1.002375</v>
      </c>
      <c r="U116" s="223">
        <f>IF(H116=Indice!$M$29,D116*2,0)</f>
        <v>17.82</v>
      </c>
      <c r="V116" s="223">
        <f>IF(Y116="Mular",0,(K116-S116)*(1+Indice!$M$25))</f>
        <v>3.9092625000000005</v>
      </c>
      <c r="W116" s="223">
        <f>IF(Y116="Mular",(K116-S116)*(1+Indice!$M$25),0)</f>
        <v>0</v>
      </c>
      <c r="X116" s="223">
        <f t="shared" si="2"/>
        <v>1.002375</v>
      </c>
      <c r="Y116" s="223" t="s">
        <v>8</v>
      </c>
      <c r="Z116" s="223">
        <f t="shared" si="7"/>
        <v>0</v>
      </c>
      <c r="AA116" s="223">
        <v>0</v>
      </c>
      <c r="AB116" s="223">
        <v>0</v>
      </c>
      <c r="AC116" s="223">
        <f t="shared" si="4"/>
        <v>0</v>
      </c>
    </row>
    <row r="117" spans="1:29" s="212" customFormat="1" ht="12.75" customHeight="1" x14ac:dyDescent="0.25">
      <c r="A117" t="s">
        <v>1217</v>
      </c>
      <c r="B117" t="s">
        <v>1347</v>
      </c>
      <c r="C117" t="s">
        <v>1348</v>
      </c>
      <c r="D117">
        <v>14.34</v>
      </c>
      <c r="E117" s="199">
        <v>6</v>
      </c>
      <c r="F117" s="1050" t="s">
        <v>887</v>
      </c>
      <c r="G117" s="1050"/>
      <c r="H117" s="226" t="s">
        <v>20</v>
      </c>
      <c r="I117" s="223">
        <v>0.75</v>
      </c>
      <c r="J117" s="223">
        <f>HLOOKUP(H117,AA_Cimentacion,Indice!$N$31,FALSE)+((E117*25.4)/1000)+HLOOKUP(H117,AA_Cimentacion,Indice!$N$35,FALSE)</f>
        <v>1.2524000000000002</v>
      </c>
      <c r="K117" s="223">
        <f t="shared" si="5"/>
        <v>13.469562000000002</v>
      </c>
      <c r="L117" s="223">
        <f>HLOOKUP(H117,AA_Cimentacion,Indice!$N$32,FALSE)*K117</f>
        <v>0.67347810000000008</v>
      </c>
      <c r="M117" s="223">
        <f>HLOOKUP(H117,AA_Cimentacion,Indice!$N$33,FALSE)*K117</f>
        <v>0</v>
      </c>
      <c r="N117" s="223">
        <f>HLOOKUP(H117,AA_Cimentacion,Indice!$N$34,FALSE)*K117</f>
        <v>12.796083900000001</v>
      </c>
      <c r="O117" s="223">
        <f>HLOOKUP(H117,AA_Cimentacion,Indice!$N$35,FALSE)*I117*D117</f>
        <v>1.0755000000000001</v>
      </c>
      <c r="P117" s="223">
        <f>HLOOKUP(H117,AA_Cimentacion,Indice!$N$36,FALSE)*D117*I117</f>
        <v>2.1510000000000002</v>
      </c>
      <c r="Q117" s="223">
        <f>HLOOKUP(H117,AA_Cimentacion,Indice!$N$37,FALSE)*I117*D117</f>
        <v>0</v>
      </c>
      <c r="R117" s="223">
        <f>HLOOKUP(H117,AA_Cimentacion,Indice!$N$38,FALSE)*I117*D117</f>
        <v>0</v>
      </c>
      <c r="S117" s="223">
        <f t="shared" si="1"/>
        <v>8.6298120000000011</v>
      </c>
      <c r="T117" s="223">
        <f>HLOOKUP(H117,AA_Cimentacion,Indice!$N$39,FALSE)*I117*D117</f>
        <v>1.6132499999999999</v>
      </c>
      <c r="U117" s="223">
        <f>IF(H117=Indice!$M$29,D117*2,0)</f>
        <v>28.68</v>
      </c>
      <c r="V117" s="223">
        <f>IF(Y117="Mular",0,(K117-S117)*(1+Indice!$M$25))</f>
        <v>6.2916750000000006</v>
      </c>
      <c r="W117" s="223">
        <f>IF(Y117="Mular",(K117-S117)*(1+Indice!$M$25),0)</f>
        <v>0</v>
      </c>
      <c r="X117" s="223">
        <f t="shared" si="2"/>
        <v>1.6132499999999999</v>
      </c>
      <c r="Y117" s="223" t="s">
        <v>8</v>
      </c>
      <c r="Z117" s="223">
        <f t="shared" si="7"/>
        <v>0</v>
      </c>
      <c r="AA117" s="223">
        <v>0</v>
      </c>
      <c r="AB117" s="223">
        <v>0</v>
      </c>
      <c r="AC117" s="223">
        <f t="shared" si="4"/>
        <v>0</v>
      </c>
    </row>
    <row r="118" spans="1:29" s="212" customFormat="1" ht="12.75" customHeight="1" x14ac:dyDescent="0.25">
      <c r="A118" t="s">
        <v>1218</v>
      </c>
      <c r="B118" t="s">
        <v>1348</v>
      </c>
      <c r="C118" t="s">
        <v>1349</v>
      </c>
      <c r="D118">
        <v>23.76</v>
      </c>
      <c r="E118" s="199">
        <v>6</v>
      </c>
      <c r="F118" s="1050" t="s">
        <v>887</v>
      </c>
      <c r="G118" s="1050"/>
      <c r="H118" s="226" t="s">
        <v>20</v>
      </c>
      <c r="I118" s="223">
        <v>0.75</v>
      </c>
      <c r="J118" s="223">
        <f>HLOOKUP(H118,AA_Cimentacion,Indice!$N$31,FALSE)+((E118*25.4)/1000)+HLOOKUP(H118,AA_Cimentacion,Indice!$N$35,FALSE)</f>
        <v>1.2524000000000002</v>
      </c>
      <c r="K118" s="223">
        <f t="shared" si="5"/>
        <v>22.317768000000004</v>
      </c>
      <c r="L118" s="223">
        <f>HLOOKUP(H118,AA_Cimentacion,Indice!$N$32,FALSE)*K118</f>
        <v>1.1158884000000002</v>
      </c>
      <c r="M118" s="223">
        <f>HLOOKUP(H118,AA_Cimentacion,Indice!$N$33,FALSE)*K118</f>
        <v>0</v>
      </c>
      <c r="N118" s="223">
        <f>HLOOKUP(H118,AA_Cimentacion,Indice!$N$34,FALSE)*K118</f>
        <v>21.201879600000002</v>
      </c>
      <c r="O118" s="223">
        <f>HLOOKUP(H118,AA_Cimentacion,Indice!$N$35,FALSE)*I118*D118</f>
        <v>1.7820000000000005</v>
      </c>
      <c r="P118" s="223">
        <f>HLOOKUP(H118,AA_Cimentacion,Indice!$N$36,FALSE)*D118*I118</f>
        <v>3.5640000000000005</v>
      </c>
      <c r="Q118" s="223">
        <f>HLOOKUP(H118,AA_Cimentacion,Indice!$N$37,FALSE)*I118*D118</f>
        <v>0</v>
      </c>
      <c r="R118" s="223">
        <f>HLOOKUP(H118,AA_Cimentacion,Indice!$N$38,FALSE)*I118*D118</f>
        <v>0</v>
      </c>
      <c r="S118" s="223">
        <f t="shared" si="1"/>
        <v>14.298768000000004</v>
      </c>
      <c r="T118" s="223">
        <f>HLOOKUP(H118,AA_Cimentacion,Indice!$N$39,FALSE)*I118*D118</f>
        <v>2.673</v>
      </c>
      <c r="U118" s="223">
        <f>IF(H118=Indice!$M$29,D118*2,0)</f>
        <v>47.52</v>
      </c>
      <c r="V118" s="223">
        <f>IF(Y118="Mular",0,(K118-S118)*(1+Indice!$M$25))</f>
        <v>10.424700000000001</v>
      </c>
      <c r="W118" s="223">
        <f>IF(Y118="Mular",(K118-S118)*(1+Indice!$M$25),0)</f>
        <v>0</v>
      </c>
      <c r="X118" s="223">
        <f t="shared" si="2"/>
        <v>2.673</v>
      </c>
      <c r="Y118" s="223" t="s">
        <v>8</v>
      </c>
      <c r="Z118" s="223">
        <f t="shared" si="7"/>
        <v>0</v>
      </c>
      <c r="AA118" s="223">
        <v>0</v>
      </c>
      <c r="AB118" s="223">
        <v>0</v>
      </c>
      <c r="AC118" s="223">
        <f t="shared" si="4"/>
        <v>0</v>
      </c>
    </row>
    <row r="119" spans="1:29" s="212" customFormat="1" ht="12.75" customHeight="1" x14ac:dyDescent="0.25">
      <c r="A119" t="s">
        <v>1219</v>
      </c>
      <c r="B119" t="s">
        <v>1349</v>
      </c>
      <c r="C119" t="s">
        <v>1350</v>
      </c>
      <c r="D119">
        <v>22.67</v>
      </c>
      <c r="E119" s="199">
        <v>6</v>
      </c>
      <c r="F119" s="1050" t="s">
        <v>887</v>
      </c>
      <c r="G119" s="1050"/>
      <c r="H119" s="226" t="s">
        <v>20</v>
      </c>
      <c r="I119" s="223">
        <v>0.75</v>
      </c>
      <c r="J119" s="223">
        <f>HLOOKUP(H119,AA_Cimentacion,Indice!$N$31,FALSE)+((E119*25.4)/1000)+HLOOKUP(H119,AA_Cimentacion,Indice!$N$35,FALSE)</f>
        <v>1.2524000000000002</v>
      </c>
      <c r="K119" s="223">
        <f t="shared" si="5"/>
        <v>21.293931000000004</v>
      </c>
      <c r="L119" s="223">
        <f>HLOOKUP(H119,AA_Cimentacion,Indice!$N$32,FALSE)*K119</f>
        <v>1.0646965500000003</v>
      </c>
      <c r="M119" s="223">
        <f>HLOOKUP(H119,AA_Cimentacion,Indice!$N$33,FALSE)*K119</f>
        <v>0</v>
      </c>
      <c r="N119" s="223">
        <f>HLOOKUP(H119,AA_Cimentacion,Indice!$N$34,FALSE)*K119</f>
        <v>20.229234450000003</v>
      </c>
      <c r="O119" s="223">
        <f>HLOOKUP(H119,AA_Cimentacion,Indice!$N$35,FALSE)*I119*D119</f>
        <v>1.7002500000000005</v>
      </c>
      <c r="P119" s="223">
        <f>HLOOKUP(H119,AA_Cimentacion,Indice!$N$36,FALSE)*D119*I119</f>
        <v>3.4005000000000005</v>
      </c>
      <c r="Q119" s="223">
        <f>HLOOKUP(H119,AA_Cimentacion,Indice!$N$37,FALSE)*I119*D119</f>
        <v>0</v>
      </c>
      <c r="R119" s="223">
        <f>HLOOKUP(H119,AA_Cimentacion,Indice!$N$38,FALSE)*I119*D119</f>
        <v>0</v>
      </c>
      <c r="S119" s="223">
        <f t="shared" si="1"/>
        <v>13.642806000000004</v>
      </c>
      <c r="T119" s="223">
        <f>HLOOKUP(H119,AA_Cimentacion,Indice!$N$39,FALSE)*I119*D119</f>
        <v>2.5503749999999998</v>
      </c>
      <c r="U119" s="223">
        <f>IF(H119=Indice!$M$29,D119*2,0)</f>
        <v>45.34</v>
      </c>
      <c r="V119" s="223">
        <f>IF(Y119="Mular",0,(K119-S119)*(1+Indice!$M$25))</f>
        <v>9.9464625000000009</v>
      </c>
      <c r="W119" s="223">
        <f>IF(Y119="Mular",(K119-S119)*(1+Indice!$M$25),0)</f>
        <v>0</v>
      </c>
      <c r="X119" s="223">
        <f t="shared" si="2"/>
        <v>2.5503749999999998</v>
      </c>
      <c r="Y119" s="223" t="s">
        <v>8</v>
      </c>
      <c r="Z119" s="223">
        <f t="shared" si="7"/>
        <v>0</v>
      </c>
      <c r="AA119" s="223">
        <v>0</v>
      </c>
      <c r="AB119" s="223">
        <v>0</v>
      </c>
      <c r="AC119" s="223">
        <f t="shared" si="4"/>
        <v>0</v>
      </c>
    </row>
    <row r="120" spans="1:29" s="212" customFormat="1" ht="12.75" customHeight="1" x14ac:dyDescent="0.25">
      <c r="A120" t="s">
        <v>1220</v>
      </c>
      <c r="B120" t="s">
        <v>1350</v>
      </c>
      <c r="C120" t="s">
        <v>1351</v>
      </c>
      <c r="D120">
        <v>18.87</v>
      </c>
      <c r="E120" s="199">
        <v>6</v>
      </c>
      <c r="F120" s="1050" t="s">
        <v>887</v>
      </c>
      <c r="G120" s="1050"/>
      <c r="H120" s="226" t="s">
        <v>20</v>
      </c>
      <c r="I120" s="223">
        <v>0.75</v>
      </c>
      <c r="J120" s="223">
        <f>HLOOKUP(H120,AA_Cimentacion,Indice!$N$31,FALSE)+((E120*25.4)/1000)+HLOOKUP(H120,AA_Cimentacion,Indice!$N$35,FALSE)</f>
        <v>1.2524000000000002</v>
      </c>
      <c r="K120" s="223">
        <f t="shared" si="5"/>
        <v>17.724591000000004</v>
      </c>
      <c r="L120" s="223">
        <f>HLOOKUP(H120,AA_Cimentacion,Indice!$N$32,FALSE)*K120</f>
        <v>0.88622955000000025</v>
      </c>
      <c r="M120" s="223">
        <f>HLOOKUP(H120,AA_Cimentacion,Indice!$N$33,FALSE)*K120</f>
        <v>0</v>
      </c>
      <c r="N120" s="223">
        <f>HLOOKUP(H120,AA_Cimentacion,Indice!$N$34,FALSE)*K120</f>
        <v>16.838361450000004</v>
      </c>
      <c r="O120" s="223">
        <f>HLOOKUP(H120,AA_Cimentacion,Indice!$N$35,FALSE)*I120*D120</f>
        <v>1.4152500000000003</v>
      </c>
      <c r="P120" s="223">
        <f>HLOOKUP(H120,AA_Cimentacion,Indice!$N$36,FALSE)*D120*I120</f>
        <v>2.8305000000000002</v>
      </c>
      <c r="Q120" s="223">
        <f>HLOOKUP(H120,AA_Cimentacion,Indice!$N$37,FALSE)*I120*D120</f>
        <v>0</v>
      </c>
      <c r="R120" s="223">
        <f>HLOOKUP(H120,AA_Cimentacion,Indice!$N$38,FALSE)*I120*D120</f>
        <v>0</v>
      </c>
      <c r="S120" s="223">
        <f t="shared" si="1"/>
        <v>11.355966000000002</v>
      </c>
      <c r="T120" s="223">
        <f>HLOOKUP(H120,AA_Cimentacion,Indice!$N$39,FALSE)*I120*D120</f>
        <v>2.1228750000000001</v>
      </c>
      <c r="U120" s="223">
        <f>IF(H120=Indice!$M$29,D120*2,0)</f>
        <v>37.74</v>
      </c>
      <c r="V120" s="223">
        <f>IF(Y120="Mular",0,(K120-S120)*(1+Indice!$M$25))</f>
        <v>8.2792125000000016</v>
      </c>
      <c r="W120" s="223">
        <f>IF(Y120="Mular",(K120-S120)*(1+Indice!$M$25),0)</f>
        <v>0</v>
      </c>
      <c r="X120" s="223">
        <f t="shared" si="2"/>
        <v>2.1228750000000001</v>
      </c>
      <c r="Y120" s="223" t="s">
        <v>8</v>
      </c>
      <c r="Z120" s="223">
        <f t="shared" si="7"/>
        <v>0</v>
      </c>
      <c r="AA120" s="223">
        <v>0</v>
      </c>
      <c r="AB120" s="223">
        <v>0</v>
      </c>
      <c r="AC120" s="223">
        <f t="shared" si="4"/>
        <v>0</v>
      </c>
    </row>
    <row r="121" spans="1:29" s="212" customFormat="1" ht="12.75" customHeight="1" x14ac:dyDescent="0.25">
      <c r="A121" t="s">
        <v>1221</v>
      </c>
      <c r="B121" t="s">
        <v>1351</v>
      </c>
      <c r="C121" t="s">
        <v>1352</v>
      </c>
      <c r="D121">
        <v>2.29</v>
      </c>
      <c r="E121" s="199">
        <v>6</v>
      </c>
      <c r="F121" s="1050" t="s">
        <v>887</v>
      </c>
      <c r="G121" s="1050"/>
      <c r="H121" s="226" t="s">
        <v>20</v>
      </c>
      <c r="I121" s="223">
        <v>0.75</v>
      </c>
      <c r="J121" s="223">
        <f>HLOOKUP(H121,AA_Cimentacion,Indice!$N$31,FALSE)+((E121*25.4)/1000)+HLOOKUP(H121,AA_Cimentacion,Indice!$N$35,FALSE)</f>
        <v>1.2524000000000002</v>
      </c>
      <c r="K121" s="223">
        <f t="shared" si="5"/>
        <v>2.1509970000000003</v>
      </c>
      <c r="L121" s="223">
        <f>HLOOKUP(H121,AA_Cimentacion,Indice!$N$32,FALSE)*K121</f>
        <v>0.10754985000000002</v>
      </c>
      <c r="M121" s="223">
        <f>HLOOKUP(H121,AA_Cimentacion,Indice!$N$33,FALSE)*K121</f>
        <v>0</v>
      </c>
      <c r="N121" s="223">
        <f>HLOOKUP(H121,AA_Cimentacion,Indice!$N$34,FALSE)*K121</f>
        <v>2.04344715</v>
      </c>
      <c r="O121" s="223">
        <f>HLOOKUP(H121,AA_Cimentacion,Indice!$N$35,FALSE)*I121*D121</f>
        <v>0.17175000000000004</v>
      </c>
      <c r="P121" s="223">
        <f>HLOOKUP(H121,AA_Cimentacion,Indice!$N$36,FALSE)*D121*I121</f>
        <v>0.34350000000000003</v>
      </c>
      <c r="Q121" s="223">
        <f>HLOOKUP(H121,AA_Cimentacion,Indice!$N$37,FALSE)*I121*D121</f>
        <v>0</v>
      </c>
      <c r="R121" s="223">
        <f>HLOOKUP(H121,AA_Cimentacion,Indice!$N$38,FALSE)*I121*D121</f>
        <v>0</v>
      </c>
      <c r="S121" s="223">
        <f t="shared" si="1"/>
        <v>1.3781220000000003</v>
      </c>
      <c r="T121" s="223">
        <f>HLOOKUP(H121,AA_Cimentacion,Indice!$N$39,FALSE)*I121*D121</f>
        <v>0.25762499999999999</v>
      </c>
      <c r="U121" s="223">
        <f>IF(H121=Indice!$M$29,D121*2,0)</f>
        <v>4.58</v>
      </c>
      <c r="V121" s="223">
        <f>IF(Y121="Mular",0,(K121-S121)*(1+Indice!$M$25))</f>
        <v>1.0047375000000001</v>
      </c>
      <c r="W121" s="223">
        <f>IF(Y121="Mular",(K121-S121)*(1+Indice!$M$25),0)</f>
        <v>0</v>
      </c>
      <c r="X121" s="223">
        <f t="shared" si="2"/>
        <v>0.25762499999999999</v>
      </c>
      <c r="Y121" s="223" t="s">
        <v>8</v>
      </c>
      <c r="Z121" s="223">
        <f t="shared" si="7"/>
        <v>0</v>
      </c>
      <c r="AA121" s="223">
        <v>0</v>
      </c>
      <c r="AB121" s="223">
        <v>0</v>
      </c>
      <c r="AC121" s="223">
        <f t="shared" si="4"/>
        <v>0</v>
      </c>
    </row>
    <row r="122" spans="1:29" s="212" customFormat="1" ht="12.75" customHeight="1" x14ac:dyDescent="0.25">
      <c r="A122" t="s">
        <v>1222</v>
      </c>
      <c r="B122" t="s">
        <v>1353</v>
      </c>
      <c r="C122" t="s">
        <v>1354</v>
      </c>
      <c r="D122">
        <v>22.22</v>
      </c>
      <c r="E122" s="199">
        <v>6</v>
      </c>
      <c r="F122" s="1050" t="s">
        <v>887</v>
      </c>
      <c r="G122" s="1050"/>
      <c r="H122" s="226" t="s">
        <v>20</v>
      </c>
      <c r="I122" s="223">
        <v>0.75</v>
      </c>
      <c r="J122" s="223">
        <f>HLOOKUP(H122,AA_Cimentacion,Indice!$N$31,FALSE)+((E122*25.4)/1000)+HLOOKUP(H122,AA_Cimentacion,Indice!$N$35,FALSE)</f>
        <v>1.2524000000000002</v>
      </c>
      <c r="K122" s="223">
        <f t="shared" si="5"/>
        <v>20.871246000000003</v>
      </c>
      <c r="L122" s="223">
        <f>HLOOKUP(H122,AA_Cimentacion,Indice!$N$32,FALSE)*K122</f>
        <v>1.0435623000000003</v>
      </c>
      <c r="M122" s="223">
        <f>HLOOKUP(H122,AA_Cimentacion,Indice!$N$33,FALSE)*K122</f>
        <v>0</v>
      </c>
      <c r="N122" s="223">
        <f>HLOOKUP(H122,AA_Cimentacion,Indice!$N$34,FALSE)*K122</f>
        <v>19.827683700000001</v>
      </c>
      <c r="O122" s="223">
        <f>HLOOKUP(H122,AA_Cimentacion,Indice!$N$35,FALSE)*I122*D122</f>
        <v>1.6665000000000001</v>
      </c>
      <c r="P122" s="223">
        <f>HLOOKUP(H122,AA_Cimentacion,Indice!$N$36,FALSE)*D122*I122</f>
        <v>3.3330000000000002</v>
      </c>
      <c r="Q122" s="223">
        <f>HLOOKUP(H122,AA_Cimentacion,Indice!$N$37,FALSE)*I122*D122</f>
        <v>0</v>
      </c>
      <c r="R122" s="223">
        <f>HLOOKUP(H122,AA_Cimentacion,Indice!$N$38,FALSE)*I122*D122</f>
        <v>0</v>
      </c>
      <c r="S122" s="223">
        <f t="shared" si="1"/>
        <v>13.371996000000003</v>
      </c>
      <c r="T122" s="223">
        <f>HLOOKUP(H122,AA_Cimentacion,Indice!$N$39,FALSE)*I122*D122</f>
        <v>2.4997499999999997</v>
      </c>
      <c r="U122" s="223">
        <f>IF(H122=Indice!$M$29,D122*2,0)</f>
        <v>44.44</v>
      </c>
      <c r="V122" s="223">
        <f>IF(Y122="Mular",0,(K122-S122)*(1+Indice!$M$25))</f>
        <v>9.7490249999999996</v>
      </c>
      <c r="W122" s="223">
        <f>IF(Y122="Mular",(K122-S122)*(1+Indice!$M$25),0)</f>
        <v>0</v>
      </c>
      <c r="X122" s="223">
        <f t="shared" si="2"/>
        <v>2.4997499999999997</v>
      </c>
      <c r="Y122" s="223" t="s">
        <v>8</v>
      </c>
      <c r="Z122" s="223">
        <f t="shared" si="7"/>
        <v>0</v>
      </c>
      <c r="AA122" s="223">
        <v>0</v>
      </c>
      <c r="AB122" s="223">
        <v>0</v>
      </c>
      <c r="AC122" s="223">
        <f t="shared" si="4"/>
        <v>0</v>
      </c>
    </row>
    <row r="123" spans="1:29" s="212" customFormat="1" ht="12.75" customHeight="1" x14ac:dyDescent="0.25">
      <c r="A123" t="s">
        <v>1223</v>
      </c>
      <c r="B123" t="s">
        <v>1354</v>
      </c>
      <c r="C123" t="s">
        <v>1355</v>
      </c>
      <c r="D123">
        <v>15.87</v>
      </c>
      <c r="E123" s="199">
        <v>6</v>
      </c>
      <c r="F123" s="1050" t="s">
        <v>887</v>
      </c>
      <c r="G123" s="1050"/>
      <c r="H123" s="226" t="s">
        <v>20</v>
      </c>
      <c r="I123" s="223">
        <v>0.75</v>
      </c>
      <c r="J123" s="223">
        <f>HLOOKUP(H123,AA_Cimentacion,Indice!$N$31,FALSE)+((E123*25.4)/1000)+HLOOKUP(H123,AA_Cimentacion,Indice!$N$35,FALSE)</f>
        <v>1.2524000000000002</v>
      </c>
      <c r="K123" s="223">
        <f t="shared" si="5"/>
        <v>14.906691000000002</v>
      </c>
      <c r="L123" s="223">
        <f>HLOOKUP(H123,AA_Cimentacion,Indice!$N$32,FALSE)*K123</f>
        <v>0.74533455000000015</v>
      </c>
      <c r="M123" s="223">
        <f>HLOOKUP(H123,AA_Cimentacion,Indice!$N$33,FALSE)*K123</f>
        <v>0</v>
      </c>
      <c r="N123" s="223">
        <f>HLOOKUP(H123,AA_Cimentacion,Indice!$N$34,FALSE)*K123</f>
        <v>14.161356450000001</v>
      </c>
      <c r="O123" s="223">
        <f>HLOOKUP(H123,AA_Cimentacion,Indice!$N$35,FALSE)*I123*D123</f>
        <v>1.19025</v>
      </c>
      <c r="P123" s="223">
        <f>HLOOKUP(H123,AA_Cimentacion,Indice!$N$36,FALSE)*D123*I123</f>
        <v>2.3805000000000001</v>
      </c>
      <c r="Q123" s="223">
        <f>HLOOKUP(H123,AA_Cimentacion,Indice!$N$37,FALSE)*I123*D123</f>
        <v>0</v>
      </c>
      <c r="R123" s="223">
        <f>HLOOKUP(H123,AA_Cimentacion,Indice!$N$38,FALSE)*I123*D123</f>
        <v>0</v>
      </c>
      <c r="S123" s="223">
        <f t="shared" si="1"/>
        <v>9.5505660000000017</v>
      </c>
      <c r="T123" s="223">
        <f>HLOOKUP(H123,AA_Cimentacion,Indice!$N$39,FALSE)*I123*D123</f>
        <v>1.7853749999999997</v>
      </c>
      <c r="U123" s="223">
        <f>IF(H123=Indice!$M$29,D123*2,0)</f>
        <v>31.74</v>
      </c>
      <c r="V123" s="223">
        <f>IF(Y123="Mular",0,(K123-S123)*(1+Indice!$M$25))</f>
        <v>6.9629625000000006</v>
      </c>
      <c r="W123" s="223">
        <f>IF(Y123="Mular",(K123-S123)*(1+Indice!$M$25),0)</f>
        <v>0</v>
      </c>
      <c r="X123" s="223">
        <f t="shared" si="2"/>
        <v>1.7853749999999997</v>
      </c>
      <c r="Y123" s="223" t="s">
        <v>8</v>
      </c>
      <c r="Z123" s="223">
        <f t="shared" si="7"/>
        <v>0</v>
      </c>
      <c r="AA123" s="223">
        <v>0</v>
      </c>
      <c r="AB123" s="223">
        <v>0</v>
      </c>
      <c r="AC123" s="223">
        <f t="shared" si="4"/>
        <v>0</v>
      </c>
    </row>
    <row r="124" spans="1:29" s="212" customFormat="1" ht="12.75" customHeight="1" x14ac:dyDescent="0.25">
      <c r="A124" t="s">
        <v>1224</v>
      </c>
      <c r="B124" t="s">
        <v>1355</v>
      </c>
      <c r="C124" t="s">
        <v>1356</v>
      </c>
      <c r="D124">
        <v>29.57</v>
      </c>
      <c r="E124" s="199">
        <v>6</v>
      </c>
      <c r="F124" s="1050" t="s">
        <v>887</v>
      </c>
      <c r="G124" s="1050"/>
      <c r="H124" s="226" t="s">
        <v>20</v>
      </c>
      <c r="I124" s="223">
        <v>0.75</v>
      </c>
      <c r="J124" s="223">
        <f>HLOOKUP(H124,AA_Cimentacion,Indice!$N$31,FALSE)+((E124*25.4)/1000)+HLOOKUP(H124,AA_Cimentacion,Indice!$N$35,FALSE)</f>
        <v>1.2524000000000002</v>
      </c>
      <c r="K124" s="223">
        <f t="shared" si="5"/>
        <v>27.775101000000003</v>
      </c>
      <c r="L124" s="223">
        <f>HLOOKUP(H124,AA_Cimentacion,Indice!$N$32,FALSE)*K124</f>
        <v>1.3887550500000003</v>
      </c>
      <c r="M124" s="223">
        <f>HLOOKUP(H124,AA_Cimentacion,Indice!$N$33,FALSE)*K124</f>
        <v>0</v>
      </c>
      <c r="N124" s="223">
        <f>HLOOKUP(H124,AA_Cimentacion,Indice!$N$34,FALSE)*K124</f>
        <v>26.386345950000003</v>
      </c>
      <c r="O124" s="223">
        <f>HLOOKUP(H124,AA_Cimentacion,Indice!$N$35,FALSE)*I124*D124</f>
        <v>2.2177500000000006</v>
      </c>
      <c r="P124" s="223">
        <f>HLOOKUP(H124,AA_Cimentacion,Indice!$N$36,FALSE)*D124*I124</f>
        <v>4.4355000000000002</v>
      </c>
      <c r="Q124" s="223">
        <f>HLOOKUP(H124,AA_Cimentacion,Indice!$N$37,FALSE)*I124*D124</f>
        <v>0</v>
      </c>
      <c r="R124" s="223">
        <f>HLOOKUP(H124,AA_Cimentacion,Indice!$N$38,FALSE)*I124*D124</f>
        <v>0</v>
      </c>
      <c r="S124" s="223">
        <f t="shared" si="1"/>
        <v>17.795226000000003</v>
      </c>
      <c r="T124" s="223">
        <f>HLOOKUP(H124,AA_Cimentacion,Indice!$N$39,FALSE)*I124*D124</f>
        <v>3.3266249999999995</v>
      </c>
      <c r="U124" s="223">
        <f>IF(H124=Indice!$M$29,D124*2,0)</f>
        <v>59.14</v>
      </c>
      <c r="V124" s="223">
        <f>IF(Y124="Mular",0,(K124-S124)*(1+Indice!$M$25))</f>
        <v>12.9738375</v>
      </c>
      <c r="W124" s="223">
        <f>IF(Y124="Mular",(K124-S124)*(1+Indice!$M$25),0)</f>
        <v>0</v>
      </c>
      <c r="X124" s="223">
        <f t="shared" si="2"/>
        <v>3.3266249999999995</v>
      </c>
      <c r="Y124" s="223" t="s">
        <v>8</v>
      </c>
      <c r="Z124" s="223">
        <f t="shared" si="7"/>
        <v>0</v>
      </c>
      <c r="AA124" s="223">
        <v>0</v>
      </c>
      <c r="AB124" s="223">
        <v>0</v>
      </c>
      <c r="AC124" s="223">
        <f t="shared" si="4"/>
        <v>0</v>
      </c>
    </row>
    <row r="125" spans="1:29" s="212" customFormat="1" ht="12.75" customHeight="1" x14ac:dyDescent="0.25">
      <c r="A125" t="s">
        <v>1225</v>
      </c>
      <c r="B125" t="s">
        <v>1356</v>
      </c>
      <c r="C125" t="s">
        <v>1357</v>
      </c>
      <c r="D125">
        <v>28.78</v>
      </c>
      <c r="E125" s="199">
        <v>6</v>
      </c>
      <c r="F125" s="1050" t="s">
        <v>887</v>
      </c>
      <c r="G125" s="1050"/>
      <c r="H125" s="226" t="s">
        <v>20</v>
      </c>
      <c r="I125" s="223">
        <v>0.75</v>
      </c>
      <c r="J125" s="223">
        <f>HLOOKUP(H125,AA_Cimentacion,Indice!$N$31,FALSE)+((E125*25.4)/1000)+HLOOKUP(H125,AA_Cimentacion,Indice!$N$35,FALSE)</f>
        <v>1.2524000000000002</v>
      </c>
      <c r="K125" s="223">
        <f t="shared" si="5"/>
        <v>27.033054000000003</v>
      </c>
      <c r="L125" s="223">
        <f>HLOOKUP(H125,AA_Cimentacion,Indice!$N$32,FALSE)*K125</f>
        <v>1.3516527000000003</v>
      </c>
      <c r="M125" s="223">
        <f>HLOOKUP(H125,AA_Cimentacion,Indice!$N$33,FALSE)*K125</f>
        <v>0</v>
      </c>
      <c r="N125" s="223">
        <f>HLOOKUP(H125,AA_Cimentacion,Indice!$N$34,FALSE)*K125</f>
        <v>25.681401300000001</v>
      </c>
      <c r="O125" s="223">
        <f>HLOOKUP(H125,AA_Cimentacion,Indice!$N$35,FALSE)*I125*D125</f>
        <v>2.1585000000000005</v>
      </c>
      <c r="P125" s="223">
        <f>HLOOKUP(H125,AA_Cimentacion,Indice!$N$36,FALSE)*D125*I125</f>
        <v>4.3170000000000002</v>
      </c>
      <c r="Q125" s="223">
        <f>HLOOKUP(H125,AA_Cimentacion,Indice!$N$37,FALSE)*I125*D125</f>
        <v>0</v>
      </c>
      <c r="R125" s="223">
        <f>HLOOKUP(H125,AA_Cimentacion,Indice!$N$38,FALSE)*I125*D125</f>
        <v>0</v>
      </c>
      <c r="S125" s="223">
        <f t="shared" si="1"/>
        <v>17.319804000000005</v>
      </c>
      <c r="T125" s="223">
        <f>HLOOKUP(H125,AA_Cimentacion,Indice!$N$39,FALSE)*I125*D125</f>
        <v>3.2377499999999997</v>
      </c>
      <c r="U125" s="223">
        <f>IF(H125=Indice!$M$29,D125*2,0)</f>
        <v>57.56</v>
      </c>
      <c r="V125" s="223">
        <f>IF(Y125="Mular",0,(K125-S125)*(1+Indice!$M$25))</f>
        <v>12.627224999999999</v>
      </c>
      <c r="W125" s="223">
        <f>IF(Y125="Mular",(K125-S125)*(1+Indice!$M$25),0)</f>
        <v>0</v>
      </c>
      <c r="X125" s="223">
        <f t="shared" si="2"/>
        <v>3.2377499999999997</v>
      </c>
      <c r="Y125" s="223" t="s">
        <v>8</v>
      </c>
      <c r="Z125" s="223">
        <f t="shared" si="7"/>
        <v>0</v>
      </c>
      <c r="AA125" s="223">
        <v>0</v>
      </c>
      <c r="AB125" s="223">
        <v>0</v>
      </c>
      <c r="AC125" s="223">
        <f t="shared" si="4"/>
        <v>0</v>
      </c>
    </row>
    <row r="126" spans="1:29" s="212" customFormat="1" ht="12.75" customHeight="1" x14ac:dyDescent="0.25">
      <c r="A126" t="s">
        <v>1226</v>
      </c>
      <c r="B126" t="s">
        <v>1357</v>
      </c>
      <c r="C126" t="s">
        <v>1358</v>
      </c>
      <c r="D126">
        <v>25.67</v>
      </c>
      <c r="E126" s="199">
        <v>6</v>
      </c>
      <c r="F126" s="1050" t="s">
        <v>887</v>
      </c>
      <c r="G126" s="1050"/>
      <c r="H126" s="226" t="s">
        <v>20</v>
      </c>
      <c r="I126" s="223">
        <v>0.75</v>
      </c>
      <c r="J126" s="223">
        <f>HLOOKUP(H126,AA_Cimentacion,Indice!$N$31,FALSE)+((E126*25.4)/1000)+HLOOKUP(H126,AA_Cimentacion,Indice!$N$35,FALSE)</f>
        <v>1.2524000000000002</v>
      </c>
      <c r="K126" s="223">
        <f t="shared" si="5"/>
        <v>24.111831000000006</v>
      </c>
      <c r="L126" s="223">
        <f>HLOOKUP(H126,AA_Cimentacion,Indice!$N$32,FALSE)*K126</f>
        <v>1.2055915500000003</v>
      </c>
      <c r="M126" s="223">
        <f>HLOOKUP(H126,AA_Cimentacion,Indice!$N$33,FALSE)*K126</f>
        <v>0</v>
      </c>
      <c r="N126" s="223">
        <f>HLOOKUP(H126,AA_Cimentacion,Indice!$N$34,FALSE)*K126</f>
        <v>22.906239450000005</v>
      </c>
      <c r="O126" s="223">
        <f>HLOOKUP(H126,AA_Cimentacion,Indice!$N$35,FALSE)*I126*D126</f>
        <v>1.9252500000000003</v>
      </c>
      <c r="P126" s="223">
        <f>HLOOKUP(H126,AA_Cimentacion,Indice!$N$36,FALSE)*D126*I126</f>
        <v>3.8505000000000003</v>
      </c>
      <c r="Q126" s="223">
        <f>HLOOKUP(H126,AA_Cimentacion,Indice!$N$37,FALSE)*I126*D126</f>
        <v>0</v>
      </c>
      <c r="R126" s="223">
        <f>HLOOKUP(H126,AA_Cimentacion,Indice!$N$38,FALSE)*I126*D126</f>
        <v>0</v>
      </c>
      <c r="S126" s="223">
        <f t="shared" si="1"/>
        <v>15.448206000000004</v>
      </c>
      <c r="T126" s="223">
        <f>HLOOKUP(H126,AA_Cimentacion,Indice!$N$39,FALSE)*I126*D126</f>
        <v>2.8878749999999997</v>
      </c>
      <c r="U126" s="223">
        <f>IF(H126=Indice!$M$29,D126*2,0)</f>
        <v>51.34</v>
      </c>
      <c r="V126" s="223">
        <f>IF(Y126="Mular",0,(K126-S126)*(1+Indice!$M$25))</f>
        <v>11.262712500000003</v>
      </c>
      <c r="W126" s="223">
        <f>IF(Y126="Mular",(K126-S126)*(1+Indice!$M$25),0)</f>
        <v>0</v>
      </c>
      <c r="X126" s="223">
        <f t="shared" si="2"/>
        <v>2.8878749999999997</v>
      </c>
      <c r="Y126" s="223" t="s">
        <v>8</v>
      </c>
      <c r="Z126" s="223">
        <f t="shared" si="7"/>
        <v>0</v>
      </c>
      <c r="AA126" s="223">
        <v>0</v>
      </c>
      <c r="AB126" s="223">
        <v>0</v>
      </c>
      <c r="AC126" s="223">
        <f t="shared" si="4"/>
        <v>0</v>
      </c>
    </row>
    <row r="127" spans="1:29" s="212" customFormat="1" ht="12.75" customHeight="1" x14ac:dyDescent="0.25">
      <c r="A127" t="s">
        <v>1227</v>
      </c>
      <c r="B127" t="s">
        <v>1358</v>
      </c>
      <c r="C127" t="s">
        <v>1359</v>
      </c>
      <c r="D127">
        <v>24.31</v>
      </c>
      <c r="E127" s="199">
        <v>6</v>
      </c>
      <c r="F127" s="1050" t="s">
        <v>887</v>
      </c>
      <c r="G127" s="1050"/>
      <c r="H127" s="226" t="s">
        <v>20</v>
      </c>
      <c r="I127" s="223">
        <v>0.75</v>
      </c>
      <c r="J127" s="223">
        <f>HLOOKUP(H127,AA_Cimentacion,Indice!$N$31,FALSE)+((E127*25.4)/1000)+HLOOKUP(H127,AA_Cimentacion,Indice!$N$35,FALSE)</f>
        <v>1.2524000000000002</v>
      </c>
      <c r="K127" s="223">
        <f t="shared" si="5"/>
        <v>22.834383000000003</v>
      </c>
      <c r="L127" s="223">
        <f>HLOOKUP(H127,AA_Cimentacion,Indice!$N$32,FALSE)*K127</f>
        <v>1.1417191500000001</v>
      </c>
      <c r="M127" s="223">
        <f>HLOOKUP(H127,AA_Cimentacion,Indice!$N$33,FALSE)*K127</f>
        <v>0</v>
      </c>
      <c r="N127" s="223">
        <f>HLOOKUP(H127,AA_Cimentacion,Indice!$N$34,FALSE)*K127</f>
        <v>21.692663850000002</v>
      </c>
      <c r="O127" s="223">
        <f>HLOOKUP(H127,AA_Cimentacion,Indice!$N$35,FALSE)*I127*D127</f>
        <v>1.8232500000000003</v>
      </c>
      <c r="P127" s="223">
        <f>HLOOKUP(H127,AA_Cimentacion,Indice!$N$36,FALSE)*D127*I127</f>
        <v>3.6465000000000001</v>
      </c>
      <c r="Q127" s="223">
        <f>HLOOKUP(H127,AA_Cimentacion,Indice!$N$37,FALSE)*I127*D127</f>
        <v>0</v>
      </c>
      <c r="R127" s="223">
        <f>HLOOKUP(H127,AA_Cimentacion,Indice!$N$38,FALSE)*I127*D127</f>
        <v>0</v>
      </c>
      <c r="S127" s="223">
        <f t="shared" si="1"/>
        <v>14.629758000000002</v>
      </c>
      <c r="T127" s="223">
        <f>HLOOKUP(H127,AA_Cimentacion,Indice!$N$39,FALSE)*I127*D127</f>
        <v>2.7348749999999997</v>
      </c>
      <c r="U127" s="223">
        <f>IF(H127=Indice!$M$29,D127*2,0)</f>
        <v>48.62</v>
      </c>
      <c r="V127" s="223">
        <f>IF(Y127="Mular",0,(K127-S127)*(1+Indice!$M$25))</f>
        <v>10.666012500000001</v>
      </c>
      <c r="W127" s="223">
        <f>IF(Y127="Mular",(K127-S127)*(1+Indice!$M$25),0)</f>
        <v>0</v>
      </c>
      <c r="X127" s="223">
        <f t="shared" si="2"/>
        <v>2.7348749999999997</v>
      </c>
      <c r="Y127" s="223" t="s">
        <v>8</v>
      </c>
      <c r="Z127" s="223">
        <f t="shared" si="7"/>
        <v>0</v>
      </c>
      <c r="AA127" s="223">
        <v>0</v>
      </c>
      <c r="AB127" s="223">
        <v>0</v>
      </c>
      <c r="AC127" s="223">
        <f t="shared" si="4"/>
        <v>0</v>
      </c>
    </row>
    <row r="128" spans="1:29" s="212" customFormat="1" ht="12.75" customHeight="1" x14ac:dyDescent="0.25">
      <c r="A128" t="s">
        <v>1228</v>
      </c>
      <c r="B128" t="s">
        <v>1359</v>
      </c>
      <c r="C128" t="s">
        <v>1360</v>
      </c>
      <c r="D128">
        <v>42.22</v>
      </c>
      <c r="E128" s="199">
        <v>6</v>
      </c>
      <c r="F128" s="1050" t="s">
        <v>887</v>
      </c>
      <c r="G128" s="1050"/>
      <c r="H128" s="226" t="s">
        <v>20</v>
      </c>
      <c r="I128" s="223">
        <v>0.75</v>
      </c>
      <c r="J128" s="223">
        <f>HLOOKUP(H128,AA_Cimentacion,Indice!$N$31,FALSE)+((E128*25.4)/1000)+HLOOKUP(H128,AA_Cimentacion,Indice!$N$35,FALSE)</f>
        <v>1.2524000000000002</v>
      </c>
      <c r="K128" s="223">
        <f t="shared" si="5"/>
        <v>39.657246000000008</v>
      </c>
      <c r="L128" s="223">
        <f>HLOOKUP(H128,AA_Cimentacion,Indice!$N$32,FALSE)*K128</f>
        <v>1.9828623000000005</v>
      </c>
      <c r="M128" s="223">
        <f>HLOOKUP(H128,AA_Cimentacion,Indice!$N$33,FALSE)*K128</f>
        <v>0</v>
      </c>
      <c r="N128" s="223">
        <f>HLOOKUP(H128,AA_Cimentacion,Indice!$N$34,FALSE)*K128</f>
        <v>37.674383700000007</v>
      </c>
      <c r="O128" s="223">
        <f>HLOOKUP(H128,AA_Cimentacion,Indice!$N$35,FALSE)*I128*D128</f>
        <v>3.1665000000000005</v>
      </c>
      <c r="P128" s="223">
        <f>HLOOKUP(H128,AA_Cimentacion,Indice!$N$36,FALSE)*D128*I128</f>
        <v>6.3330000000000002</v>
      </c>
      <c r="Q128" s="223">
        <f>HLOOKUP(H128,AA_Cimentacion,Indice!$N$37,FALSE)*I128*D128</f>
        <v>0</v>
      </c>
      <c r="R128" s="223">
        <f>HLOOKUP(H128,AA_Cimentacion,Indice!$N$38,FALSE)*I128*D128</f>
        <v>0</v>
      </c>
      <c r="S128" s="223">
        <f t="shared" si="1"/>
        <v>25.407996000000011</v>
      </c>
      <c r="T128" s="223">
        <f>HLOOKUP(H128,AA_Cimentacion,Indice!$N$39,FALSE)*I128*D128</f>
        <v>4.7497499999999997</v>
      </c>
      <c r="U128" s="223">
        <f>IF(H128=Indice!$M$29,D128*2,0)</f>
        <v>84.44</v>
      </c>
      <c r="V128" s="223">
        <f>IF(Y128="Mular",0,(K128-S128)*(1+Indice!$M$25))</f>
        <v>18.524024999999995</v>
      </c>
      <c r="W128" s="223">
        <f>IF(Y128="Mular",(K128-S128)*(1+Indice!$M$25),0)</f>
        <v>0</v>
      </c>
      <c r="X128" s="223">
        <f t="shared" si="2"/>
        <v>4.7497499999999997</v>
      </c>
      <c r="Y128" s="223" t="s">
        <v>8</v>
      </c>
      <c r="Z128" s="223">
        <f t="shared" si="7"/>
        <v>0</v>
      </c>
      <c r="AA128" s="223">
        <v>0</v>
      </c>
      <c r="AB128" s="223">
        <v>0</v>
      </c>
      <c r="AC128" s="223">
        <f t="shared" si="4"/>
        <v>0</v>
      </c>
    </row>
    <row r="129" spans="1:29" s="212" customFormat="1" ht="12.75" customHeight="1" x14ac:dyDescent="0.25">
      <c r="A129" t="s">
        <v>1229</v>
      </c>
      <c r="B129" t="s">
        <v>1360</v>
      </c>
      <c r="C129" t="s">
        <v>1361</v>
      </c>
      <c r="D129">
        <v>27.31</v>
      </c>
      <c r="E129" s="199">
        <v>6</v>
      </c>
      <c r="F129" s="1050" t="s">
        <v>887</v>
      </c>
      <c r="G129" s="1050"/>
      <c r="H129" s="226" t="s">
        <v>20</v>
      </c>
      <c r="I129" s="223">
        <v>0.75</v>
      </c>
      <c r="J129" s="223">
        <f>HLOOKUP(H129,AA_Cimentacion,Indice!$N$31,FALSE)+((E129*25.4)/1000)+HLOOKUP(H129,AA_Cimentacion,Indice!$N$35,FALSE)</f>
        <v>1.2524000000000002</v>
      </c>
      <c r="K129" s="223">
        <f t="shared" si="5"/>
        <v>25.652283000000004</v>
      </c>
      <c r="L129" s="223">
        <f>HLOOKUP(H129,AA_Cimentacion,Indice!$N$32,FALSE)*K129</f>
        <v>1.2826141500000003</v>
      </c>
      <c r="M129" s="223">
        <f>HLOOKUP(H129,AA_Cimentacion,Indice!$N$33,FALSE)*K129</f>
        <v>0</v>
      </c>
      <c r="N129" s="223">
        <f>HLOOKUP(H129,AA_Cimentacion,Indice!$N$34,FALSE)*K129</f>
        <v>24.369668850000004</v>
      </c>
      <c r="O129" s="223">
        <f>HLOOKUP(H129,AA_Cimentacion,Indice!$N$35,FALSE)*I129*D129</f>
        <v>2.0482500000000003</v>
      </c>
      <c r="P129" s="223">
        <f>HLOOKUP(H129,AA_Cimentacion,Indice!$N$36,FALSE)*D129*I129</f>
        <v>4.0964999999999998</v>
      </c>
      <c r="Q129" s="223">
        <f>HLOOKUP(H129,AA_Cimentacion,Indice!$N$37,FALSE)*I129*D129</f>
        <v>0</v>
      </c>
      <c r="R129" s="223">
        <f>HLOOKUP(H129,AA_Cimentacion,Indice!$N$38,FALSE)*I129*D129</f>
        <v>0</v>
      </c>
      <c r="S129" s="223">
        <f t="shared" si="1"/>
        <v>16.435158000000005</v>
      </c>
      <c r="T129" s="223">
        <f>HLOOKUP(H129,AA_Cimentacion,Indice!$N$39,FALSE)*I129*D129</f>
        <v>3.0723749999999996</v>
      </c>
      <c r="U129" s="223">
        <f>IF(H129=Indice!$M$29,D129*2,0)</f>
        <v>54.62</v>
      </c>
      <c r="V129" s="223">
        <f>IF(Y129="Mular",0,(K129-S129)*(1+Indice!$M$25))</f>
        <v>11.982262499999999</v>
      </c>
      <c r="W129" s="223">
        <f>IF(Y129="Mular",(K129-S129)*(1+Indice!$M$25),0)</f>
        <v>0</v>
      </c>
      <c r="X129" s="223">
        <f t="shared" si="2"/>
        <v>3.0723749999999996</v>
      </c>
      <c r="Y129" s="223" t="s">
        <v>8</v>
      </c>
      <c r="Z129" s="223">
        <f t="shared" si="7"/>
        <v>0</v>
      </c>
      <c r="AA129" s="223">
        <v>0</v>
      </c>
      <c r="AB129" s="223">
        <v>0</v>
      </c>
      <c r="AC129" s="223">
        <f t="shared" si="4"/>
        <v>0</v>
      </c>
    </row>
    <row r="130" spans="1:29" s="212" customFormat="1" ht="12.75" customHeight="1" x14ac:dyDescent="0.25">
      <c r="A130" t="s">
        <v>1230</v>
      </c>
      <c r="B130" t="s">
        <v>1361</v>
      </c>
      <c r="C130" t="s">
        <v>1362</v>
      </c>
      <c r="D130">
        <v>32.44</v>
      </c>
      <c r="E130" s="199">
        <v>6</v>
      </c>
      <c r="F130" s="1050" t="s">
        <v>887</v>
      </c>
      <c r="G130" s="1050"/>
      <c r="H130" s="226" t="s">
        <v>20</v>
      </c>
      <c r="I130" s="223">
        <v>0.75</v>
      </c>
      <c r="J130" s="223">
        <f>HLOOKUP(H130,AA_Cimentacion,Indice!$N$31,FALSE)+((E130*25.4)/1000)+HLOOKUP(H130,AA_Cimentacion,Indice!$N$35,FALSE)</f>
        <v>1.2524000000000002</v>
      </c>
      <c r="K130" s="223">
        <f t="shared" si="5"/>
        <v>30.470892000000003</v>
      </c>
      <c r="L130" s="223">
        <f>HLOOKUP(H130,AA_Cimentacion,Indice!$N$32,FALSE)*K130</f>
        <v>1.5235446000000001</v>
      </c>
      <c r="M130" s="223">
        <f>HLOOKUP(H130,AA_Cimentacion,Indice!$N$33,FALSE)*K130</f>
        <v>0</v>
      </c>
      <c r="N130" s="223">
        <f>HLOOKUP(H130,AA_Cimentacion,Indice!$N$34,FALSE)*K130</f>
        <v>28.947347400000002</v>
      </c>
      <c r="O130" s="223">
        <f>HLOOKUP(H130,AA_Cimentacion,Indice!$N$35,FALSE)*I130*D130</f>
        <v>2.4330000000000003</v>
      </c>
      <c r="P130" s="223">
        <f>HLOOKUP(H130,AA_Cimentacion,Indice!$N$36,FALSE)*D130*I130</f>
        <v>4.8659999999999997</v>
      </c>
      <c r="Q130" s="223">
        <f>HLOOKUP(H130,AA_Cimentacion,Indice!$N$37,FALSE)*I130*D130</f>
        <v>0</v>
      </c>
      <c r="R130" s="223">
        <f>HLOOKUP(H130,AA_Cimentacion,Indice!$N$38,FALSE)*I130*D130</f>
        <v>0</v>
      </c>
      <c r="S130" s="223">
        <f t="shared" si="1"/>
        <v>19.522392000000004</v>
      </c>
      <c r="T130" s="223">
        <f>HLOOKUP(H130,AA_Cimentacion,Indice!$N$39,FALSE)*I130*D130</f>
        <v>3.6494999999999993</v>
      </c>
      <c r="U130" s="223">
        <f>IF(H130=Indice!$M$29,D130*2,0)</f>
        <v>64.88</v>
      </c>
      <c r="V130" s="223">
        <f>IF(Y130="Mular",0,(K130-S130)*(1+Indice!$M$25))</f>
        <v>14.233049999999999</v>
      </c>
      <c r="W130" s="223">
        <f>IF(Y130="Mular",(K130-S130)*(1+Indice!$M$25),0)</f>
        <v>0</v>
      </c>
      <c r="X130" s="223">
        <f t="shared" si="2"/>
        <v>3.6494999999999993</v>
      </c>
      <c r="Y130" s="223" t="s">
        <v>8</v>
      </c>
      <c r="Z130" s="223">
        <f t="shared" si="7"/>
        <v>0</v>
      </c>
      <c r="AA130" s="223">
        <v>0</v>
      </c>
      <c r="AB130" s="223">
        <v>0</v>
      </c>
      <c r="AC130" s="223">
        <f t="shared" si="4"/>
        <v>0</v>
      </c>
    </row>
    <row r="131" spans="1:29" s="212" customFormat="1" ht="12.75" customHeight="1" x14ac:dyDescent="0.25">
      <c r="A131" t="s">
        <v>1231</v>
      </c>
      <c r="B131" t="s">
        <v>1362</v>
      </c>
      <c r="C131" t="s">
        <v>1363</v>
      </c>
      <c r="D131">
        <v>20.29</v>
      </c>
      <c r="E131" s="199">
        <v>6</v>
      </c>
      <c r="F131" s="1050" t="s">
        <v>887</v>
      </c>
      <c r="G131" s="1050"/>
      <c r="H131" s="226" t="s">
        <v>20</v>
      </c>
      <c r="I131" s="223">
        <v>0.75</v>
      </c>
      <c r="J131" s="223">
        <f>HLOOKUP(H131,AA_Cimentacion,Indice!$N$31,FALSE)+((E131*25.4)/1000)+HLOOKUP(H131,AA_Cimentacion,Indice!$N$35,FALSE)</f>
        <v>1.2524000000000002</v>
      </c>
      <c r="K131" s="223">
        <f t="shared" si="5"/>
        <v>19.058397000000003</v>
      </c>
      <c r="L131" s="223">
        <f>HLOOKUP(H131,AA_Cimentacion,Indice!$N$32,FALSE)*K131</f>
        <v>0.95291985000000023</v>
      </c>
      <c r="M131" s="223">
        <f>HLOOKUP(H131,AA_Cimentacion,Indice!$N$33,FALSE)*K131</f>
        <v>0</v>
      </c>
      <c r="N131" s="223">
        <f>HLOOKUP(H131,AA_Cimentacion,Indice!$N$34,FALSE)*K131</f>
        <v>18.105477150000002</v>
      </c>
      <c r="O131" s="223">
        <f>HLOOKUP(H131,AA_Cimentacion,Indice!$N$35,FALSE)*I131*D131</f>
        <v>1.5217500000000002</v>
      </c>
      <c r="P131" s="223">
        <f>HLOOKUP(H131,AA_Cimentacion,Indice!$N$36,FALSE)*D131*I131</f>
        <v>3.0434999999999999</v>
      </c>
      <c r="Q131" s="223">
        <f>HLOOKUP(H131,AA_Cimentacion,Indice!$N$37,FALSE)*I131*D131</f>
        <v>0</v>
      </c>
      <c r="R131" s="223">
        <f>HLOOKUP(H131,AA_Cimentacion,Indice!$N$38,FALSE)*I131*D131</f>
        <v>0</v>
      </c>
      <c r="S131" s="223">
        <f t="shared" si="1"/>
        <v>12.210522000000003</v>
      </c>
      <c r="T131" s="223">
        <f>HLOOKUP(H131,AA_Cimentacion,Indice!$N$39,FALSE)*I131*D131</f>
        <v>2.2826249999999995</v>
      </c>
      <c r="U131" s="223">
        <f>IF(H131=Indice!$M$29,D131*2,0)</f>
        <v>40.58</v>
      </c>
      <c r="V131" s="223">
        <f>IF(Y131="Mular",0,(K131-S131)*(1+Indice!$M$25))</f>
        <v>8.9022375</v>
      </c>
      <c r="W131" s="223">
        <f>IF(Y131="Mular",(K131-S131)*(1+Indice!$M$25),0)</f>
        <v>0</v>
      </c>
      <c r="X131" s="223">
        <f t="shared" si="2"/>
        <v>2.2826249999999995</v>
      </c>
      <c r="Y131" s="223" t="s">
        <v>8</v>
      </c>
      <c r="Z131" s="223">
        <f t="shared" si="7"/>
        <v>0</v>
      </c>
      <c r="AA131" s="223">
        <v>0</v>
      </c>
      <c r="AB131" s="223">
        <v>0</v>
      </c>
      <c r="AC131" s="223">
        <f t="shared" si="4"/>
        <v>0</v>
      </c>
    </row>
    <row r="132" spans="1:29" s="212" customFormat="1" ht="12.75" customHeight="1" x14ac:dyDescent="0.25">
      <c r="A132" t="s">
        <v>1232</v>
      </c>
      <c r="B132" t="s">
        <v>1363</v>
      </c>
      <c r="C132" t="s">
        <v>1364</v>
      </c>
      <c r="D132">
        <v>27.07</v>
      </c>
      <c r="E132" s="199">
        <v>6</v>
      </c>
      <c r="F132" s="1050" t="s">
        <v>887</v>
      </c>
      <c r="G132" s="1050"/>
      <c r="H132" s="226" t="s">
        <v>20</v>
      </c>
      <c r="I132" s="223">
        <v>0.75</v>
      </c>
      <c r="J132" s="223">
        <f>HLOOKUP(H132,AA_Cimentacion,Indice!$N$31,FALSE)+((E132*25.4)/1000)+HLOOKUP(H132,AA_Cimentacion,Indice!$N$35,FALSE)</f>
        <v>1.2524000000000002</v>
      </c>
      <c r="K132" s="223">
        <f t="shared" si="5"/>
        <v>25.426851000000003</v>
      </c>
      <c r="L132" s="223">
        <f>HLOOKUP(H132,AA_Cimentacion,Indice!$N$32,FALSE)*K132</f>
        <v>1.2713425500000002</v>
      </c>
      <c r="M132" s="223">
        <f>HLOOKUP(H132,AA_Cimentacion,Indice!$N$33,FALSE)*K132</f>
        <v>0</v>
      </c>
      <c r="N132" s="223">
        <f>HLOOKUP(H132,AA_Cimentacion,Indice!$N$34,FALSE)*K132</f>
        <v>24.155508450000003</v>
      </c>
      <c r="O132" s="223">
        <f>HLOOKUP(H132,AA_Cimentacion,Indice!$N$35,FALSE)*I132*D132</f>
        <v>2.0302500000000001</v>
      </c>
      <c r="P132" s="223">
        <f>HLOOKUP(H132,AA_Cimentacion,Indice!$N$36,FALSE)*D132*I132</f>
        <v>4.0605000000000002</v>
      </c>
      <c r="Q132" s="223">
        <f>HLOOKUP(H132,AA_Cimentacion,Indice!$N$37,FALSE)*I132*D132</f>
        <v>0</v>
      </c>
      <c r="R132" s="223">
        <f>HLOOKUP(H132,AA_Cimentacion,Indice!$N$38,FALSE)*I132*D132</f>
        <v>0</v>
      </c>
      <c r="S132" s="223">
        <f t="shared" si="1"/>
        <v>16.290726000000003</v>
      </c>
      <c r="T132" s="223">
        <f>HLOOKUP(H132,AA_Cimentacion,Indice!$N$39,FALSE)*I132*D132</f>
        <v>3.0453749999999999</v>
      </c>
      <c r="U132" s="223">
        <f>IF(H132=Indice!$M$29,D132*2,0)</f>
        <v>54.14</v>
      </c>
      <c r="V132" s="223">
        <f>IF(Y132="Mular",0,(K132-S132)*(1+Indice!$M$25))</f>
        <v>11.876962499999999</v>
      </c>
      <c r="W132" s="223">
        <f>IF(Y132="Mular",(K132-S132)*(1+Indice!$M$25),0)</f>
        <v>0</v>
      </c>
      <c r="X132" s="223">
        <f t="shared" si="2"/>
        <v>3.0453749999999999</v>
      </c>
      <c r="Y132" s="223" t="s">
        <v>8</v>
      </c>
      <c r="Z132" s="223">
        <f t="shared" si="7"/>
        <v>0</v>
      </c>
      <c r="AA132" s="223">
        <v>0</v>
      </c>
      <c r="AB132" s="223">
        <v>0</v>
      </c>
      <c r="AC132" s="223">
        <f t="shared" si="4"/>
        <v>0</v>
      </c>
    </row>
    <row r="133" spans="1:29" s="212" customFormat="1" ht="12.75" customHeight="1" x14ac:dyDescent="0.25">
      <c r="A133" t="s">
        <v>1233</v>
      </c>
      <c r="B133" t="s">
        <v>1364</v>
      </c>
      <c r="C133" t="s">
        <v>1365</v>
      </c>
      <c r="D133">
        <v>16.78</v>
      </c>
      <c r="E133" s="199">
        <v>6</v>
      </c>
      <c r="F133" s="1050" t="s">
        <v>887</v>
      </c>
      <c r="G133" s="1050"/>
      <c r="H133" s="226" t="s">
        <v>20</v>
      </c>
      <c r="I133" s="223">
        <v>0.75</v>
      </c>
      <c r="J133" s="223">
        <f>HLOOKUP(H133,AA_Cimentacion,Indice!$N$31,FALSE)+((E133*25.4)/1000)+HLOOKUP(H133,AA_Cimentacion,Indice!$N$35,FALSE)</f>
        <v>1.2524000000000002</v>
      </c>
      <c r="K133" s="223">
        <f t="shared" si="5"/>
        <v>15.761454000000004</v>
      </c>
      <c r="L133" s="223">
        <f>HLOOKUP(H133,AA_Cimentacion,Indice!$N$32,FALSE)*K133</f>
        <v>0.78807270000000029</v>
      </c>
      <c r="M133" s="223">
        <f>HLOOKUP(H133,AA_Cimentacion,Indice!$N$33,FALSE)*K133</f>
        <v>0</v>
      </c>
      <c r="N133" s="223">
        <f>HLOOKUP(H133,AA_Cimentacion,Indice!$N$34,FALSE)*K133</f>
        <v>14.973381300000003</v>
      </c>
      <c r="O133" s="223">
        <f>HLOOKUP(H133,AA_Cimentacion,Indice!$N$35,FALSE)*I133*D133</f>
        <v>1.2585000000000002</v>
      </c>
      <c r="P133" s="223">
        <f>HLOOKUP(H133,AA_Cimentacion,Indice!$N$36,FALSE)*D133*I133</f>
        <v>2.5170000000000003</v>
      </c>
      <c r="Q133" s="223">
        <f>HLOOKUP(H133,AA_Cimentacion,Indice!$N$37,FALSE)*I133*D133</f>
        <v>0</v>
      </c>
      <c r="R133" s="223">
        <f>HLOOKUP(H133,AA_Cimentacion,Indice!$N$38,FALSE)*I133*D133</f>
        <v>0</v>
      </c>
      <c r="S133" s="223">
        <f t="shared" si="1"/>
        <v>10.098204000000003</v>
      </c>
      <c r="T133" s="223">
        <f>HLOOKUP(H133,AA_Cimentacion,Indice!$N$39,FALSE)*I133*D133</f>
        <v>1.88775</v>
      </c>
      <c r="U133" s="223">
        <f>IF(H133=Indice!$M$29,D133*2,0)</f>
        <v>33.56</v>
      </c>
      <c r="V133" s="223">
        <f>IF(Y133="Mular",0,(K133-S133)*(1+Indice!$M$25))</f>
        <v>7.3622250000000022</v>
      </c>
      <c r="W133" s="223">
        <f>IF(Y133="Mular",(K133-S133)*(1+Indice!$M$25),0)</f>
        <v>0</v>
      </c>
      <c r="X133" s="223">
        <f t="shared" si="2"/>
        <v>1.88775</v>
      </c>
      <c r="Y133" s="223" t="s">
        <v>8</v>
      </c>
      <c r="Z133" s="223">
        <f t="shared" si="7"/>
        <v>0</v>
      </c>
      <c r="AA133" s="223">
        <v>0</v>
      </c>
      <c r="AB133" s="223">
        <v>0</v>
      </c>
      <c r="AC133" s="223">
        <f t="shared" si="4"/>
        <v>0</v>
      </c>
    </row>
    <row r="134" spans="1:29" s="212" customFormat="1" ht="12.75" customHeight="1" x14ac:dyDescent="0.25">
      <c r="A134" t="s">
        <v>1234</v>
      </c>
      <c r="B134" t="s">
        <v>1365</v>
      </c>
      <c r="C134" t="s">
        <v>1366</v>
      </c>
      <c r="D134">
        <v>27.34</v>
      </c>
      <c r="E134" s="199">
        <v>6</v>
      </c>
      <c r="F134" s="1050" t="s">
        <v>887</v>
      </c>
      <c r="G134" s="1050"/>
      <c r="H134" s="226" t="s">
        <v>20</v>
      </c>
      <c r="I134" s="223">
        <v>0.75</v>
      </c>
      <c r="J134" s="223">
        <f>HLOOKUP(H134,AA_Cimentacion,Indice!$N$31,FALSE)+((E134*25.4)/1000)+HLOOKUP(H134,AA_Cimentacion,Indice!$N$35,FALSE)</f>
        <v>1.2524000000000002</v>
      </c>
      <c r="K134" s="223">
        <f t="shared" si="5"/>
        <v>25.680462000000002</v>
      </c>
      <c r="L134" s="223">
        <f>HLOOKUP(H134,AA_Cimentacion,Indice!$N$32,FALSE)*K134</f>
        <v>1.2840231000000002</v>
      </c>
      <c r="M134" s="223">
        <f>HLOOKUP(H134,AA_Cimentacion,Indice!$N$33,FALSE)*K134</f>
        <v>0</v>
      </c>
      <c r="N134" s="223">
        <f>HLOOKUP(H134,AA_Cimentacion,Indice!$N$34,FALSE)*K134</f>
        <v>24.3964389</v>
      </c>
      <c r="O134" s="223">
        <f>HLOOKUP(H134,AA_Cimentacion,Indice!$N$35,FALSE)*I134*D134</f>
        <v>2.0505000000000004</v>
      </c>
      <c r="P134" s="223">
        <f>HLOOKUP(H134,AA_Cimentacion,Indice!$N$36,FALSE)*D134*I134</f>
        <v>4.101</v>
      </c>
      <c r="Q134" s="223">
        <f>HLOOKUP(H134,AA_Cimentacion,Indice!$N$37,FALSE)*I134*D134</f>
        <v>0</v>
      </c>
      <c r="R134" s="223">
        <f>HLOOKUP(H134,AA_Cimentacion,Indice!$N$38,FALSE)*I134*D134</f>
        <v>0</v>
      </c>
      <c r="S134" s="223">
        <f t="shared" si="1"/>
        <v>16.453212000000004</v>
      </c>
      <c r="T134" s="223">
        <f>HLOOKUP(H134,AA_Cimentacion,Indice!$N$39,FALSE)*I134*D134</f>
        <v>3.0757499999999998</v>
      </c>
      <c r="U134" s="223">
        <f>IF(H134=Indice!$M$29,D134*2,0)</f>
        <v>54.68</v>
      </c>
      <c r="V134" s="223">
        <f>IF(Y134="Mular",0,(K134-S134)*(1+Indice!$M$25))</f>
        <v>11.995424999999997</v>
      </c>
      <c r="W134" s="223">
        <f>IF(Y134="Mular",(K134-S134)*(1+Indice!$M$25),0)</f>
        <v>0</v>
      </c>
      <c r="X134" s="223">
        <f t="shared" si="2"/>
        <v>3.0757499999999998</v>
      </c>
      <c r="Y134" s="223" t="s">
        <v>8</v>
      </c>
      <c r="Z134" s="223">
        <f t="shared" si="7"/>
        <v>0</v>
      </c>
      <c r="AA134" s="223">
        <v>0</v>
      </c>
      <c r="AB134" s="223">
        <v>0</v>
      </c>
      <c r="AC134" s="223">
        <f t="shared" si="4"/>
        <v>0</v>
      </c>
    </row>
    <row r="135" spans="1:29" s="212" customFormat="1" ht="12.75" customHeight="1" x14ac:dyDescent="0.25">
      <c r="A135" t="s">
        <v>1235</v>
      </c>
      <c r="B135" t="s">
        <v>1366</v>
      </c>
      <c r="C135" t="s">
        <v>1367</v>
      </c>
      <c r="D135">
        <v>23.25</v>
      </c>
      <c r="E135" s="199">
        <v>6</v>
      </c>
      <c r="F135" s="1050" t="s">
        <v>887</v>
      </c>
      <c r="G135" s="1050"/>
      <c r="H135" s="226" t="s">
        <v>20</v>
      </c>
      <c r="I135" s="223">
        <v>0.75</v>
      </c>
      <c r="J135" s="223">
        <f>HLOOKUP(H135,AA_Cimentacion,Indice!$N$31,FALSE)+((E135*25.4)/1000)+HLOOKUP(H135,AA_Cimentacion,Indice!$N$35,FALSE)</f>
        <v>1.2524000000000002</v>
      </c>
      <c r="K135" s="223">
        <f t="shared" si="5"/>
        <v>21.838725000000004</v>
      </c>
      <c r="L135" s="223">
        <f>HLOOKUP(H135,AA_Cimentacion,Indice!$N$32,FALSE)*K135</f>
        <v>1.0919362500000003</v>
      </c>
      <c r="M135" s="223">
        <f>HLOOKUP(H135,AA_Cimentacion,Indice!$N$33,FALSE)*K135</f>
        <v>0</v>
      </c>
      <c r="N135" s="223">
        <f>HLOOKUP(H135,AA_Cimentacion,Indice!$N$34,FALSE)*K135</f>
        <v>20.746788750000004</v>
      </c>
      <c r="O135" s="223">
        <f>HLOOKUP(H135,AA_Cimentacion,Indice!$N$35,FALSE)*I135*D135</f>
        <v>1.7437500000000004</v>
      </c>
      <c r="P135" s="223">
        <f>HLOOKUP(H135,AA_Cimentacion,Indice!$N$36,FALSE)*D135*I135</f>
        <v>3.4875000000000003</v>
      </c>
      <c r="Q135" s="223">
        <f>HLOOKUP(H135,AA_Cimentacion,Indice!$N$37,FALSE)*I135*D135</f>
        <v>0</v>
      </c>
      <c r="R135" s="223">
        <f>HLOOKUP(H135,AA_Cimentacion,Indice!$N$38,FALSE)*I135*D135</f>
        <v>0</v>
      </c>
      <c r="S135" s="223">
        <f t="shared" si="1"/>
        <v>13.991850000000005</v>
      </c>
      <c r="T135" s="223">
        <f>HLOOKUP(H135,AA_Cimentacion,Indice!$N$39,FALSE)*I135*D135</f>
        <v>2.6156249999999996</v>
      </c>
      <c r="U135" s="223">
        <f>IF(H135=Indice!$M$29,D135*2,0)</f>
        <v>46.5</v>
      </c>
      <c r="V135" s="223">
        <f>IF(Y135="Mular",0,(K135-S135)*(1+Indice!$M$25))</f>
        <v>10.200937499999998</v>
      </c>
      <c r="W135" s="223">
        <f>IF(Y135="Mular",(K135-S135)*(1+Indice!$M$25),0)</f>
        <v>0</v>
      </c>
      <c r="X135" s="223">
        <f t="shared" si="2"/>
        <v>2.6156249999999996</v>
      </c>
      <c r="Y135" s="223" t="s">
        <v>8</v>
      </c>
      <c r="Z135" s="223">
        <f t="shared" si="7"/>
        <v>0</v>
      </c>
      <c r="AA135" s="223">
        <v>0</v>
      </c>
      <c r="AB135" s="223">
        <v>0</v>
      </c>
      <c r="AC135" s="223">
        <f t="shared" si="4"/>
        <v>0</v>
      </c>
    </row>
    <row r="136" spans="1:29" s="212" customFormat="1" ht="12.75" customHeight="1" x14ac:dyDescent="0.25">
      <c r="A136" t="s">
        <v>1236</v>
      </c>
      <c r="B136" t="s">
        <v>1367</v>
      </c>
      <c r="C136" t="s">
        <v>1368</v>
      </c>
      <c r="D136">
        <v>28.85</v>
      </c>
      <c r="E136" s="199">
        <v>6</v>
      </c>
      <c r="F136" s="1050" t="s">
        <v>887</v>
      </c>
      <c r="G136" s="1050"/>
      <c r="H136" s="226" t="s">
        <v>20</v>
      </c>
      <c r="I136" s="223">
        <v>0.75</v>
      </c>
      <c r="J136" s="223">
        <f>HLOOKUP(H136,AA_Cimentacion,Indice!$N$31,FALSE)+((E136*25.4)/1000)+HLOOKUP(H136,AA_Cimentacion,Indice!$N$35,FALSE)</f>
        <v>1.2524000000000002</v>
      </c>
      <c r="K136" s="223">
        <f t="shared" si="5"/>
        <v>27.098805000000006</v>
      </c>
      <c r="L136" s="223">
        <f>HLOOKUP(H136,AA_Cimentacion,Indice!$N$32,FALSE)*K136</f>
        <v>1.3549402500000003</v>
      </c>
      <c r="M136" s="223">
        <f>HLOOKUP(H136,AA_Cimentacion,Indice!$N$33,FALSE)*K136</f>
        <v>0</v>
      </c>
      <c r="N136" s="223">
        <f>HLOOKUP(H136,AA_Cimentacion,Indice!$N$34,FALSE)*K136</f>
        <v>25.743864750000004</v>
      </c>
      <c r="O136" s="223">
        <f>HLOOKUP(H136,AA_Cimentacion,Indice!$N$35,FALSE)*I136*D136</f>
        <v>2.1637500000000003</v>
      </c>
      <c r="P136" s="223">
        <f>HLOOKUP(H136,AA_Cimentacion,Indice!$N$36,FALSE)*D136*I136</f>
        <v>4.3275000000000006</v>
      </c>
      <c r="Q136" s="223">
        <f>HLOOKUP(H136,AA_Cimentacion,Indice!$N$37,FALSE)*I136*D136</f>
        <v>0</v>
      </c>
      <c r="R136" s="223">
        <f>HLOOKUP(H136,AA_Cimentacion,Indice!$N$38,FALSE)*I136*D136</f>
        <v>0</v>
      </c>
      <c r="S136" s="223">
        <f t="shared" si="1"/>
        <v>17.361930000000005</v>
      </c>
      <c r="T136" s="223">
        <f>HLOOKUP(H136,AA_Cimentacion,Indice!$N$39,FALSE)*I136*D136</f>
        <v>3.245625</v>
      </c>
      <c r="U136" s="223">
        <f>IF(H136=Indice!$M$29,D136*2,0)</f>
        <v>57.7</v>
      </c>
      <c r="V136" s="223">
        <f>IF(Y136="Mular",0,(K136-S136)*(1+Indice!$M$25))</f>
        <v>12.657937500000003</v>
      </c>
      <c r="W136" s="223">
        <f>IF(Y136="Mular",(K136-S136)*(1+Indice!$M$25),0)</f>
        <v>0</v>
      </c>
      <c r="X136" s="223">
        <f t="shared" si="2"/>
        <v>3.245625</v>
      </c>
      <c r="Y136" s="223" t="s">
        <v>8</v>
      </c>
      <c r="Z136" s="223">
        <f t="shared" si="7"/>
        <v>0</v>
      </c>
      <c r="AA136" s="223">
        <v>0</v>
      </c>
      <c r="AB136" s="223">
        <v>0</v>
      </c>
      <c r="AC136" s="223">
        <f t="shared" si="4"/>
        <v>0</v>
      </c>
    </row>
    <row r="137" spans="1:29" s="212" customFormat="1" ht="12.75" customHeight="1" x14ac:dyDescent="0.25">
      <c r="A137" t="s">
        <v>1237</v>
      </c>
      <c r="B137" t="s">
        <v>1368</v>
      </c>
      <c r="C137" t="s">
        <v>1369</v>
      </c>
      <c r="D137">
        <v>15.43</v>
      </c>
      <c r="E137" s="199">
        <v>6</v>
      </c>
      <c r="F137" s="1050" t="s">
        <v>887</v>
      </c>
      <c r="G137" s="1050"/>
      <c r="H137" s="226" t="s">
        <v>20</v>
      </c>
      <c r="I137" s="223">
        <v>0.75</v>
      </c>
      <c r="J137" s="223">
        <f>HLOOKUP(H137,AA_Cimentacion,Indice!$N$31,FALSE)+((E137*25.4)/1000)+HLOOKUP(H137,AA_Cimentacion,Indice!$N$35,FALSE)</f>
        <v>1.2524000000000002</v>
      </c>
      <c r="K137" s="223">
        <f t="shared" si="5"/>
        <v>14.493399000000002</v>
      </c>
      <c r="L137" s="223">
        <f>HLOOKUP(H137,AA_Cimentacion,Indice!$N$32,FALSE)*K137</f>
        <v>0.72466995000000012</v>
      </c>
      <c r="M137" s="223">
        <f>HLOOKUP(H137,AA_Cimentacion,Indice!$N$33,FALSE)*K137</f>
        <v>0</v>
      </c>
      <c r="N137" s="223">
        <f>HLOOKUP(H137,AA_Cimentacion,Indice!$N$34,FALSE)*K137</f>
        <v>13.768729050000001</v>
      </c>
      <c r="O137" s="223">
        <f>HLOOKUP(H137,AA_Cimentacion,Indice!$N$35,FALSE)*I137*D137</f>
        <v>1.1572500000000001</v>
      </c>
      <c r="P137" s="223">
        <f>HLOOKUP(H137,AA_Cimentacion,Indice!$N$36,FALSE)*D137*I137</f>
        <v>2.3145000000000002</v>
      </c>
      <c r="Q137" s="223">
        <f>HLOOKUP(H137,AA_Cimentacion,Indice!$N$37,FALSE)*I137*D137</f>
        <v>0</v>
      </c>
      <c r="R137" s="223">
        <f>HLOOKUP(H137,AA_Cimentacion,Indice!$N$38,FALSE)*I137*D137</f>
        <v>0</v>
      </c>
      <c r="S137" s="223">
        <f t="shared" si="1"/>
        <v>9.2857740000000017</v>
      </c>
      <c r="T137" s="223">
        <f>HLOOKUP(H137,AA_Cimentacion,Indice!$N$39,FALSE)*I137*D137</f>
        <v>1.7358749999999998</v>
      </c>
      <c r="U137" s="223">
        <f>IF(H137=Indice!$M$29,D137*2,0)</f>
        <v>30.86</v>
      </c>
      <c r="V137" s="223">
        <f>IF(Y137="Mular",0,(K137-S137)*(1+Indice!$M$25))</f>
        <v>6.7699125000000002</v>
      </c>
      <c r="W137" s="223">
        <f>IF(Y137="Mular",(K137-S137)*(1+Indice!$M$25),0)</f>
        <v>0</v>
      </c>
      <c r="X137" s="223">
        <f t="shared" si="2"/>
        <v>1.7358749999999998</v>
      </c>
      <c r="Y137" s="223" t="s">
        <v>8</v>
      </c>
      <c r="Z137" s="223">
        <f t="shared" si="7"/>
        <v>0</v>
      </c>
      <c r="AA137" s="223">
        <v>0</v>
      </c>
      <c r="AB137" s="223">
        <v>0</v>
      </c>
      <c r="AC137" s="223">
        <f t="shared" si="4"/>
        <v>0</v>
      </c>
    </row>
    <row r="138" spans="1:29" s="212" customFormat="1" ht="12.75" customHeight="1" x14ac:dyDescent="0.25">
      <c r="A138" t="s">
        <v>1238</v>
      </c>
      <c r="B138" t="s">
        <v>1369</v>
      </c>
      <c r="C138" t="s">
        <v>1370</v>
      </c>
      <c r="D138">
        <v>30.94</v>
      </c>
      <c r="E138" s="199">
        <v>6</v>
      </c>
      <c r="F138" s="1050" t="s">
        <v>887</v>
      </c>
      <c r="G138" s="1050"/>
      <c r="H138" s="226" t="s">
        <v>20</v>
      </c>
      <c r="I138" s="223">
        <v>0.75</v>
      </c>
      <c r="J138" s="223">
        <f>HLOOKUP(H138,AA_Cimentacion,Indice!$N$31,FALSE)+((E138*25.4)/1000)+HLOOKUP(H138,AA_Cimentacion,Indice!$N$35,FALSE)</f>
        <v>1.2524000000000002</v>
      </c>
      <c r="K138" s="223">
        <f t="shared" si="5"/>
        <v>29.061942000000005</v>
      </c>
      <c r="L138" s="223">
        <f>HLOOKUP(H138,AA_Cimentacion,Indice!$N$32,FALSE)*K138</f>
        <v>1.4530971000000004</v>
      </c>
      <c r="M138" s="223">
        <f>HLOOKUP(H138,AA_Cimentacion,Indice!$N$33,FALSE)*K138</f>
        <v>0</v>
      </c>
      <c r="N138" s="223">
        <f>HLOOKUP(H138,AA_Cimentacion,Indice!$N$34,FALSE)*K138</f>
        <v>27.608844900000005</v>
      </c>
      <c r="O138" s="223">
        <f>HLOOKUP(H138,AA_Cimentacion,Indice!$N$35,FALSE)*I138*D138</f>
        <v>2.3205000000000005</v>
      </c>
      <c r="P138" s="223">
        <f>HLOOKUP(H138,AA_Cimentacion,Indice!$N$36,FALSE)*D138*I138</f>
        <v>4.641</v>
      </c>
      <c r="Q138" s="223">
        <f>HLOOKUP(H138,AA_Cimentacion,Indice!$N$37,FALSE)*I138*D138</f>
        <v>0</v>
      </c>
      <c r="R138" s="223">
        <f>HLOOKUP(H138,AA_Cimentacion,Indice!$N$38,FALSE)*I138*D138</f>
        <v>0</v>
      </c>
      <c r="S138" s="223">
        <f t="shared" si="1"/>
        <v>18.619692000000008</v>
      </c>
      <c r="T138" s="223">
        <f>HLOOKUP(H138,AA_Cimentacion,Indice!$N$39,FALSE)*I138*D138</f>
        <v>3.48075</v>
      </c>
      <c r="U138" s="223">
        <f>IF(H138=Indice!$M$29,D138*2,0)</f>
        <v>61.88</v>
      </c>
      <c r="V138" s="223">
        <f>IF(Y138="Mular",0,(K138-S138)*(1+Indice!$M$25))</f>
        <v>13.574924999999997</v>
      </c>
      <c r="W138" s="223">
        <f>IF(Y138="Mular",(K138-S138)*(1+Indice!$M$25),0)</f>
        <v>0</v>
      </c>
      <c r="X138" s="223">
        <f t="shared" si="2"/>
        <v>3.48075</v>
      </c>
      <c r="Y138" s="223" t="s">
        <v>8</v>
      </c>
      <c r="Z138" s="223">
        <f t="shared" si="7"/>
        <v>0</v>
      </c>
      <c r="AA138" s="223">
        <v>0</v>
      </c>
      <c r="AB138" s="223">
        <v>0</v>
      </c>
      <c r="AC138" s="223">
        <f t="shared" si="4"/>
        <v>0</v>
      </c>
    </row>
    <row r="139" spans="1:29" s="212" customFormat="1" ht="12.75" customHeight="1" x14ac:dyDescent="0.25">
      <c r="A139" t="s">
        <v>1239</v>
      </c>
      <c r="B139" t="s">
        <v>1370</v>
      </c>
      <c r="C139" t="s">
        <v>1371</v>
      </c>
      <c r="D139">
        <v>15.11</v>
      </c>
      <c r="E139" s="199">
        <v>6</v>
      </c>
      <c r="F139" s="1050" t="s">
        <v>887</v>
      </c>
      <c r="G139" s="1050"/>
      <c r="H139" s="226" t="s">
        <v>20</v>
      </c>
      <c r="I139" s="223">
        <v>0.75</v>
      </c>
      <c r="J139" s="223">
        <f>HLOOKUP(H139,AA_Cimentacion,Indice!$N$31,FALSE)+((E139*25.4)/1000)+HLOOKUP(H139,AA_Cimentacion,Indice!$N$35,FALSE)</f>
        <v>1.2524000000000002</v>
      </c>
      <c r="K139" s="223">
        <f t="shared" si="5"/>
        <v>14.192823000000001</v>
      </c>
      <c r="L139" s="223">
        <f>HLOOKUP(H139,AA_Cimentacion,Indice!$N$32,FALSE)*K139</f>
        <v>0.70964115000000005</v>
      </c>
      <c r="M139" s="223">
        <f>HLOOKUP(H139,AA_Cimentacion,Indice!$N$33,FALSE)*K139</f>
        <v>0</v>
      </c>
      <c r="N139" s="223">
        <f>HLOOKUP(H139,AA_Cimentacion,Indice!$N$34,FALSE)*K139</f>
        <v>13.483181849999999</v>
      </c>
      <c r="O139" s="223">
        <f>HLOOKUP(H139,AA_Cimentacion,Indice!$N$35,FALSE)*I139*D139</f>
        <v>1.1332500000000001</v>
      </c>
      <c r="P139" s="223">
        <f>HLOOKUP(H139,AA_Cimentacion,Indice!$N$36,FALSE)*D139*I139</f>
        <v>2.2665000000000002</v>
      </c>
      <c r="Q139" s="223">
        <f>HLOOKUP(H139,AA_Cimentacion,Indice!$N$37,FALSE)*I139*D139</f>
        <v>0</v>
      </c>
      <c r="R139" s="223">
        <f>HLOOKUP(H139,AA_Cimentacion,Indice!$N$38,FALSE)*I139*D139</f>
        <v>0</v>
      </c>
      <c r="S139" s="223">
        <f t="shared" si="1"/>
        <v>9.0931979999999992</v>
      </c>
      <c r="T139" s="223">
        <f>HLOOKUP(H139,AA_Cimentacion,Indice!$N$39,FALSE)*I139*D139</f>
        <v>1.6998749999999998</v>
      </c>
      <c r="U139" s="223">
        <f>IF(H139=Indice!$M$29,D139*2,0)</f>
        <v>30.22</v>
      </c>
      <c r="V139" s="223">
        <f>IF(Y139="Mular",0,(K139-S139)*(1+Indice!$M$25))</f>
        <v>6.6295125000000024</v>
      </c>
      <c r="W139" s="223">
        <f>IF(Y139="Mular",(K139-S139)*(1+Indice!$M$25),0)</f>
        <v>0</v>
      </c>
      <c r="X139" s="223">
        <f t="shared" si="2"/>
        <v>1.6998749999999998</v>
      </c>
      <c r="Y139" s="223" t="s">
        <v>8</v>
      </c>
      <c r="Z139" s="223">
        <f t="shared" si="7"/>
        <v>0</v>
      </c>
      <c r="AA139" s="223">
        <v>0</v>
      </c>
      <c r="AB139" s="223">
        <v>0</v>
      </c>
      <c r="AC139" s="223">
        <f t="shared" si="4"/>
        <v>0</v>
      </c>
    </row>
    <row r="140" spans="1:29" s="212" customFormat="1" ht="12.75" customHeight="1" x14ac:dyDescent="0.25">
      <c r="A140" t="s">
        <v>1240</v>
      </c>
      <c r="B140" t="s">
        <v>1371</v>
      </c>
      <c r="C140" t="s">
        <v>1372</v>
      </c>
      <c r="D140">
        <v>15.76</v>
      </c>
      <c r="E140" s="199">
        <v>6</v>
      </c>
      <c r="F140" s="1050" t="s">
        <v>887</v>
      </c>
      <c r="G140" s="1050"/>
      <c r="H140" s="226" t="s">
        <v>20</v>
      </c>
      <c r="I140" s="223">
        <v>0.75</v>
      </c>
      <c r="J140" s="223">
        <f>HLOOKUP(H140,AA_Cimentacion,Indice!$N$31,FALSE)+((E140*25.4)/1000)+HLOOKUP(H140,AA_Cimentacion,Indice!$N$35,FALSE)</f>
        <v>1.2524000000000002</v>
      </c>
      <c r="K140" s="223">
        <f t="shared" si="5"/>
        <v>14.803368000000003</v>
      </c>
      <c r="L140" s="223">
        <f>HLOOKUP(H140,AA_Cimentacion,Indice!$N$32,FALSE)*K140</f>
        <v>0.74016840000000017</v>
      </c>
      <c r="M140" s="223">
        <f>HLOOKUP(H140,AA_Cimentacion,Indice!$N$33,FALSE)*K140</f>
        <v>0</v>
      </c>
      <c r="N140" s="223">
        <f>HLOOKUP(H140,AA_Cimentacion,Indice!$N$34,FALSE)*K140</f>
        <v>14.063199600000003</v>
      </c>
      <c r="O140" s="223">
        <f>HLOOKUP(H140,AA_Cimentacion,Indice!$N$35,FALSE)*I140*D140</f>
        <v>1.1820000000000002</v>
      </c>
      <c r="P140" s="223">
        <f>HLOOKUP(H140,AA_Cimentacion,Indice!$N$36,FALSE)*D140*I140</f>
        <v>2.3639999999999999</v>
      </c>
      <c r="Q140" s="223">
        <f>HLOOKUP(H140,AA_Cimentacion,Indice!$N$37,FALSE)*I140*D140</f>
        <v>0</v>
      </c>
      <c r="R140" s="223">
        <f>HLOOKUP(H140,AA_Cimentacion,Indice!$N$38,FALSE)*I140*D140</f>
        <v>0</v>
      </c>
      <c r="S140" s="223">
        <f t="shared" si="1"/>
        <v>9.4843680000000035</v>
      </c>
      <c r="T140" s="223">
        <f>HLOOKUP(H140,AA_Cimentacion,Indice!$N$39,FALSE)*I140*D140</f>
        <v>1.7729999999999999</v>
      </c>
      <c r="U140" s="223">
        <f>IF(H140=Indice!$M$29,D140*2,0)</f>
        <v>31.52</v>
      </c>
      <c r="V140" s="223">
        <f>IF(Y140="Mular",0,(K140-S140)*(1+Indice!$M$25))</f>
        <v>6.914699999999999</v>
      </c>
      <c r="W140" s="223">
        <f>IF(Y140="Mular",(K140-S140)*(1+Indice!$M$25),0)</f>
        <v>0</v>
      </c>
      <c r="X140" s="223">
        <f t="shared" si="2"/>
        <v>1.7729999999999999</v>
      </c>
      <c r="Y140" s="223" t="s">
        <v>8</v>
      </c>
      <c r="Z140" s="223">
        <f t="shared" si="7"/>
        <v>0</v>
      </c>
      <c r="AA140" s="223">
        <v>0</v>
      </c>
      <c r="AB140" s="223">
        <v>0</v>
      </c>
      <c r="AC140" s="223">
        <f t="shared" si="4"/>
        <v>0</v>
      </c>
    </row>
    <row r="141" spans="1:29" s="212" customFormat="1" ht="12.75" customHeight="1" x14ac:dyDescent="0.25">
      <c r="A141" t="s">
        <v>1241</v>
      </c>
      <c r="B141" t="s">
        <v>1372</v>
      </c>
      <c r="C141" t="s">
        <v>1373</v>
      </c>
      <c r="D141">
        <v>14.69</v>
      </c>
      <c r="E141" s="199">
        <v>6</v>
      </c>
      <c r="F141" s="1050" t="s">
        <v>887</v>
      </c>
      <c r="G141" s="1050"/>
      <c r="H141" s="226" t="s">
        <v>20</v>
      </c>
      <c r="I141" s="223">
        <v>0.75</v>
      </c>
      <c r="J141" s="223">
        <f>HLOOKUP(H141,AA_Cimentacion,Indice!$N$31,FALSE)+((E141*25.4)/1000)+HLOOKUP(H141,AA_Cimentacion,Indice!$N$35,FALSE)</f>
        <v>1.2524000000000002</v>
      </c>
      <c r="K141" s="223">
        <f t="shared" si="5"/>
        <v>13.798317000000001</v>
      </c>
      <c r="L141" s="223">
        <f>HLOOKUP(H141,AA_Cimentacion,Indice!$N$32,FALSE)*K141</f>
        <v>0.68991585000000011</v>
      </c>
      <c r="M141" s="223">
        <f>HLOOKUP(H141,AA_Cimentacion,Indice!$N$33,FALSE)*K141</f>
        <v>0</v>
      </c>
      <c r="N141" s="223">
        <f>HLOOKUP(H141,AA_Cimentacion,Indice!$N$34,FALSE)*K141</f>
        <v>13.108401150000001</v>
      </c>
      <c r="O141" s="223">
        <f>HLOOKUP(H141,AA_Cimentacion,Indice!$N$35,FALSE)*I141*D141</f>
        <v>1.1017500000000002</v>
      </c>
      <c r="P141" s="223">
        <f>HLOOKUP(H141,AA_Cimentacion,Indice!$N$36,FALSE)*D141*I141</f>
        <v>2.2035</v>
      </c>
      <c r="Q141" s="223">
        <f>HLOOKUP(H141,AA_Cimentacion,Indice!$N$37,FALSE)*I141*D141</f>
        <v>0</v>
      </c>
      <c r="R141" s="223">
        <f>HLOOKUP(H141,AA_Cimentacion,Indice!$N$38,FALSE)*I141*D141</f>
        <v>0</v>
      </c>
      <c r="S141" s="223">
        <f t="shared" si="1"/>
        <v>8.8404419999999995</v>
      </c>
      <c r="T141" s="223">
        <f>HLOOKUP(H141,AA_Cimentacion,Indice!$N$39,FALSE)*I141*D141</f>
        <v>1.6526249999999998</v>
      </c>
      <c r="U141" s="223">
        <f>IF(H141=Indice!$M$29,D141*2,0)</f>
        <v>29.38</v>
      </c>
      <c r="V141" s="223">
        <f>IF(Y141="Mular",0,(K141-S141)*(1+Indice!$M$25))</f>
        <v>6.445237500000002</v>
      </c>
      <c r="W141" s="223">
        <f>IF(Y141="Mular",(K141-S141)*(1+Indice!$M$25),0)</f>
        <v>0</v>
      </c>
      <c r="X141" s="223">
        <f t="shared" si="2"/>
        <v>1.6526249999999998</v>
      </c>
      <c r="Y141" s="223" t="s">
        <v>8</v>
      </c>
      <c r="Z141" s="223">
        <f t="shared" si="7"/>
        <v>0</v>
      </c>
      <c r="AA141" s="223">
        <v>0</v>
      </c>
      <c r="AB141" s="223">
        <v>0</v>
      </c>
      <c r="AC141" s="223">
        <f t="shared" si="4"/>
        <v>0</v>
      </c>
    </row>
    <row r="142" spans="1:29" s="212" customFormat="1" ht="12.75" customHeight="1" x14ac:dyDescent="0.25">
      <c r="A142" t="s">
        <v>1242</v>
      </c>
      <c r="B142" t="s">
        <v>1373</v>
      </c>
      <c r="C142" t="s">
        <v>1374</v>
      </c>
      <c r="D142">
        <v>16.53</v>
      </c>
      <c r="E142" s="199">
        <v>6</v>
      </c>
      <c r="F142" s="1050" t="s">
        <v>887</v>
      </c>
      <c r="G142" s="1050"/>
      <c r="H142" s="226" t="s">
        <v>20</v>
      </c>
      <c r="I142" s="223">
        <v>0.75</v>
      </c>
      <c r="J142" s="223">
        <f>HLOOKUP(H142,AA_Cimentacion,Indice!$N$31,FALSE)+((E142*25.4)/1000)+HLOOKUP(H142,AA_Cimentacion,Indice!$N$35,FALSE)</f>
        <v>1.2524000000000002</v>
      </c>
      <c r="K142" s="223">
        <f t="shared" si="5"/>
        <v>15.526629000000003</v>
      </c>
      <c r="L142" s="223">
        <f>HLOOKUP(H142,AA_Cimentacion,Indice!$N$32,FALSE)*K142</f>
        <v>0.77633145000000026</v>
      </c>
      <c r="M142" s="223">
        <f>HLOOKUP(H142,AA_Cimentacion,Indice!$N$33,FALSE)*K142</f>
        <v>0</v>
      </c>
      <c r="N142" s="223">
        <f>HLOOKUP(H142,AA_Cimentacion,Indice!$N$34,FALSE)*K142</f>
        <v>14.750297550000003</v>
      </c>
      <c r="O142" s="223">
        <f>HLOOKUP(H142,AA_Cimentacion,Indice!$N$35,FALSE)*I142*D142</f>
        <v>1.2397500000000004</v>
      </c>
      <c r="P142" s="223">
        <f>HLOOKUP(H142,AA_Cimentacion,Indice!$N$36,FALSE)*D142*I142</f>
        <v>2.4795000000000003</v>
      </c>
      <c r="Q142" s="223">
        <f>HLOOKUP(H142,AA_Cimentacion,Indice!$N$37,FALSE)*I142*D142</f>
        <v>0</v>
      </c>
      <c r="R142" s="223">
        <f>HLOOKUP(H142,AA_Cimentacion,Indice!$N$38,FALSE)*I142*D142</f>
        <v>0</v>
      </c>
      <c r="S142" s="223">
        <f t="shared" si="1"/>
        <v>9.9477540000000033</v>
      </c>
      <c r="T142" s="223">
        <f>HLOOKUP(H142,AA_Cimentacion,Indice!$N$39,FALSE)*I142*D142</f>
        <v>1.8596249999999999</v>
      </c>
      <c r="U142" s="223">
        <f>IF(H142=Indice!$M$29,D142*2,0)</f>
        <v>33.06</v>
      </c>
      <c r="V142" s="223">
        <f>IF(Y142="Mular",0,(K142-S142)*(1+Indice!$M$25))</f>
        <v>7.2525374999999999</v>
      </c>
      <c r="W142" s="223">
        <f>IF(Y142="Mular",(K142-S142)*(1+Indice!$M$25),0)</f>
        <v>0</v>
      </c>
      <c r="X142" s="223">
        <f t="shared" si="2"/>
        <v>1.8596249999999999</v>
      </c>
      <c r="Y142" s="223" t="s">
        <v>8</v>
      </c>
      <c r="Z142" s="223">
        <f t="shared" si="7"/>
        <v>0</v>
      </c>
      <c r="AA142" s="223">
        <v>0</v>
      </c>
      <c r="AB142" s="223">
        <v>0</v>
      </c>
      <c r="AC142" s="223">
        <f t="shared" si="4"/>
        <v>0</v>
      </c>
    </row>
    <row r="143" spans="1:29" s="212" customFormat="1" ht="12.75" customHeight="1" x14ac:dyDescent="0.25">
      <c r="A143" t="s">
        <v>1243</v>
      </c>
      <c r="B143" t="s">
        <v>1374</v>
      </c>
      <c r="C143" t="s">
        <v>1375</v>
      </c>
      <c r="D143">
        <v>27.11</v>
      </c>
      <c r="E143" s="199">
        <v>6</v>
      </c>
      <c r="F143" s="1050" t="s">
        <v>887</v>
      </c>
      <c r="G143" s="1050"/>
      <c r="H143" s="226" t="s">
        <v>20</v>
      </c>
      <c r="I143" s="223">
        <v>0.75</v>
      </c>
      <c r="J143" s="223">
        <f>HLOOKUP(H143,AA_Cimentacion,Indice!$N$31,FALSE)+((E143*25.4)/1000)+HLOOKUP(H143,AA_Cimentacion,Indice!$N$35,FALSE)</f>
        <v>1.2524000000000002</v>
      </c>
      <c r="K143" s="223">
        <f t="shared" si="5"/>
        <v>25.464423000000004</v>
      </c>
      <c r="L143" s="223">
        <f>HLOOKUP(H143,AA_Cimentacion,Indice!$N$32,FALSE)*K143</f>
        <v>1.2732211500000004</v>
      </c>
      <c r="M143" s="223">
        <f>HLOOKUP(H143,AA_Cimentacion,Indice!$N$33,FALSE)*K143</f>
        <v>0</v>
      </c>
      <c r="N143" s="223">
        <f>HLOOKUP(H143,AA_Cimentacion,Indice!$N$34,FALSE)*K143</f>
        <v>24.191201850000002</v>
      </c>
      <c r="O143" s="223">
        <f>HLOOKUP(H143,AA_Cimentacion,Indice!$N$35,FALSE)*I143*D143</f>
        <v>2.0332500000000002</v>
      </c>
      <c r="P143" s="223">
        <f>HLOOKUP(H143,AA_Cimentacion,Indice!$N$36,FALSE)*D143*I143</f>
        <v>4.0665000000000004</v>
      </c>
      <c r="Q143" s="223">
        <f>HLOOKUP(H143,AA_Cimentacion,Indice!$N$37,FALSE)*I143*D143</f>
        <v>0</v>
      </c>
      <c r="R143" s="223">
        <f>HLOOKUP(H143,AA_Cimentacion,Indice!$N$38,FALSE)*I143*D143</f>
        <v>0</v>
      </c>
      <c r="S143" s="223">
        <f t="shared" si="1"/>
        <v>16.314798000000003</v>
      </c>
      <c r="T143" s="223">
        <f>HLOOKUP(H143,AA_Cimentacion,Indice!$N$39,FALSE)*I143*D143</f>
        <v>3.0498749999999997</v>
      </c>
      <c r="U143" s="223">
        <f>IF(H143=Indice!$M$29,D143*2,0)</f>
        <v>54.22</v>
      </c>
      <c r="V143" s="223">
        <f>IF(Y143="Mular",0,(K143-S143)*(1+Indice!$M$25))</f>
        <v>11.894512500000001</v>
      </c>
      <c r="W143" s="223">
        <f>IF(Y143="Mular",(K143-S143)*(1+Indice!$M$25),0)</f>
        <v>0</v>
      </c>
      <c r="X143" s="223">
        <f t="shared" si="2"/>
        <v>3.0498749999999997</v>
      </c>
      <c r="Y143" s="223" t="s">
        <v>8</v>
      </c>
      <c r="Z143" s="223">
        <f t="shared" si="7"/>
        <v>0</v>
      </c>
      <c r="AA143" s="223">
        <v>0</v>
      </c>
      <c r="AB143" s="223">
        <v>0</v>
      </c>
      <c r="AC143" s="223">
        <f t="shared" si="4"/>
        <v>0</v>
      </c>
    </row>
    <row r="144" spans="1:29" s="212" customFormat="1" ht="12.75" customHeight="1" x14ac:dyDescent="0.25">
      <c r="A144" t="s">
        <v>1244</v>
      </c>
      <c r="B144" t="s">
        <v>1375</v>
      </c>
      <c r="C144" t="s">
        <v>1376</v>
      </c>
      <c r="D144">
        <v>41.54</v>
      </c>
      <c r="E144" s="199">
        <v>6</v>
      </c>
      <c r="F144" s="1050" t="s">
        <v>887</v>
      </c>
      <c r="G144" s="1050"/>
      <c r="H144" s="226" t="s">
        <v>20</v>
      </c>
      <c r="I144" s="223">
        <v>0.75</v>
      </c>
      <c r="J144" s="223">
        <f>HLOOKUP(H144,AA_Cimentacion,Indice!$N$31,FALSE)+((E144*25.4)/1000)+HLOOKUP(H144,AA_Cimentacion,Indice!$N$35,FALSE)</f>
        <v>1.2524000000000002</v>
      </c>
      <c r="K144" s="223">
        <f t="shared" si="5"/>
        <v>39.018522000000004</v>
      </c>
      <c r="L144" s="223">
        <f>HLOOKUP(H144,AA_Cimentacion,Indice!$N$32,FALSE)*K144</f>
        <v>1.9509261000000002</v>
      </c>
      <c r="M144" s="223">
        <f>HLOOKUP(H144,AA_Cimentacion,Indice!$N$33,FALSE)*K144</f>
        <v>0</v>
      </c>
      <c r="N144" s="223">
        <f>HLOOKUP(H144,AA_Cimentacion,Indice!$N$34,FALSE)*K144</f>
        <v>37.067595900000001</v>
      </c>
      <c r="O144" s="223">
        <f>HLOOKUP(H144,AA_Cimentacion,Indice!$N$35,FALSE)*I144*D144</f>
        <v>3.1155000000000004</v>
      </c>
      <c r="P144" s="223">
        <f>HLOOKUP(H144,AA_Cimentacion,Indice!$N$36,FALSE)*D144*I144</f>
        <v>6.2309999999999999</v>
      </c>
      <c r="Q144" s="223">
        <f>HLOOKUP(H144,AA_Cimentacion,Indice!$N$37,FALSE)*I144*D144</f>
        <v>0</v>
      </c>
      <c r="R144" s="223">
        <f>HLOOKUP(H144,AA_Cimentacion,Indice!$N$38,FALSE)*I144*D144</f>
        <v>0</v>
      </c>
      <c r="S144" s="223">
        <f t="shared" si="1"/>
        <v>24.998772000000006</v>
      </c>
      <c r="T144" s="223">
        <f>HLOOKUP(H144,AA_Cimentacion,Indice!$N$39,FALSE)*I144*D144</f>
        <v>4.6732499999999995</v>
      </c>
      <c r="U144" s="223">
        <f>IF(H144=Indice!$M$29,D144*2,0)</f>
        <v>83.08</v>
      </c>
      <c r="V144" s="223">
        <f>IF(Y144="Mular",0,(K144-S144)*(1+Indice!$M$25))</f>
        <v>18.225674999999999</v>
      </c>
      <c r="W144" s="223">
        <f>IF(Y144="Mular",(K144-S144)*(1+Indice!$M$25),0)</f>
        <v>0</v>
      </c>
      <c r="X144" s="223">
        <f t="shared" si="2"/>
        <v>4.6732499999999995</v>
      </c>
      <c r="Y144" s="223" t="s">
        <v>8</v>
      </c>
      <c r="Z144" s="223">
        <f t="shared" si="7"/>
        <v>0</v>
      </c>
      <c r="AA144" s="223">
        <v>0</v>
      </c>
      <c r="AB144" s="223">
        <v>0</v>
      </c>
      <c r="AC144" s="223">
        <f t="shared" si="4"/>
        <v>0</v>
      </c>
    </row>
    <row r="145" spans="1:29" s="212" customFormat="1" ht="12.75" customHeight="1" x14ac:dyDescent="0.25">
      <c r="A145" t="s">
        <v>1245</v>
      </c>
      <c r="B145" t="s">
        <v>1376</v>
      </c>
      <c r="C145" t="s">
        <v>1377</v>
      </c>
      <c r="D145">
        <v>25.49</v>
      </c>
      <c r="E145" s="199">
        <v>6</v>
      </c>
      <c r="F145" s="1050" t="s">
        <v>887</v>
      </c>
      <c r="G145" s="1050"/>
      <c r="H145" s="226" t="s">
        <v>20</v>
      </c>
      <c r="I145" s="223">
        <v>0.75</v>
      </c>
      <c r="J145" s="223">
        <f>HLOOKUP(H145,AA_Cimentacion,Indice!$N$31,FALSE)+((E145*25.4)/1000)+HLOOKUP(H145,AA_Cimentacion,Indice!$N$35,FALSE)</f>
        <v>1.2524000000000002</v>
      </c>
      <c r="K145" s="223">
        <f t="shared" si="5"/>
        <v>23.942757</v>
      </c>
      <c r="L145" s="223">
        <f>HLOOKUP(H145,AA_Cimentacion,Indice!$N$32,FALSE)*K145</f>
        <v>1.1971378500000001</v>
      </c>
      <c r="M145" s="223">
        <f>HLOOKUP(H145,AA_Cimentacion,Indice!$N$33,FALSE)*K145</f>
        <v>0</v>
      </c>
      <c r="N145" s="223">
        <f>HLOOKUP(H145,AA_Cimentacion,Indice!$N$34,FALSE)*K145</f>
        <v>22.74561915</v>
      </c>
      <c r="O145" s="223">
        <f>HLOOKUP(H145,AA_Cimentacion,Indice!$N$35,FALSE)*I145*D145</f>
        <v>1.9117500000000001</v>
      </c>
      <c r="P145" s="223">
        <f>HLOOKUP(H145,AA_Cimentacion,Indice!$N$36,FALSE)*D145*I145</f>
        <v>3.8235000000000001</v>
      </c>
      <c r="Q145" s="223">
        <f>HLOOKUP(H145,AA_Cimentacion,Indice!$N$37,FALSE)*I145*D145</f>
        <v>0</v>
      </c>
      <c r="R145" s="223">
        <f>HLOOKUP(H145,AA_Cimentacion,Indice!$N$38,FALSE)*I145*D145</f>
        <v>0</v>
      </c>
      <c r="S145" s="223">
        <f t="shared" si="1"/>
        <v>15.339881999999999</v>
      </c>
      <c r="T145" s="223">
        <f>HLOOKUP(H145,AA_Cimentacion,Indice!$N$39,FALSE)*I145*D145</f>
        <v>2.8676249999999994</v>
      </c>
      <c r="U145" s="223">
        <f>IF(H145=Indice!$M$29,D145*2,0)</f>
        <v>50.98</v>
      </c>
      <c r="V145" s="223">
        <f>IF(Y145="Mular",0,(K145-S145)*(1+Indice!$M$25))</f>
        <v>11.183737500000001</v>
      </c>
      <c r="W145" s="223">
        <f>IF(Y145="Mular",(K145-S145)*(1+Indice!$M$25),0)</f>
        <v>0</v>
      </c>
      <c r="X145" s="223">
        <f t="shared" si="2"/>
        <v>2.8676249999999994</v>
      </c>
      <c r="Y145" s="223" t="s">
        <v>8</v>
      </c>
      <c r="Z145" s="223">
        <f t="shared" si="7"/>
        <v>0</v>
      </c>
      <c r="AA145" s="223">
        <v>0</v>
      </c>
      <c r="AB145" s="223">
        <v>0</v>
      </c>
      <c r="AC145" s="223">
        <f t="shared" si="4"/>
        <v>0</v>
      </c>
    </row>
    <row r="146" spans="1:29" s="212" customFormat="1" ht="12.75" customHeight="1" x14ac:dyDescent="0.25">
      <c r="A146" t="s">
        <v>1246</v>
      </c>
      <c r="B146" t="s">
        <v>1377</v>
      </c>
      <c r="C146" t="s">
        <v>1378</v>
      </c>
      <c r="D146">
        <v>26.8</v>
      </c>
      <c r="E146" s="199">
        <v>6</v>
      </c>
      <c r="F146" s="1050" t="s">
        <v>887</v>
      </c>
      <c r="G146" s="1050"/>
      <c r="H146" s="226" t="s">
        <v>20</v>
      </c>
      <c r="I146" s="223">
        <v>0.75</v>
      </c>
      <c r="J146" s="223">
        <f>HLOOKUP(H146,AA_Cimentacion,Indice!$N$31,FALSE)+((E146*25.4)/1000)+HLOOKUP(H146,AA_Cimentacion,Indice!$N$35,FALSE)</f>
        <v>1.2524000000000002</v>
      </c>
      <c r="K146" s="223">
        <f t="shared" si="5"/>
        <v>25.173240000000003</v>
      </c>
      <c r="L146" s="223">
        <f>HLOOKUP(H146,AA_Cimentacion,Indice!$N$32,FALSE)*K146</f>
        <v>1.2586620000000002</v>
      </c>
      <c r="M146" s="223">
        <f>HLOOKUP(H146,AA_Cimentacion,Indice!$N$33,FALSE)*K146</f>
        <v>0</v>
      </c>
      <c r="N146" s="223">
        <f>HLOOKUP(H146,AA_Cimentacion,Indice!$N$34,FALSE)*K146</f>
        <v>23.914578000000002</v>
      </c>
      <c r="O146" s="223">
        <f>HLOOKUP(H146,AA_Cimentacion,Indice!$N$35,FALSE)*I146*D146</f>
        <v>2.0100000000000002</v>
      </c>
      <c r="P146" s="223">
        <f>HLOOKUP(H146,AA_Cimentacion,Indice!$N$36,FALSE)*D146*I146</f>
        <v>4.0200000000000005</v>
      </c>
      <c r="Q146" s="223">
        <f>HLOOKUP(H146,AA_Cimentacion,Indice!$N$37,FALSE)*I146*D146</f>
        <v>0</v>
      </c>
      <c r="R146" s="223">
        <f>HLOOKUP(H146,AA_Cimentacion,Indice!$N$38,FALSE)*I146*D146</f>
        <v>0</v>
      </c>
      <c r="S146" s="223">
        <f t="shared" si="1"/>
        <v>16.128240000000002</v>
      </c>
      <c r="T146" s="223">
        <f>HLOOKUP(H146,AA_Cimentacion,Indice!$N$39,FALSE)*I146*D146</f>
        <v>3.0149999999999997</v>
      </c>
      <c r="U146" s="223">
        <f>IF(H146=Indice!$M$29,D146*2,0)</f>
        <v>53.6</v>
      </c>
      <c r="V146" s="223">
        <f>IF(Y146="Mular",0,(K146-S146)*(1+Indice!$M$25))</f>
        <v>11.758500000000003</v>
      </c>
      <c r="W146" s="223">
        <f>IF(Y146="Mular",(K146-S146)*(1+Indice!$M$25),0)</f>
        <v>0</v>
      </c>
      <c r="X146" s="223">
        <f t="shared" si="2"/>
        <v>3.0149999999999997</v>
      </c>
      <c r="Y146" s="223" t="s">
        <v>8</v>
      </c>
      <c r="Z146" s="223">
        <f t="shared" si="7"/>
        <v>0</v>
      </c>
      <c r="AA146" s="223">
        <v>0</v>
      </c>
      <c r="AB146" s="223">
        <v>0</v>
      </c>
      <c r="AC146" s="223">
        <f t="shared" si="4"/>
        <v>0</v>
      </c>
    </row>
    <row r="147" spans="1:29" s="212" customFormat="1" ht="12.75" customHeight="1" x14ac:dyDescent="0.25">
      <c r="A147" t="s">
        <v>1247</v>
      </c>
      <c r="B147" t="s">
        <v>1378</v>
      </c>
      <c r="C147" t="s">
        <v>1379</v>
      </c>
      <c r="D147">
        <v>18.100000000000001</v>
      </c>
      <c r="E147" s="199">
        <v>6</v>
      </c>
      <c r="F147" s="1050" t="s">
        <v>887</v>
      </c>
      <c r="G147" s="1050"/>
      <c r="H147" s="226" t="s">
        <v>20</v>
      </c>
      <c r="I147" s="223">
        <v>0.75</v>
      </c>
      <c r="J147" s="223">
        <f>HLOOKUP(H147,AA_Cimentacion,Indice!$N$31,FALSE)+((E147*25.4)/1000)+HLOOKUP(H147,AA_Cimentacion,Indice!$N$35,FALSE)</f>
        <v>1.2524000000000002</v>
      </c>
      <c r="K147" s="223">
        <f t="shared" si="5"/>
        <v>17.001330000000003</v>
      </c>
      <c r="L147" s="223">
        <f>HLOOKUP(H147,AA_Cimentacion,Indice!$N$32,FALSE)*K147</f>
        <v>0.85006650000000017</v>
      </c>
      <c r="M147" s="223">
        <f>HLOOKUP(H147,AA_Cimentacion,Indice!$N$33,FALSE)*K147</f>
        <v>0</v>
      </c>
      <c r="N147" s="223">
        <f>HLOOKUP(H147,AA_Cimentacion,Indice!$N$34,FALSE)*K147</f>
        <v>16.151263500000002</v>
      </c>
      <c r="O147" s="223">
        <f>HLOOKUP(H147,AA_Cimentacion,Indice!$N$35,FALSE)*I147*D147</f>
        <v>1.3575000000000004</v>
      </c>
      <c r="P147" s="223">
        <f>HLOOKUP(H147,AA_Cimentacion,Indice!$N$36,FALSE)*D147*I147</f>
        <v>2.7150000000000003</v>
      </c>
      <c r="Q147" s="223">
        <f>HLOOKUP(H147,AA_Cimentacion,Indice!$N$37,FALSE)*I147*D147</f>
        <v>0</v>
      </c>
      <c r="R147" s="223">
        <f>HLOOKUP(H147,AA_Cimentacion,Indice!$N$38,FALSE)*I147*D147</f>
        <v>0</v>
      </c>
      <c r="S147" s="223">
        <f t="shared" si="1"/>
        <v>10.892580000000002</v>
      </c>
      <c r="T147" s="223">
        <f>HLOOKUP(H147,AA_Cimentacion,Indice!$N$39,FALSE)*I147*D147</f>
        <v>2.0362499999999999</v>
      </c>
      <c r="U147" s="223">
        <f>IF(H147=Indice!$M$29,D147*2,0)</f>
        <v>36.200000000000003</v>
      </c>
      <c r="V147" s="223">
        <f>IF(Y147="Mular",0,(K147-S147)*(1+Indice!$M$25))</f>
        <v>7.9413750000000007</v>
      </c>
      <c r="W147" s="223">
        <f>IF(Y147="Mular",(K147-S147)*(1+Indice!$M$25),0)</f>
        <v>0</v>
      </c>
      <c r="X147" s="223">
        <f t="shared" si="2"/>
        <v>2.0362499999999999</v>
      </c>
      <c r="Y147" s="223" t="s">
        <v>8</v>
      </c>
      <c r="Z147" s="223">
        <f t="shared" si="7"/>
        <v>0</v>
      </c>
      <c r="AA147" s="223">
        <v>0</v>
      </c>
      <c r="AB147" s="223">
        <v>0</v>
      </c>
      <c r="AC147" s="223">
        <f t="shared" si="4"/>
        <v>0</v>
      </c>
    </row>
    <row r="148" spans="1:29" s="212" customFormat="1" ht="12.75" customHeight="1" x14ac:dyDescent="0.25">
      <c r="A148" t="s">
        <v>1248</v>
      </c>
      <c r="B148" t="s">
        <v>1379</v>
      </c>
      <c r="C148" t="s">
        <v>1380</v>
      </c>
      <c r="D148">
        <v>23.28</v>
      </c>
      <c r="E148" s="199">
        <v>6</v>
      </c>
      <c r="F148" s="1050" t="s">
        <v>887</v>
      </c>
      <c r="G148" s="1050"/>
      <c r="H148" s="226" t="s">
        <v>20</v>
      </c>
      <c r="I148" s="223">
        <v>0.75</v>
      </c>
      <c r="J148" s="223">
        <f>HLOOKUP(H148,AA_Cimentacion,Indice!$N$31,FALSE)+((E148*25.4)/1000)+HLOOKUP(H148,AA_Cimentacion,Indice!$N$35,FALSE)</f>
        <v>1.2524000000000002</v>
      </c>
      <c r="K148" s="223">
        <f t="shared" si="5"/>
        <v>21.866904000000005</v>
      </c>
      <c r="L148" s="223">
        <f>HLOOKUP(H148,AA_Cimentacion,Indice!$N$32,FALSE)*K148</f>
        <v>1.0933452000000004</v>
      </c>
      <c r="M148" s="223">
        <f>HLOOKUP(H148,AA_Cimentacion,Indice!$N$33,FALSE)*K148</f>
        <v>0</v>
      </c>
      <c r="N148" s="223">
        <f>HLOOKUP(H148,AA_Cimentacion,Indice!$N$34,FALSE)*K148</f>
        <v>20.773558800000004</v>
      </c>
      <c r="O148" s="223">
        <f>HLOOKUP(H148,AA_Cimentacion,Indice!$N$35,FALSE)*I148*D148</f>
        <v>1.7460000000000004</v>
      </c>
      <c r="P148" s="223">
        <f>HLOOKUP(H148,AA_Cimentacion,Indice!$N$36,FALSE)*D148*I148</f>
        <v>3.4920000000000004</v>
      </c>
      <c r="Q148" s="223">
        <f>HLOOKUP(H148,AA_Cimentacion,Indice!$N$37,FALSE)*I148*D148</f>
        <v>0</v>
      </c>
      <c r="R148" s="223">
        <f>HLOOKUP(H148,AA_Cimentacion,Indice!$N$38,FALSE)*I148*D148</f>
        <v>0</v>
      </c>
      <c r="S148" s="223">
        <f t="shared" si="1"/>
        <v>14.009904000000002</v>
      </c>
      <c r="T148" s="223">
        <f>HLOOKUP(H148,AA_Cimentacion,Indice!$N$39,FALSE)*I148*D148</f>
        <v>2.6189999999999998</v>
      </c>
      <c r="U148" s="223">
        <f>IF(H148=Indice!$M$29,D148*2,0)</f>
        <v>46.56</v>
      </c>
      <c r="V148" s="223">
        <f>IF(Y148="Mular",0,(K148-S148)*(1+Indice!$M$25))</f>
        <v>10.214100000000004</v>
      </c>
      <c r="W148" s="223">
        <f>IF(Y148="Mular",(K148-S148)*(1+Indice!$M$25),0)</f>
        <v>0</v>
      </c>
      <c r="X148" s="223">
        <f t="shared" si="2"/>
        <v>2.6189999999999998</v>
      </c>
      <c r="Y148" s="223" t="s">
        <v>8</v>
      </c>
      <c r="Z148" s="223">
        <f t="shared" si="7"/>
        <v>0</v>
      </c>
      <c r="AA148" s="223">
        <v>0</v>
      </c>
      <c r="AB148" s="223">
        <v>0</v>
      </c>
      <c r="AC148" s="223">
        <f t="shared" si="4"/>
        <v>0</v>
      </c>
    </row>
    <row r="149" spans="1:29" s="212" customFormat="1" ht="12.75" customHeight="1" x14ac:dyDescent="0.25">
      <c r="A149" t="s">
        <v>1249</v>
      </c>
      <c r="B149" t="s">
        <v>1380</v>
      </c>
      <c r="C149" t="s">
        <v>1381</v>
      </c>
      <c r="D149">
        <v>29.45</v>
      </c>
      <c r="E149" s="199">
        <v>6</v>
      </c>
      <c r="F149" s="1050" t="s">
        <v>887</v>
      </c>
      <c r="G149" s="1050"/>
      <c r="H149" s="226" t="s">
        <v>20</v>
      </c>
      <c r="I149" s="223">
        <v>0.75</v>
      </c>
      <c r="J149" s="223">
        <f>HLOOKUP(H149,AA_Cimentacion,Indice!$N$31,FALSE)+((E149*25.4)/1000)+HLOOKUP(H149,AA_Cimentacion,Indice!$N$35,FALSE)</f>
        <v>1.2524000000000002</v>
      </c>
      <c r="K149" s="223">
        <f t="shared" si="5"/>
        <v>27.662385000000004</v>
      </c>
      <c r="L149" s="223">
        <f>HLOOKUP(H149,AA_Cimentacion,Indice!$N$32,FALSE)*K149</f>
        <v>1.3831192500000002</v>
      </c>
      <c r="M149" s="223">
        <f>HLOOKUP(H149,AA_Cimentacion,Indice!$N$33,FALSE)*K149</f>
        <v>0</v>
      </c>
      <c r="N149" s="223">
        <f>HLOOKUP(H149,AA_Cimentacion,Indice!$N$34,FALSE)*K149</f>
        <v>26.279265750000004</v>
      </c>
      <c r="O149" s="223">
        <f>HLOOKUP(H149,AA_Cimentacion,Indice!$N$35,FALSE)*I149*D149</f>
        <v>2.2087500000000002</v>
      </c>
      <c r="P149" s="223">
        <f>HLOOKUP(H149,AA_Cimentacion,Indice!$N$36,FALSE)*D149*I149</f>
        <v>4.4175000000000004</v>
      </c>
      <c r="Q149" s="223">
        <f>HLOOKUP(H149,AA_Cimentacion,Indice!$N$37,FALSE)*I149*D149</f>
        <v>0</v>
      </c>
      <c r="R149" s="223">
        <f>HLOOKUP(H149,AA_Cimentacion,Indice!$N$38,FALSE)*I149*D149</f>
        <v>0</v>
      </c>
      <c r="S149" s="223">
        <f t="shared" si="1"/>
        <v>17.723010000000006</v>
      </c>
      <c r="T149" s="223">
        <f>HLOOKUP(H149,AA_Cimentacion,Indice!$N$39,FALSE)*I149*D149</f>
        <v>3.3131249999999994</v>
      </c>
      <c r="U149" s="223">
        <f>IF(H149=Indice!$M$29,D149*2,0)</f>
        <v>58.9</v>
      </c>
      <c r="V149" s="223">
        <f>IF(Y149="Mular",0,(K149-S149)*(1+Indice!$M$25))</f>
        <v>12.921187499999998</v>
      </c>
      <c r="W149" s="223">
        <f>IF(Y149="Mular",(K149-S149)*(1+Indice!$M$25),0)</f>
        <v>0</v>
      </c>
      <c r="X149" s="223">
        <f t="shared" si="2"/>
        <v>3.3131249999999994</v>
      </c>
      <c r="Y149" s="223" t="s">
        <v>8</v>
      </c>
      <c r="Z149" s="223">
        <f t="shared" si="7"/>
        <v>0</v>
      </c>
      <c r="AA149" s="223">
        <v>0</v>
      </c>
      <c r="AB149" s="223">
        <v>0</v>
      </c>
      <c r="AC149" s="223">
        <f t="shared" si="4"/>
        <v>0</v>
      </c>
    </row>
    <row r="150" spans="1:29" s="212" customFormat="1" ht="12.75" customHeight="1" x14ac:dyDescent="0.25">
      <c r="A150" t="s">
        <v>1250</v>
      </c>
      <c r="B150" t="s">
        <v>1381</v>
      </c>
      <c r="C150" t="s">
        <v>1382</v>
      </c>
      <c r="D150">
        <v>28.44</v>
      </c>
      <c r="E150" s="199">
        <v>6</v>
      </c>
      <c r="F150" s="1050" t="s">
        <v>887</v>
      </c>
      <c r="G150" s="1050"/>
      <c r="H150" s="226" t="s">
        <v>20</v>
      </c>
      <c r="I150" s="223">
        <v>0.75</v>
      </c>
      <c r="J150" s="223">
        <f>HLOOKUP(H150,AA_Cimentacion,Indice!$N$31,FALSE)+((E150*25.4)/1000)+HLOOKUP(H150,AA_Cimentacion,Indice!$N$35,FALSE)</f>
        <v>1.2524000000000002</v>
      </c>
      <c r="K150" s="223">
        <f t="shared" si="5"/>
        <v>26.713692000000005</v>
      </c>
      <c r="L150" s="223">
        <f>HLOOKUP(H150,AA_Cimentacion,Indice!$N$32,FALSE)*K150</f>
        <v>1.3356846000000004</v>
      </c>
      <c r="M150" s="223">
        <f>HLOOKUP(H150,AA_Cimentacion,Indice!$N$33,FALSE)*K150</f>
        <v>0</v>
      </c>
      <c r="N150" s="223">
        <f>HLOOKUP(H150,AA_Cimentacion,Indice!$N$34,FALSE)*K150</f>
        <v>25.378007400000005</v>
      </c>
      <c r="O150" s="223">
        <f>HLOOKUP(H150,AA_Cimentacion,Indice!$N$35,FALSE)*I150*D150</f>
        <v>2.1330000000000005</v>
      </c>
      <c r="P150" s="223">
        <f>HLOOKUP(H150,AA_Cimentacion,Indice!$N$36,FALSE)*D150*I150</f>
        <v>4.266</v>
      </c>
      <c r="Q150" s="223">
        <f>HLOOKUP(H150,AA_Cimentacion,Indice!$N$37,FALSE)*I150*D150</f>
        <v>0</v>
      </c>
      <c r="R150" s="223">
        <f>HLOOKUP(H150,AA_Cimentacion,Indice!$N$38,FALSE)*I150*D150</f>
        <v>0</v>
      </c>
      <c r="S150" s="223">
        <f t="shared" si="1"/>
        <v>17.115192000000008</v>
      </c>
      <c r="T150" s="223">
        <f>HLOOKUP(H150,AA_Cimentacion,Indice!$N$39,FALSE)*I150*D150</f>
        <v>3.1995</v>
      </c>
      <c r="U150" s="223">
        <f>IF(H150=Indice!$M$29,D150*2,0)</f>
        <v>56.88</v>
      </c>
      <c r="V150" s="223">
        <f>IF(Y150="Mular",0,(K150-S150)*(1+Indice!$M$25))</f>
        <v>12.478049999999998</v>
      </c>
      <c r="W150" s="223">
        <f>IF(Y150="Mular",(K150-S150)*(1+Indice!$M$25),0)</f>
        <v>0</v>
      </c>
      <c r="X150" s="223">
        <f t="shared" si="2"/>
        <v>3.1995</v>
      </c>
      <c r="Y150" s="223" t="s">
        <v>8</v>
      </c>
      <c r="Z150" s="223">
        <f t="shared" si="7"/>
        <v>0</v>
      </c>
      <c r="AA150" s="223">
        <v>0</v>
      </c>
      <c r="AB150" s="223">
        <v>0</v>
      </c>
      <c r="AC150" s="223">
        <f t="shared" si="4"/>
        <v>0</v>
      </c>
    </row>
    <row r="151" spans="1:29" s="212" customFormat="1" ht="12.75" customHeight="1" x14ac:dyDescent="0.25">
      <c r="A151" t="s">
        <v>1251</v>
      </c>
      <c r="B151" t="s">
        <v>1382</v>
      </c>
      <c r="C151" t="s">
        <v>1383</v>
      </c>
      <c r="D151">
        <v>31.34</v>
      </c>
      <c r="E151" s="199">
        <v>6</v>
      </c>
      <c r="F151" s="1050" t="s">
        <v>887</v>
      </c>
      <c r="G151" s="1050"/>
      <c r="H151" s="226" t="s">
        <v>20</v>
      </c>
      <c r="I151" s="223">
        <v>0.75</v>
      </c>
      <c r="J151" s="223">
        <f>HLOOKUP(H151,AA_Cimentacion,Indice!$N$31,FALSE)+((E151*25.4)/1000)+HLOOKUP(H151,AA_Cimentacion,Indice!$N$35,FALSE)</f>
        <v>1.2524000000000002</v>
      </c>
      <c r="K151" s="223">
        <f t="shared" si="5"/>
        <v>29.437662000000003</v>
      </c>
      <c r="L151" s="223">
        <f>HLOOKUP(H151,AA_Cimentacion,Indice!$N$32,FALSE)*K151</f>
        <v>1.4718831000000003</v>
      </c>
      <c r="M151" s="223">
        <f>HLOOKUP(H151,AA_Cimentacion,Indice!$N$33,FALSE)*K151</f>
        <v>0</v>
      </c>
      <c r="N151" s="223">
        <f>HLOOKUP(H151,AA_Cimentacion,Indice!$N$34,FALSE)*K151</f>
        <v>27.9657789</v>
      </c>
      <c r="O151" s="223">
        <f>HLOOKUP(H151,AA_Cimentacion,Indice!$N$35,FALSE)*I151*D151</f>
        <v>2.3505000000000003</v>
      </c>
      <c r="P151" s="223">
        <f>HLOOKUP(H151,AA_Cimentacion,Indice!$N$36,FALSE)*D151*I151</f>
        <v>4.7010000000000005</v>
      </c>
      <c r="Q151" s="223">
        <f>HLOOKUP(H151,AA_Cimentacion,Indice!$N$37,FALSE)*I151*D151</f>
        <v>0</v>
      </c>
      <c r="R151" s="223">
        <f>HLOOKUP(H151,AA_Cimentacion,Indice!$N$38,FALSE)*I151*D151</f>
        <v>0</v>
      </c>
      <c r="S151" s="223">
        <f t="shared" si="1"/>
        <v>18.860412000000004</v>
      </c>
      <c r="T151" s="223">
        <f>HLOOKUP(H151,AA_Cimentacion,Indice!$N$39,FALSE)*I151*D151</f>
        <v>3.5257499999999995</v>
      </c>
      <c r="U151" s="223">
        <f>IF(H151=Indice!$M$29,D151*2,0)</f>
        <v>62.68</v>
      </c>
      <c r="V151" s="223">
        <f>IF(Y151="Mular",0,(K151-S151)*(1+Indice!$M$25))</f>
        <v>13.750425</v>
      </c>
      <c r="W151" s="223">
        <f>IF(Y151="Mular",(K151-S151)*(1+Indice!$M$25),0)</f>
        <v>0</v>
      </c>
      <c r="X151" s="223">
        <f t="shared" si="2"/>
        <v>3.5257499999999995</v>
      </c>
      <c r="Y151" s="223" t="s">
        <v>8</v>
      </c>
      <c r="Z151" s="223">
        <f t="shared" si="7"/>
        <v>0</v>
      </c>
      <c r="AA151" s="223">
        <v>0</v>
      </c>
      <c r="AB151" s="223">
        <v>0</v>
      </c>
      <c r="AC151" s="223">
        <f t="shared" si="4"/>
        <v>0</v>
      </c>
    </row>
    <row r="152" spans="1:29" s="212" customFormat="1" ht="12.75" customHeight="1" x14ac:dyDescent="0.25">
      <c r="A152" t="s">
        <v>1895</v>
      </c>
      <c r="B152" t="s">
        <v>1383</v>
      </c>
      <c r="C152" t="s">
        <v>1384</v>
      </c>
      <c r="D152">
        <v>46.71</v>
      </c>
      <c r="E152" s="199">
        <v>6</v>
      </c>
      <c r="F152" s="1050" t="s">
        <v>887</v>
      </c>
      <c r="G152" s="1050"/>
      <c r="H152" s="226" t="s">
        <v>20</v>
      </c>
      <c r="I152" s="223">
        <v>0.75</v>
      </c>
      <c r="J152" s="223">
        <f>HLOOKUP(H152,AA_Cimentacion,Indice!$N$31,FALSE)+((E152*25.4)/1000)+HLOOKUP(H152,AA_Cimentacion,Indice!$N$35,FALSE)</f>
        <v>1.2524000000000002</v>
      </c>
      <c r="K152" s="223">
        <f t="shared" si="5"/>
        <v>43.874703000000004</v>
      </c>
      <c r="L152" s="223">
        <f>HLOOKUP(H152,AA_Cimentacion,Indice!$N$32,FALSE)*K152</f>
        <v>2.1937351500000002</v>
      </c>
      <c r="M152" s="223">
        <f>HLOOKUP(H152,AA_Cimentacion,Indice!$N$33,FALSE)*K152</f>
        <v>0</v>
      </c>
      <c r="N152" s="223">
        <f>HLOOKUP(H152,AA_Cimentacion,Indice!$N$34,FALSE)*K152</f>
        <v>41.680967850000002</v>
      </c>
      <c r="O152" s="223">
        <f>HLOOKUP(H152,AA_Cimentacion,Indice!$N$35,FALSE)*I152*D152</f>
        <v>3.5032500000000004</v>
      </c>
      <c r="P152" s="223">
        <f>HLOOKUP(H152,AA_Cimentacion,Indice!$N$36,FALSE)*D152*I152</f>
        <v>7.0065000000000008</v>
      </c>
      <c r="Q152" s="223">
        <f>HLOOKUP(H152,AA_Cimentacion,Indice!$N$37,FALSE)*I152*D152</f>
        <v>0</v>
      </c>
      <c r="R152" s="223">
        <f>HLOOKUP(H152,AA_Cimentacion,Indice!$N$38,FALSE)*I152*D152</f>
        <v>0</v>
      </c>
      <c r="S152" s="223">
        <f t="shared" si="1"/>
        <v>28.110078000000001</v>
      </c>
      <c r="T152" s="223">
        <f>HLOOKUP(H152,AA_Cimentacion,Indice!$N$39,FALSE)*I152*D152</f>
        <v>5.2548749999999993</v>
      </c>
      <c r="U152" s="223">
        <f>IF(H152=Indice!$M$29,D152*2,0)</f>
        <v>93.42</v>
      </c>
      <c r="V152" s="223">
        <f>IF(Y152="Mular",0,(K152-S152)*(1+Indice!$M$25))</f>
        <v>20.494012500000004</v>
      </c>
      <c r="W152" s="223">
        <f>IF(Y152="Mular",(K152-S152)*(1+Indice!$M$25),0)</f>
        <v>0</v>
      </c>
      <c r="X152" s="223">
        <f t="shared" si="2"/>
        <v>5.2548749999999993</v>
      </c>
      <c r="Y152" s="223" t="s">
        <v>8</v>
      </c>
      <c r="Z152" s="223">
        <f t="shared" si="7"/>
        <v>0</v>
      </c>
      <c r="AA152" s="223">
        <v>0</v>
      </c>
      <c r="AB152" s="223">
        <v>0</v>
      </c>
      <c r="AC152" s="223">
        <f t="shared" si="4"/>
        <v>0</v>
      </c>
    </row>
    <row r="153" spans="1:29" s="212" customFormat="1" ht="12.75" customHeight="1" x14ac:dyDescent="0.25">
      <c r="A153" t="s">
        <v>1896</v>
      </c>
      <c r="B153" t="s">
        <v>1384</v>
      </c>
      <c r="C153" t="s">
        <v>1385</v>
      </c>
      <c r="D153">
        <v>60.09</v>
      </c>
      <c r="E153" s="199">
        <v>6</v>
      </c>
      <c r="F153" s="1050" t="s">
        <v>887</v>
      </c>
      <c r="G153" s="1050"/>
      <c r="H153" s="226" t="s">
        <v>20</v>
      </c>
      <c r="I153" s="223">
        <v>0.75</v>
      </c>
      <c r="J153" s="223">
        <f>HLOOKUP(H153,AA_Cimentacion,Indice!$N$31,FALSE)+((E153*25.4)/1000)+HLOOKUP(H153,AA_Cimentacion,Indice!$N$35,FALSE)</f>
        <v>1.2524000000000002</v>
      </c>
      <c r="K153" s="223">
        <f t="shared" si="5"/>
        <v>56.442537000000009</v>
      </c>
      <c r="L153" s="223">
        <f>HLOOKUP(H153,AA_Cimentacion,Indice!$N$32,FALSE)*K153</f>
        <v>2.8221268500000005</v>
      </c>
      <c r="M153" s="223">
        <f>HLOOKUP(H153,AA_Cimentacion,Indice!$N$33,FALSE)*K153</f>
        <v>0</v>
      </c>
      <c r="N153" s="223">
        <f>HLOOKUP(H153,AA_Cimentacion,Indice!$N$34,FALSE)*K153</f>
        <v>53.620410150000005</v>
      </c>
      <c r="O153" s="223">
        <f>HLOOKUP(H153,AA_Cimentacion,Indice!$N$35,FALSE)*I153*D153</f>
        <v>4.5067500000000011</v>
      </c>
      <c r="P153" s="223">
        <f>HLOOKUP(H153,AA_Cimentacion,Indice!$N$36,FALSE)*D153*I153</f>
        <v>9.0135000000000005</v>
      </c>
      <c r="Q153" s="223">
        <f>HLOOKUP(H153,AA_Cimentacion,Indice!$N$37,FALSE)*I153*D153</f>
        <v>0</v>
      </c>
      <c r="R153" s="223">
        <f>HLOOKUP(H153,AA_Cimentacion,Indice!$N$38,FALSE)*I153*D153</f>
        <v>0</v>
      </c>
      <c r="S153" s="223">
        <f t="shared" si="1"/>
        <v>36.162162000000002</v>
      </c>
      <c r="T153" s="223">
        <f>HLOOKUP(H153,AA_Cimentacion,Indice!$N$39,FALSE)*I153*D153</f>
        <v>6.7601249999999995</v>
      </c>
      <c r="U153" s="223">
        <f>IF(H153=Indice!$M$29,D153*2,0)</f>
        <v>120.18</v>
      </c>
      <c r="V153" s="223">
        <f>IF(Y153="Mular",0,(K153-S153)*(1+Indice!$M$25))</f>
        <v>26.36448750000001</v>
      </c>
      <c r="W153" s="223">
        <f>IF(Y153="Mular",(K153-S153)*(1+Indice!$M$25),0)</f>
        <v>0</v>
      </c>
      <c r="X153" s="223">
        <f t="shared" si="2"/>
        <v>6.7601249999999995</v>
      </c>
      <c r="Y153" s="223" t="s">
        <v>8</v>
      </c>
      <c r="Z153" s="223">
        <f t="shared" si="7"/>
        <v>0</v>
      </c>
      <c r="AA153" s="223">
        <v>0</v>
      </c>
      <c r="AB153" s="223">
        <v>0</v>
      </c>
      <c r="AC153" s="223">
        <f t="shared" si="4"/>
        <v>0</v>
      </c>
    </row>
    <row r="154" spans="1:29" s="212" customFormat="1" ht="12.75" customHeight="1" x14ac:dyDescent="0.25">
      <c r="A154" t="s">
        <v>1897</v>
      </c>
      <c r="B154" t="s">
        <v>1385</v>
      </c>
      <c r="C154" t="s">
        <v>1386</v>
      </c>
      <c r="D154">
        <v>78.14</v>
      </c>
      <c r="E154" s="199">
        <v>6</v>
      </c>
      <c r="F154" s="1050" t="s">
        <v>887</v>
      </c>
      <c r="G154" s="1050"/>
      <c r="H154" s="226" t="s">
        <v>20</v>
      </c>
      <c r="I154" s="223">
        <v>0.75</v>
      </c>
      <c r="J154" s="223">
        <f>HLOOKUP(H154,AA_Cimentacion,Indice!$N$31,FALSE)+((E154*25.4)/1000)+HLOOKUP(H154,AA_Cimentacion,Indice!$N$35,FALSE)</f>
        <v>1.2524000000000002</v>
      </c>
      <c r="K154" s="223">
        <f t="shared" si="5"/>
        <v>73.396902000000011</v>
      </c>
      <c r="L154" s="223">
        <f>HLOOKUP(H154,AA_Cimentacion,Indice!$N$32,FALSE)*K154</f>
        <v>3.6698451000000007</v>
      </c>
      <c r="M154" s="223">
        <f>HLOOKUP(H154,AA_Cimentacion,Indice!$N$33,FALSE)*K154</f>
        <v>0</v>
      </c>
      <c r="N154" s="223">
        <f>HLOOKUP(H154,AA_Cimentacion,Indice!$N$34,FALSE)*K154</f>
        <v>69.727056900000008</v>
      </c>
      <c r="O154" s="223">
        <f>HLOOKUP(H154,AA_Cimentacion,Indice!$N$35,FALSE)*I154*D154</f>
        <v>5.8605000000000009</v>
      </c>
      <c r="P154" s="223">
        <f>HLOOKUP(H154,AA_Cimentacion,Indice!$N$36,FALSE)*D154*I154</f>
        <v>11.721</v>
      </c>
      <c r="Q154" s="223">
        <f>HLOOKUP(H154,AA_Cimentacion,Indice!$N$37,FALSE)*I154*D154</f>
        <v>0</v>
      </c>
      <c r="R154" s="223">
        <f>HLOOKUP(H154,AA_Cimentacion,Indice!$N$38,FALSE)*I154*D154</f>
        <v>0</v>
      </c>
      <c r="S154" s="223">
        <f t="shared" si="1"/>
        <v>47.024652000000003</v>
      </c>
      <c r="T154" s="223">
        <f>HLOOKUP(H154,AA_Cimentacion,Indice!$N$39,FALSE)*I154*D154</f>
        <v>8.7907499999999992</v>
      </c>
      <c r="U154" s="223">
        <f>IF(H154=Indice!$M$29,D154*2,0)</f>
        <v>156.28</v>
      </c>
      <c r="V154" s="223">
        <f>IF(Y154="Mular",0,(K154-S154)*(1+Indice!$M$25))</f>
        <v>34.283925000000011</v>
      </c>
      <c r="W154" s="223">
        <f>IF(Y154="Mular",(K154-S154)*(1+Indice!$M$25),0)</f>
        <v>0</v>
      </c>
      <c r="X154" s="223">
        <f t="shared" si="2"/>
        <v>8.7907499999999992</v>
      </c>
      <c r="Y154" s="223" t="s">
        <v>8</v>
      </c>
      <c r="Z154" s="223">
        <f t="shared" si="7"/>
        <v>0</v>
      </c>
      <c r="AA154" s="223">
        <v>0</v>
      </c>
      <c r="AB154" s="223">
        <v>0</v>
      </c>
      <c r="AC154" s="223">
        <f t="shared" si="4"/>
        <v>0</v>
      </c>
    </row>
    <row r="155" spans="1:29" s="212" customFormat="1" ht="12.75" customHeight="1" x14ac:dyDescent="0.25">
      <c r="A155" t="s">
        <v>1898</v>
      </c>
      <c r="B155" t="s">
        <v>1386</v>
      </c>
      <c r="C155" t="s">
        <v>1387</v>
      </c>
      <c r="D155">
        <v>24.06</v>
      </c>
      <c r="E155" s="199">
        <v>6</v>
      </c>
      <c r="F155" s="1050" t="s">
        <v>887</v>
      </c>
      <c r="G155" s="1050"/>
      <c r="H155" s="226" t="s">
        <v>20</v>
      </c>
      <c r="I155" s="223">
        <v>0.75</v>
      </c>
      <c r="J155" s="223">
        <f>HLOOKUP(H155,AA_Cimentacion,Indice!$N$31,FALSE)+((E155*25.4)/1000)+HLOOKUP(H155,AA_Cimentacion,Indice!$N$35,FALSE)</f>
        <v>1.2524000000000002</v>
      </c>
      <c r="K155" s="223">
        <f t="shared" si="5"/>
        <v>22.599558000000002</v>
      </c>
      <c r="L155" s="223">
        <f>HLOOKUP(H155,AA_Cimentacion,Indice!$N$32,FALSE)*K155</f>
        <v>1.1299779000000001</v>
      </c>
      <c r="M155" s="223">
        <f>HLOOKUP(H155,AA_Cimentacion,Indice!$N$33,FALSE)*K155</f>
        <v>0</v>
      </c>
      <c r="N155" s="223">
        <f>HLOOKUP(H155,AA_Cimentacion,Indice!$N$34,FALSE)*K155</f>
        <v>21.469580100000002</v>
      </c>
      <c r="O155" s="223">
        <f>HLOOKUP(H155,AA_Cimentacion,Indice!$N$35,FALSE)*I155*D155</f>
        <v>1.8045000000000002</v>
      </c>
      <c r="P155" s="223">
        <f>HLOOKUP(H155,AA_Cimentacion,Indice!$N$36,FALSE)*D155*I155</f>
        <v>3.609</v>
      </c>
      <c r="Q155" s="223">
        <f>HLOOKUP(H155,AA_Cimentacion,Indice!$N$37,FALSE)*I155*D155</f>
        <v>0</v>
      </c>
      <c r="R155" s="223">
        <f>HLOOKUP(H155,AA_Cimentacion,Indice!$N$38,FALSE)*I155*D155</f>
        <v>0</v>
      </c>
      <c r="S155" s="223">
        <f t="shared" si="1"/>
        <v>14.479308000000003</v>
      </c>
      <c r="T155" s="223">
        <f>HLOOKUP(H155,AA_Cimentacion,Indice!$N$39,FALSE)*I155*D155</f>
        <v>2.7067499999999995</v>
      </c>
      <c r="U155" s="223">
        <f>IF(H155=Indice!$M$29,D155*2,0)</f>
        <v>48.12</v>
      </c>
      <c r="V155" s="223">
        <f>IF(Y155="Mular",0,(K155-S155)*(1+Indice!$M$25))</f>
        <v>10.556324999999999</v>
      </c>
      <c r="W155" s="223">
        <f>IF(Y155="Mular",(K155-S155)*(1+Indice!$M$25),0)</f>
        <v>0</v>
      </c>
      <c r="X155" s="223">
        <f t="shared" si="2"/>
        <v>2.7067499999999995</v>
      </c>
      <c r="Y155" s="223" t="s">
        <v>8</v>
      </c>
      <c r="Z155" s="223">
        <f t="shared" si="7"/>
        <v>0</v>
      </c>
      <c r="AA155" s="223">
        <v>0</v>
      </c>
      <c r="AB155" s="223">
        <v>0</v>
      </c>
      <c r="AC155" s="223">
        <f t="shared" si="4"/>
        <v>0</v>
      </c>
    </row>
    <row r="156" spans="1:29" s="212" customFormat="1" ht="12.75" customHeight="1" x14ac:dyDescent="0.25">
      <c r="A156" t="s">
        <v>1899</v>
      </c>
      <c r="B156" t="s">
        <v>1387</v>
      </c>
      <c r="C156" t="s">
        <v>1388</v>
      </c>
      <c r="D156">
        <v>36.369999999999997</v>
      </c>
      <c r="E156" s="199">
        <v>6</v>
      </c>
      <c r="F156" s="1050" t="s">
        <v>887</v>
      </c>
      <c r="G156" s="1050"/>
      <c r="H156" s="226" t="s">
        <v>20</v>
      </c>
      <c r="I156" s="223">
        <v>0.75</v>
      </c>
      <c r="J156" s="223">
        <f>HLOOKUP(H156,AA_Cimentacion,Indice!$N$31,FALSE)+((E156*25.4)/1000)+HLOOKUP(H156,AA_Cimentacion,Indice!$N$35,FALSE)</f>
        <v>1.2524000000000002</v>
      </c>
      <c r="K156" s="223">
        <f t="shared" si="5"/>
        <v>34.162341000000005</v>
      </c>
      <c r="L156" s="223">
        <f>HLOOKUP(H156,AA_Cimentacion,Indice!$N$32,FALSE)*K156</f>
        <v>1.7081170500000002</v>
      </c>
      <c r="M156" s="223">
        <f>HLOOKUP(H156,AA_Cimentacion,Indice!$N$33,FALSE)*K156</f>
        <v>0</v>
      </c>
      <c r="N156" s="223">
        <f>HLOOKUP(H156,AA_Cimentacion,Indice!$N$34,FALSE)*K156</f>
        <v>32.454223950000006</v>
      </c>
      <c r="O156" s="223">
        <f>HLOOKUP(H156,AA_Cimentacion,Indice!$N$35,FALSE)*I156*D156</f>
        <v>2.7277500000000003</v>
      </c>
      <c r="P156" s="223">
        <f>HLOOKUP(H156,AA_Cimentacion,Indice!$N$36,FALSE)*D156*I156</f>
        <v>5.4554999999999998</v>
      </c>
      <c r="Q156" s="223">
        <f>HLOOKUP(H156,AA_Cimentacion,Indice!$N$37,FALSE)*I156*D156</f>
        <v>0</v>
      </c>
      <c r="R156" s="223">
        <f>HLOOKUP(H156,AA_Cimentacion,Indice!$N$38,FALSE)*I156*D156</f>
        <v>0</v>
      </c>
      <c r="S156" s="223">
        <f t="shared" si="1"/>
        <v>21.887466000000003</v>
      </c>
      <c r="T156" s="223">
        <f>HLOOKUP(H156,AA_Cimentacion,Indice!$N$39,FALSE)*I156*D156</f>
        <v>4.0916249999999996</v>
      </c>
      <c r="U156" s="223">
        <f>IF(H156=Indice!$M$29,D156*2,0)</f>
        <v>72.739999999999995</v>
      </c>
      <c r="V156" s="223">
        <f>IF(Y156="Mular",0,(K156-S156)*(1+Indice!$M$25))</f>
        <v>15.957337500000003</v>
      </c>
      <c r="W156" s="223">
        <f>IF(Y156="Mular",(K156-S156)*(1+Indice!$M$25),0)</f>
        <v>0</v>
      </c>
      <c r="X156" s="223">
        <f t="shared" si="2"/>
        <v>4.0916249999999996</v>
      </c>
      <c r="Y156" s="223" t="s">
        <v>8</v>
      </c>
      <c r="Z156" s="223">
        <f t="shared" si="7"/>
        <v>0</v>
      </c>
      <c r="AA156" s="223">
        <v>0</v>
      </c>
      <c r="AB156" s="223">
        <v>0</v>
      </c>
      <c r="AC156" s="223">
        <f t="shared" si="4"/>
        <v>0</v>
      </c>
    </row>
    <row r="157" spans="1:29" s="212" customFormat="1" ht="12.75" customHeight="1" x14ac:dyDescent="0.25">
      <c r="A157" t="s">
        <v>1900</v>
      </c>
      <c r="B157" t="s">
        <v>1388</v>
      </c>
      <c r="C157" t="s">
        <v>1389</v>
      </c>
      <c r="D157">
        <v>13.87</v>
      </c>
      <c r="E157" s="199">
        <v>6</v>
      </c>
      <c r="F157" s="1050" t="s">
        <v>887</v>
      </c>
      <c r="G157" s="1050"/>
      <c r="H157" s="226" t="s">
        <v>20</v>
      </c>
      <c r="I157" s="223">
        <v>0.75</v>
      </c>
      <c r="J157" s="223">
        <f>HLOOKUP(H157,AA_Cimentacion,Indice!$N$31,FALSE)+((E157*25.4)/1000)+HLOOKUP(H157,AA_Cimentacion,Indice!$N$35,FALSE)</f>
        <v>1.2524000000000002</v>
      </c>
      <c r="K157" s="223">
        <f t="shared" si="5"/>
        <v>13.028091000000002</v>
      </c>
      <c r="L157" s="223">
        <f>HLOOKUP(H157,AA_Cimentacion,Indice!$N$32,FALSE)*K157</f>
        <v>0.65140455000000008</v>
      </c>
      <c r="M157" s="223">
        <f>HLOOKUP(H157,AA_Cimentacion,Indice!$N$33,FALSE)*K157</f>
        <v>0</v>
      </c>
      <c r="N157" s="223">
        <f>HLOOKUP(H157,AA_Cimentacion,Indice!$N$34,FALSE)*K157</f>
        <v>12.376686450000001</v>
      </c>
      <c r="O157" s="223">
        <f>HLOOKUP(H157,AA_Cimentacion,Indice!$N$35,FALSE)*I157*D157</f>
        <v>1.0402500000000001</v>
      </c>
      <c r="P157" s="223">
        <f>HLOOKUP(H157,AA_Cimentacion,Indice!$N$36,FALSE)*D157*I157</f>
        <v>2.0804999999999998</v>
      </c>
      <c r="Q157" s="223">
        <f>HLOOKUP(H157,AA_Cimentacion,Indice!$N$37,FALSE)*I157*D157</f>
        <v>0</v>
      </c>
      <c r="R157" s="223">
        <f>HLOOKUP(H157,AA_Cimentacion,Indice!$N$38,FALSE)*I157*D157</f>
        <v>0</v>
      </c>
      <c r="S157" s="223">
        <f t="shared" si="1"/>
        <v>8.3469660000000019</v>
      </c>
      <c r="T157" s="223">
        <f>HLOOKUP(H157,AA_Cimentacion,Indice!$N$39,FALSE)*I157*D157</f>
        <v>1.5603749999999998</v>
      </c>
      <c r="U157" s="223">
        <f>IF(H157=Indice!$M$29,D157*2,0)</f>
        <v>27.74</v>
      </c>
      <c r="V157" s="223">
        <f>IF(Y157="Mular",0,(K157-S157)*(1+Indice!$M$25))</f>
        <v>6.0854625000000002</v>
      </c>
      <c r="W157" s="223">
        <f>IF(Y157="Mular",(K157-S157)*(1+Indice!$M$25),0)</f>
        <v>0</v>
      </c>
      <c r="X157" s="223">
        <f t="shared" si="2"/>
        <v>1.5603749999999998</v>
      </c>
      <c r="Y157" s="223" t="s">
        <v>8</v>
      </c>
      <c r="Z157" s="223">
        <f t="shared" si="7"/>
        <v>0</v>
      </c>
      <c r="AA157" s="223">
        <v>0</v>
      </c>
      <c r="AB157" s="223">
        <v>0</v>
      </c>
      <c r="AC157" s="223">
        <f t="shared" si="4"/>
        <v>0</v>
      </c>
    </row>
    <row r="158" spans="1:29" s="212" customFormat="1" ht="12.75" customHeight="1" x14ac:dyDescent="0.25">
      <c r="A158" t="s">
        <v>1901</v>
      </c>
      <c r="B158" t="s">
        <v>1390</v>
      </c>
      <c r="C158" t="s">
        <v>1887</v>
      </c>
      <c r="D158">
        <v>35</v>
      </c>
      <c r="E158" s="199">
        <v>6</v>
      </c>
      <c r="F158" s="1050" t="s">
        <v>887</v>
      </c>
      <c r="G158" s="1050"/>
      <c r="H158" s="226" t="s">
        <v>20</v>
      </c>
      <c r="I158" s="223">
        <v>0.75</v>
      </c>
      <c r="J158" s="223">
        <f>HLOOKUP(H158,AA_Cimentacion,Indice!$N$31,FALSE)+((E158*25.4)/1000)+HLOOKUP(H158,AA_Cimentacion,Indice!$N$35,FALSE)</f>
        <v>1.2524000000000002</v>
      </c>
      <c r="K158" s="223">
        <f t="shared" si="5"/>
        <v>32.875500000000002</v>
      </c>
      <c r="L158" s="223">
        <f>HLOOKUP(H158,AA_Cimentacion,Indice!$N$32,FALSE)*K158</f>
        <v>1.6437750000000002</v>
      </c>
      <c r="M158" s="223">
        <f>HLOOKUP(H158,AA_Cimentacion,Indice!$N$33,FALSE)*K158</f>
        <v>0</v>
      </c>
      <c r="N158" s="223">
        <f>HLOOKUP(H158,AA_Cimentacion,Indice!$N$34,FALSE)*K158</f>
        <v>31.231725000000001</v>
      </c>
      <c r="O158" s="223">
        <f>HLOOKUP(H158,AA_Cimentacion,Indice!$N$35,FALSE)*I158*D158</f>
        <v>2.6250000000000004</v>
      </c>
      <c r="P158" s="223">
        <f>HLOOKUP(H158,AA_Cimentacion,Indice!$N$36,FALSE)*D158*I158</f>
        <v>5.25</v>
      </c>
      <c r="Q158" s="223">
        <f>HLOOKUP(H158,AA_Cimentacion,Indice!$N$37,FALSE)*I158*D158</f>
        <v>0</v>
      </c>
      <c r="R158" s="223">
        <f>HLOOKUP(H158,AA_Cimentacion,Indice!$N$38,FALSE)*I158*D158</f>
        <v>0</v>
      </c>
      <c r="S158" s="223">
        <f t="shared" si="1"/>
        <v>21.063000000000002</v>
      </c>
      <c r="T158" s="223">
        <f>HLOOKUP(H158,AA_Cimentacion,Indice!$N$39,FALSE)*I158*D158</f>
        <v>3.9374999999999996</v>
      </c>
      <c r="U158" s="223">
        <f>IF(H158=Indice!$M$29,D158*2,0)</f>
        <v>70</v>
      </c>
      <c r="V158" s="223">
        <f>IF(Y158="Mular",0,(K158-S158)*(1+Indice!$M$25))</f>
        <v>15.356250000000001</v>
      </c>
      <c r="W158" s="223">
        <f>IF(Y158="Mular",(K158-S158)*(1+Indice!$M$25),0)</f>
        <v>0</v>
      </c>
      <c r="X158" s="223">
        <f t="shared" si="2"/>
        <v>3.9374999999999996</v>
      </c>
      <c r="Y158" s="223" t="s">
        <v>8</v>
      </c>
      <c r="Z158" s="223">
        <f t="shared" si="7"/>
        <v>0</v>
      </c>
      <c r="AA158" s="223">
        <v>0</v>
      </c>
      <c r="AB158" s="223">
        <v>0</v>
      </c>
      <c r="AC158" s="223">
        <f t="shared" si="4"/>
        <v>0</v>
      </c>
    </row>
    <row r="159" spans="1:29" s="212" customFormat="1" ht="12.75" customHeight="1" x14ac:dyDescent="0.25">
      <c r="A159" t="s">
        <v>1902</v>
      </c>
      <c r="B159" t="s">
        <v>1887</v>
      </c>
      <c r="C159" t="s">
        <v>1391</v>
      </c>
      <c r="D159">
        <v>26.58</v>
      </c>
      <c r="E159" s="199">
        <v>6</v>
      </c>
      <c r="F159" s="1050" t="s">
        <v>887</v>
      </c>
      <c r="G159" s="1050"/>
      <c r="H159" s="226" t="s">
        <v>20</v>
      </c>
      <c r="I159" s="223">
        <v>0.75</v>
      </c>
      <c r="J159" s="223">
        <f>HLOOKUP(H159,AA_Cimentacion,Indice!$N$31,FALSE)+((E159*25.4)/1000)+HLOOKUP(H159,AA_Cimentacion,Indice!$N$35,FALSE)</f>
        <v>1.2524000000000002</v>
      </c>
      <c r="K159" s="223">
        <f t="shared" si="5"/>
        <v>24.966594000000001</v>
      </c>
      <c r="L159" s="223">
        <f>HLOOKUP(H159,AA_Cimentacion,Indice!$N$32,FALSE)*K159</f>
        <v>1.2483297000000002</v>
      </c>
      <c r="M159" s="223">
        <f>HLOOKUP(H159,AA_Cimentacion,Indice!$N$33,FALSE)*K159</f>
        <v>0</v>
      </c>
      <c r="N159" s="223">
        <f>HLOOKUP(H159,AA_Cimentacion,Indice!$N$34,FALSE)*K159</f>
        <v>23.718264299999998</v>
      </c>
      <c r="O159" s="223">
        <f>HLOOKUP(H159,AA_Cimentacion,Indice!$N$35,FALSE)*I159*D159</f>
        <v>1.9935000000000003</v>
      </c>
      <c r="P159" s="223">
        <f>HLOOKUP(H159,AA_Cimentacion,Indice!$N$36,FALSE)*D159*I159</f>
        <v>3.9870000000000001</v>
      </c>
      <c r="Q159" s="223">
        <f>HLOOKUP(H159,AA_Cimentacion,Indice!$N$37,FALSE)*I159*D159</f>
        <v>0</v>
      </c>
      <c r="R159" s="223">
        <f>HLOOKUP(H159,AA_Cimentacion,Indice!$N$38,FALSE)*I159*D159</f>
        <v>0</v>
      </c>
      <c r="S159" s="223">
        <f t="shared" si="1"/>
        <v>15.995844000000002</v>
      </c>
      <c r="T159" s="223">
        <f>HLOOKUP(H159,AA_Cimentacion,Indice!$N$39,FALSE)*I159*D159</f>
        <v>2.9902499999999996</v>
      </c>
      <c r="U159" s="223">
        <f>IF(H159=Indice!$M$29,D159*2,0)</f>
        <v>53.16</v>
      </c>
      <c r="V159" s="223">
        <f>IF(Y159="Mular",0,(K159-S159)*(1+Indice!$M$25))</f>
        <v>11.661974999999998</v>
      </c>
      <c r="W159" s="223">
        <f>IF(Y159="Mular",(K159-S159)*(1+Indice!$M$25),0)</f>
        <v>0</v>
      </c>
      <c r="X159" s="223">
        <f t="shared" si="2"/>
        <v>2.9902499999999996</v>
      </c>
      <c r="Y159" s="223" t="s">
        <v>8</v>
      </c>
      <c r="Z159" s="223">
        <f t="shared" si="7"/>
        <v>0</v>
      </c>
      <c r="AA159" s="223">
        <v>0</v>
      </c>
      <c r="AB159" s="223">
        <v>0</v>
      </c>
      <c r="AC159" s="223">
        <f t="shared" si="4"/>
        <v>0</v>
      </c>
    </row>
    <row r="160" spans="1:29" s="212" customFormat="1" ht="12.75" customHeight="1" x14ac:dyDescent="0.25">
      <c r="A160" t="s">
        <v>1903</v>
      </c>
      <c r="B160" t="s">
        <v>1391</v>
      </c>
      <c r="C160" t="s">
        <v>1392</v>
      </c>
      <c r="D160">
        <v>23.17</v>
      </c>
      <c r="E160" s="199">
        <v>6</v>
      </c>
      <c r="F160" s="1050" t="s">
        <v>887</v>
      </c>
      <c r="G160" s="1050"/>
      <c r="H160" s="226" t="s">
        <v>20</v>
      </c>
      <c r="I160" s="223">
        <v>0.75</v>
      </c>
      <c r="J160" s="223">
        <f>HLOOKUP(H160,AA_Cimentacion,Indice!$N$31,FALSE)+((E160*25.4)/1000)+HLOOKUP(H160,AA_Cimentacion,Indice!$N$35,FALSE)</f>
        <v>1.2524000000000002</v>
      </c>
      <c r="K160" s="223">
        <f t="shared" si="5"/>
        <v>21.763581000000006</v>
      </c>
      <c r="L160" s="223">
        <f>HLOOKUP(H160,AA_Cimentacion,Indice!$N$32,FALSE)*K160</f>
        <v>1.0881790500000004</v>
      </c>
      <c r="M160" s="223">
        <f>HLOOKUP(H160,AA_Cimentacion,Indice!$N$33,FALSE)*K160</f>
        <v>0</v>
      </c>
      <c r="N160" s="223">
        <f>HLOOKUP(H160,AA_Cimentacion,Indice!$N$34,FALSE)*K160</f>
        <v>20.675401950000005</v>
      </c>
      <c r="O160" s="223">
        <f>HLOOKUP(H160,AA_Cimentacion,Indice!$N$35,FALSE)*I160*D160</f>
        <v>1.7377500000000003</v>
      </c>
      <c r="P160" s="223">
        <f>HLOOKUP(H160,AA_Cimentacion,Indice!$N$36,FALSE)*D160*I160</f>
        <v>3.4755000000000003</v>
      </c>
      <c r="Q160" s="223">
        <f>HLOOKUP(H160,AA_Cimentacion,Indice!$N$37,FALSE)*I160*D160</f>
        <v>0</v>
      </c>
      <c r="R160" s="223">
        <f>HLOOKUP(H160,AA_Cimentacion,Indice!$N$38,FALSE)*I160*D160</f>
        <v>0</v>
      </c>
      <c r="S160" s="223">
        <f t="shared" si="1"/>
        <v>13.943706000000004</v>
      </c>
      <c r="T160" s="223">
        <f>HLOOKUP(H160,AA_Cimentacion,Indice!$N$39,FALSE)*I160*D160</f>
        <v>2.6066249999999997</v>
      </c>
      <c r="U160" s="223">
        <f>IF(H160=Indice!$M$29,D160*2,0)</f>
        <v>46.34</v>
      </c>
      <c r="V160" s="223">
        <f>IF(Y160="Mular",0,(K160-S160)*(1+Indice!$M$25))</f>
        <v>10.165837500000002</v>
      </c>
      <c r="W160" s="223">
        <f>IF(Y160="Mular",(K160-S160)*(1+Indice!$M$25),0)</f>
        <v>0</v>
      </c>
      <c r="X160" s="223">
        <f t="shared" si="2"/>
        <v>2.6066249999999997</v>
      </c>
      <c r="Y160" s="223" t="s">
        <v>8</v>
      </c>
      <c r="Z160" s="223">
        <f t="shared" si="7"/>
        <v>0</v>
      </c>
      <c r="AA160" s="223">
        <v>0</v>
      </c>
      <c r="AB160" s="223">
        <v>0</v>
      </c>
      <c r="AC160" s="223">
        <f t="shared" si="4"/>
        <v>0</v>
      </c>
    </row>
    <row r="161" spans="1:29" s="212" customFormat="1" ht="12.75" customHeight="1" x14ac:dyDescent="0.25">
      <c r="A161" t="s">
        <v>1904</v>
      </c>
      <c r="B161" t="s">
        <v>1392</v>
      </c>
      <c r="C161" t="s">
        <v>1393</v>
      </c>
      <c r="D161">
        <v>54.9</v>
      </c>
      <c r="E161" s="199">
        <v>6</v>
      </c>
      <c r="F161" s="1050" t="s">
        <v>887</v>
      </c>
      <c r="G161" s="1050"/>
      <c r="H161" s="226" t="s">
        <v>20</v>
      </c>
      <c r="I161" s="223">
        <v>0.75</v>
      </c>
      <c r="J161" s="223">
        <f>HLOOKUP(H161,AA_Cimentacion,Indice!$N$31,FALSE)+((E161*25.4)/1000)+HLOOKUP(H161,AA_Cimentacion,Indice!$N$35,FALSE)</f>
        <v>1.2524000000000002</v>
      </c>
      <c r="K161" s="223">
        <f t="shared" si="5"/>
        <v>51.567570000000003</v>
      </c>
      <c r="L161" s="223">
        <f>HLOOKUP(H161,AA_Cimentacion,Indice!$N$32,FALSE)*K161</f>
        <v>2.5783785000000004</v>
      </c>
      <c r="M161" s="223">
        <f>HLOOKUP(H161,AA_Cimentacion,Indice!$N$33,FALSE)*K161</f>
        <v>0</v>
      </c>
      <c r="N161" s="223">
        <f>HLOOKUP(H161,AA_Cimentacion,Indice!$N$34,FALSE)*K161</f>
        <v>48.989191500000004</v>
      </c>
      <c r="O161" s="223">
        <f>HLOOKUP(H161,AA_Cimentacion,Indice!$N$35,FALSE)*I161*D161</f>
        <v>4.1175000000000006</v>
      </c>
      <c r="P161" s="223">
        <f>HLOOKUP(H161,AA_Cimentacion,Indice!$N$36,FALSE)*D161*I161</f>
        <v>8.2349999999999994</v>
      </c>
      <c r="Q161" s="223">
        <f>HLOOKUP(H161,AA_Cimentacion,Indice!$N$37,FALSE)*I161*D161</f>
        <v>0</v>
      </c>
      <c r="R161" s="223">
        <f>HLOOKUP(H161,AA_Cimentacion,Indice!$N$38,FALSE)*I161*D161</f>
        <v>0</v>
      </c>
      <c r="S161" s="223">
        <f t="shared" si="1"/>
        <v>33.038820000000001</v>
      </c>
      <c r="T161" s="223">
        <f>HLOOKUP(H161,AA_Cimentacion,Indice!$N$39,FALSE)*I161*D161</f>
        <v>6.1762499999999996</v>
      </c>
      <c r="U161" s="223">
        <f>IF(H161=Indice!$M$29,D161*2,0)</f>
        <v>109.8</v>
      </c>
      <c r="V161" s="223">
        <f>IF(Y161="Mular",0,(K161-S161)*(1+Indice!$M$25))</f>
        <v>24.087375000000005</v>
      </c>
      <c r="W161" s="223">
        <f>IF(Y161="Mular",(K161-S161)*(1+Indice!$M$25),0)</f>
        <v>0</v>
      </c>
      <c r="X161" s="223">
        <f t="shared" si="2"/>
        <v>6.1762499999999996</v>
      </c>
      <c r="Y161" s="223" t="s">
        <v>8</v>
      </c>
      <c r="Z161" s="223">
        <f t="shared" si="7"/>
        <v>0</v>
      </c>
      <c r="AA161" s="223">
        <v>0</v>
      </c>
      <c r="AB161" s="223">
        <v>0</v>
      </c>
      <c r="AC161" s="223">
        <f t="shared" si="4"/>
        <v>0</v>
      </c>
    </row>
    <row r="162" spans="1:29" s="212" customFormat="1" ht="12.75" customHeight="1" x14ac:dyDescent="0.25">
      <c r="A162" t="s">
        <v>1905</v>
      </c>
      <c r="B162" t="s">
        <v>1393</v>
      </c>
      <c r="C162" t="s">
        <v>1394</v>
      </c>
      <c r="D162">
        <v>30.14</v>
      </c>
      <c r="E162" s="199">
        <v>6</v>
      </c>
      <c r="F162" s="1050" t="s">
        <v>887</v>
      </c>
      <c r="G162" s="1050"/>
      <c r="H162" s="226" t="s">
        <v>20</v>
      </c>
      <c r="I162" s="223">
        <v>0.75</v>
      </c>
      <c r="J162" s="223">
        <f>HLOOKUP(H162,AA_Cimentacion,Indice!$N$31,FALSE)+((E162*25.4)/1000)+HLOOKUP(H162,AA_Cimentacion,Indice!$N$35,FALSE)</f>
        <v>1.2524000000000002</v>
      </c>
      <c r="K162" s="223">
        <f t="shared" si="5"/>
        <v>28.310502000000003</v>
      </c>
      <c r="L162" s="223">
        <f>HLOOKUP(H162,AA_Cimentacion,Indice!$N$32,FALSE)*K162</f>
        <v>1.4155251000000002</v>
      </c>
      <c r="M162" s="223">
        <f>HLOOKUP(H162,AA_Cimentacion,Indice!$N$33,FALSE)*K162</f>
        <v>0</v>
      </c>
      <c r="N162" s="223">
        <f>HLOOKUP(H162,AA_Cimentacion,Indice!$N$34,FALSE)*K162</f>
        <v>26.894976900000003</v>
      </c>
      <c r="O162" s="223">
        <f>HLOOKUP(H162,AA_Cimentacion,Indice!$N$35,FALSE)*I162*D162</f>
        <v>2.2605000000000004</v>
      </c>
      <c r="P162" s="223">
        <f>HLOOKUP(H162,AA_Cimentacion,Indice!$N$36,FALSE)*D162*I162</f>
        <v>4.5210000000000008</v>
      </c>
      <c r="Q162" s="223">
        <f>HLOOKUP(H162,AA_Cimentacion,Indice!$N$37,FALSE)*I162*D162</f>
        <v>0</v>
      </c>
      <c r="R162" s="223">
        <f>HLOOKUP(H162,AA_Cimentacion,Indice!$N$38,FALSE)*I162*D162</f>
        <v>0</v>
      </c>
      <c r="S162" s="223">
        <f t="shared" si="1"/>
        <v>18.138252000000001</v>
      </c>
      <c r="T162" s="223">
        <f>HLOOKUP(H162,AA_Cimentacion,Indice!$N$39,FALSE)*I162*D162</f>
        <v>3.3907499999999997</v>
      </c>
      <c r="U162" s="223">
        <f>IF(H162=Indice!$M$29,D162*2,0)</f>
        <v>60.28</v>
      </c>
      <c r="V162" s="223">
        <f>IF(Y162="Mular",0,(K162-S162)*(1+Indice!$M$25))</f>
        <v>13.223925000000003</v>
      </c>
      <c r="W162" s="223">
        <f>IF(Y162="Mular",(K162-S162)*(1+Indice!$M$25),0)</f>
        <v>0</v>
      </c>
      <c r="X162" s="223">
        <f t="shared" si="2"/>
        <v>3.3907499999999997</v>
      </c>
      <c r="Y162" s="223" t="s">
        <v>8</v>
      </c>
      <c r="Z162" s="223">
        <f t="shared" si="7"/>
        <v>0</v>
      </c>
      <c r="AA162" s="223">
        <v>0</v>
      </c>
      <c r="AB162" s="223">
        <v>0</v>
      </c>
      <c r="AC162" s="223">
        <f t="shared" si="4"/>
        <v>0</v>
      </c>
    </row>
    <row r="163" spans="1:29" s="212" customFormat="1" ht="12.75" customHeight="1" x14ac:dyDescent="0.25">
      <c r="A163" t="s">
        <v>1906</v>
      </c>
      <c r="B163" t="s">
        <v>1394</v>
      </c>
      <c r="C163" t="s">
        <v>1395</v>
      </c>
      <c r="D163">
        <v>49.32</v>
      </c>
      <c r="E163" s="199">
        <v>6</v>
      </c>
      <c r="F163" s="1050" t="s">
        <v>887</v>
      </c>
      <c r="G163" s="1050"/>
      <c r="H163" s="226" t="s">
        <v>20</v>
      </c>
      <c r="I163" s="223">
        <v>0.75</v>
      </c>
      <c r="J163" s="223">
        <f>HLOOKUP(H163,AA_Cimentacion,Indice!$N$31,FALSE)+((E163*25.4)/1000)+HLOOKUP(H163,AA_Cimentacion,Indice!$N$35,FALSE)</f>
        <v>1.2524000000000002</v>
      </c>
      <c r="K163" s="223">
        <f t="shared" si="5"/>
        <v>46.326276000000007</v>
      </c>
      <c r="L163" s="223">
        <f>HLOOKUP(H163,AA_Cimentacion,Indice!$N$32,FALSE)*K163</f>
        <v>2.3163138000000005</v>
      </c>
      <c r="M163" s="223">
        <f>HLOOKUP(H163,AA_Cimentacion,Indice!$N$33,FALSE)*K163</f>
        <v>0</v>
      </c>
      <c r="N163" s="223">
        <f>HLOOKUP(H163,AA_Cimentacion,Indice!$N$34,FALSE)*K163</f>
        <v>44.009962200000004</v>
      </c>
      <c r="O163" s="223">
        <f>HLOOKUP(H163,AA_Cimentacion,Indice!$N$35,FALSE)*I163*D163</f>
        <v>3.6990000000000007</v>
      </c>
      <c r="P163" s="223">
        <f>HLOOKUP(H163,AA_Cimentacion,Indice!$N$36,FALSE)*D163*I163</f>
        <v>7.3980000000000006</v>
      </c>
      <c r="Q163" s="223">
        <f>HLOOKUP(H163,AA_Cimentacion,Indice!$N$37,FALSE)*I163*D163</f>
        <v>0</v>
      </c>
      <c r="R163" s="223">
        <f>HLOOKUP(H163,AA_Cimentacion,Indice!$N$38,FALSE)*I163*D163</f>
        <v>0</v>
      </c>
      <c r="S163" s="223">
        <f t="shared" si="1"/>
        <v>29.680776000000005</v>
      </c>
      <c r="T163" s="223">
        <f>HLOOKUP(H163,AA_Cimentacion,Indice!$N$39,FALSE)*I163*D163</f>
        <v>5.5484999999999998</v>
      </c>
      <c r="U163" s="223">
        <f>IF(H163=Indice!$M$29,D163*2,0)</f>
        <v>98.64</v>
      </c>
      <c r="V163" s="223">
        <f>IF(Y163="Mular",0,(K163-S163)*(1+Indice!$M$25))</f>
        <v>21.639150000000004</v>
      </c>
      <c r="W163" s="223">
        <f>IF(Y163="Mular",(K163-S163)*(1+Indice!$M$25),0)</f>
        <v>0</v>
      </c>
      <c r="X163" s="223">
        <f t="shared" si="2"/>
        <v>5.5484999999999998</v>
      </c>
      <c r="Y163" s="223" t="s">
        <v>8</v>
      </c>
      <c r="Z163" s="223">
        <f t="shared" si="7"/>
        <v>0</v>
      </c>
      <c r="AA163" s="223">
        <v>0</v>
      </c>
      <c r="AB163" s="223">
        <v>0</v>
      </c>
      <c r="AC163" s="223">
        <f t="shared" si="4"/>
        <v>0</v>
      </c>
    </row>
    <row r="164" spans="1:29" s="212" customFormat="1" ht="12.75" customHeight="1" x14ac:dyDescent="0.25">
      <c r="A164" t="s">
        <v>1907</v>
      </c>
      <c r="B164" t="s">
        <v>1395</v>
      </c>
      <c r="C164" t="s">
        <v>1396</v>
      </c>
      <c r="D164">
        <v>71.790000000000006</v>
      </c>
      <c r="E164" s="199">
        <v>6</v>
      </c>
      <c r="F164" s="1050" t="s">
        <v>887</v>
      </c>
      <c r="G164" s="1050"/>
      <c r="H164" s="226" t="s">
        <v>7</v>
      </c>
      <c r="I164" s="223">
        <v>0.75</v>
      </c>
      <c r="J164" s="223">
        <f>HLOOKUP(H164,AA_Cimentacion,Indice!$N$31,FALSE)+((E164*25.4)/1000)+HLOOKUP(H164,AA_Cimentacion,Indice!$N$35,FALSE)</f>
        <v>1.2524000000000002</v>
      </c>
      <c r="K164" s="223">
        <f t="shared" ref="K164:K167" si="8">I164*J164*D164</f>
        <v>67.432347000000021</v>
      </c>
      <c r="L164" s="223">
        <f>HLOOKUP(H164,AA_Cimentacion,Indice!$N$32,FALSE)*K164</f>
        <v>3.3716173500000011</v>
      </c>
      <c r="M164" s="223">
        <f>HLOOKUP(H164,AA_Cimentacion,Indice!$N$33,FALSE)*K164</f>
        <v>0</v>
      </c>
      <c r="N164" s="223">
        <f>HLOOKUP(H164,AA_Cimentacion,Indice!$N$34,FALSE)*K164</f>
        <v>64.060729650000013</v>
      </c>
      <c r="O164" s="223">
        <f>HLOOKUP(H164,AA_Cimentacion,Indice!$N$35,FALSE)*I164*D164</f>
        <v>5.3842500000000015</v>
      </c>
      <c r="P164" s="223">
        <f>HLOOKUP(H164,AA_Cimentacion,Indice!$N$36,FALSE)*D164*I164</f>
        <v>16.152750000000001</v>
      </c>
      <c r="Q164" s="223">
        <f>HLOOKUP(H164,AA_Cimentacion,Indice!$N$37,FALSE)*I164*D164</f>
        <v>0</v>
      </c>
      <c r="R164" s="223">
        <f>HLOOKUP(H164,AA_Cimentacion,Indice!$N$38,FALSE)*I164*D164</f>
        <v>0</v>
      </c>
      <c r="S164" s="223">
        <f t="shared" ref="S164:S167" si="9">(K164-O164-P164-Q164-R164-T164)</f>
        <v>45.895347000000015</v>
      </c>
      <c r="T164" s="223">
        <f>HLOOKUP(H164,AA_Cimentacion,Indice!$N$39,FALSE)*I164*D164</f>
        <v>0</v>
      </c>
      <c r="U164" s="223">
        <f>IF(H164=Indice!$M$29,D164*2,0)</f>
        <v>0</v>
      </c>
      <c r="V164" s="223">
        <f>IF(Y164="Mular",0,(K164-S164)*(1+Indice!$M$25))</f>
        <v>27.998100000000008</v>
      </c>
      <c r="W164" s="223">
        <f>IF(Y164="Mular",(K164-S164)*(1+Indice!$M$25),0)</f>
        <v>0</v>
      </c>
      <c r="X164" s="223">
        <f t="shared" ref="X164:X167" si="10">T164</f>
        <v>0</v>
      </c>
      <c r="Y164" s="223" t="s">
        <v>8</v>
      </c>
      <c r="Z164" s="223">
        <f t="shared" ref="Z164:Z167" si="11">IF(Y164="Mular",(VLOOKUP(F164,AA_Cantidadesredes,4,FALSE)*D164),0)</f>
        <v>0</v>
      </c>
      <c r="AA164" s="223">
        <v>0</v>
      </c>
      <c r="AB164" s="223">
        <v>0</v>
      </c>
      <c r="AC164" s="223">
        <f t="shared" ref="AC164:AC167" si="12">(AA164+Z164)/400</f>
        <v>0</v>
      </c>
    </row>
    <row r="165" spans="1:29" s="212" customFormat="1" ht="12.75" customHeight="1" x14ac:dyDescent="0.25">
      <c r="A165" t="s">
        <v>1908</v>
      </c>
      <c r="B165" t="s">
        <v>1396</v>
      </c>
      <c r="C165" t="s">
        <v>1888</v>
      </c>
      <c r="D165">
        <v>58.83</v>
      </c>
      <c r="E165" s="199">
        <v>6</v>
      </c>
      <c r="F165" s="1050" t="s">
        <v>887</v>
      </c>
      <c r="G165" s="1050"/>
      <c r="H165" s="226" t="s">
        <v>7</v>
      </c>
      <c r="I165" s="223">
        <v>0.75</v>
      </c>
      <c r="J165" s="223">
        <f>HLOOKUP(H165,AA_Cimentacion,Indice!$N$31,FALSE)+((E165*25.4)/1000)+HLOOKUP(H165,AA_Cimentacion,Indice!$N$35,FALSE)</f>
        <v>1.2524000000000002</v>
      </c>
      <c r="K165" s="223">
        <f t="shared" si="8"/>
        <v>55.259019000000009</v>
      </c>
      <c r="L165" s="223">
        <f>HLOOKUP(H165,AA_Cimentacion,Indice!$N$32,FALSE)*K165</f>
        <v>2.7629509500000005</v>
      </c>
      <c r="M165" s="223">
        <f>HLOOKUP(H165,AA_Cimentacion,Indice!$N$33,FALSE)*K165</f>
        <v>0</v>
      </c>
      <c r="N165" s="223">
        <f>HLOOKUP(H165,AA_Cimentacion,Indice!$N$34,FALSE)*K165</f>
        <v>52.496068050000005</v>
      </c>
      <c r="O165" s="223">
        <f>HLOOKUP(H165,AA_Cimentacion,Indice!$N$35,FALSE)*I165*D165</f>
        <v>4.4122500000000002</v>
      </c>
      <c r="P165" s="223">
        <f>HLOOKUP(H165,AA_Cimentacion,Indice!$N$36,FALSE)*D165*I165</f>
        <v>13.236749999999997</v>
      </c>
      <c r="Q165" s="223">
        <f>HLOOKUP(H165,AA_Cimentacion,Indice!$N$37,FALSE)*I165*D165</f>
        <v>0</v>
      </c>
      <c r="R165" s="223">
        <f>HLOOKUP(H165,AA_Cimentacion,Indice!$N$38,FALSE)*I165*D165</f>
        <v>0</v>
      </c>
      <c r="S165" s="223">
        <f t="shared" si="9"/>
        <v>37.610019000000008</v>
      </c>
      <c r="T165" s="223">
        <f>HLOOKUP(H165,AA_Cimentacion,Indice!$N$39,FALSE)*I165*D165</f>
        <v>0</v>
      </c>
      <c r="U165" s="223">
        <f>IF(H165=Indice!$M$29,D165*2,0)</f>
        <v>0</v>
      </c>
      <c r="V165" s="223">
        <f>IF(Y165="Mular",0,(K165-S165)*(1+Indice!$M$25))</f>
        <v>22.943700000000003</v>
      </c>
      <c r="W165" s="223">
        <f>IF(Y165="Mular",(K165-S165)*(1+Indice!$M$25),0)</f>
        <v>0</v>
      </c>
      <c r="X165" s="223">
        <f t="shared" si="10"/>
        <v>0</v>
      </c>
      <c r="Y165" s="223" t="s">
        <v>8</v>
      </c>
      <c r="Z165" s="223">
        <f t="shared" si="11"/>
        <v>0</v>
      </c>
      <c r="AA165" s="223">
        <v>0</v>
      </c>
      <c r="AB165" s="223">
        <v>0</v>
      </c>
      <c r="AC165" s="223">
        <f t="shared" si="12"/>
        <v>0</v>
      </c>
    </row>
    <row r="166" spans="1:29" s="212" customFormat="1" ht="12.75" customHeight="1" x14ac:dyDescent="0.25">
      <c r="A166" t="s">
        <v>1909</v>
      </c>
      <c r="B166" t="s">
        <v>1888</v>
      </c>
      <c r="C166" t="s">
        <v>1397</v>
      </c>
      <c r="D166">
        <v>40.68</v>
      </c>
      <c r="E166" s="199">
        <v>6</v>
      </c>
      <c r="F166" s="1050" t="s">
        <v>887</v>
      </c>
      <c r="G166" s="1050"/>
      <c r="H166" s="227" t="s">
        <v>20</v>
      </c>
      <c r="I166" s="223">
        <v>0.75</v>
      </c>
      <c r="J166" s="223">
        <f>HLOOKUP(H166,AA_Cimentacion,Indice!$N$31,FALSE)+((E166*25.4)/1000)+HLOOKUP(H166,AA_Cimentacion,Indice!$N$35,FALSE)</f>
        <v>1.2524000000000002</v>
      </c>
      <c r="K166" s="223">
        <f t="shared" si="8"/>
        <v>38.210724000000006</v>
      </c>
      <c r="L166" s="223">
        <f>HLOOKUP(H166,AA_Cimentacion,Indice!$N$32,FALSE)*K166</f>
        <v>1.9105362000000004</v>
      </c>
      <c r="M166" s="223">
        <f>HLOOKUP(H166,AA_Cimentacion,Indice!$N$33,FALSE)*K166</f>
        <v>0</v>
      </c>
      <c r="N166" s="223">
        <f>HLOOKUP(H166,AA_Cimentacion,Indice!$N$34,FALSE)*K166</f>
        <v>36.300187800000003</v>
      </c>
      <c r="O166" s="223">
        <f>HLOOKUP(H166,AA_Cimentacion,Indice!$N$35,FALSE)*I166*D166</f>
        <v>3.0510000000000006</v>
      </c>
      <c r="P166" s="223">
        <f>HLOOKUP(H166,AA_Cimentacion,Indice!$N$36,FALSE)*D166*I166</f>
        <v>6.1020000000000003</v>
      </c>
      <c r="Q166" s="223">
        <f>HLOOKUP(H166,AA_Cimentacion,Indice!$N$37,FALSE)*I166*D166</f>
        <v>0</v>
      </c>
      <c r="R166" s="223">
        <f>HLOOKUP(H166,AA_Cimentacion,Indice!$N$38,FALSE)*I166*D166</f>
        <v>0</v>
      </c>
      <c r="S166" s="223">
        <f t="shared" si="9"/>
        <v>24.481224000000005</v>
      </c>
      <c r="T166" s="223">
        <f>HLOOKUP(H166,AA_Cimentacion,Indice!$N$39,FALSE)*I166*D166</f>
        <v>4.5764999999999993</v>
      </c>
      <c r="U166" s="223">
        <f>IF(H166=Indice!$M$29,D166*2,0)</f>
        <v>81.36</v>
      </c>
      <c r="V166" s="223">
        <f>IF(Y166="Mular",0,(K166-S166)*(1+Indice!$M$25))</f>
        <v>17.848350000000003</v>
      </c>
      <c r="W166" s="223">
        <f>IF(Y166="Mular",(K166-S166)*(1+Indice!$M$25),0)</f>
        <v>0</v>
      </c>
      <c r="X166" s="223">
        <f t="shared" si="10"/>
        <v>4.5764999999999993</v>
      </c>
      <c r="Y166" s="223" t="s">
        <v>8</v>
      </c>
      <c r="Z166" s="223">
        <f t="shared" si="11"/>
        <v>0</v>
      </c>
      <c r="AA166" s="223">
        <v>0</v>
      </c>
      <c r="AB166" s="223">
        <v>0</v>
      </c>
      <c r="AC166" s="223">
        <f t="shared" si="12"/>
        <v>0</v>
      </c>
    </row>
    <row r="167" spans="1:29" s="212" customFormat="1" ht="12.75" customHeight="1" x14ac:dyDescent="0.25">
      <c r="A167" t="s">
        <v>1910</v>
      </c>
      <c r="B167" t="s">
        <v>1397</v>
      </c>
      <c r="C167" t="s">
        <v>1398</v>
      </c>
      <c r="D167">
        <v>12.6</v>
      </c>
      <c r="E167" s="199">
        <v>6</v>
      </c>
      <c r="F167" s="1050" t="s">
        <v>887</v>
      </c>
      <c r="G167" s="1050"/>
      <c r="H167" s="227" t="s">
        <v>20</v>
      </c>
      <c r="I167" s="223">
        <v>0.75</v>
      </c>
      <c r="J167" s="223">
        <f>HLOOKUP(H167,AA_Cimentacion,Indice!$N$31,FALSE)+((E167*25.4)/1000)+HLOOKUP(H167,AA_Cimentacion,Indice!$N$35,FALSE)</f>
        <v>1.2524000000000002</v>
      </c>
      <c r="K167" s="223">
        <f t="shared" si="8"/>
        <v>11.835180000000001</v>
      </c>
      <c r="L167" s="223">
        <f>HLOOKUP(H167,AA_Cimentacion,Indice!$N$32,FALSE)*K167</f>
        <v>0.59175900000000003</v>
      </c>
      <c r="M167" s="223">
        <f>HLOOKUP(H167,AA_Cimentacion,Indice!$N$33,FALSE)*K167</f>
        <v>0</v>
      </c>
      <c r="N167" s="223">
        <f>HLOOKUP(H167,AA_Cimentacion,Indice!$N$34,FALSE)*K167</f>
        <v>11.243421000000001</v>
      </c>
      <c r="O167" s="223">
        <f>HLOOKUP(H167,AA_Cimentacion,Indice!$N$35,FALSE)*I167*D167</f>
        <v>0.94500000000000006</v>
      </c>
      <c r="P167" s="223">
        <f>HLOOKUP(H167,AA_Cimentacion,Indice!$N$36,FALSE)*D167*I167</f>
        <v>1.8900000000000001</v>
      </c>
      <c r="Q167" s="223">
        <f>HLOOKUP(H167,AA_Cimentacion,Indice!$N$37,FALSE)*I167*D167</f>
        <v>0</v>
      </c>
      <c r="R167" s="223">
        <f>HLOOKUP(H167,AA_Cimentacion,Indice!$N$38,FALSE)*I167*D167</f>
        <v>0</v>
      </c>
      <c r="S167" s="223">
        <f t="shared" si="9"/>
        <v>7.5826800000000008</v>
      </c>
      <c r="T167" s="223">
        <f>HLOOKUP(H167,AA_Cimentacion,Indice!$N$39,FALSE)*I167*D167</f>
        <v>1.4174999999999998</v>
      </c>
      <c r="U167" s="223">
        <f>IF(H167=Indice!$M$29,D167*2,0)</f>
        <v>25.2</v>
      </c>
      <c r="V167" s="223">
        <f>IF(Y167="Mular",0,(K167-S167)*(1+Indice!$M$25))</f>
        <v>5.5282500000000008</v>
      </c>
      <c r="W167" s="223">
        <f>IF(Y167="Mular",(K167-S167)*(1+Indice!$M$25),0)</f>
        <v>0</v>
      </c>
      <c r="X167" s="223">
        <f t="shared" si="10"/>
        <v>1.4174999999999998</v>
      </c>
      <c r="Y167" s="223" t="s">
        <v>8</v>
      </c>
      <c r="Z167" s="223">
        <f t="shared" si="11"/>
        <v>0</v>
      </c>
      <c r="AA167" s="223">
        <v>0</v>
      </c>
      <c r="AB167" s="223">
        <v>0</v>
      </c>
      <c r="AC167" s="223">
        <f t="shared" si="12"/>
        <v>0</v>
      </c>
    </row>
    <row r="168" spans="1:29" s="212" customFormat="1" ht="12.75" customHeight="1" x14ac:dyDescent="0.25">
      <c r="A168" t="s">
        <v>1911</v>
      </c>
      <c r="B168" t="s">
        <v>1399</v>
      </c>
      <c r="C168" t="s">
        <v>1400</v>
      </c>
      <c r="D168">
        <v>32.630000000000003</v>
      </c>
      <c r="E168" s="199">
        <v>6</v>
      </c>
      <c r="F168" s="1050" t="s">
        <v>887</v>
      </c>
      <c r="G168" s="1050"/>
      <c r="H168" s="227" t="s">
        <v>20</v>
      </c>
      <c r="I168" s="223">
        <v>0.75</v>
      </c>
      <c r="J168" s="223">
        <f>HLOOKUP(H168,AA_Cimentacion,Indice!$N$31,FALSE)+((E168*25.4)/1000)+HLOOKUP(H168,AA_Cimentacion,Indice!$N$35,FALSE)</f>
        <v>1.2524000000000002</v>
      </c>
      <c r="K168" s="223">
        <f t="shared" ref="K168:K192" si="13">I168*J168*D168</f>
        <v>30.649359000000008</v>
      </c>
      <c r="L168" s="223">
        <f>HLOOKUP(H168,AA_Cimentacion,Indice!$N$32,FALSE)*K168</f>
        <v>1.5324679500000005</v>
      </c>
      <c r="M168" s="223">
        <f>HLOOKUP(H168,AA_Cimentacion,Indice!$N$33,FALSE)*K168</f>
        <v>0</v>
      </c>
      <c r="N168" s="223">
        <f>HLOOKUP(H168,AA_Cimentacion,Indice!$N$34,FALSE)*K168</f>
        <v>29.116891050000007</v>
      </c>
      <c r="O168" s="223">
        <f>HLOOKUP(H168,AA_Cimentacion,Indice!$N$35,FALSE)*I168*D168</f>
        <v>2.4472500000000004</v>
      </c>
      <c r="P168" s="223">
        <f>HLOOKUP(H168,AA_Cimentacion,Indice!$N$36,FALSE)*D168*I168</f>
        <v>4.8945000000000007</v>
      </c>
      <c r="Q168" s="223">
        <f>HLOOKUP(H168,AA_Cimentacion,Indice!$N$37,FALSE)*I168*D168</f>
        <v>0</v>
      </c>
      <c r="R168" s="223">
        <f>HLOOKUP(H168,AA_Cimentacion,Indice!$N$38,FALSE)*I168*D168</f>
        <v>0</v>
      </c>
      <c r="S168" s="223">
        <f t="shared" ref="S168:S192" si="14">(K168-O168-P168-Q168-R168-T168)</f>
        <v>19.636734000000008</v>
      </c>
      <c r="T168" s="223">
        <f>HLOOKUP(H168,AA_Cimentacion,Indice!$N$39,FALSE)*I168*D168</f>
        <v>3.6708750000000001</v>
      </c>
      <c r="U168" s="223">
        <f>IF(H168=Indice!$M$29,D168*2,0)</f>
        <v>65.260000000000005</v>
      </c>
      <c r="V168" s="223">
        <f>IF(Y168="Mular",0,(K168-S168)*(1+Indice!$M$25))</f>
        <v>14.3164125</v>
      </c>
      <c r="W168" s="223">
        <f>IF(Y168="Mular",(K168-S168)*(1+Indice!$M$25),0)</f>
        <v>0</v>
      </c>
      <c r="X168" s="223">
        <f t="shared" ref="X168:X192" si="15">T168</f>
        <v>3.6708750000000001</v>
      </c>
      <c r="Y168" s="223" t="s">
        <v>8</v>
      </c>
      <c r="Z168" s="223">
        <f t="shared" ref="Z168:Z192" si="16">IF(Y168="Mular",(VLOOKUP(F168,AA_Cantidadesredes,4,FALSE)*D168),0)</f>
        <v>0</v>
      </c>
      <c r="AA168" s="223">
        <v>0</v>
      </c>
      <c r="AB168" s="223">
        <v>0</v>
      </c>
      <c r="AC168" s="223">
        <f t="shared" ref="AC168:AC192" si="17">(AA168+Z168)/400</f>
        <v>0</v>
      </c>
    </row>
    <row r="169" spans="1:29" s="212" customFormat="1" ht="12.75" customHeight="1" x14ac:dyDescent="0.25">
      <c r="A169" t="s">
        <v>1912</v>
      </c>
      <c r="B169" t="s">
        <v>1400</v>
      </c>
      <c r="C169" t="s">
        <v>1401</v>
      </c>
      <c r="D169">
        <v>53.72</v>
      </c>
      <c r="E169" s="199">
        <v>6</v>
      </c>
      <c r="F169" s="1050" t="s">
        <v>887</v>
      </c>
      <c r="G169" s="1050"/>
      <c r="H169" s="227" t="s">
        <v>20</v>
      </c>
      <c r="I169" s="223">
        <v>0.75</v>
      </c>
      <c r="J169" s="223">
        <f>HLOOKUP(H169,AA_Cimentacion,Indice!$N$31,FALSE)+((E169*25.4)/1000)+HLOOKUP(H169,AA_Cimentacion,Indice!$N$35,FALSE)</f>
        <v>1.2524000000000002</v>
      </c>
      <c r="K169" s="223">
        <f t="shared" si="13"/>
        <v>50.459196000000006</v>
      </c>
      <c r="L169" s="223">
        <f>HLOOKUP(H169,AA_Cimentacion,Indice!$N$32,FALSE)*K169</f>
        <v>2.5229598000000006</v>
      </c>
      <c r="M169" s="223">
        <f>HLOOKUP(H169,AA_Cimentacion,Indice!$N$33,FALSE)*K169</f>
        <v>0</v>
      </c>
      <c r="N169" s="223">
        <f>HLOOKUP(H169,AA_Cimentacion,Indice!$N$34,FALSE)*K169</f>
        <v>47.936236200000003</v>
      </c>
      <c r="O169" s="223">
        <f>HLOOKUP(H169,AA_Cimentacion,Indice!$N$35,FALSE)*I169*D169</f>
        <v>4.0290000000000008</v>
      </c>
      <c r="P169" s="223">
        <f>HLOOKUP(H169,AA_Cimentacion,Indice!$N$36,FALSE)*D169*I169</f>
        <v>8.0579999999999998</v>
      </c>
      <c r="Q169" s="223">
        <f>HLOOKUP(H169,AA_Cimentacion,Indice!$N$37,FALSE)*I169*D169</f>
        <v>0</v>
      </c>
      <c r="R169" s="223">
        <f>HLOOKUP(H169,AA_Cimentacion,Indice!$N$38,FALSE)*I169*D169</f>
        <v>0</v>
      </c>
      <c r="S169" s="223">
        <f t="shared" si="14"/>
        <v>32.328696000000001</v>
      </c>
      <c r="T169" s="223">
        <f>HLOOKUP(H169,AA_Cimentacion,Indice!$N$39,FALSE)*I169*D169</f>
        <v>6.043499999999999</v>
      </c>
      <c r="U169" s="223">
        <f>IF(H169=Indice!$M$29,D169*2,0)</f>
        <v>107.44</v>
      </c>
      <c r="V169" s="223">
        <f>IF(Y169="Mular",0,(K169-S169)*(1+Indice!$M$25))</f>
        <v>23.569650000000006</v>
      </c>
      <c r="W169" s="223">
        <f>IF(Y169="Mular",(K169-S169)*(1+Indice!$M$25),0)</f>
        <v>0</v>
      </c>
      <c r="X169" s="223">
        <f t="shared" si="15"/>
        <v>6.043499999999999</v>
      </c>
      <c r="Y169" s="223" t="s">
        <v>8</v>
      </c>
      <c r="Z169" s="223">
        <f t="shared" si="16"/>
        <v>0</v>
      </c>
      <c r="AA169" s="223">
        <v>0</v>
      </c>
      <c r="AB169" s="223">
        <v>0</v>
      </c>
      <c r="AC169" s="223">
        <f t="shared" si="17"/>
        <v>0</v>
      </c>
    </row>
    <row r="170" spans="1:29" s="212" customFormat="1" ht="12.75" customHeight="1" x14ac:dyDescent="0.25">
      <c r="A170" t="s">
        <v>1913</v>
      </c>
      <c r="B170" t="s">
        <v>1401</v>
      </c>
      <c r="C170" t="s">
        <v>1402</v>
      </c>
      <c r="D170">
        <v>39.11</v>
      </c>
      <c r="E170" s="199">
        <v>6</v>
      </c>
      <c r="F170" s="1050" t="s">
        <v>887</v>
      </c>
      <c r="G170" s="1050"/>
      <c r="H170" s="227" t="s">
        <v>20</v>
      </c>
      <c r="I170" s="223">
        <v>0.75</v>
      </c>
      <c r="J170" s="223">
        <f>HLOOKUP(H170,AA_Cimentacion,Indice!$N$31,FALSE)+((E170*25.4)/1000)+HLOOKUP(H170,AA_Cimentacion,Indice!$N$35,FALSE)</f>
        <v>1.2524000000000002</v>
      </c>
      <c r="K170" s="223">
        <f t="shared" si="13"/>
        <v>36.736023000000003</v>
      </c>
      <c r="L170" s="223">
        <f>HLOOKUP(H170,AA_Cimentacion,Indice!$N$32,FALSE)*K170</f>
        <v>1.8368011500000003</v>
      </c>
      <c r="M170" s="223">
        <f>HLOOKUP(H170,AA_Cimentacion,Indice!$N$33,FALSE)*K170</f>
        <v>0</v>
      </c>
      <c r="N170" s="223">
        <f>HLOOKUP(H170,AA_Cimentacion,Indice!$N$34,FALSE)*K170</f>
        <v>34.899221850000004</v>
      </c>
      <c r="O170" s="223">
        <f>HLOOKUP(H170,AA_Cimentacion,Indice!$N$35,FALSE)*I170*D170</f>
        <v>2.9332500000000006</v>
      </c>
      <c r="P170" s="223">
        <f>HLOOKUP(H170,AA_Cimentacion,Indice!$N$36,FALSE)*D170*I170</f>
        <v>5.8665000000000003</v>
      </c>
      <c r="Q170" s="223">
        <f>HLOOKUP(H170,AA_Cimentacion,Indice!$N$37,FALSE)*I170*D170</f>
        <v>0</v>
      </c>
      <c r="R170" s="223">
        <f>HLOOKUP(H170,AA_Cimentacion,Indice!$N$38,FALSE)*I170*D170</f>
        <v>0</v>
      </c>
      <c r="S170" s="223">
        <f t="shared" si="14"/>
        <v>23.536397999999998</v>
      </c>
      <c r="T170" s="223">
        <f>HLOOKUP(H170,AA_Cimentacion,Indice!$N$39,FALSE)*I170*D170</f>
        <v>4.3998749999999998</v>
      </c>
      <c r="U170" s="223">
        <f>IF(H170=Indice!$M$29,D170*2,0)</f>
        <v>78.22</v>
      </c>
      <c r="V170" s="223">
        <f>IF(Y170="Mular",0,(K170-S170)*(1+Indice!$M$25))</f>
        <v>17.159512500000005</v>
      </c>
      <c r="W170" s="223">
        <f>IF(Y170="Mular",(K170-S170)*(1+Indice!$M$25),0)</f>
        <v>0</v>
      </c>
      <c r="X170" s="223">
        <f t="shared" si="15"/>
        <v>4.3998749999999998</v>
      </c>
      <c r="Y170" s="223" t="s">
        <v>8</v>
      </c>
      <c r="Z170" s="223">
        <f t="shared" si="16"/>
        <v>0</v>
      </c>
      <c r="AA170" s="223">
        <v>0</v>
      </c>
      <c r="AB170" s="223">
        <v>0</v>
      </c>
      <c r="AC170" s="223">
        <f t="shared" si="17"/>
        <v>0</v>
      </c>
    </row>
    <row r="171" spans="1:29" s="212" customFormat="1" ht="12.75" customHeight="1" x14ac:dyDescent="0.25">
      <c r="A171" t="s">
        <v>1914</v>
      </c>
      <c r="B171" t="s">
        <v>1402</v>
      </c>
      <c r="C171" t="s">
        <v>1403</v>
      </c>
      <c r="D171">
        <v>60.33</v>
      </c>
      <c r="E171" s="199">
        <v>6</v>
      </c>
      <c r="F171" s="1050" t="s">
        <v>887</v>
      </c>
      <c r="G171" s="1050"/>
      <c r="H171" s="227" t="s">
        <v>20</v>
      </c>
      <c r="I171" s="223">
        <v>0.75</v>
      </c>
      <c r="J171" s="223">
        <f>HLOOKUP(H171,AA_Cimentacion,Indice!$N$31,FALSE)+((E171*25.4)/1000)+HLOOKUP(H171,AA_Cimentacion,Indice!$N$35,FALSE)</f>
        <v>1.2524000000000002</v>
      </c>
      <c r="K171" s="223">
        <f t="shared" si="13"/>
        <v>56.667969000000006</v>
      </c>
      <c r="L171" s="223">
        <f>HLOOKUP(H171,AA_Cimentacion,Indice!$N$32,FALSE)*K171</f>
        <v>2.8333984500000007</v>
      </c>
      <c r="M171" s="223">
        <f>HLOOKUP(H171,AA_Cimentacion,Indice!$N$33,FALSE)*K171</f>
        <v>0</v>
      </c>
      <c r="N171" s="223">
        <f>HLOOKUP(H171,AA_Cimentacion,Indice!$N$34,FALSE)*K171</f>
        <v>53.834570550000002</v>
      </c>
      <c r="O171" s="223">
        <f>HLOOKUP(H171,AA_Cimentacion,Indice!$N$35,FALSE)*I171*D171</f>
        <v>4.5247500000000009</v>
      </c>
      <c r="P171" s="223">
        <f>HLOOKUP(H171,AA_Cimentacion,Indice!$N$36,FALSE)*D171*I171</f>
        <v>9.0495000000000001</v>
      </c>
      <c r="Q171" s="223">
        <f>HLOOKUP(H171,AA_Cimentacion,Indice!$N$37,FALSE)*I171*D171</f>
        <v>0</v>
      </c>
      <c r="R171" s="223">
        <f>HLOOKUP(H171,AA_Cimentacion,Indice!$N$38,FALSE)*I171*D171</f>
        <v>0</v>
      </c>
      <c r="S171" s="223">
        <f t="shared" si="14"/>
        <v>36.306594000000004</v>
      </c>
      <c r="T171" s="223">
        <f>HLOOKUP(H171,AA_Cimentacion,Indice!$N$39,FALSE)*I171*D171</f>
        <v>6.7871249999999987</v>
      </c>
      <c r="U171" s="223">
        <f>IF(H171=Indice!$M$29,D171*2,0)</f>
        <v>120.66</v>
      </c>
      <c r="V171" s="223">
        <f>IF(Y171="Mular",0,(K171-S171)*(1+Indice!$M$25))</f>
        <v>26.469787500000002</v>
      </c>
      <c r="W171" s="223">
        <f>IF(Y171="Mular",(K171-S171)*(1+Indice!$M$25),0)</f>
        <v>0</v>
      </c>
      <c r="X171" s="223">
        <f t="shared" si="15"/>
        <v>6.7871249999999987</v>
      </c>
      <c r="Y171" s="223" t="s">
        <v>8</v>
      </c>
      <c r="Z171" s="223">
        <f t="shared" si="16"/>
        <v>0</v>
      </c>
      <c r="AA171" s="223">
        <v>0</v>
      </c>
      <c r="AB171" s="223">
        <v>0</v>
      </c>
      <c r="AC171" s="223">
        <f t="shared" si="17"/>
        <v>0</v>
      </c>
    </row>
    <row r="172" spans="1:29" s="212" customFormat="1" ht="12.75" customHeight="1" x14ac:dyDescent="0.25">
      <c r="A172" t="s">
        <v>1915</v>
      </c>
      <c r="B172" t="s">
        <v>1403</v>
      </c>
      <c r="C172" t="s">
        <v>1404</v>
      </c>
      <c r="D172">
        <v>59.21</v>
      </c>
      <c r="E172" s="199">
        <v>6</v>
      </c>
      <c r="F172" s="1050" t="s">
        <v>887</v>
      </c>
      <c r="G172" s="1050"/>
      <c r="H172" s="227" t="s">
        <v>20</v>
      </c>
      <c r="I172" s="223">
        <v>0.75</v>
      </c>
      <c r="J172" s="223">
        <f>HLOOKUP(H172,AA_Cimentacion,Indice!$N$31,FALSE)+((E172*25.4)/1000)+HLOOKUP(H172,AA_Cimentacion,Indice!$N$35,FALSE)</f>
        <v>1.2524000000000002</v>
      </c>
      <c r="K172" s="223">
        <f t="shared" si="13"/>
        <v>55.615953000000012</v>
      </c>
      <c r="L172" s="223">
        <f>HLOOKUP(H172,AA_Cimentacion,Indice!$N$32,FALSE)*K172</f>
        <v>2.7807976500000007</v>
      </c>
      <c r="M172" s="223">
        <f>HLOOKUP(H172,AA_Cimentacion,Indice!$N$33,FALSE)*K172</f>
        <v>0</v>
      </c>
      <c r="N172" s="223">
        <f>HLOOKUP(H172,AA_Cimentacion,Indice!$N$34,FALSE)*K172</f>
        <v>52.835155350000008</v>
      </c>
      <c r="O172" s="223">
        <f>HLOOKUP(H172,AA_Cimentacion,Indice!$N$35,FALSE)*I172*D172</f>
        <v>4.4407500000000004</v>
      </c>
      <c r="P172" s="223">
        <f>HLOOKUP(H172,AA_Cimentacion,Indice!$N$36,FALSE)*D172*I172</f>
        <v>8.8815000000000008</v>
      </c>
      <c r="Q172" s="223">
        <f>HLOOKUP(H172,AA_Cimentacion,Indice!$N$37,FALSE)*I172*D172</f>
        <v>0</v>
      </c>
      <c r="R172" s="223">
        <f>HLOOKUP(H172,AA_Cimentacion,Indice!$N$38,FALSE)*I172*D172</f>
        <v>0</v>
      </c>
      <c r="S172" s="223">
        <f t="shared" si="14"/>
        <v>35.632578000000009</v>
      </c>
      <c r="T172" s="223">
        <f>HLOOKUP(H172,AA_Cimentacion,Indice!$N$39,FALSE)*I172*D172</f>
        <v>6.6611249999999993</v>
      </c>
      <c r="U172" s="223">
        <f>IF(H172=Indice!$M$29,D172*2,0)</f>
        <v>118.42</v>
      </c>
      <c r="V172" s="223">
        <f>IF(Y172="Mular",0,(K172-S172)*(1+Indice!$M$25))</f>
        <v>25.978387500000004</v>
      </c>
      <c r="W172" s="223">
        <f>IF(Y172="Mular",(K172-S172)*(1+Indice!$M$25),0)</f>
        <v>0</v>
      </c>
      <c r="X172" s="223">
        <f t="shared" si="15"/>
        <v>6.6611249999999993</v>
      </c>
      <c r="Y172" s="223" t="s">
        <v>8</v>
      </c>
      <c r="Z172" s="223">
        <f t="shared" si="16"/>
        <v>0</v>
      </c>
      <c r="AA172" s="223">
        <v>0</v>
      </c>
      <c r="AB172" s="223">
        <v>0</v>
      </c>
      <c r="AC172" s="223">
        <f t="shared" si="17"/>
        <v>0</v>
      </c>
    </row>
    <row r="173" spans="1:29" s="212" customFormat="1" ht="12.75" customHeight="1" x14ac:dyDescent="0.25">
      <c r="A173" t="s">
        <v>1916</v>
      </c>
      <c r="B173" t="s">
        <v>1404</v>
      </c>
      <c r="C173" t="s">
        <v>1405</v>
      </c>
      <c r="D173">
        <v>30.84</v>
      </c>
      <c r="E173" s="199">
        <v>6</v>
      </c>
      <c r="F173" s="1050" t="s">
        <v>887</v>
      </c>
      <c r="G173" s="1050"/>
      <c r="H173" s="227" t="s">
        <v>20</v>
      </c>
      <c r="I173" s="223">
        <v>0.75</v>
      </c>
      <c r="J173" s="223">
        <f>HLOOKUP(H173,AA_Cimentacion,Indice!$N$31,FALSE)+((E173*25.4)/1000)+HLOOKUP(H173,AA_Cimentacion,Indice!$N$35,FALSE)</f>
        <v>1.2524000000000002</v>
      </c>
      <c r="K173" s="223">
        <f t="shared" si="13"/>
        <v>28.968012000000005</v>
      </c>
      <c r="L173" s="223">
        <f>HLOOKUP(H173,AA_Cimentacion,Indice!$N$32,FALSE)*K173</f>
        <v>1.4484006000000003</v>
      </c>
      <c r="M173" s="223">
        <f>HLOOKUP(H173,AA_Cimentacion,Indice!$N$33,FALSE)*K173</f>
        <v>0</v>
      </c>
      <c r="N173" s="223">
        <f>HLOOKUP(H173,AA_Cimentacion,Indice!$N$34,FALSE)*K173</f>
        <v>27.519611400000002</v>
      </c>
      <c r="O173" s="223">
        <f>HLOOKUP(H173,AA_Cimentacion,Indice!$N$35,FALSE)*I173*D173</f>
        <v>2.3130000000000002</v>
      </c>
      <c r="P173" s="223">
        <f>HLOOKUP(H173,AA_Cimentacion,Indice!$N$36,FALSE)*D173*I173</f>
        <v>4.6260000000000003</v>
      </c>
      <c r="Q173" s="223">
        <f>HLOOKUP(H173,AA_Cimentacion,Indice!$N$37,FALSE)*I173*D173</f>
        <v>0</v>
      </c>
      <c r="R173" s="223">
        <f>HLOOKUP(H173,AA_Cimentacion,Indice!$N$38,FALSE)*I173*D173</f>
        <v>0</v>
      </c>
      <c r="S173" s="223">
        <f t="shared" si="14"/>
        <v>18.559512000000005</v>
      </c>
      <c r="T173" s="223">
        <f>HLOOKUP(H173,AA_Cimentacion,Indice!$N$39,FALSE)*I173*D173</f>
        <v>3.4694999999999996</v>
      </c>
      <c r="U173" s="223">
        <f>IF(H173=Indice!$M$29,D173*2,0)</f>
        <v>61.68</v>
      </c>
      <c r="V173" s="223">
        <f>IF(Y173="Mular",0,(K173-S173)*(1+Indice!$M$25))</f>
        <v>13.53105</v>
      </c>
      <c r="W173" s="223">
        <f>IF(Y173="Mular",(K173-S173)*(1+Indice!$M$25),0)</f>
        <v>0</v>
      </c>
      <c r="X173" s="223">
        <f t="shared" si="15"/>
        <v>3.4694999999999996</v>
      </c>
      <c r="Y173" s="223" t="s">
        <v>8</v>
      </c>
      <c r="Z173" s="223">
        <f t="shared" si="16"/>
        <v>0</v>
      </c>
      <c r="AA173" s="223">
        <v>0</v>
      </c>
      <c r="AB173" s="223">
        <v>0</v>
      </c>
      <c r="AC173" s="223">
        <f t="shared" si="17"/>
        <v>0</v>
      </c>
    </row>
    <row r="174" spans="1:29" s="212" customFormat="1" ht="12.75" customHeight="1" x14ac:dyDescent="0.25">
      <c r="A174" t="s">
        <v>1917</v>
      </c>
      <c r="B174" t="s">
        <v>1405</v>
      </c>
      <c r="C174" t="s">
        <v>1889</v>
      </c>
      <c r="D174">
        <v>55.27</v>
      </c>
      <c r="E174" s="199">
        <v>6</v>
      </c>
      <c r="F174" s="1050" t="s">
        <v>887</v>
      </c>
      <c r="G174" s="1050"/>
      <c r="H174" s="227" t="s">
        <v>20</v>
      </c>
      <c r="I174" s="223">
        <v>0.75</v>
      </c>
      <c r="J174" s="223">
        <f>HLOOKUP(H174,AA_Cimentacion,Indice!$N$31,FALSE)+((E174*25.4)/1000)+HLOOKUP(H174,AA_Cimentacion,Indice!$N$35,FALSE)</f>
        <v>1.2524000000000002</v>
      </c>
      <c r="K174" s="223">
        <f t="shared" si="13"/>
        <v>51.91511100000001</v>
      </c>
      <c r="L174" s="223">
        <f>HLOOKUP(H174,AA_Cimentacion,Indice!$N$32,FALSE)*K174</f>
        <v>2.5957555500000007</v>
      </c>
      <c r="M174" s="223">
        <f>HLOOKUP(H174,AA_Cimentacion,Indice!$N$33,FALSE)*K174</f>
        <v>0</v>
      </c>
      <c r="N174" s="223">
        <f>HLOOKUP(H174,AA_Cimentacion,Indice!$N$34,FALSE)*K174</f>
        <v>49.31935545000001</v>
      </c>
      <c r="O174" s="223">
        <f>HLOOKUP(H174,AA_Cimentacion,Indice!$N$35,FALSE)*I174*D174</f>
        <v>4.1452500000000008</v>
      </c>
      <c r="P174" s="223">
        <f>HLOOKUP(H174,AA_Cimentacion,Indice!$N$36,FALSE)*D174*I174</f>
        <v>8.2905000000000015</v>
      </c>
      <c r="Q174" s="223">
        <f>HLOOKUP(H174,AA_Cimentacion,Indice!$N$37,FALSE)*I174*D174</f>
        <v>0</v>
      </c>
      <c r="R174" s="223">
        <f>HLOOKUP(H174,AA_Cimentacion,Indice!$N$38,FALSE)*I174*D174</f>
        <v>0</v>
      </c>
      <c r="S174" s="223">
        <f t="shared" si="14"/>
        <v>33.261486000000005</v>
      </c>
      <c r="T174" s="223">
        <f>HLOOKUP(H174,AA_Cimentacion,Indice!$N$39,FALSE)*I174*D174</f>
        <v>6.2178749999999994</v>
      </c>
      <c r="U174" s="223">
        <f>IF(H174=Indice!$M$29,D174*2,0)</f>
        <v>110.54</v>
      </c>
      <c r="V174" s="223">
        <f>IF(Y174="Mular",0,(K174-S174)*(1+Indice!$M$25))</f>
        <v>24.249712500000008</v>
      </c>
      <c r="W174" s="223">
        <f>IF(Y174="Mular",(K174-S174)*(1+Indice!$M$25),0)</f>
        <v>0</v>
      </c>
      <c r="X174" s="223">
        <f t="shared" si="15"/>
        <v>6.2178749999999994</v>
      </c>
      <c r="Y174" s="223" t="s">
        <v>8</v>
      </c>
      <c r="Z174" s="223">
        <f t="shared" si="16"/>
        <v>0</v>
      </c>
      <c r="AA174" s="223">
        <v>0</v>
      </c>
      <c r="AB174" s="223">
        <v>0</v>
      </c>
      <c r="AC174" s="223">
        <f t="shared" si="17"/>
        <v>0</v>
      </c>
    </row>
    <row r="175" spans="1:29" s="212" customFormat="1" ht="12.75" customHeight="1" x14ac:dyDescent="0.25">
      <c r="A175" t="s">
        <v>1918</v>
      </c>
      <c r="B175" t="s">
        <v>1889</v>
      </c>
      <c r="C175" t="s">
        <v>1406</v>
      </c>
      <c r="D175">
        <v>63.37</v>
      </c>
      <c r="E175" s="199">
        <v>6</v>
      </c>
      <c r="F175" s="1050" t="s">
        <v>887</v>
      </c>
      <c r="G175" s="1050"/>
      <c r="H175" s="227" t="s">
        <v>20</v>
      </c>
      <c r="I175" s="223">
        <v>0.75</v>
      </c>
      <c r="J175" s="223">
        <f>HLOOKUP(H175,AA_Cimentacion,Indice!$N$31,FALSE)+((E175*25.4)/1000)+HLOOKUP(H175,AA_Cimentacion,Indice!$N$35,FALSE)</f>
        <v>1.2524000000000002</v>
      </c>
      <c r="K175" s="223">
        <f t="shared" si="13"/>
        <v>59.523441000000005</v>
      </c>
      <c r="L175" s="223">
        <f>HLOOKUP(H175,AA_Cimentacion,Indice!$N$32,FALSE)*K175</f>
        <v>2.9761720500000006</v>
      </c>
      <c r="M175" s="223">
        <f>HLOOKUP(H175,AA_Cimentacion,Indice!$N$33,FALSE)*K175</f>
        <v>0</v>
      </c>
      <c r="N175" s="223">
        <f>HLOOKUP(H175,AA_Cimentacion,Indice!$N$34,FALSE)*K175</f>
        <v>56.547268950000003</v>
      </c>
      <c r="O175" s="223">
        <f>HLOOKUP(H175,AA_Cimentacion,Indice!$N$35,FALSE)*I175*D175</f>
        <v>4.7527500000000007</v>
      </c>
      <c r="P175" s="223">
        <f>HLOOKUP(H175,AA_Cimentacion,Indice!$N$36,FALSE)*D175*I175</f>
        <v>9.5054999999999996</v>
      </c>
      <c r="Q175" s="223">
        <f>HLOOKUP(H175,AA_Cimentacion,Indice!$N$37,FALSE)*I175*D175</f>
        <v>0</v>
      </c>
      <c r="R175" s="223">
        <f>HLOOKUP(H175,AA_Cimentacion,Indice!$N$38,FALSE)*I175*D175</f>
        <v>0</v>
      </c>
      <c r="S175" s="223">
        <f t="shared" si="14"/>
        <v>38.136066000000007</v>
      </c>
      <c r="T175" s="223">
        <f>HLOOKUP(H175,AA_Cimentacion,Indice!$N$39,FALSE)*I175*D175</f>
        <v>7.1291249999999993</v>
      </c>
      <c r="U175" s="223">
        <f>IF(H175=Indice!$M$29,D175*2,0)</f>
        <v>126.74</v>
      </c>
      <c r="V175" s="223">
        <f>IF(Y175="Mular",0,(K175-S175)*(1+Indice!$M$25))</f>
        <v>27.803587499999999</v>
      </c>
      <c r="W175" s="223">
        <f>IF(Y175="Mular",(K175-S175)*(1+Indice!$M$25),0)</f>
        <v>0</v>
      </c>
      <c r="X175" s="223">
        <f t="shared" si="15"/>
        <v>7.1291249999999993</v>
      </c>
      <c r="Y175" s="223" t="s">
        <v>8</v>
      </c>
      <c r="Z175" s="223">
        <f t="shared" si="16"/>
        <v>0</v>
      </c>
      <c r="AA175" s="223">
        <v>0</v>
      </c>
      <c r="AB175" s="223">
        <v>0</v>
      </c>
      <c r="AC175" s="223">
        <f t="shared" si="17"/>
        <v>0</v>
      </c>
    </row>
    <row r="176" spans="1:29" s="212" customFormat="1" ht="12.75" customHeight="1" x14ac:dyDescent="0.25">
      <c r="A176" t="s">
        <v>1919</v>
      </c>
      <c r="B176" t="s">
        <v>1406</v>
      </c>
      <c r="C176" t="s">
        <v>1890</v>
      </c>
      <c r="D176">
        <v>128.03</v>
      </c>
      <c r="E176" s="199">
        <v>6</v>
      </c>
      <c r="F176" s="1050" t="s">
        <v>887</v>
      </c>
      <c r="G176" s="1050"/>
      <c r="H176" s="227" t="s">
        <v>20</v>
      </c>
      <c r="I176" s="223">
        <v>0.75</v>
      </c>
      <c r="J176" s="223">
        <f>HLOOKUP(H176,AA_Cimentacion,Indice!$N$31,FALSE)+((E176*25.4)/1000)+HLOOKUP(H176,AA_Cimentacion,Indice!$N$35,FALSE)</f>
        <v>1.2524000000000002</v>
      </c>
      <c r="K176" s="223">
        <f t="shared" si="13"/>
        <v>120.25857900000001</v>
      </c>
      <c r="L176" s="223">
        <f>HLOOKUP(H176,AA_Cimentacion,Indice!$N$32,FALSE)*K176</f>
        <v>6.0129289500000009</v>
      </c>
      <c r="M176" s="223">
        <f>HLOOKUP(H176,AA_Cimentacion,Indice!$N$33,FALSE)*K176</f>
        <v>0</v>
      </c>
      <c r="N176" s="223">
        <f>HLOOKUP(H176,AA_Cimentacion,Indice!$N$34,FALSE)*K176</f>
        <v>114.24565005000001</v>
      </c>
      <c r="O176" s="223">
        <f>HLOOKUP(H176,AA_Cimentacion,Indice!$N$35,FALSE)*I176*D176</f>
        <v>9.6022500000000015</v>
      </c>
      <c r="P176" s="223">
        <f>HLOOKUP(H176,AA_Cimentacion,Indice!$N$36,FALSE)*D176*I176</f>
        <v>19.204500000000003</v>
      </c>
      <c r="Q176" s="223">
        <f>HLOOKUP(H176,AA_Cimentacion,Indice!$N$37,FALSE)*I176*D176</f>
        <v>0</v>
      </c>
      <c r="R176" s="223">
        <f>HLOOKUP(H176,AA_Cimentacion,Indice!$N$38,FALSE)*I176*D176</f>
        <v>0</v>
      </c>
      <c r="S176" s="223">
        <f t="shared" si="14"/>
        <v>77.048454000000007</v>
      </c>
      <c r="T176" s="223">
        <f>HLOOKUP(H176,AA_Cimentacion,Indice!$N$39,FALSE)*I176*D176</f>
        <v>14.403374999999999</v>
      </c>
      <c r="U176" s="223">
        <f>IF(H176=Indice!$M$29,D176*2,0)</f>
        <v>256.06</v>
      </c>
      <c r="V176" s="223">
        <f>IF(Y176="Mular",0,(K176-S176)*(1+Indice!$M$25))</f>
        <v>56.173162500000011</v>
      </c>
      <c r="W176" s="223">
        <f>IF(Y176="Mular",(K176-S176)*(1+Indice!$M$25),0)</f>
        <v>0</v>
      </c>
      <c r="X176" s="223">
        <f t="shared" si="15"/>
        <v>14.403374999999999</v>
      </c>
      <c r="Y176" s="223" t="s">
        <v>8</v>
      </c>
      <c r="Z176" s="223">
        <f t="shared" si="16"/>
        <v>0</v>
      </c>
      <c r="AA176" s="223">
        <v>0</v>
      </c>
      <c r="AB176" s="223">
        <v>0</v>
      </c>
      <c r="AC176" s="223">
        <f t="shared" si="17"/>
        <v>0</v>
      </c>
    </row>
    <row r="177" spans="1:29" s="212" customFormat="1" ht="12.75" customHeight="1" x14ac:dyDescent="0.25">
      <c r="A177" t="s">
        <v>1920</v>
      </c>
      <c r="B177" t="s">
        <v>1890</v>
      </c>
      <c r="C177" t="s">
        <v>1407</v>
      </c>
      <c r="D177">
        <v>160.75</v>
      </c>
      <c r="E177" s="199">
        <v>6</v>
      </c>
      <c r="F177" s="1050" t="s">
        <v>887</v>
      </c>
      <c r="G177" s="1050"/>
      <c r="H177" s="227" t="s">
        <v>20</v>
      </c>
      <c r="I177" s="223">
        <v>0.75</v>
      </c>
      <c r="J177" s="223">
        <f>HLOOKUP(H177,AA_Cimentacion,Indice!$N$31,FALSE)+((E177*25.4)/1000)+HLOOKUP(H177,AA_Cimentacion,Indice!$N$35,FALSE)</f>
        <v>1.2524000000000002</v>
      </c>
      <c r="K177" s="223">
        <f t="shared" si="13"/>
        <v>150.99247500000001</v>
      </c>
      <c r="L177" s="223">
        <f>HLOOKUP(H177,AA_Cimentacion,Indice!$N$32,FALSE)*K177</f>
        <v>7.5496237500000012</v>
      </c>
      <c r="M177" s="223">
        <f>HLOOKUP(H177,AA_Cimentacion,Indice!$N$33,FALSE)*K177</f>
        <v>0</v>
      </c>
      <c r="N177" s="223">
        <f>HLOOKUP(H177,AA_Cimentacion,Indice!$N$34,FALSE)*K177</f>
        <v>143.44285125000002</v>
      </c>
      <c r="O177" s="223">
        <f>HLOOKUP(H177,AA_Cimentacion,Indice!$N$35,FALSE)*I177*D177</f>
        <v>12.056250000000002</v>
      </c>
      <c r="P177" s="223">
        <f>HLOOKUP(H177,AA_Cimentacion,Indice!$N$36,FALSE)*D177*I177</f>
        <v>24.112499999999997</v>
      </c>
      <c r="Q177" s="223">
        <f>HLOOKUP(H177,AA_Cimentacion,Indice!$N$37,FALSE)*I177*D177</f>
        <v>0</v>
      </c>
      <c r="R177" s="223">
        <f>HLOOKUP(H177,AA_Cimentacion,Indice!$N$38,FALSE)*I177*D177</f>
        <v>0</v>
      </c>
      <c r="S177" s="223">
        <f t="shared" si="14"/>
        <v>96.739350000000016</v>
      </c>
      <c r="T177" s="223">
        <f>HLOOKUP(H177,AA_Cimentacion,Indice!$N$39,FALSE)*I177*D177</f>
        <v>18.084374999999998</v>
      </c>
      <c r="U177" s="223">
        <f>IF(H177=Indice!$M$29,D177*2,0)</f>
        <v>321.5</v>
      </c>
      <c r="V177" s="223">
        <f>IF(Y177="Mular",0,(K177-S177)*(1+Indice!$M$25))</f>
        <v>70.529062499999995</v>
      </c>
      <c r="W177" s="223">
        <f>IF(Y177="Mular",(K177-S177)*(1+Indice!$M$25),0)</f>
        <v>0</v>
      </c>
      <c r="X177" s="223">
        <f t="shared" si="15"/>
        <v>18.084374999999998</v>
      </c>
      <c r="Y177" s="223" t="s">
        <v>8</v>
      </c>
      <c r="Z177" s="223">
        <f t="shared" si="16"/>
        <v>0</v>
      </c>
      <c r="AA177" s="223">
        <v>0</v>
      </c>
      <c r="AB177" s="223">
        <v>0</v>
      </c>
      <c r="AC177" s="223">
        <f t="shared" si="17"/>
        <v>0</v>
      </c>
    </row>
    <row r="178" spans="1:29" s="212" customFormat="1" ht="12.75" customHeight="1" x14ac:dyDescent="0.25">
      <c r="A178" t="s">
        <v>1921</v>
      </c>
      <c r="B178" t="s">
        <v>1407</v>
      </c>
      <c r="C178" t="s">
        <v>1891</v>
      </c>
      <c r="D178">
        <v>89.78</v>
      </c>
      <c r="E178" s="199">
        <v>6</v>
      </c>
      <c r="F178" s="1050" t="s">
        <v>887</v>
      </c>
      <c r="G178" s="1050"/>
      <c r="H178" s="227" t="s">
        <v>20</v>
      </c>
      <c r="I178" s="223">
        <v>0.75</v>
      </c>
      <c r="J178" s="223">
        <f>HLOOKUP(H178,AA_Cimentacion,Indice!$N$31,FALSE)+((E178*25.4)/1000)+HLOOKUP(H178,AA_Cimentacion,Indice!$N$35,FALSE)</f>
        <v>1.2524000000000002</v>
      </c>
      <c r="K178" s="223">
        <f t="shared" si="13"/>
        <v>84.330354000000014</v>
      </c>
      <c r="L178" s="223">
        <f>HLOOKUP(H178,AA_Cimentacion,Indice!$N$32,FALSE)*K178</f>
        <v>4.2165177000000007</v>
      </c>
      <c r="M178" s="223">
        <f>HLOOKUP(H178,AA_Cimentacion,Indice!$N$33,FALSE)*K178</f>
        <v>0</v>
      </c>
      <c r="N178" s="223">
        <f>HLOOKUP(H178,AA_Cimentacion,Indice!$N$34,FALSE)*K178</f>
        <v>80.113836300000003</v>
      </c>
      <c r="O178" s="223">
        <f>HLOOKUP(H178,AA_Cimentacion,Indice!$N$35,FALSE)*I178*D178</f>
        <v>6.7335000000000012</v>
      </c>
      <c r="P178" s="223">
        <f>HLOOKUP(H178,AA_Cimentacion,Indice!$N$36,FALSE)*D178*I178</f>
        <v>13.466999999999999</v>
      </c>
      <c r="Q178" s="223">
        <f>HLOOKUP(H178,AA_Cimentacion,Indice!$N$37,FALSE)*I178*D178</f>
        <v>0</v>
      </c>
      <c r="R178" s="223">
        <f>HLOOKUP(H178,AA_Cimentacion,Indice!$N$38,FALSE)*I178*D178</f>
        <v>0</v>
      </c>
      <c r="S178" s="223">
        <f t="shared" si="14"/>
        <v>54.029604000000006</v>
      </c>
      <c r="T178" s="223">
        <f>HLOOKUP(H178,AA_Cimentacion,Indice!$N$39,FALSE)*I178*D178</f>
        <v>10.100249999999999</v>
      </c>
      <c r="U178" s="223">
        <f>IF(H178=Indice!$M$29,D178*2,0)</f>
        <v>179.56</v>
      </c>
      <c r="V178" s="223">
        <f>IF(Y178="Mular",0,(K178-S178)*(1+Indice!$M$25))</f>
        <v>39.390975000000012</v>
      </c>
      <c r="W178" s="223">
        <f>IF(Y178="Mular",(K178-S178)*(1+Indice!$M$25),0)</f>
        <v>0</v>
      </c>
      <c r="X178" s="223">
        <f t="shared" si="15"/>
        <v>10.100249999999999</v>
      </c>
      <c r="Y178" s="223" t="s">
        <v>8</v>
      </c>
      <c r="Z178" s="223">
        <f t="shared" si="16"/>
        <v>0</v>
      </c>
      <c r="AA178" s="223">
        <v>0</v>
      </c>
      <c r="AB178" s="223">
        <v>0</v>
      </c>
      <c r="AC178" s="223">
        <f t="shared" si="17"/>
        <v>0</v>
      </c>
    </row>
    <row r="179" spans="1:29" s="212" customFormat="1" ht="12.75" customHeight="1" x14ac:dyDescent="0.25">
      <c r="A179" t="s">
        <v>1922</v>
      </c>
      <c r="B179" t="s">
        <v>1891</v>
      </c>
      <c r="C179" t="s">
        <v>1408</v>
      </c>
      <c r="D179">
        <v>88.12</v>
      </c>
      <c r="E179" s="199">
        <v>6</v>
      </c>
      <c r="F179" s="1050" t="s">
        <v>887</v>
      </c>
      <c r="G179" s="1050"/>
      <c r="H179" s="227" t="s">
        <v>20</v>
      </c>
      <c r="I179" s="223">
        <v>0.75</v>
      </c>
      <c r="J179" s="223">
        <f>HLOOKUP(H179,AA_Cimentacion,Indice!$N$31,FALSE)+((E179*25.4)/1000)+HLOOKUP(H179,AA_Cimentacion,Indice!$N$35,FALSE)</f>
        <v>1.2524000000000002</v>
      </c>
      <c r="K179" s="223">
        <f t="shared" si="13"/>
        <v>82.771116000000021</v>
      </c>
      <c r="L179" s="223">
        <f>HLOOKUP(H179,AA_Cimentacion,Indice!$N$32,FALSE)*K179</f>
        <v>4.1385558000000016</v>
      </c>
      <c r="M179" s="223">
        <f>HLOOKUP(H179,AA_Cimentacion,Indice!$N$33,FALSE)*K179</f>
        <v>0</v>
      </c>
      <c r="N179" s="223">
        <f>HLOOKUP(H179,AA_Cimentacion,Indice!$N$34,FALSE)*K179</f>
        <v>78.632560200000015</v>
      </c>
      <c r="O179" s="223">
        <f>HLOOKUP(H179,AA_Cimentacion,Indice!$N$35,FALSE)*I179*D179</f>
        <v>6.6090000000000018</v>
      </c>
      <c r="P179" s="223">
        <f>HLOOKUP(H179,AA_Cimentacion,Indice!$N$36,FALSE)*D179*I179</f>
        <v>13.218000000000002</v>
      </c>
      <c r="Q179" s="223">
        <f>HLOOKUP(H179,AA_Cimentacion,Indice!$N$37,FALSE)*I179*D179</f>
        <v>0</v>
      </c>
      <c r="R179" s="223">
        <f>HLOOKUP(H179,AA_Cimentacion,Indice!$N$38,FALSE)*I179*D179</f>
        <v>0</v>
      </c>
      <c r="S179" s="223">
        <f t="shared" si="14"/>
        <v>53.030616000000023</v>
      </c>
      <c r="T179" s="223">
        <f>HLOOKUP(H179,AA_Cimentacion,Indice!$N$39,FALSE)*I179*D179</f>
        <v>9.9134999999999991</v>
      </c>
      <c r="U179" s="223">
        <f>IF(H179=Indice!$M$29,D179*2,0)</f>
        <v>176.24</v>
      </c>
      <c r="V179" s="223">
        <f>IF(Y179="Mular",0,(K179-S179)*(1+Indice!$M$25))</f>
        <v>38.662649999999999</v>
      </c>
      <c r="W179" s="223">
        <f>IF(Y179="Mular",(K179-S179)*(1+Indice!$M$25),0)</f>
        <v>0</v>
      </c>
      <c r="X179" s="223">
        <f t="shared" si="15"/>
        <v>9.9134999999999991</v>
      </c>
      <c r="Y179" s="223" t="s">
        <v>8</v>
      </c>
      <c r="Z179" s="223">
        <f t="shared" si="16"/>
        <v>0</v>
      </c>
      <c r="AA179" s="223">
        <v>0</v>
      </c>
      <c r="AB179" s="223">
        <v>0</v>
      </c>
      <c r="AC179" s="223">
        <f t="shared" si="17"/>
        <v>0</v>
      </c>
    </row>
    <row r="180" spans="1:29" s="212" customFormat="1" ht="12.75" customHeight="1" x14ac:dyDescent="0.25">
      <c r="A180" t="s">
        <v>1923</v>
      </c>
      <c r="B180" t="s">
        <v>1408</v>
      </c>
      <c r="C180" t="s">
        <v>1409</v>
      </c>
      <c r="D180">
        <v>105.06</v>
      </c>
      <c r="E180" s="199">
        <v>6</v>
      </c>
      <c r="F180" s="1050" t="s">
        <v>887</v>
      </c>
      <c r="G180" s="1050"/>
      <c r="H180" s="227" t="s">
        <v>20</v>
      </c>
      <c r="I180" s="223">
        <v>0.75</v>
      </c>
      <c r="J180" s="223">
        <f>HLOOKUP(H180,AA_Cimentacion,Indice!$N$31,FALSE)+((E180*25.4)/1000)+HLOOKUP(H180,AA_Cimentacion,Indice!$N$35,FALSE)</f>
        <v>1.2524000000000002</v>
      </c>
      <c r="K180" s="223">
        <f t="shared" si="13"/>
        <v>98.68285800000001</v>
      </c>
      <c r="L180" s="223">
        <f>HLOOKUP(H180,AA_Cimentacion,Indice!$N$32,FALSE)*K180</f>
        <v>4.9341429000000012</v>
      </c>
      <c r="M180" s="223">
        <f>HLOOKUP(H180,AA_Cimentacion,Indice!$N$33,FALSE)*K180</f>
        <v>0</v>
      </c>
      <c r="N180" s="223">
        <f>HLOOKUP(H180,AA_Cimentacion,Indice!$N$34,FALSE)*K180</f>
        <v>93.748715099999998</v>
      </c>
      <c r="O180" s="223">
        <f>HLOOKUP(H180,AA_Cimentacion,Indice!$N$35,FALSE)*I180*D180</f>
        <v>7.8795000000000011</v>
      </c>
      <c r="P180" s="223">
        <f>HLOOKUP(H180,AA_Cimentacion,Indice!$N$36,FALSE)*D180*I180</f>
        <v>15.759</v>
      </c>
      <c r="Q180" s="223">
        <f>HLOOKUP(H180,AA_Cimentacion,Indice!$N$37,FALSE)*I180*D180</f>
        <v>0</v>
      </c>
      <c r="R180" s="223">
        <f>HLOOKUP(H180,AA_Cimentacion,Indice!$N$38,FALSE)*I180*D180</f>
        <v>0</v>
      </c>
      <c r="S180" s="223">
        <f t="shared" si="14"/>
        <v>63.225108000000006</v>
      </c>
      <c r="T180" s="223">
        <f>HLOOKUP(H180,AA_Cimentacion,Indice!$N$39,FALSE)*I180*D180</f>
        <v>11.819249999999998</v>
      </c>
      <c r="U180" s="223">
        <f>IF(H180=Indice!$M$29,D180*2,0)</f>
        <v>210.12</v>
      </c>
      <c r="V180" s="223">
        <f>IF(Y180="Mular",0,(K180-S180)*(1+Indice!$M$25))</f>
        <v>46.095075000000008</v>
      </c>
      <c r="W180" s="223">
        <f>IF(Y180="Mular",(K180-S180)*(1+Indice!$M$25),0)</f>
        <v>0</v>
      </c>
      <c r="X180" s="223">
        <f t="shared" si="15"/>
        <v>11.819249999999998</v>
      </c>
      <c r="Y180" s="223" t="s">
        <v>8</v>
      </c>
      <c r="Z180" s="223">
        <f t="shared" si="16"/>
        <v>0</v>
      </c>
      <c r="AA180" s="223">
        <v>0</v>
      </c>
      <c r="AB180" s="223">
        <v>0</v>
      </c>
      <c r="AC180" s="223">
        <f t="shared" si="17"/>
        <v>0</v>
      </c>
    </row>
    <row r="181" spans="1:29" s="212" customFormat="1" ht="12.75" customHeight="1" x14ac:dyDescent="0.25">
      <c r="A181" t="s">
        <v>1924</v>
      </c>
      <c r="B181" t="s">
        <v>1409</v>
      </c>
      <c r="C181" t="s">
        <v>1410</v>
      </c>
      <c r="D181">
        <v>49.97</v>
      </c>
      <c r="E181" s="199">
        <v>6</v>
      </c>
      <c r="F181" s="1050" t="s">
        <v>887</v>
      </c>
      <c r="G181" s="1050"/>
      <c r="H181" s="227" t="s">
        <v>20</v>
      </c>
      <c r="I181" s="223">
        <v>0.75</v>
      </c>
      <c r="J181" s="223">
        <f>HLOOKUP(H181,AA_Cimentacion,Indice!$N$31,FALSE)+((E181*25.4)/1000)+HLOOKUP(H181,AA_Cimentacion,Indice!$N$35,FALSE)</f>
        <v>1.2524000000000002</v>
      </c>
      <c r="K181" s="223">
        <f t="shared" si="13"/>
        <v>46.936821000000009</v>
      </c>
      <c r="L181" s="223">
        <f>HLOOKUP(H181,AA_Cimentacion,Indice!$N$32,FALSE)*K181</f>
        <v>2.3468410500000005</v>
      </c>
      <c r="M181" s="223">
        <f>HLOOKUP(H181,AA_Cimentacion,Indice!$N$33,FALSE)*K181</f>
        <v>0</v>
      </c>
      <c r="N181" s="223">
        <f>HLOOKUP(H181,AA_Cimentacion,Indice!$N$34,FALSE)*K181</f>
        <v>44.589979950000007</v>
      </c>
      <c r="O181" s="223">
        <f>HLOOKUP(H181,AA_Cimentacion,Indice!$N$35,FALSE)*I181*D181</f>
        <v>3.7477500000000004</v>
      </c>
      <c r="P181" s="223">
        <f>HLOOKUP(H181,AA_Cimentacion,Indice!$N$36,FALSE)*D181*I181</f>
        <v>7.4954999999999998</v>
      </c>
      <c r="Q181" s="223">
        <f>HLOOKUP(H181,AA_Cimentacion,Indice!$N$37,FALSE)*I181*D181</f>
        <v>0</v>
      </c>
      <c r="R181" s="223">
        <f>HLOOKUP(H181,AA_Cimentacion,Indice!$N$38,FALSE)*I181*D181</f>
        <v>0</v>
      </c>
      <c r="S181" s="223">
        <f t="shared" si="14"/>
        <v>30.071946000000008</v>
      </c>
      <c r="T181" s="223">
        <f>HLOOKUP(H181,AA_Cimentacion,Indice!$N$39,FALSE)*I181*D181</f>
        <v>5.621624999999999</v>
      </c>
      <c r="U181" s="223">
        <f>IF(H181=Indice!$M$29,D181*2,0)</f>
        <v>99.94</v>
      </c>
      <c r="V181" s="223">
        <f>IF(Y181="Mular",0,(K181-S181)*(1+Indice!$M$25))</f>
        <v>21.924337500000004</v>
      </c>
      <c r="W181" s="223">
        <f>IF(Y181="Mular",(K181-S181)*(1+Indice!$M$25),0)</f>
        <v>0</v>
      </c>
      <c r="X181" s="223">
        <f t="shared" si="15"/>
        <v>5.621624999999999</v>
      </c>
      <c r="Y181" s="223" t="s">
        <v>8</v>
      </c>
      <c r="Z181" s="223">
        <f t="shared" si="16"/>
        <v>0</v>
      </c>
      <c r="AA181" s="223">
        <v>0</v>
      </c>
      <c r="AB181" s="223">
        <v>0</v>
      </c>
      <c r="AC181" s="223">
        <f t="shared" si="17"/>
        <v>0</v>
      </c>
    </row>
    <row r="182" spans="1:29" s="212" customFormat="1" ht="12.75" customHeight="1" x14ac:dyDescent="0.25">
      <c r="A182" t="s">
        <v>1925</v>
      </c>
      <c r="B182" t="s">
        <v>1411</v>
      </c>
      <c r="C182" t="s">
        <v>1410</v>
      </c>
      <c r="D182">
        <v>61.88</v>
      </c>
      <c r="E182" s="199">
        <v>6</v>
      </c>
      <c r="F182" s="1050" t="s">
        <v>887</v>
      </c>
      <c r="G182" s="1050"/>
      <c r="H182" s="227" t="s">
        <v>20</v>
      </c>
      <c r="I182" s="223">
        <v>0.75</v>
      </c>
      <c r="J182" s="223">
        <f>HLOOKUP(H182,AA_Cimentacion,Indice!$N$31,FALSE)+((E182*25.4)/1000)+HLOOKUP(H182,AA_Cimentacion,Indice!$N$35,FALSE)</f>
        <v>1.2524000000000002</v>
      </c>
      <c r="K182" s="223">
        <f t="shared" si="13"/>
        <v>58.123884000000011</v>
      </c>
      <c r="L182" s="223">
        <f>HLOOKUP(H182,AA_Cimentacion,Indice!$N$32,FALSE)*K182</f>
        <v>2.9061942000000007</v>
      </c>
      <c r="M182" s="223">
        <f>HLOOKUP(H182,AA_Cimentacion,Indice!$N$33,FALSE)*K182</f>
        <v>0</v>
      </c>
      <c r="N182" s="223">
        <f>HLOOKUP(H182,AA_Cimentacion,Indice!$N$34,FALSE)*K182</f>
        <v>55.217689800000009</v>
      </c>
      <c r="O182" s="223">
        <f>HLOOKUP(H182,AA_Cimentacion,Indice!$N$35,FALSE)*I182*D182</f>
        <v>4.6410000000000009</v>
      </c>
      <c r="P182" s="223">
        <f>HLOOKUP(H182,AA_Cimentacion,Indice!$N$36,FALSE)*D182*I182</f>
        <v>9.282</v>
      </c>
      <c r="Q182" s="223">
        <f>HLOOKUP(H182,AA_Cimentacion,Indice!$N$37,FALSE)*I182*D182</f>
        <v>0</v>
      </c>
      <c r="R182" s="223">
        <f>HLOOKUP(H182,AA_Cimentacion,Indice!$N$38,FALSE)*I182*D182</f>
        <v>0</v>
      </c>
      <c r="S182" s="223">
        <f t="shared" si="14"/>
        <v>37.239384000000015</v>
      </c>
      <c r="T182" s="223">
        <f>HLOOKUP(H182,AA_Cimentacion,Indice!$N$39,FALSE)*I182*D182</f>
        <v>6.9615</v>
      </c>
      <c r="U182" s="223">
        <f>IF(H182=Indice!$M$29,D182*2,0)</f>
        <v>123.76</v>
      </c>
      <c r="V182" s="223">
        <f>IF(Y182="Mular",0,(K182-S182)*(1+Indice!$M$25))</f>
        <v>27.149849999999994</v>
      </c>
      <c r="W182" s="223">
        <f>IF(Y182="Mular",(K182-S182)*(1+Indice!$M$25),0)</f>
        <v>0</v>
      </c>
      <c r="X182" s="223">
        <f t="shared" si="15"/>
        <v>6.9615</v>
      </c>
      <c r="Y182" s="223" t="s">
        <v>8</v>
      </c>
      <c r="Z182" s="223">
        <f t="shared" si="16"/>
        <v>0</v>
      </c>
      <c r="AA182" s="223">
        <v>0</v>
      </c>
      <c r="AB182" s="223">
        <v>0</v>
      </c>
      <c r="AC182" s="223">
        <f t="shared" si="17"/>
        <v>0</v>
      </c>
    </row>
    <row r="183" spans="1:29" s="212" customFormat="1" ht="12.75" customHeight="1" x14ac:dyDescent="0.25">
      <c r="A183" t="s">
        <v>1926</v>
      </c>
      <c r="B183" t="s">
        <v>1892</v>
      </c>
      <c r="C183" t="s">
        <v>1411</v>
      </c>
      <c r="D183">
        <v>54.06</v>
      </c>
      <c r="E183" s="199">
        <v>6</v>
      </c>
      <c r="F183" s="1050" t="s">
        <v>887</v>
      </c>
      <c r="G183" s="1050"/>
      <c r="H183" s="227" t="s">
        <v>20</v>
      </c>
      <c r="I183" s="223">
        <v>0.75</v>
      </c>
      <c r="J183" s="223">
        <f>HLOOKUP(H183,AA_Cimentacion,Indice!$N$31,FALSE)+((E183*25.4)/1000)+HLOOKUP(H183,AA_Cimentacion,Indice!$N$35,FALSE)</f>
        <v>1.2524000000000002</v>
      </c>
      <c r="K183" s="223">
        <f t="shared" si="13"/>
        <v>50.778558000000011</v>
      </c>
      <c r="L183" s="223">
        <f>HLOOKUP(H183,AA_Cimentacion,Indice!$N$32,FALSE)*K183</f>
        <v>2.5389279000000009</v>
      </c>
      <c r="M183" s="223">
        <f>HLOOKUP(H183,AA_Cimentacion,Indice!$N$33,FALSE)*K183</f>
        <v>0</v>
      </c>
      <c r="N183" s="223">
        <f>HLOOKUP(H183,AA_Cimentacion,Indice!$N$34,FALSE)*K183</f>
        <v>48.239630100000007</v>
      </c>
      <c r="O183" s="223">
        <f>HLOOKUP(H183,AA_Cimentacion,Indice!$N$35,FALSE)*I183*D183</f>
        <v>4.0545000000000009</v>
      </c>
      <c r="P183" s="223">
        <f>HLOOKUP(H183,AA_Cimentacion,Indice!$N$36,FALSE)*D183*I183</f>
        <v>8.1090000000000018</v>
      </c>
      <c r="Q183" s="223">
        <f>HLOOKUP(H183,AA_Cimentacion,Indice!$N$37,FALSE)*I183*D183</f>
        <v>0</v>
      </c>
      <c r="R183" s="223">
        <f>HLOOKUP(H183,AA_Cimentacion,Indice!$N$38,FALSE)*I183*D183</f>
        <v>0</v>
      </c>
      <c r="S183" s="223">
        <f t="shared" si="14"/>
        <v>32.533308000000012</v>
      </c>
      <c r="T183" s="223">
        <f>HLOOKUP(H183,AA_Cimentacion,Indice!$N$39,FALSE)*I183*D183</f>
        <v>6.0817499999999995</v>
      </c>
      <c r="U183" s="223">
        <f>IF(H183=Indice!$M$29,D183*2,0)</f>
        <v>108.12</v>
      </c>
      <c r="V183" s="223">
        <f>IF(Y183="Mular",0,(K183-S183)*(1+Indice!$M$25))</f>
        <v>23.718824999999999</v>
      </c>
      <c r="W183" s="223">
        <f>IF(Y183="Mular",(K183-S183)*(1+Indice!$M$25),0)</f>
        <v>0</v>
      </c>
      <c r="X183" s="223">
        <f t="shared" si="15"/>
        <v>6.0817499999999995</v>
      </c>
      <c r="Y183" s="223" t="s">
        <v>8</v>
      </c>
      <c r="Z183" s="223">
        <f t="shared" si="16"/>
        <v>0</v>
      </c>
      <c r="AA183" s="223">
        <v>0</v>
      </c>
      <c r="AB183" s="223">
        <v>0</v>
      </c>
      <c r="AC183" s="223">
        <f t="shared" si="17"/>
        <v>0</v>
      </c>
    </row>
    <row r="184" spans="1:29" s="212" customFormat="1" ht="12.75" customHeight="1" x14ac:dyDescent="0.25">
      <c r="A184" t="s">
        <v>1927</v>
      </c>
      <c r="B184" t="s">
        <v>1412</v>
      </c>
      <c r="C184" t="s">
        <v>1892</v>
      </c>
      <c r="D184">
        <v>72.959999999999994</v>
      </c>
      <c r="E184" s="199">
        <v>6</v>
      </c>
      <c r="F184" s="1050" t="s">
        <v>887</v>
      </c>
      <c r="G184" s="1050"/>
      <c r="H184" s="227" t="s">
        <v>20</v>
      </c>
      <c r="I184" s="223">
        <v>0.75</v>
      </c>
      <c r="J184" s="223">
        <f>HLOOKUP(H184,AA_Cimentacion,Indice!$N$31,FALSE)+((E184*25.4)/1000)+HLOOKUP(H184,AA_Cimentacion,Indice!$N$35,FALSE)</f>
        <v>1.2524000000000002</v>
      </c>
      <c r="K184" s="223">
        <f t="shared" si="13"/>
        <v>68.531328000000002</v>
      </c>
      <c r="L184" s="223">
        <f>HLOOKUP(H184,AA_Cimentacion,Indice!$N$32,FALSE)*K184</f>
        <v>3.4265664000000005</v>
      </c>
      <c r="M184" s="223">
        <f>HLOOKUP(H184,AA_Cimentacion,Indice!$N$33,FALSE)*K184</f>
        <v>0</v>
      </c>
      <c r="N184" s="223">
        <f>HLOOKUP(H184,AA_Cimentacion,Indice!$N$34,FALSE)*K184</f>
        <v>65.104761600000003</v>
      </c>
      <c r="O184" s="223">
        <f>HLOOKUP(H184,AA_Cimentacion,Indice!$N$35,FALSE)*I184*D184</f>
        <v>5.4720000000000004</v>
      </c>
      <c r="P184" s="223">
        <f>HLOOKUP(H184,AA_Cimentacion,Indice!$N$36,FALSE)*D184*I184</f>
        <v>10.943999999999999</v>
      </c>
      <c r="Q184" s="223">
        <f>HLOOKUP(H184,AA_Cimentacion,Indice!$N$37,FALSE)*I184*D184</f>
        <v>0</v>
      </c>
      <c r="R184" s="223">
        <f>HLOOKUP(H184,AA_Cimentacion,Indice!$N$38,FALSE)*I184*D184</f>
        <v>0</v>
      </c>
      <c r="S184" s="223">
        <f t="shared" si="14"/>
        <v>43.907328000000007</v>
      </c>
      <c r="T184" s="223">
        <f>HLOOKUP(H184,AA_Cimentacion,Indice!$N$39,FALSE)*I184*D184</f>
        <v>8.2079999999999984</v>
      </c>
      <c r="U184" s="223">
        <f>IF(H184=Indice!$M$29,D184*2,0)</f>
        <v>145.91999999999999</v>
      </c>
      <c r="V184" s="223">
        <f>IF(Y184="Mular",0,(K184-S184)*(1+Indice!$M$25))</f>
        <v>32.011199999999995</v>
      </c>
      <c r="W184" s="223">
        <f>IF(Y184="Mular",(K184-S184)*(1+Indice!$M$25),0)</f>
        <v>0</v>
      </c>
      <c r="X184" s="223">
        <f t="shared" si="15"/>
        <v>8.2079999999999984</v>
      </c>
      <c r="Y184" s="223" t="s">
        <v>8</v>
      </c>
      <c r="Z184" s="223">
        <f t="shared" si="16"/>
        <v>0</v>
      </c>
      <c r="AA184" s="223">
        <v>0</v>
      </c>
      <c r="AB184" s="223">
        <v>0</v>
      </c>
      <c r="AC184" s="223">
        <f t="shared" si="17"/>
        <v>0</v>
      </c>
    </row>
    <row r="185" spans="1:29" s="212" customFormat="1" ht="12.75" customHeight="1" x14ac:dyDescent="0.25">
      <c r="A185" t="s">
        <v>1928</v>
      </c>
      <c r="B185" t="s">
        <v>1412</v>
      </c>
      <c r="C185" t="s">
        <v>1893</v>
      </c>
      <c r="D185">
        <v>23.6</v>
      </c>
      <c r="E185" s="199">
        <v>6</v>
      </c>
      <c r="F185" s="1050" t="s">
        <v>887</v>
      </c>
      <c r="G185" s="1050"/>
      <c r="H185" s="227" t="s">
        <v>20</v>
      </c>
      <c r="I185" s="223">
        <v>0.75</v>
      </c>
      <c r="J185" s="223">
        <f>HLOOKUP(H185,AA_Cimentacion,Indice!$N$31,FALSE)+((E185*25.4)/1000)+HLOOKUP(H185,AA_Cimentacion,Indice!$N$35,FALSE)</f>
        <v>1.2524000000000002</v>
      </c>
      <c r="K185" s="223">
        <f t="shared" si="13"/>
        <v>22.167480000000005</v>
      </c>
      <c r="L185" s="223">
        <f>HLOOKUP(H185,AA_Cimentacion,Indice!$N$32,FALSE)*K185</f>
        <v>1.1083740000000002</v>
      </c>
      <c r="M185" s="223">
        <f>HLOOKUP(H185,AA_Cimentacion,Indice!$N$33,FALSE)*K185</f>
        <v>0</v>
      </c>
      <c r="N185" s="223">
        <f>HLOOKUP(H185,AA_Cimentacion,Indice!$N$34,FALSE)*K185</f>
        <v>21.059106000000003</v>
      </c>
      <c r="O185" s="223">
        <f>HLOOKUP(H185,AA_Cimentacion,Indice!$N$35,FALSE)*I185*D185</f>
        <v>1.7700000000000005</v>
      </c>
      <c r="P185" s="223">
        <f>HLOOKUP(H185,AA_Cimentacion,Indice!$N$36,FALSE)*D185*I185</f>
        <v>3.5400000000000005</v>
      </c>
      <c r="Q185" s="223">
        <f>HLOOKUP(H185,AA_Cimentacion,Indice!$N$37,FALSE)*I185*D185</f>
        <v>0</v>
      </c>
      <c r="R185" s="223">
        <f>HLOOKUP(H185,AA_Cimentacion,Indice!$N$38,FALSE)*I185*D185</f>
        <v>0</v>
      </c>
      <c r="S185" s="223">
        <f t="shared" si="14"/>
        <v>14.202480000000007</v>
      </c>
      <c r="T185" s="223">
        <f>HLOOKUP(H185,AA_Cimentacion,Indice!$N$39,FALSE)*I185*D185</f>
        <v>2.6549999999999998</v>
      </c>
      <c r="U185" s="223">
        <f>IF(H185=Indice!$M$29,D185*2,0)</f>
        <v>47.2</v>
      </c>
      <c r="V185" s="223">
        <f>IF(Y185="Mular",0,(K185-S185)*(1+Indice!$M$25))</f>
        <v>10.354499999999998</v>
      </c>
      <c r="W185" s="223">
        <f>IF(Y185="Mular",(K185-S185)*(1+Indice!$M$25),0)</f>
        <v>0</v>
      </c>
      <c r="X185" s="223">
        <f t="shared" si="15"/>
        <v>2.6549999999999998</v>
      </c>
      <c r="Y185" s="223" t="s">
        <v>8</v>
      </c>
      <c r="Z185" s="223">
        <f t="shared" si="16"/>
        <v>0</v>
      </c>
      <c r="AA185" s="223">
        <v>0</v>
      </c>
      <c r="AB185" s="223">
        <v>0</v>
      </c>
      <c r="AC185" s="223">
        <f t="shared" si="17"/>
        <v>0</v>
      </c>
    </row>
    <row r="186" spans="1:29" s="212" customFormat="1" ht="12.75" customHeight="1" x14ac:dyDescent="0.25">
      <c r="A186" t="s">
        <v>1929</v>
      </c>
      <c r="B186" t="s">
        <v>1893</v>
      </c>
      <c r="C186" t="s">
        <v>1894</v>
      </c>
      <c r="D186">
        <v>28.5</v>
      </c>
      <c r="E186" s="199">
        <v>6</v>
      </c>
      <c r="F186" s="1050" t="s">
        <v>887</v>
      </c>
      <c r="G186" s="1050"/>
      <c r="H186" s="227" t="s">
        <v>20</v>
      </c>
      <c r="I186" s="223">
        <v>0.75</v>
      </c>
      <c r="J186" s="223">
        <f>HLOOKUP(H186,AA_Cimentacion,Indice!$N$31,FALSE)+((E186*25.4)/1000)+HLOOKUP(H186,AA_Cimentacion,Indice!$N$35,FALSE)</f>
        <v>1.2524000000000002</v>
      </c>
      <c r="K186" s="223">
        <f t="shared" si="13"/>
        <v>26.770050000000005</v>
      </c>
      <c r="L186" s="223">
        <f>HLOOKUP(H186,AA_Cimentacion,Indice!$N$32,FALSE)*K186</f>
        <v>1.3385025000000004</v>
      </c>
      <c r="M186" s="223">
        <f>HLOOKUP(H186,AA_Cimentacion,Indice!$N$33,FALSE)*K186</f>
        <v>0</v>
      </c>
      <c r="N186" s="223">
        <f>HLOOKUP(H186,AA_Cimentacion,Indice!$N$34,FALSE)*K186</f>
        <v>25.431547500000004</v>
      </c>
      <c r="O186" s="223">
        <f>HLOOKUP(H186,AA_Cimentacion,Indice!$N$35,FALSE)*I186*D186</f>
        <v>2.1375000000000002</v>
      </c>
      <c r="P186" s="223">
        <f>HLOOKUP(H186,AA_Cimentacion,Indice!$N$36,FALSE)*D186*I186</f>
        <v>4.2750000000000004</v>
      </c>
      <c r="Q186" s="223">
        <f>HLOOKUP(H186,AA_Cimentacion,Indice!$N$37,FALSE)*I186*D186</f>
        <v>0</v>
      </c>
      <c r="R186" s="223">
        <f>HLOOKUP(H186,AA_Cimentacion,Indice!$N$38,FALSE)*I186*D186</f>
        <v>0</v>
      </c>
      <c r="S186" s="223">
        <f t="shared" si="14"/>
        <v>17.151300000000003</v>
      </c>
      <c r="T186" s="223">
        <f>HLOOKUP(H186,AA_Cimentacion,Indice!$N$39,FALSE)*I186*D186</f>
        <v>3.2062499999999998</v>
      </c>
      <c r="U186" s="223">
        <f>IF(H186=Indice!$M$29,D186*2,0)</f>
        <v>57</v>
      </c>
      <c r="V186" s="223">
        <f>IF(Y186="Mular",0,(K186-S186)*(1+Indice!$M$25))</f>
        <v>12.504375000000003</v>
      </c>
      <c r="W186" s="223">
        <f>IF(Y186="Mular",(K186-S186)*(1+Indice!$M$25),0)</f>
        <v>0</v>
      </c>
      <c r="X186" s="223">
        <f t="shared" si="15"/>
        <v>3.2062499999999998</v>
      </c>
      <c r="Y186" s="223" t="s">
        <v>8</v>
      </c>
      <c r="Z186" s="223">
        <f t="shared" si="16"/>
        <v>0</v>
      </c>
      <c r="AA186" s="223">
        <v>0</v>
      </c>
      <c r="AB186" s="223">
        <v>0</v>
      </c>
      <c r="AC186" s="223">
        <f t="shared" si="17"/>
        <v>0</v>
      </c>
    </row>
    <row r="187" spans="1:29" s="212" customFormat="1" ht="12.75" customHeight="1" x14ac:dyDescent="0.25">
      <c r="A187" t="s">
        <v>1930</v>
      </c>
      <c r="B187" t="s">
        <v>1894</v>
      </c>
      <c r="C187" t="s">
        <v>1413</v>
      </c>
      <c r="D187">
        <v>56.55</v>
      </c>
      <c r="E187" s="199">
        <v>6</v>
      </c>
      <c r="F187" s="1050" t="s">
        <v>887</v>
      </c>
      <c r="G187" s="1050"/>
      <c r="H187" s="227" t="s">
        <v>20</v>
      </c>
      <c r="I187" s="223">
        <v>0.75</v>
      </c>
      <c r="J187" s="223">
        <f>HLOOKUP(H187,AA_Cimentacion,Indice!$N$31,FALSE)+((E187*25.4)/1000)+HLOOKUP(H187,AA_Cimentacion,Indice!$N$35,FALSE)</f>
        <v>1.2524000000000002</v>
      </c>
      <c r="K187" s="223">
        <f t="shared" si="13"/>
        <v>53.117415000000008</v>
      </c>
      <c r="L187" s="223">
        <f>HLOOKUP(H187,AA_Cimentacion,Indice!$N$32,FALSE)*K187</f>
        <v>2.6558707500000005</v>
      </c>
      <c r="M187" s="223">
        <f>HLOOKUP(H187,AA_Cimentacion,Indice!$N$33,FALSE)*K187</f>
        <v>0</v>
      </c>
      <c r="N187" s="223">
        <f>HLOOKUP(H187,AA_Cimentacion,Indice!$N$34,FALSE)*K187</f>
        <v>50.461544250000003</v>
      </c>
      <c r="O187" s="223">
        <f>HLOOKUP(H187,AA_Cimentacion,Indice!$N$35,FALSE)*I187*D187</f>
        <v>4.2412500000000009</v>
      </c>
      <c r="P187" s="223">
        <f>HLOOKUP(H187,AA_Cimentacion,Indice!$N$36,FALSE)*D187*I187</f>
        <v>8.4824999999999999</v>
      </c>
      <c r="Q187" s="223">
        <f>HLOOKUP(H187,AA_Cimentacion,Indice!$N$37,FALSE)*I187*D187</f>
        <v>0</v>
      </c>
      <c r="R187" s="223">
        <f>HLOOKUP(H187,AA_Cimentacion,Indice!$N$38,FALSE)*I187*D187</f>
        <v>0</v>
      </c>
      <c r="S187" s="223">
        <f t="shared" si="14"/>
        <v>34.031790000000008</v>
      </c>
      <c r="T187" s="223">
        <f>HLOOKUP(H187,AA_Cimentacion,Indice!$N$39,FALSE)*I187*D187</f>
        <v>6.3618749999999986</v>
      </c>
      <c r="U187" s="223">
        <f>IF(H187=Indice!$M$29,D187*2,0)</f>
        <v>113.1</v>
      </c>
      <c r="V187" s="223">
        <f>IF(Y187="Mular",0,(K187-S187)*(1+Indice!$M$25))</f>
        <v>24.8113125</v>
      </c>
      <c r="W187" s="223">
        <f>IF(Y187="Mular",(K187-S187)*(1+Indice!$M$25),0)</f>
        <v>0</v>
      </c>
      <c r="X187" s="223">
        <f t="shared" si="15"/>
        <v>6.3618749999999986</v>
      </c>
      <c r="Y187" s="223" t="s">
        <v>8</v>
      </c>
      <c r="Z187" s="223">
        <f t="shared" si="16"/>
        <v>0</v>
      </c>
      <c r="AA187" s="223">
        <v>0</v>
      </c>
      <c r="AB187" s="223">
        <v>0</v>
      </c>
      <c r="AC187" s="223">
        <f t="shared" si="17"/>
        <v>0</v>
      </c>
    </row>
    <row r="188" spans="1:29" s="212" customFormat="1" ht="12.75" customHeight="1" x14ac:dyDescent="0.25">
      <c r="A188" t="s">
        <v>1931</v>
      </c>
      <c r="B188" t="s">
        <v>1398</v>
      </c>
      <c r="C188" t="s">
        <v>1399</v>
      </c>
      <c r="D188">
        <v>9.5299999999999994</v>
      </c>
      <c r="E188" s="199">
        <v>6</v>
      </c>
      <c r="F188" s="1050" t="s">
        <v>887</v>
      </c>
      <c r="G188" s="1050"/>
      <c r="H188" s="227" t="s">
        <v>20</v>
      </c>
      <c r="I188" s="223">
        <v>0.75</v>
      </c>
      <c r="J188" s="223">
        <f>HLOOKUP(H188,AA_Cimentacion,Indice!$N$31,FALSE)+((E188*25.4)/1000)+HLOOKUP(H188,AA_Cimentacion,Indice!$N$35,FALSE)</f>
        <v>1.2524000000000002</v>
      </c>
      <c r="K188" s="223">
        <f t="shared" si="13"/>
        <v>8.9515290000000007</v>
      </c>
      <c r="L188" s="223">
        <f>HLOOKUP(H188,AA_Cimentacion,Indice!$N$32,FALSE)*K188</f>
        <v>0.44757645000000007</v>
      </c>
      <c r="M188" s="223">
        <f>HLOOKUP(H188,AA_Cimentacion,Indice!$N$33,FALSE)*K188</f>
        <v>0</v>
      </c>
      <c r="N188" s="223">
        <f>HLOOKUP(H188,AA_Cimentacion,Indice!$N$34,FALSE)*K188</f>
        <v>8.5039525500000011</v>
      </c>
      <c r="O188" s="223">
        <f>HLOOKUP(H188,AA_Cimentacion,Indice!$N$35,FALSE)*I188*D188</f>
        <v>0.71475000000000011</v>
      </c>
      <c r="P188" s="223">
        <f>HLOOKUP(H188,AA_Cimentacion,Indice!$N$36,FALSE)*D188*I188</f>
        <v>1.4295</v>
      </c>
      <c r="Q188" s="223">
        <f>HLOOKUP(H188,AA_Cimentacion,Indice!$N$37,FALSE)*I188*D188</f>
        <v>0</v>
      </c>
      <c r="R188" s="223">
        <f>HLOOKUP(H188,AA_Cimentacion,Indice!$N$38,FALSE)*I188*D188</f>
        <v>0</v>
      </c>
      <c r="S188" s="223">
        <f t="shared" si="14"/>
        <v>5.7351540000000005</v>
      </c>
      <c r="T188" s="223">
        <f>HLOOKUP(H188,AA_Cimentacion,Indice!$N$39,FALSE)*I188*D188</f>
        <v>1.0721249999999998</v>
      </c>
      <c r="U188" s="223">
        <f>IF(H188=Indice!$M$29,D188*2,0)</f>
        <v>19.059999999999999</v>
      </c>
      <c r="V188" s="223">
        <f>IF(Y188="Mular",0,(K188-S188)*(1+Indice!$M$25))</f>
        <v>4.1812875000000007</v>
      </c>
      <c r="W188" s="223">
        <f>IF(Y188="Mular",(K188-S188)*(1+Indice!$M$25),0)</f>
        <v>0</v>
      </c>
      <c r="X188" s="223">
        <f t="shared" si="15"/>
        <v>1.0721249999999998</v>
      </c>
      <c r="Y188" s="223" t="s">
        <v>8</v>
      </c>
      <c r="Z188" s="223">
        <f t="shared" si="16"/>
        <v>0</v>
      </c>
      <c r="AA188" s="223">
        <v>0</v>
      </c>
      <c r="AB188" s="223">
        <v>0</v>
      </c>
      <c r="AC188" s="223">
        <f t="shared" si="17"/>
        <v>0</v>
      </c>
    </row>
    <row r="189" spans="1:29" s="212" customFormat="1" ht="12.75" customHeight="1" x14ac:dyDescent="0.25">
      <c r="A189" t="s">
        <v>1448</v>
      </c>
      <c r="B189" t="s">
        <v>1449</v>
      </c>
      <c r="C189" t="s">
        <v>1256</v>
      </c>
      <c r="D189">
        <v>13.78</v>
      </c>
      <c r="E189" s="199">
        <v>6</v>
      </c>
      <c r="F189" s="1050" t="s">
        <v>887</v>
      </c>
      <c r="G189" s="1050"/>
      <c r="H189" s="227" t="s">
        <v>20</v>
      </c>
      <c r="I189" s="223">
        <v>0.75</v>
      </c>
      <c r="J189" s="223">
        <f>HLOOKUP(H189,AA_Cimentacion,Indice!$N$31,FALSE)+((E189*25.4)/1000)+HLOOKUP(H189,AA_Cimentacion,Indice!$N$35,FALSE)</f>
        <v>1.2524000000000002</v>
      </c>
      <c r="K189" s="223">
        <f t="shared" si="13"/>
        <v>12.943554000000001</v>
      </c>
      <c r="L189" s="223">
        <f>HLOOKUP(H189,AA_Cimentacion,Indice!$N$32,FALSE)*K189</f>
        <v>0.64717770000000008</v>
      </c>
      <c r="M189" s="223">
        <f>HLOOKUP(H189,AA_Cimentacion,Indice!$N$33,FALSE)*K189</f>
        <v>0</v>
      </c>
      <c r="N189" s="223">
        <f>HLOOKUP(H189,AA_Cimentacion,Indice!$N$34,FALSE)*K189</f>
        <v>12.2963763</v>
      </c>
      <c r="O189" s="223">
        <f>HLOOKUP(H189,AA_Cimentacion,Indice!$N$35,FALSE)*I189*D189</f>
        <v>1.0335000000000001</v>
      </c>
      <c r="P189" s="223">
        <f>HLOOKUP(H189,AA_Cimentacion,Indice!$N$36,FALSE)*D189*I189</f>
        <v>2.0670000000000002</v>
      </c>
      <c r="Q189" s="223">
        <f>HLOOKUP(H189,AA_Cimentacion,Indice!$N$37,FALSE)*I189*D189</f>
        <v>0</v>
      </c>
      <c r="R189" s="223">
        <f>HLOOKUP(H189,AA_Cimentacion,Indice!$N$38,FALSE)*I189*D189</f>
        <v>0</v>
      </c>
      <c r="S189" s="223">
        <f t="shared" si="14"/>
        <v>8.2928040000000003</v>
      </c>
      <c r="T189" s="223">
        <f>HLOOKUP(H189,AA_Cimentacion,Indice!$N$39,FALSE)*I189*D189</f>
        <v>1.5502499999999997</v>
      </c>
      <c r="U189" s="223">
        <f>IF(H189=Indice!$M$29,D189*2,0)</f>
        <v>27.56</v>
      </c>
      <c r="V189" s="223">
        <f>IF(Y189="Mular",0,(K189-S189)*(1+Indice!$M$25))</f>
        <v>6.0459750000000003</v>
      </c>
      <c r="W189" s="223">
        <f>IF(Y189="Mular",(K189-S189)*(1+Indice!$M$25),0)</f>
        <v>0</v>
      </c>
      <c r="X189" s="223">
        <f t="shared" si="15"/>
        <v>1.5502499999999997</v>
      </c>
      <c r="Y189" s="223" t="s">
        <v>8</v>
      </c>
      <c r="Z189" s="223">
        <f t="shared" si="16"/>
        <v>0</v>
      </c>
      <c r="AA189" s="223">
        <v>0</v>
      </c>
      <c r="AB189" s="223">
        <v>0</v>
      </c>
      <c r="AC189" s="223">
        <f t="shared" si="17"/>
        <v>0</v>
      </c>
    </row>
    <row r="190" spans="1:29" s="212" customFormat="1" ht="12.75" customHeight="1" x14ac:dyDescent="0.25">
      <c r="A190" t="s">
        <v>1252</v>
      </c>
      <c r="B190" t="s">
        <v>1301</v>
      </c>
      <c r="C190" t="s">
        <v>1302</v>
      </c>
      <c r="D190">
        <v>23.43</v>
      </c>
      <c r="E190" s="199">
        <v>6</v>
      </c>
      <c r="F190" s="1050" t="s">
        <v>887</v>
      </c>
      <c r="G190" s="1050"/>
      <c r="H190" s="227" t="s">
        <v>20</v>
      </c>
      <c r="I190" s="223">
        <v>0.75</v>
      </c>
      <c r="J190" s="223">
        <f>HLOOKUP(H190,AA_Cimentacion,Indice!$N$31,FALSE)+((E190*25.4)/1000)+HLOOKUP(H190,AA_Cimentacion,Indice!$N$35,FALSE)</f>
        <v>1.2524000000000002</v>
      </c>
      <c r="K190" s="223">
        <f t="shared" si="13"/>
        <v>22.007799000000002</v>
      </c>
      <c r="L190" s="223">
        <f>HLOOKUP(H190,AA_Cimentacion,Indice!$N$32,FALSE)*K190</f>
        <v>1.1003899500000001</v>
      </c>
      <c r="M190" s="223">
        <f>HLOOKUP(H190,AA_Cimentacion,Indice!$N$33,FALSE)*K190</f>
        <v>0</v>
      </c>
      <c r="N190" s="223">
        <f>HLOOKUP(H190,AA_Cimentacion,Indice!$N$34,FALSE)*K190</f>
        <v>20.907409050000002</v>
      </c>
      <c r="O190" s="223">
        <f>HLOOKUP(H190,AA_Cimentacion,Indice!$N$35,FALSE)*I190*D190</f>
        <v>1.7572500000000002</v>
      </c>
      <c r="P190" s="223">
        <f>HLOOKUP(H190,AA_Cimentacion,Indice!$N$36,FALSE)*D190*I190</f>
        <v>3.5145</v>
      </c>
      <c r="Q190" s="223">
        <f>HLOOKUP(H190,AA_Cimentacion,Indice!$N$37,FALSE)*I190*D190</f>
        <v>0</v>
      </c>
      <c r="R190" s="223">
        <f>HLOOKUP(H190,AA_Cimentacion,Indice!$N$38,FALSE)*I190*D190</f>
        <v>0</v>
      </c>
      <c r="S190" s="223">
        <f t="shared" si="14"/>
        <v>14.100174000000003</v>
      </c>
      <c r="T190" s="223">
        <f>HLOOKUP(H190,AA_Cimentacion,Indice!$N$39,FALSE)*I190*D190</f>
        <v>2.6358749999999995</v>
      </c>
      <c r="U190" s="223">
        <f>IF(H190=Indice!$M$29,D190*2,0)</f>
        <v>46.86</v>
      </c>
      <c r="V190" s="223">
        <f>IF(Y190="Mular",0,(K190-S190)*(1+Indice!$M$25))</f>
        <v>10.2799125</v>
      </c>
      <c r="W190" s="223">
        <f>IF(Y190="Mular",(K190-S190)*(1+Indice!$M$25),0)</f>
        <v>0</v>
      </c>
      <c r="X190" s="223">
        <f t="shared" si="15"/>
        <v>2.6358749999999995</v>
      </c>
      <c r="Y190" s="223" t="s">
        <v>8</v>
      </c>
      <c r="Z190" s="223">
        <f t="shared" si="16"/>
        <v>0</v>
      </c>
      <c r="AA190" s="223">
        <v>0</v>
      </c>
      <c r="AB190" s="223">
        <v>0</v>
      </c>
      <c r="AC190" s="223">
        <f t="shared" si="17"/>
        <v>0</v>
      </c>
    </row>
    <row r="191" spans="1:29" s="212" customFormat="1" ht="12.75" customHeight="1" x14ac:dyDescent="0.25">
      <c r="A191" t="s">
        <v>1253</v>
      </c>
      <c r="B191" t="s">
        <v>1352</v>
      </c>
      <c r="C191" t="s">
        <v>1353</v>
      </c>
      <c r="D191">
        <v>17.420000000000002</v>
      </c>
      <c r="E191" s="199">
        <v>6</v>
      </c>
      <c r="F191" s="1050" t="s">
        <v>887</v>
      </c>
      <c r="G191" s="1050"/>
      <c r="H191" s="227" t="s">
        <v>20</v>
      </c>
      <c r="I191" s="223">
        <v>0.75</v>
      </c>
      <c r="J191" s="223">
        <f>HLOOKUP(H191,AA_Cimentacion,Indice!$N$31,FALSE)+((E191*25.4)/1000)+HLOOKUP(H191,AA_Cimentacion,Indice!$N$35,FALSE)</f>
        <v>1.2524000000000002</v>
      </c>
      <c r="K191" s="223">
        <f t="shared" si="13"/>
        <v>16.362606000000003</v>
      </c>
      <c r="L191" s="223">
        <f>HLOOKUP(H191,AA_Cimentacion,Indice!$N$32,FALSE)*K191</f>
        <v>0.8181303000000002</v>
      </c>
      <c r="M191" s="223">
        <f>HLOOKUP(H191,AA_Cimentacion,Indice!$N$33,FALSE)*K191</f>
        <v>0</v>
      </c>
      <c r="N191" s="223">
        <f>HLOOKUP(H191,AA_Cimentacion,Indice!$N$34,FALSE)*K191</f>
        <v>15.544475700000001</v>
      </c>
      <c r="O191" s="223">
        <f>HLOOKUP(H191,AA_Cimentacion,Indice!$N$35,FALSE)*I191*D191</f>
        <v>1.3065000000000002</v>
      </c>
      <c r="P191" s="223">
        <f>HLOOKUP(H191,AA_Cimentacion,Indice!$N$36,FALSE)*D191*I191</f>
        <v>2.6130000000000004</v>
      </c>
      <c r="Q191" s="223">
        <f>HLOOKUP(H191,AA_Cimentacion,Indice!$N$37,FALSE)*I191*D191</f>
        <v>0</v>
      </c>
      <c r="R191" s="223">
        <f>HLOOKUP(H191,AA_Cimentacion,Indice!$N$38,FALSE)*I191*D191</f>
        <v>0</v>
      </c>
      <c r="S191" s="223">
        <f t="shared" si="14"/>
        <v>10.483356000000004</v>
      </c>
      <c r="T191" s="223">
        <f>HLOOKUP(H191,AA_Cimentacion,Indice!$N$39,FALSE)*I191*D191</f>
        <v>1.9597500000000001</v>
      </c>
      <c r="U191" s="223">
        <f>IF(H191=Indice!$M$29,D191*2,0)</f>
        <v>34.840000000000003</v>
      </c>
      <c r="V191" s="223">
        <f>IF(Y191="Mular",0,(K191-S191)*(1+Indice!$M$25))</f>
        <v>7.6430249999999988</v>
      </c>
      <c r="W191" s="223">
        <f>IF(Y191="Mular",(K191-S191)*(1+Indice!$M$25),0)</f>
        <v>0</v>
      </c>
      <c r="X191" s="223">
        <f t="shared" si="15"/>
        <v>1.9597500000000001</v>
      </c>
      <c r="Y191" s="223" t="s">
        <v>8</v>
      </c>
      <c r="Z191" s="223">
        <f t="shared" si="16"/>
        <v>0</v>
      </c>
      <c r="AA191" s="223">
        <v>0</v>
      </c>
      <c r="AB191" s="223">
        <v>0</v>
      </c>
      <c r="AC191" s="223">
        <f t="shared" si="17"/>
        <v>0</v>
      </c>
    </row>
    <row r="192" spans="1:29" s="212" customFormat="1" ht="12.75" customHeight="1" x14ac:dyDescent="0.25">
      <c r="A192" t="s">
        <v>1254</v>
      </c>
      <c r="B192" t="s">
        <v>1389</v>
      </c>
      <c r="C192" t="s">
        <v>1390</v>
      </c>
      <c r="D192">
        <v>3.26</v>
      </c>
      <c r="E192" s="199">
        <v>6</v>
      </c>
      <c r="F192" s="1050" t="s">
        <v>887</v>
      </c>
      <c r="G192" s="1050"/>
      <c r="H192" s="227" t="s">
        <v>20</v>
      </c>
      <c r="I192" s="223">
        <v>0.75</v>
      </c>
      <c r="J192" s="223">
        <f>HLOOKUP(H192,AA_Cimentacion,Indice!$N$31,FALSE)+((E192*25.4)/1000)+HLOOKUP(H192,AA_Cimentacion,Indice!$N$35,FALSE)</f>
        <v>1.2524000000000002</v>
      </c>
      <c r="K192" s="223">
        <f t="shared" si="13"/>
        <v>3.0621180000000003</v>
      </c>
      <c r="L192" s="223">
        <f>HLOOKUP(H192,AA_Cimentacion,Indice!$N$32,FALSE)*K192</f>
        <v>0.15310590000000002</v>
      </c>
      <c r="M192" s="223">
        <f>HLOOKUP(H192,AA_Cimentacion,Indice!$N$33,FALSE)*K192</f>
        <v>0</v>
      </c>
      <c r="N192" s="223">
        <f>HLOOKUP(H192,AA_Cimentacion,Indice!$N$34,FALSE)*K192</f>
        <v>2.9090121</v>
      </c>
      <c r="O192" s="223">
        <f>HLOOKUP(H192,AA_Cimentacion,Indice!$N$35,FALSE)*I192*D192</f>
        <v>0.24450000000000002</v>
      </c>
      <c r="P192" s="223">
        <f>HLOOKUP(H192,AA_Cimentacion,Indice!$N$36,FALSE)*D192*I192</f>
        <v>0.48899999999999999</v>
      </c>
      <c r="Q192" s="223">
        <f>HLOOKUP(H192,AA_Cimentacion,Indice!$N$37,FALSE)*I192*D192</f>
        <v>0</v>
      </c>
      <c r="R192" s="223">
        <f>HLOOKUP(H192,AA_Cimentacion,Indice!$N$38,FALSE)*I192*D192</f>
        <v>0</v>
      </c>
      <c r="S192" s="223">
        <f t="shared" si="14"/>
        <v>1.9618680000000006</v>
      </c>
      <c r="T192" s="223">
        <f>HLOOKUP(H192,AA_Cimentacion,Indice!$N$39,FALSE)*I192*D192</f>
        <v>0.36674999999999996</v>
      </c>
      <c r="U192" s="223">
        <f>IF(H192=Indice!$M$29,D192*2,0)</f>
        <v>6.52</v>
      </c>
      <c r="V192" s="223">
        <f>IF(Y192="Mular",0,(K192-S192)*(1+Indice!$M$25))</f>
        <v>1.4303249999999996</v>
      </c>
      <c r="W192" s="223">
        <f>IF(Y192="Mular",(K192-S192)*(1+Indice!$M$25),0)</f>
        <v>0</v>
      </c>
      <c r="X192" s="223">
        <f t="shared" si="15"/>
        <v>0.36674999999999996</v>
      </c>
      <c r="Y192" s="223" t="s">
        <v>8</v>
      </c>
      <c r="Z192" s="223">
        <f t="shared" si="16"/>
        <v>0</v>
      </c>
      <c r="AA192" s="223">
        <v>0</v>
      </c>
      <c r="AB192" s="223">
        <v>0</v>
      </c>
      <c r="AC192" s="223">
        <f t="shared" si="17"/>
        <v>0</v>
      </c>
    </row>
    <row r="193" spans="1:29" s="212" customFormat="1" ht="12.75" customHeight="1" x14ac:dyDescent="0.25">
      <c r="A193" t="s">
        <v>1255</v>
      </c>
      <c r="B193" t="s">
        <v>1272</v>
      </c>
      <c r="C193" t="s">
        <v>1273</v>
      </c>
      <c r="D193">
        <v>52.36</v>
      </c>
      <c r="E193" s="199">
        <v>6</v>
      </c>
      <c r="F193" s="1050" t="s">
        <v>887</v>
      </c>
      <c r="G193" s="1050"/>
      <c r="H193" s="227" t="s">
        <v>20</v>
      </c>
      <c r="I193" s="223">
        <v>0.75</v>
      </c>
      <c r="J193" s="223">
        <f>HLOOKUP(H193,AA_Cimentacion,Indice!$N$31,FALSE)+((E193*25.4)/1000)+HLOOKUP(H193,AA_Cimentacion,Indice!$N$35,FALSE)</f>
        <v>1.2524000000000002</v>
      </c>
      <c r="K193" s="223">
        <f t="shared" ref="K193" si="18">I193*J193*D193</f>
        <v>49.181748000000006</v>
      </c>
      <c r="L193" s="223">
        <f>HLOOKUP(H193,AA_Cimentacion,Indice!$N$32,FALSE)*K193</f>
        <v>2.4590874000000005</v>
      </c>
      <c r="M193" s="223">
        <f>HLOOKUP(H193,AA_Cimentacion,Indice!$N$33,FALSE)*K193</f>
        <v>0</v>
      </c>
      <c r="N193" s="223">
        <f>HLOOKUP(H193,AA_Cimentacion,Indice!$N$34,FALSE)*K193</f>
        <v>46.722660600000005</v>
      </c>
      <c r="O193" s="223">
        <f>HLOOKUP(H193,AA_Cimentacion,Indice!$N$35,FALSE)*I193*D193</f>
        <v>3.9270000000000005</v>
      </c>
      <c r="P193" s="223">
        <f>HLOOKUP(H193,AA_Cimentacion,Indice!$N$36,FALSE)*D193*I193</f>
        <v>7.854000000000001</v>
      </c>
      <c r="Q193" s="223">
        <f>HLOOKUP(H193,AA_Cimentacion,Indice!$N$37,FALSE)*I193*D193</f>
        <v>0</v>
      </c>
      <c r="R193" s="223">
        <f>HLOOKUP(H193,AA_Cimentacion,Indice!$N$38,FALSE)*I193*D193</f>
        <v>0</v>
      </c>
      <c r="S193" s="223">
        <f t="shared" ref="S193" si="19">(K193-O193-P193-Q193-R193-T193)</f>
        <v>31.510248000000008</v>
      </c>
      <c r="T193" s="223">
        <f>HLOOKUP(H193,AA_Cimentacion,Indice!$N$39,FALSE)*I193*D193</f>
        <v>5.8904999999999994</v>
      </c>
      <c r="U193" s="223">
        <f>IF(H193=Indice!$M$29,D193*2,0)</f>
        <v>104.72</v>
      </c>
      <c r="V193" s="223">
        <f>IF(Y193="Mular",0,(K193-S193)*(1+Indice!$M$25))</f>
        <v>22.972949999999997</v>
      </c>
      <c r="W193" s="223">
        <f>IF(Y193="Mular",(K193-S193)*(1+Indice!$M$25),0)</f>
        <v>0</v>
      </c>
      <c r="X193" s="223">
        <f t="shared" ref="X193" si="20">T193</f>
        <v>5.8904999999999994</v>
      </c>
      <c r="Y193" s="223" t="s">
        <v>8</v>
      </c>
      <c r="Z193" s="223">
        <f t="shared" ref="Z193" si="21">IF(Y193="Mular",(VLOOKUP(F193,AA_Cantidadesredes,4,FALSE)*D193),0)</f>
        <v>0</v>
      </c>
      <c r="AA193" s="223">
        <v>0</v>
      </c>
      <c r="AB193" s="223">
        <v>0</v>
      </c>
      <c r="AC193" s="223">
        <f t="shared" ref="AC193" si="22">(AA193+Z193)/400</f>
        <v>0</v>
      </c>
    </row>
    <row r="194" spans="1:29" ht="12.75"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row>
    <row r="195" spans="1:29" ht="12.75"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row>
    <row r="196" spans="1:29" ht="12.75" customHeight="1" x14ac:dyDescent="0.2">
      <c r="A196" s="982" t="s">
        <v>1729</v>
      </c>
      <c r="B196" s="1051"/>
      <c r="C196" s="1051"/>
      <c r="D196" s="1051"/>
      <c r="E196" s="1051"/>
      <c r="F196" s="1051"/>
      <c r="G196" s="1051"/>
      <c r="H196" s="1051"/>
      <c r="I196" s="1051"/>
      <c r="J196" s="1051"/>
      <c r="K196" s="213" t="s">
        <v>890</v>
      </c>
      <c r="L196" s="213" t="s">
        <v>891</v>
      </c>
      <c r="M196" s="213" t="s">
        <v>892</v>
      </c>
      <c r="N196" s="213" t="s">
        <v>893</v>
      </c>
      <c r="O196" s="122" t="s">
        <v>894</v>
      </c>
      <c r="P196" s="122" t="s">
        <v>895</v>
      </c>
      <c r="Q196" s="122" t="s">
        <v>18</v>
      </c>
      <c r="R196" s="122" t="s">
        <v>19</v>
      </c>
      <c r="S196" s="122" t="s">
        <v>896</v>
      </c>
      <c r="T196" s="122" t="s">
        <v>897</v>
      </c>
      <c r="U196" s="122" t="s">
        <v>898</v>
      </c>
      <c r="V196" s="122" t="s">
        <v>899</v>
      </c>
      <c r="W196" s="122" t="s">
        <v>900</v>
      </c>
      <c r="X196" s="122" t="s">
        <v>901</v>
      </c>
      <c r="Y196" s="1052" t="s">
        <v>902</v>
      </c>
      <c r="Z196" s="1054" t="s">
        <v>903</v>
      </c>
      <c r="AA196" s="1054" t="s">
        <v>904</v>
      </c>
      <c r="AB196" s="1052" t="s">
        <v>905</v>
      </c>
      <c r="AC196" s="1054" t="s">
        <v>906</v>
      </c>
    </row>
    <row r="197" spans="1:29" ht="12.75" customHeight="1" x14ac:dyDescent="0.2">
      <c r="A197" s="1051"/>
      <c r="B197" s="1051"/>
      <c r="C197" s="1051"/>
      <c r="D197" s="1051"/>
      <c r="E197" s="1051"/>
      <c r="F197" s="1051"/>
      <c r="G197" s="1051"/>
      <c r="H197" s="1051"/>
      <c r="I197" s="1051"/>
      <c r="J197" s="1051"/>
      <c r="K197" s="120">
        <f>SUM(K199:K199)</f>
        <v>23.855715200000006</v>
      </c>
      <c r="L197" s="120">
        <f t="shared" ref="L197:X197" si="23">SUM(L199:L199)</f>
        <v>1.1927857600000003</v>
      </c>
      <c r="M197" s="120">
        <f t="shared" si="23"/>
        <v>0</v>
      </c>
      <c r="N197" s="120">
        <f t="shared" si="23"/>
        <v>22.662929440000006</v>
      </c>
      <c r="O197" s="120">
        <f t="shared" si="23"/>
        <v>1.9048</v>
      </c>
      <c r="P197" s="120">
        <f t="shared" si="23"/>
        <v>5.7144000000000004</v>
      </c>
      <c r="Q197" s="120">
        <f t="shared" si="23"/>
        <v>0</v>
      </c>
      <c r="R197" s="120">
        <f t="shared" si="23"/>
        <v>0</v>
      </c>
      <c r="S197" s="120">
        <f t="shared" si="23"/>
        <v>16.236515200000003</v>
      </c>
      <c r="T197" s="120">
        <f t="shared" si="23"/>
        <v>0</v>
      </c>
      <c r="U197" s="120">
        <f t="shared" si="23"/>
        <v>0</v>
      </c>
      <c r="V197" s="120">
        <f t="shared" si="23"/>
        <v>9.9049600000000044</v>
      </c>
      <c r="W197" s="120">
        <f t="shared" si="23"/>
        <v>0</v>
      </c>
      <c r="X197" s="120">
        <f t="shared" si="23"/>
        <v>0</v>
      </c>
      <c r="Y197" s="1052"/>
      <c r="Z197" s="1051"/>
      <c r="AA197" s="1051"/>
      <c r="AB197" s="1052"/>
      <c r="AC197" s="1051"/>
    </row>
    <row r="198" spans="1:29" ht="12.75" customHeight="1" x14ac:dyDescent="0.2">
      <c r="A198" s="213" t="s">
        <v>907</v>
      </c>
      <c r="B198" s="213" t="s">
        <v>908</v>
      </c>
      <c r="C198" s="213" t="s">
        <v>909</v>
      </c>
      <c r="D198" s="213" t="s">
        <v>910</v>
      </c>
      <c r="E198" s="213" t="s">
        <v>911</v>
      </c>
      <c r="F198" s="1055" t="s">
        <v>912</v>
      </c>
      <c r="G198" s="1051"/>
      <c r="H198" s="213" t="s">
        <v>913</v>
      </c>
      <c r="I198" s="213" t="s">
        <v>732</v>
      </c>
      <c r="J198" s="213" t="s">
        <v>914</v>
      </c>
      <c r="K198" s="213" t="s">
        <v>890</v>
      </c>
      <c r="L198" s="213" t="s">
        <v>891</v>
      </c>
      <c r="M198" s="213" t="s">
        <v>892</v>
      </c>
      <c r="N198" s="213" t="s">
        <v>893</v>
      </c>
      <c r="O198" s="122" t="s">
        <v>894</v>
      </c>
      <c r="P198" s="122" t="s">
        <v>895</v>
      </c>
      <c r="Q198" s="122" t="s">
        <v>18</v>
      </c>
      <c r="R198" s="122" t="s">
        <v>19</v>
      </c>
      <c r="S198" s="122" t="s">
        <v>896</v>
      </c>
      <c r="T198" s="122" t="s">
        <v>897</v>
      </c>
      <c r="U198" s="122" t="s">
        <v>898</v>
      </c>
      <c r="V198" s="122" t="s">
        <v>899</v>
      </c>
      <c r="W198" s="122" t="s">
        <v>900</v>
      </c>
      <c r="X198" s="122" t="s">
        <v>901</v>
      </c>
      <c r="Y198" s="1053"/>
      <c r="Z198" s="123">
        <f>+SUM(Z199:Z344)</f>
        <v>0</v>
      </c>
      <c r="AA198" s="123">
        <f>+SUM(AA199:AA344)</f>
        <v>0</v>
      </c>
      <c r="AB198" s="1053"/>
      <c r="AC198" s="124">
        <f>SUM(AC199:AC344)</f>
        <v>0</v>
      </c>
    </row>
    <row r="199" spans="1:29" s="212" customFormat="1" ht="12.75" customHeight="1" x14ac:dyDescent="0.25">
      <c r="A199" s="199" t="s">
        <v>1730</v>
      </c>
      <c r="B199" s="199" t="s">
        <v>1731</v>
      </c>
      <c r="C199" s="199" t="s">
        <v>1732</v>
      </c>
      <c r="D199" s="199">
        <v>20</v>
      </c>
      <c r="E199" s="199">
        <v>6</v>
      </c>
      <c r="F199" s="1050" t="s">
        <v>887</v>
      </c>
      <c r="G199" s="1050"/>
      <c r="H199" s="226" t="s">
        <v>7</v>
      </c>
      <c r="I199" s="223">
        <f>+((E199*25.4/1000)+((HLOOKUP(H199,AA_Cimentacion,Indice!$N$30,FALSE))*2))</f>
        <v>0.95240000000000002</v>
      </c>
      <c r="J199" s="223">
        <f>HLOOKUP(H199,AA_Cimentacion,Indice!$N$31,FALSE)+((E199*25.4)/1000)+HLOOKUP(H199,AA_Cimentacion,Indice!$N$35,FALSE)</f>
        <v>1.2524000000000002</v>
      </c>
      <c r="K199" s="223">
        <f>I199*J199*D199</f>
        <v>23.855715200000006</v>
      </c>
      <c r="L199" s="223">
        <f>HLOOKUP(H199,AA_Cimentacion,Indice!$N$32,FALSE)*K199</f>
        <v>1.1927857600000003</v>
      </c>
      <c r="M199" s="223">
        <f>HLOOKUP(H199,AA_Cimentacion,Indice!$N$33,FALSE)*K199</f>
        <v>0</v>
      </c>
      <c r="N199" s="223">
        <f>HLOOKUP(H199,AA_Cimentacion,Indice!$N$34,FALSE)*K199</f>
        <v>22.662929440000006</v>
      </c>
      <c r="O199" s="223">
        <f>HLOOKUP(H199,AA_Cimentacion,Indice!$N$35,FALSE)*I199*D199</f>
        <v>1.9048</v>
      </c>
      <c r="P199" s="223">
        <f>HLOOKUP(H199,AA_Cimentacion,Indice!$N$36,FALSE)*D199*I199</f>
        <v>5.7144000000000004</v>
      </c>
      <c r="Q199" s="223">
        <f>HLOOKUP(H199,AA_Cimentacion,Indice!$N$37,FALSE)*I199*D199</f>
        <v>0</v>
      </c>
      <c r="R199" s="223">
        <f>HLOOKUP(H199,AA_Cimentacion,Indice!$N$38,FALSE)*I199*D199</f>
        <v>0</v>
      </c>
      <c r="S199" s="223">
        <f t="shared" ref="S199" si="24">(K199-O199-P199-Q199-R199-T199)</f>
        <v>16.236515200000003</v>
      </c>
      <c r="T199" s="223">
        <f>HLOOKUP(H199,AA_Cimentacion,Indice!$N$39,FALSE)*I199*D199</f>
        <v>0</v>
      </c>
      <c r="U199" s="223">
        <f>IF(H199=Indice!$M$29,D199*2,0)</f>
        <v>0</v>
      </c>
      <c r="V199" s="223">
        <f>IF(Y199="Mular",0,(K199-S199)*(1+Indice!$M$25))</f>
        <v>9.9049600000000044</v>
      </c>
      <c r="W199" s="223">
        <f>IF(Y199="Mular",(K199-S199)*(1+Indice!$M$25),0)</f>
        <v>0</v>
      </c>
      <c r="X199" s="223">
        <f t="shared" ref="X199" si="25">T199</f>
        <v>0</v>
      </c>
      <c r="Y199" s="223" t="s">
        <v>8</v>
      </c>
      <c r="Z199" s="223">
        <f t="shared" ref="Z199" si="26">IF(Y199="Mular",(VLOOKUP(F199,AA_Cantidadesredes,4,FALSE)*D199),0)</f>
        <v>0</v>
      </c>
      <c r="AA199" s="223">
        <v>0</v>
      </c>
      <c r="AB199" s="223">
        <v>0</v>
      </c>
      <c r="AC199" s="223">
        <f t="shared" ref="AC199" si="27">(AA199+Z199)/400</f>
        <v>0</v>
      </c>
    </row>
    <row r="200" spans="1:29" ht="12.75"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row>
    <row r="201" spans="1:29" ht="12.75"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row>
    <row r="202" spans="1:29" ht="12.75" customHeight="1" x14ac:dyDescent="0.2">
      <c r="A202" s="982" t="s">
        <v>1734</v>
      </c>
      <c r="B202" s="1051"/>
      <c r="C202" s="1051"/>
      <c r="D202" s="1051"/>
      <c r="E202" s="1051"/>
      <c r="F202" s="1051"/>
      <c r="G202" s="1051"/>
      <c r="H202" s="1051"/>
      <c r="I202" s="1051"/>
      <c r="J202" s="1051"/>
      <c r="K202" s="213" t="s">
        <v>890</v>
      </c>
      <c r="L202" s="213" t="s">
        <v>891</v>
      </c>
      <c r="M202" s="213" t="s">
        <v>892</v>
      </c>
      <c r="N202" s="213" t="s">
        <v>893</v>
      </c>
      <c r="O202" s="122" t="s">
        <v>894</v>
      </c>
      <c r="P202" s="122" t="s">
        <v>895</v>
      </c>
      <c r="Q202" s="122" t="s">
        <v>18</v>
      </c>
      <c r="R202" s="122" t="s">
        <v>19</v>
      </c>
      <c r="S202" s="122" t="s">
        <v>896</v>
      </c>
      <c r="T202" s="122" t="s">
        <v>897</v>
      </c>
      <c r="U202" s="122" t="s">
        <v>898</v>
      </c>
      <c r="V202" s="122" t="s">
        <v>899</v>
      </c>
      <c r="W202" s="122" t="s">
        <v>900</v>
      </c>
      <c r="X202" s="122" t="s">
        <v>901</v>
      </c>
      <c r="Y202" s="1052" t="s">
        <v>902</v>
      </c>
      <c r="Z202" s="1054" t="s">
        <v>903</v>
      </c>
      <c r="AA202" s="1054" t="s">
        <v>904</v>
      </c>
      <c r="AB202" s="1052" t="s">
        <v>905</v>
      </c>
      <c r="AC202" s="1054" t="s">
        <v>906</v>
      </c>
    </row>
    <row r="203" spans="1:29" ht="12.75" customHeight="1" x14ac:dyDescent="0.2">
      <c r="A203" s="1051"/>
      <c r="B203" s="1051"/>
      <c r="C203" s="1051"/>
      <c r="D203" s="1051"/>
      <c r="E203" s="1051"/>
      <c r="F203" s="1051"/>
      <c r="G203" s="1051"/>
      <c r="H203" s="1051"/>
      <c r="I203" s="1051"/>
      <c r="J203" s="1051"/>
      <c r="K203" s="120">
        <f>SUM(K205:K205)</f>
        <v>24.255715200000001</v>
      </c>
      <c r="L203" s="120">
        <f t="shared" ref="L203:X203" si="28">SUM(L205:L205)</f>
        <v>24.255715200000001</v>
      </c>
      <c r="M203" s="120">
        <f t="shared" si="28"/>
        <v>0</v>
      </c>
      <c r="N203" s="120">
        <f t="shared" si="28"/>
        <v>0</v>
      </c>
      <c r="O203" s="120">
        <f t="shared" si="28"/>
        <v>2.1048</v>
      </c>
      <c r="P203" s="120">
        <f t="shared" si="28"/>
        <v>0</v>
      </c>
      <c r="Q203" s="120">
        <f t="shared" si="28"/>
        <v>0</v>
      </c>
      <c r="R203" s="120">
        <f t="shared" si="28"/>
        <v>0</v>
      </c>
      <c r="S203" s="120">
        <f t="shared" si="28"/>
        <v>22.1509152</v>
      </c>
      <c r="T203" s="120">
        <f t="shared" si="28"/>
        <v>0</v>
      </c>
      <c r="U203" s="120">
        <f t="shared" si="28"/>
        <v>0</v>
      </c>
      <c r="V203" s="120">
        <f t="shared" si="28"/>
        <v>2.7362400000000013</v>
      </c>
      <c r="W203" s="120">
        <f t="shared" si="28"/>
        <v>0</v>
      </c>
      <c r="X203" s="120">
        <f t="shared" si="28"/>
        <v>0</v>
      </c>
      <c r="Y203" s="1052"/>
      <c r="Z203" s="1051"/>
      <c r="AA203" s="1051"/>
      <c r="AB203" s="1052"/>
      <c r="AC203" s="1051"/>
    </row>
    <row r="204" spans="1:29" ht="12.75" customHeight="1" x14ac:dyDescent="0.2">
      <c r="A204" s="213" t="s">
        <v>907</v>
      </c>
      <c r="B204" s="213" t="s">
        <v>908</v>
      </c>
      <c r="C204" s="213" t="s">
        <v>909</v>
      </c>
      <c r="D204" s="213" t="s">
        <v>910</v>
      </c>
      <c r="E204" s="213" t="s">
        <v>911</v>
      </c>
      <c r="F204" s="1055" t="s">
        <v>912</v>
      </c>
      <c r="G204" s="1051"/>
      <c r="H204" s="213" t="s">
        <v>913</v>
      </c>
      <c r="I204" s="213" t="s">
        <v>732</v>
      </c>
      <c r="J204" s="213" t="s">
        <v>914</v>
      </c>
      <c r="K204" s="213" t="s">
        <v>890</v>
      </c>
      <c r="L204" s="213" t="s">
        <v>891</v>
      </c>
      <c r="M204" s="213" t="s">
        <v>892</v>
      </c>
      <c r="N204" s="213" t="s">
        <v>893</v>
      </c>
      <c r="O204" s="122" t="s">
        <v>894</v>
      </c>
      <c r="P204" s="122" t="s">
        <v>895</v>
      </c>
      <c r="Q204" s="122" t="s">
        <v>18</v>
      </c>
      <c r="R204" s="122" t="s">
        <v>19</v>
      </c>
      <c r="S204" s="122" t="s">
        <v>896</v>
      </c>
      <c r="T204" s="122" t="s">
        <v>897</v>
      </c>
      <c r="U204" s="122" t="s">
        <v>898</v>
      </c>
      <c r="V204" s="122" t="s">
        <v>899</v>
      </c>
      <c r="W204" s="122" t="s">
        <v>900</v>
      </c>
      <c r="X204" s="122" t="s">
        <v>901</v>
      </c>
      <c r="Y204" s="1053"/>
      <c r="Z204" s="123">
        <f>+SUM(Z205:Z350)</f>
        <v>0</v>
      </c>
      <c r="AA204" s="123">
        <f>+SUM(AA205:AA350)</f>
        <v>0</v>
      </c>
      <c r="AB204" s="1053"/>
      <c r="AC204" s="124">
        <f>SUM(AC205:AC350)</f>
        <v>0</v>
      </c>
    </row>
    <row r="205" spans="1:29" s="212" customFormat="1" ht="12.75" customHeight="1" x14ac:dyDescent="0.25">
      <c r="A205" s="199" t="s">
        <v>1735</v>
      </c>
      <c r="B205" s="199" t="s">
        <v>1736</v>
      </c>
      <c r="C205" s="199" t="s">
        <v>1737</v>
      </c>
      <c r="D205" s="199">
        <v>20</v>
      </c>
      <c r="E205" s="199">
        <v>6</v>
      </c>
      <c r="F205" s="1050" t="s">
        <v>887</v>
      </c>
      <c r="G205" s="1050"/>
      <c r="H205" s="226" t="s">
        <v>6</v>
      </c>
      <c r="I205" s="223">
        <f>+((E205*25.4/1000)+((HLOOKUP(H205,AA_Cimentacion,Indice!$N$30,FALSE))*2))</f>
        <v>1.0524</v>
      </c>
      <c r="J205" s="223">
        <f>HLOOKUP(H205,AA_Cimentacion,Indice!$N$31,FALSE)+((E205*25.4)/1000)+HLOOKUP(H205,AA_Cimentacion,Indice!$N$35,FALSE)</f>
        <v>1.1524000000000001</v>
      </c>
      <c r="K205" s="223">
        <f>I205*J205*D205</f>
        <v>24.255715200000001</v>
      </c>
      <c r="L205" s="223">
        <f>HLOOKUP(H205,AA_Cimentacion,Indice!$N$32,FALSE)*K205</f>
        <v>24.255715200000001</v>
      </c>
      <c r="M205" s="223">
        <f>HLOOKUP(H205,AA_Cimentacion,Indice!$N$33,FALSE)*K205</f>
        <v>0</v>
      </c>
      <c r="N205" s="223">
        <f>HLOOKUP(H205,AA_Cimentacion,Indice!$N$34,FALSE)*K205</f>
        <v>0</v>
      </c>
      <c r="O205" s="223">
        <f>HLOOKUP(H205,AA_Cimentacion,Indice!$N$35,FALSE)*I205*D205</f>
        <v>2.1048</v>
      </c>
      <c r="P205" s="223">
        <f>HLOOKUP(H205,AA_Cimentacion,Indice!$N$36,FALSE)*D205*I205</f>
        <v>0</v>
      </c>
      <c r="Q205" s="223">
        <f>HLOOKUP(H205,AA_Cimentacion,Indice!$N$37,FALSE)*I205*D205</f>
        <v>0</v>
      </c>
      <c r="R205" s="223">
        <f>HLOOKUP(H205,AA_Cimentacion,Indice!$N$38,FALSE)*I205*D205</f>
        <v>0</v>
      </c>
      <c r="S205" s="223">
        <f t="shared" ref="S205" si="29">(K205-O205-P205-Q205-R205-T205)</f>
        <v>22.1509152</v>
      </c>
      <c r="T205" s="223">
        <f>HLOOKUP(H205,AA_Cimentacion,Indice!$N$39,FALSE)*I205*D205</f>
        <v>0</v>
      </c>
      <c r="U205" s="223">
        <f>IF(H205=Indice!$M$29,D205*2,0)</f>
        <v>0</v>
      </c>
      <c r="V205" s="223">
        <f>IF(Y205="Mular",0,(K205-S205)*(1+Indice!$M$25))</f>
        <v>2.7362400000000013</v>
      </c>
      <c r="W205" s="223">
        <f>IF(Y205="Mular",(K205-S205)*(1+Indice!$M$25),0)</f>
        <v>0</v>
      </c>
      <c r="X205" s="223">
        <f t="shared" ref="X205" si="30">T205</f>
        <v>0</v>
      </c>
      <c r="Y205" s="223" t="s">
        <v>8</v>
      </c>
      <c r="Z205" s="223">
        <f t="shared" ref="Z205" si="31">IF(Y205="Mular",(VLOOKUP(F205,AA_Cantidadesredes,4,FALSE)*D205),0)</f>
        <v>0</v>
      </c>
      <c r="AA205" s="223">
        <v>0</v>
      </c>
      <c r="AB205" s="223">
        <v>0</v>
      </c>
      <c r="AC205" s="223">
        <f t="shared" ref="AC205" si="32">(AA205+Z205)/400</f>
        <v>0</v>
      </c>
    </row>
    <row r="206" spans="1:29" ht="12.75"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row>
    <row r="207" spans="1:29" ht="12.75"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row>
    <row r="208" spans="1:29" ht="12.75" customHeight="1" x14ac:dyDescent="0.2">
      <c r="A208" s="982" t="s">
        <v>1742</v>
      </c>
      <c r="B208" s="1051"/>
      <c r="C208" s="1051"/>
      <c r="D208" s="1051"/>
      <c r="E208" s="1051"/>
      <c r="F208" s="1051"/>
      <c r="G208" s="1051"/>
      <c r="H208" s="1051"/>
      <c r="I208" s="1051"/>
      <c r="J208" s="1051"/>
      <c r="K208" s="213" t="s">
        <v>890</v>
      </c>
      <c r="L208" s="213" t="s">
        <v>891</v>
      </c>
      <c r="M208" s="213" t="s">
        <v>892</v>
      </c>
      <c r="N208" s="213" t="s">
        <v>893</v>
      </c>
      <c r="O208" s="122" t="s">
        <v>894</v>
      </c>
      <c r="P208" s="122" t="s">
        <v>895</v>
      </c>
      <c r="Q208" s="122" t="s">
        <v>18</v>
      </c>
      <c r="R208" s="122" t="s">
        <v>19</v>
      </c>
      <c r="S208" s="122" t="s">
        <v>896</v>
      </c>
      <c r="T208" s="122" t="s">
        <v>897</v>
      </c>
      <c r="U208" s="122" t="s">
        <v>898</v>
      </c>
      <c r="V208" s="122" t="s">
        <v>899</v>
      </c>
      <c r="W208" s="122" t="s">
        <v>900</v>
      </c>
      <c r="X208" s="122" t="s">
        <v>901</v>
      </c>
      <c r="Y208" s="1052" t="s">
        <v>902</v>
      </c>
      <c r="Z208" s="1054" t="s">
        <v>903</v>
      </c>
      <c r="AA208" s="1054" t="s">
        <v>904</v>
      </c>
      <c r="AB208" s="1052" t="s">
        <v>905</v>
      </c>
      <c r="AC208" s="1054" t="s">
        <v>906</v>
      </c>
    </row>
    <row r="209" spans="1:29" ht="12.75" customHeight="1" x14ac:dyDescent="0.2">
      <c r="A209" s="1051"/>
      <c r="B209" s="1051"/>
      <c r="C209" s="1051"/>
      <c r="D209" s="1051"/>
      <c r="E209" s="1051"/>
      <c r="F209" s="1051"/>
      <c r="G209" s="1051"/>
      <c r="H209" s="1051"/>
      <c r="I209" s="1051"/>
      <c r="J209" s="1051"/>
      <c r="K209" s="120">
        <f>SUM(K211:K211)</f>
        <v>101.54655168480001</v>
      </c>
      <c r="L209" s="120">
        <f t="shared" ref="L209:X209" si="33">SUM(L211:L211)</f>
        <v>101.54655168480001</v>
      </c>
      <c r="M209" s="120">
        <f t="shared" si="33"/>
        <v>0</v>
      </c>
      <c r="N209" s="120">
        <f t="shared" si="33"/>
        <v>0</v>
      </c>
      <c r="O209" s="120">
        <f t="shared" si="33"/>
        <v>8.8117452000000007</v>
      </c>
      <c r="P209" s="120">
        <f t="shared" si="33"/>
        <v>0</v>
      </c>
      <c r="Q209" s="120">
        <f t="shared" si="33"/>
        <v>0</v>
      </c>
      <c r="R209" s="120">
        <f t="shared" si="33"/>
        <v>0</v>
      </c>
      <c r="S209" s="120">
        <f t="shared" si="33"/>
        <v>92.734806484800004</v>
      </c>
      <c r="T209" s="120">
        <f t="shared" si="33"/>
        <v>0</v>
      </c>
      <c r="U209" s="120">
        <f t="shared" si="33"/>
        <v>0</v>
      </c>
      <c r="V209" s="120">
        <f t="shared" si="33"/>
        <v>11.455268760000006</v>
      </c>
      <c r="W209" s="120">
        <f t="shared" si="33"/>
        <v>0</v>
      </c>
      <c r="X209" s="120">
        <f t="shared" si="33"/>
        <v>0</v>
      </c>
      <c r="Y209" s="1052"/>
      <c r="Z209" s="1051"/>
      <c r="AA209" s="1051"/>
      <c r="AB209" s="1052"/>
      <c r="AC209" s="1051"/>
    </row>
    <row r="210" spans="1:29" ht="12.75" customHeight="1" x14ac:dyDescent="0.2">
      <c r="A210" s="213" t="s">
        <v>907</v>
      </c>
      <c r="B210" s="213" t="s">
        <v>908</v>
      </c>
      <c r="C210" s="213" t="s">
        <v>909</v>
      </c>
      <c r="D210" s="213" t="s">
        <v>910</v>
      </c>
      <c r="E210" s="213" t="s">
        <v>911</v>
      </c>
      <c r="F210" s="1055" t="s">
        <v>912</v>
      </c>
      <c r="G210" s="1051"/>
      <c r="H210" s="213" t="s">
        <v>913</v>
      </c>
      <c r="I210" s="213" t="s">
        <v>732</v>
      </c>
      <c r="J210" s="213" t="s">
        <v>914</v>
      </c>
      <c r="K210" s="213" t="s">
        <v>890</v>
      </c>
      <c r="L210" s="213" t="s">
        <v>891</v>
      </c>
      <c r="M210" s="213" t="s">
        <v>892</v>
      </c>
      <c r="N210" s="213" t="s">
        <v>893</v>
      </c>
      <c r="O210" s="122" t="s">
        <v>894</v>
      </c>
      <c r="P210" s="122" t="s">
        <v>895</v>
      </c>
      <c r="Q210" s="122" t="s">
        <v>18</v>
      </c>
      <c r="R210" s="122" t="s">
        <v>19</v>
      </c>
      <c r="S210" s="122" t="s">
        <v>896</v>
      </c>
      <c r="T210" s="122" t="s">
        <v>897</v>
      </c>
      <c r="U210" s="122" t="s">
        <v>898</v>
      </c>
      <c r="V210" s="122" t="s">
        <v>899</v>
      </c>
      <c r="W210" s="122" t="s">
        <v>900</v>
      </c>
      <c r="X210" s="122" t="s">
        <v>901</v>
      </c>
      <c r="Y210" s="1053"/>
      <c r="Z210" s="123">
        <f>+SUM(Z211:Z356)</f>
        <v>0</v>
      </c>
      <c r="AA210" s="123">
        <f>+SUM(AA211:AA356)</f>
        <v>0</v>
      </c>
      <c r="AB210" s="1053"/>
      <c r="AC210" s="124">
        <f>SUM(AC211:AC356)</f>
        <v>0</v>
      </c>
    </row>
    <row r="211" spans="1:29" s="212" customFormat="1" ht="12.75" customHeight="1" x14ac:dyDescent="0.25">
      <c r="A211" s="199" t="s">
        <v>1743</v>
      </c>
      <c r="B211" s="199" t="s">
        <v>1737</v>
      </c>
      <c r="C211" s="199" t="s">
        <v>1744</v>
      </c>
      <c r="D211" s="228">
        <f>+'16'!F509</f>
        <v>83.73</v>
      </c>
      <c r="E211" s="199">
        <v>6</v>
      </c>
      <c r="F211" s="1050" t="s">
        <v>887</v>
      </c>
      <c r="G211" s="1050"/>
      <c r="H211" s="226" t="s">
        <v>6</v>
      </c>
      <c r="I211" s="223">
        <f>+((E211*25.4/1000)+((HLOOKUP(H211,AA_Cimentacion,Indice!$N$30,FALSE))*2))</f>
        <v>1.0524</v>
      </c>
      <c r="J211" s="223">
        <f>HLOOKUP(H211,AA_Cimentacion,Indice!$N$31,FALSE)+((E211*25.4)/1000)+HLOOKUP(H211,AA_Cimentacion,Indice!$N$35,FALSE)</f>
        <v>1.1524000000000001</v>
      </c>
      <c r="K211" s="223">
        <f>I211*J211*D211</f>
        <v>101.54655168480001</v>
      </c>
      <c r="L211" s="223">
        <f>HLOOKUP(H211,AA_Cimentacion,Indice!$N$32,FALSE)*K211</f>
        <v>101.54655168480001</v>
      </c>
      <c r="M211" s="223">
        <f>HLOOKUP(H211,AA_Cimentacion,Indice!$N$33,FALSE)*K211</f>
        <v>0</v>
      </c>
      <c r="N211" s="223">
        <f>HLOOKUP(H211,AA_Cimentacion,Indice!$N$34,FALSE)*K211</f>
        <v>0</v>
      </c>
      <c r="O211" s="223">
        <f>HLOOKUP(H211,AA_Cimentacion,Indice!$N$35,FALSE)*I211*D211</f>
        <v>8.8117452000000007</v>
      </c>
      <c r="P211" s="223">
        <f>HLOOKUP(H211,AA_Cimentacion,Indice!$N$36,FALSE)*D211*I211</f>
        <v>0</v>
      </c>
      <c r="Q211" s="223">
        <f>HLOOKUP(H211,AA_Cimentacion,Indice!$N$37,FALSE)*I211*D211</f>
        <v>0</v>
      </c>
      <c r="R211" s="223">
        <f>HLOOKUP(H211,AA_Cimentacion,Indice!$N$38,FALSE)*I211*D211</f>
        <v>0</v>
      </c>
      <c r="S211" s="223">
        <f t="shared" ref="S211" si="34">(K211-O211-P211-Q211-R211-T211)</f>
        <v>92.734806484800004</v>
      </c>
      <c r="T211" s="223">
        <f>HLOOKUP(H211,AA_Cimentacion,Indice!$N$39,FALSE)*I211*D211</f>
        <v>0</v>
      </c>
      <c r="U211" s="223">
        <f>IF(H211=Indice!$M$29,D211*2,0)</f>
        <v>0</v>
      </c>
      <c r="V211" s="223">
        <f>IF(Y211="Mular",0,(K211-S211)*(1+Indice!$M$25))</f>
        <v>11.455268760000006</v>
      </c>
      <c r="W211" s="223">
        <f>IF(Y211="Mular",(K211-S211)*(1+Indice!$M$25),0)</f>
        <v>0</v>
      </c>
      <c r="X211" s="223">
        <f t="shared" ref="X211" si="35">T211</f>
        <v>0</v>
      </c>
      <c r="Y211" s="223" t="s">
        <v>8</v>
      </c>
      <c r="Z211" s="223">
        <f t="shared" ref="Z211" si="36">IF(Y211="Mular",(VLOOKUP(F211,AA_Cantidadesredes,4,FALSE)*D211),0)</f>
        <v>0</v>
      </c>
      <c r="AA211" s="223">
        <v>0</v>
      </c>
      <c r="AB211" s="223">
        <v>0</v>
      </c>
      <c r="AC211" s="223">
        <f t="shared" ref="AC211" si="37">(AA211+Z211)/400</f>
        <v>0</v>
      </c>
    </row>
    <row r="212" spans="1:29" ht="12.75"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row>
    <row r="213" spans="1:29" ht="12.75"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row>
    <row r="214" spans="1:29" ht="12.75" customHeight="1" x14ac:dyDescent="0.2">
      <c r="A214" s="982" t="s">
        <v>1748</v>
      </c>
      <c r="B214" s="1051"/>
      <c r="C214" s="1051"/>
      <c r="D214" s="1051"/>
      <c r="E214" s="1051"/>
      <c r="F214" s="1051"/>
      <c r="G214" s="1051"/>
      <c r="H214" s="1051"/>
      <c r="I214" s="1051"/>
      <c r="J214" s="1051"/>
      <c r="K214" s="213" t="s">
        <v>890</v>
      </c>
      <c r="L214" s="213" t="s">
        <v>891</v>
      </c>
      <c r="M214" s="213" t="s">
        <v>892</v>
      </c>
      <c r="N214" s="213" t="s">
        <v>893</v>
      </c>
      <c r="O214" s="122" t="s">
        <v>894</v>
      </c>
      <c r="P214" s="122" t="s">
        <v>895</v>
      </c>
      <c r="Q214" s="122" t="s">
        <v>18</v>
      </c>
      <c r="R214" s="122" t="s">
        <v>19</v>
      </c>
      <c r="S214" s="122" t="s">
        <v>896</v>
      </c>
      <c r="T214" s="122" t="s">
        <v>897</v>
      </c>
      <c r="U214" s="122" t="s">
        <v>898</v>
      </c>
      <c r="V214" s="122" t="s">
        <v>899</v>
      </c>
      <c r="W214" s="122" t="s">
        <v>900</v>
      </c>
      <c r="X214" s="122" t="s">
        <v>901</v>
      </c>
      <c r="Y214" s="1052" t="s">
        <v>902</v>
      </c>
      <c r="Z214" s="1054" t="s">
        <v>903</v>
      </c>
      <c r="AA214" s="1054" t="s">
        <v>904</v>
      </c>
      <c r="AB214" s="1052" t="s">
        <v>905</v>
      </c>
      <c r="AC214" s="1054" t="s">
        <v>906</v>
      </c>
    </row>
    <row r="215" spans="1:29" ht="12.75" customHeight="1" x14ac:dyDescent="0.2">
      <c r="A215" s="1051"/>
      <c r="B215" s="1051"/>
      <c r="C215" s="1051"/>
      <c r="D215" s="1051"/>
      <c r="E215" s="1051"/>
      <c r="F215" s="1051"/>
      <c r="G215" s="1051"/>
      <c r="H215" s="1051"/>
      <c r="I215" s="1051"/>
      <c r="J215" s="1051"/>
      <c r="K215" s="120">
        <f>SUM(K217:K217)</f>
        <v>5.9639288000000015</v>
      </c>
      <c r="L215" s="120">
        <f t="shared" ref="L215:X215" si="38">SUM(L217:L217)</f>
        <v>0.29819644000000006</v>
      </c>
      <c r="M215" s="120">
        <f t="shared" si="38"/>
        <v>0</v>
      </c>
      <c r="N215" s="120">
        <f t="shared" si="38"/>
        <v>5.6657323600000016</v>
      </c>
      <c r="O215" s="120">
        <f t="shared" si="38"/>
        <v>0.47620000000000001</v>
      </c>
      <c r="P215" s="120">
        <f t="shared" si="38"/>
        <v>1.4286000000000001</v>
      </c>
      <c r="Q215" s="120">
        <f t="shared" si="38"/>
        <v>0</v>
      </c>
      <c r="R215" s="120">
        <f t="shared" si="38"/>
        <v>0</v>
      </c>
      <c r="S215" s="120">
        <f t="shared" si="38"/>
        <v>4.0591288000000008</v>
      </c>
      <c r="T215" s="120">
        <f t="shared" si="38"/>
        <v>0</v>
      </c>
      <c r="U215" s="120">
        <f t="shared" si="38"/>
        <v>0</v>
      </c>
      <c r="V215" s="120">
        <f t="shared" si="38"/>
        <v>2.4762400000000011</v>
      </c>
      <c r="W215" s="120">
        <f t="shared" si="38"/>
        <v>0</v>
      </c>
      <c r="X215" s="120">
        <f t="shared" si="38"/>
        <v>0</v>
      </c>
      <c r="Y215" s="1052"/>
      <c r="Z215" s="1051"/>
      <c r="AA215" s="1051"/>
      <c r="AB215" s="1052"/>
      <c r="AC215" s="1051"/>
    </row>
    <row r="216" spans="1:29" ht="12.75" customHeight="1" x14ac:dyDescent="0.2">
      <c r="A216" s="213" t="s">
        <v>907</v>
      </c>
      <c r="B216" s="213" t="s">
        <v>908</v>
      </c>
      <c r="C216" s="213" t="s">
        <v>909</v>
      </c>
      <c r="D216" s="213" t="s">
        <v>910</v>
      </c>
      <c r="E216" s="213" t="s">
        <v>911</v>
      </c>
      <c r="F216" s="1055" t="s">
        <v>912</v>
      </c>
      <c r="G216" s="1051"/>
      <c r="H216" s="213" t="s">
        <v>913</v>
      </c>
      <c r="I216" s="213" t="s">
        <v>732</v>
      </c>
      <c r="J216" s="213" t="s">
        <v>914</v>
      </c>
      <c r="K216" s="213" t="s">
        <v>890</v>
      </c>
      <c r="L216" s="213" t="s">
        <v>891</v>
      </c>
      <c r="M216" s="213" t="s">
        <v>892</v>
      </c>
      <c r="N216" s="213" t="s">
        <v>893</v>
      </c>
      <c r="O216" s="122" t="s">
        <v>894</v>
      </c>
      <c r="P216" s="122" t="s">
        <v>895</v>
      </c>
      <c r="Q216" s="122" t="s">
        <v>18</v>
      </c>
      <c r="R216" s="122" t="s">
        <v>19</v>
      </c>
      <c r="S216" s="122" t="s">
        <v>896</v>
      </c>
      <c r="T216" s="122" t="s">
        <v>897</v>
      </c>
      <c r="U216" s="122" t="s">
        <v>898</v>
      </c>
      <c r="V216" s="122" t="s">
        <v>899</v>
      </c>
      <c r="W216" s="122" t="s">
        <v>900</v>
      </c>
      <c r="X216" s="122" t="s">
        <v>901</v>
      </c>
      <c r="Y216" s="1053"/>
      <c r="Z216" s="123">
        <f>+SUM(Z217:Z362)</f>
        <v>0</v>
      </c>
      <c r="AA216" s="123">
        <f>+SUM(AA217:AA362)</f>
        <v>0</v>
      </c>
      <c r="AB216" s="1053"/>
      <c r="AC216" s="124">
        <f>SUM(AC217:AC362)</f>
        <v>0</v>
      </c>
    </row>
    <row r="217" spans="1:29" s="212" customFormat="1" ht="12.75" customHeight="1" x14ac:dyDescent="0.25">
      <c r="A217" s="199" t="s">
        <v>1730</v>
      </c>
      <c r="B217" s="199" t="s">
        <v>1731</v>
      </c>
      <c r="C217" s="199" t="s">
        <v>1749</v>
      </c>
      <c r="D217" s="199">
        <v>5</v>
      </c>
      <c r="E217" s="199">
        <v>6</v>
      </c>
      <c r="F217" s="1050" t="s">
        <v>887</v>
      </c>
      <c r="G217" s="1050"/>
      <c r="H217" s="226" t="s">
        <v>7</v>
      </c>
      <c r="I217" s="223">
        <f>+((E217*25.4/1000)+((HLOOKUP(H217,AA_Cimentacion,Indice!$N$30,FALSE))*2))</f>
        <v>0.95240000000000002</v>
      </c>
      <c r="J217" s="223">
        <f>HLOOKUP(H217,AA_Cimentacion,Indice!$N$31,FALSE)+((E217*25.4)/1000)+HLOOKUP(H217,AA_Cimentacion,Indice!$N$35,FALSE)</f>
        <v>1.2524000000000002</v>
      </c>
      <c r="K217" s="223">
        <f>I217*J217*D217</f>
        <v>5.9639288000000015</v>
      </c>
      <c r="L217" s="223">
        <f>HLOOKUP(H217,AA_Cimentacion,Indice!$N$32,FALSE)*K217</f>
        <v>0.29819644000000006</v>
      </c>
      <c r="M217" s="223">
        <f>HLOOKUP(H217,AA_Cimentacion,Indice!$N$33,FALSE)*K217</f>
        <v>0</v>
      </c>
      <c r="N217" s="223">
        <f>HLOOKUP(H217,AA_Cimentacion,Indice!$N$34,FALSE)*K217</f>
        <v>5.6657323600000016</v>
      </c>
      <c r="O217" s="223">
        <f>HLOOKUP(H217,AA_Cimentacion,Indice!$N$35,FALSE)*I217*D217</f>
        <v>0.47620000000000001</v>
      </c>
      <c r="P217" s="223">
        <f>HLOOKUP(H217,AA_Cimentacion,Indice!$N$36,FALSE)*D217*I217</f>
        <v>1.4286000000000001</v>
      </c>
      <c r="Q217" s="223">
        <f>HLOOKUP(H217,AA_Cimentacion,Indice!$N$37,FALSE)*I217*D217</f>
        <v>0</v>
      </c>
      <c r="R217" s="223">
        <f>HLOOKUP(H217,AA_Cimentacion,Indice!$N$38,FALSE)*I217*D217</f>
        <v>0</v>
      </c>
      <c r="S217" s="223">
        <f t="shared" ref="S217" si="39">(K217-O217-P217-Q217-R217-T217)</f>
        <v>4.0591288000000008</v>
      </c>
      <c r="T217" s="223">
        <f>HLOOKUP(H217,AA_Cimentacion,Indice!$N$39,FALSE)*I217*D217</f>
        <v>0</v>
      </c>
      <c r="U217" s="223">
        <f>IF(H217=Indice!$M$29,D217*2,0)</f>
        <v>0</v>
      </c>
      <c r="V217" s="223">
        <f>IF(Y217="Mular",0,(K217-S217)*(1+Indice!$M$25))</f>
        <v>2.4762400000000011</v>
      </c>
      <c r="W217" s="223">
        <f>IF(Y217="Mular",(K217-S217)*(1+Indice!$M$25),0)</f>
        <v>0</v>
      </c>
      <c r="X217" s="223">
        <f t="shared" ref="X217" si="40">T217</f>
        <v>0</v>
      </c>
      <c r="Y217" s="223" t="s">
        <v>8</v>
      </c>
      <c r="Z217" s="223">
        <f t="shared" ref="Z217" si="41">IF(Y217="Mular",(VLOOKUP(F217,AA_Cantidadesredes,4,FALSE)*D217),0)</f>
        <v>0</v>
      </c>
      <c r="AA217" s="223">
        <v>0</v>
      </c>
      <c r="AB217" s="223">
        <v>0</v>
      </c>
      <c r="AC217" s="223">
        <f t="shared" ref="AC217" si="42">(AA217+Z217)/400</f>
        <v>0</v>
      </c>
    </row>
    <row r="218" spans="1:29" ht="15.75"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row>
    <row r="219" spans="1:29" ht="15.75"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c r="AC219" s="7"/>
    </row>
    <row r="220" spans="1:29" ht="15.75"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row>
    <row r="221" spans="1:29" ht="15.75" customHeight="1" x14ac:dyDescent="0.25">
      <c r="A221" s="7"/>
      <c r="B221" s="7"/>
      <c r="C221" s="7"/>
      <c r="M221" s="7"/>
      <c r="N221" s="7"/>
      <c r="O221" s="7"/>
      <c r="P221" s="7"/>
      <c r="Q221" s="7"/>
      <c r="R221" s="7"/>
      <c r="S221" s="7"/>
      <c r="T221" s="7"/>
      <c r="U221" s="7"/>
      <c r="V221" s="7"/>
      <c r="W221" s="7"/>
      <c r="X221" s="7"/>
      <c r="Y221" s="7"/>
      <c r="Z221" s="7"/>
      <c r="AA221" s="7"/>
      <c r="AB221" s="7"/>
      <c r="AC221" s="7"/>
    </row>
    <row r="222" spans="1:29" ht="15.75" customHeight="1" thickBot="1" x14ac:dyDescent="0.3">
      <c r="A222" s="190"/>
      <c r="B222" s="190"/>
      <c r="C222" s="132"/>
      <c r="D222" s="132"/>
      <c r="E222" s="132"/>
      <c r="M222" s="7"/>
      <c r="N222" s="7"/>
      <c r="O222" s="7"/>
      <c r="P222" s="7"/>
      <c r="Q222" s="7"/>
      <c r="R222" s="7"/>
      <c r="S222" s="7"/>
      <c r="T222" s="7"/>
      <c r="U222" s="7"/>
      <c r="V222" s="7"/>
      <c r="W222" s="7"/>
      <c r="X222" s="7"/>
      <c r="Y222" s="7"/>
      <c r="Z222" s="7"/>
      <c r="AA222" s="7"/>
      <c r="AB222" s="7"/>
      <c r="AC222" s="7"/>
    </row>
    <row r="223" spans="1:29" ht="15.75" customHeight="1" thickTop="1" x14ac:dyDescent="0.25">
      <c r="A223" s="429" t="s">
        <v>1126</v>
      </c>
      <c r="B223" s="429"/>
      <c r="C223" s="429"/>
      <c r="D223" s="429"/>
      <c r="E223" s="429"/>
      <c r="M223" s="7"/>
      <c r="N223" s="7"/>
      <c r="O223" s="7"/>
      <c r="P223" s="7"/>
      <c r="Q223" s="7"/>
      <c r="R223" s="7"/>
      <c r="S223" s="7"/>
      <c r="T223" s="7"/>
      <c r="U223" s="7"/>
      <c r="V223" s="7"/>
      <c r="W223" s="7"/>
      <c r="X223" s="7"/>
      <c r="Y223" s="7"/>
      <c r="Z223" s="7"/>
      <c r="AA223" s="7"/>
      <c r="AB223" s="7"/>
      <c r="AC223" s="7"/>
    </row>
    <row r="224" spans="1:29" ht="15.75" customHeight="1" x14ac:dyDescent="0.25">
      <c r="A224" s="406" t="s">
        <v>1127</v>
      </c>
      <c r="B224" s="406"/>
      <c r="C224" s="406"/>
      <c r="D224" s="406"/>
      <c r="E224" s="406"/>
      <c r="M224" s="7"/>
      <c r="N224" s="7"/>
      <c r="O224" s="7"/>
      <c r="P224" s="7"/>
      <c r="Q224" s="7"/>
      <c r="R224" s="7"/>
      <c r="S224" s="7"/>
      <c r="T224" s="7"/>
      <c r="U224" s="7"/>
      <c r="V224" s="7"/>
      <c r="W224" s="7"/>
      <c r="X224" s="7"/>
      <c r="Y224" s="7"/>
      <c r="Z224" s="7"/>
      <c r="AA224" s="7"/>
      <c r="AB224" s="7"/>
      <c r="AC224" s="7"/>
    </row>
    <row r="225" spans="1:29" ht="15.75" customHeight="1" x14ac:dyDescent="0.25">
      <c r="A225" s="406" t="s">
        <v>1123</v>
      </c>
      <c r="B225" s="406"/>
      <c r="C225" s="406"/>
      <c r="D225" s="406"/>
      <c r="E225" s="406"/>
      <c r="M225" s="7"/>
      <c r="N225" s="7"/>
      <c r="O225" s="7"/>
      <c r="P225" s="7"/>
      <c r="Q225" s="7"/>
      <c r="R225" s="7"/>
      <c r="S225" s="7"/>
      <c r="T225" s="7"/>
      <c r="U225" s="7"/>
      <c r="V225" s="7"/>
      <c r="W225" s="7"/>
      <c r="X225" s="7"/>
      <c r="Y225" s="7"/>
      <c r="Z225" s="7"/>
      <c r="AA225" s="7"/>
      <c r="AB225" s="7"/>
      <c r="AC225" s="7"/>
    </row>
    <row r="226" spans="1:29" ht="15.75" customHeight="1" x14ac:dyDescent="0.25">
      <c r="A226" s="7"/>
      <c r="B226" s="7"/>
      <c r="C226" s="7"/>
      <c r="D226" s="116"/>
      <c r="E226" s="116"/>
      <c r="F226" s="116"/>
      <c r="G226" s="116"/>
      <c r="M226" s="7"/>
      <c r="N226" s="7"/>
      <c r="O226" s="7"/>
      <c r="P226" s="7"/>
      <c r="Q226" s="7"/>
      <c r="R226" s="7"/>
      <c r="S226" s="7"/>
      <c r="T226" s="7"/>
      <c r="U226" s="7"/>
      <c r="V226" s="7"/>
      <c r="W226" s="7"/>
      <c r="X226" s="7"/>
      <c r="Y226" s="7"/>
      <c r="Z226" s="7"/>
      <c r="AA226" s="7"/>
      <c r="AB226" s="7"/>
      <c r="AC226" s="7"/>
    </row>
    <row r="227" spans="1:29" ht="15.75" customHeight="1" x14ac:dyDescent="0.25">
      <c r="A227" s="7"/>
      <c r="B227" s="7"/>
      <c r="C227" s="7"/>
      <c r="D227" s="116"/>
      <c r="E227" s="116"/>
      <c r="F227" s="116"/>
      <c r="G227" s="116"/>
      <c r="M227" s="7"/>
      <c r="N227" s="7"/>
      <c r="O227" s="7"/>
      <c r="P227" s="7"/>
      <c r="Q227" s="7"/>
      <c r="R227" s="7"/>
      <c r="S227" s="7"/>
      <c r="T227" s="7"/>
      <c r="U227" s="7"/>
      <c r="V227" s="7"/>
      <c r="W227" s="7"/>
      <c r="X227" s="7"/>
      <c r="Y227" s="7"/>
      <c r="Z227" s="7"/>
      <c r="AA227" s="7"/>
      <c r="AB227" s="7"/>
      <c r="AC227" s="7"/>
    </row>
    <row r="228" spans="1:29" ht="15.75" customHeight="1" x14ac:dyDescent="0.25">
      <c r="A228" s="7"/>
      <c r="B228" s="7"/>
      <c r="C228" s="7"/>
      <c r="D228" s="116"/>
      <c r="E228" s="116"/>
      <c r="M228" s="7"/>
      <c r="N228" s="7"/>
      <c r="O228" s="7"/>
      <c r="P228" s="7"/>
      <c r="Q228" s="7"/>
      <c r="R228" s="7"/>
      <c r="S228" s="7"/>
      <c r="T228" s="7"/>
      <c r="U228" s="7"/>
      <c r="V228" s="7"/>
      <c r="W228" s="7"/>
      <c r="X228" s="7"/>
      <c r="Y228" s="7"/>
      <c r="Z228" s="7"/>
      <c r="AA228" s="7"/>
      <c r="AB228" s="7"/>
      <c r="AC228" s="7"/>
    </row>
    <row r="229" spans="1:29" ht="15.75" customHeight="1" x14ac:dyDescent="0.25">
      <c r="A229" s="7"/>
      <c r="B229" s="7"/>
      <c r="C229" s="7"/>
      <c r="D229" s="116"/>
      <c r="E229" s="116"/>
      <c r="M229" s="7"/>
      <c r="N229" s="7"/>
      <c r="O229" s="7"/>
      <c r="P229" s="7"/>
      <c r="Q229" s="7"/>
      <c r="R229" s="7"/>
      <c r="S229" s="7"/>
      <c r="T229" s="7"/>
      <c r="U229" s="7"/>
      <c r="V229" s="7"/>
      <c r="W229" s="7"/>
      <c r="X229" s="7"/>
      <c r="Y229" s="7"/>
      <c r="Z229" s="7"/>
      <c r="AA229" s="7"/>
      <c r="AB229" s="7"/>
      <c r="AC229" s="7"/>
    </row>
    <row r="230" spans="1:29" ht="15.75" customHeight="1" x14ac:dyDescent="0.25">
      <c r="A230" s="7"/>
      <c r="B230" s="7"/>
      <c r="C230" s="7"/>
      <c r="D230" s="116"/>
      <c r="M230" s="7"/>
      <c r="N230" s="7"/>
      <c r="O230" s="7"/>
      <c r="P230" s="7"/>
      <c r="Q230" s="7"/>
      <c r="R230" s="7"/>
      <c r="S230" s="7"/>
      <c r="T230" s="7"/>
      <c r="U230" s="7"/>
      <c r="V230" s="7"/>
      <c r="W230" s="7"/>
      <c r="X230" s="7"/>
      <c r="Y230" s="7"/>
      <c r="Z230" s="7"/>
      <c r="AA230" s="7"/>
      <c r="AB230" s="7"/>
      <c r="AC230" s="7"/>
    </row>
    <row r="231" spans="1:29" ht="15.75" customHeight="1" x14ac:dyDescent="0.25">
      <c r="A231" s="7"/>
      <c r="B231" s="7"/>
      <c r="C231" s="7"/>
      <c r="D231" s="116"/>
      <c r="M231" s="7"/>
      <c r="N231" s="7"/>
      <c r="O231" s="7"/>
      <c r="P231" s="7"/>
      <c r="Q231" s="7"/>
      <c r="R231" s="7"/>
      <c r="S231" s="7"/>
      <c r="T231" s="7"/>
      <c r="U231" s="7"/>
      <c r="V231" s="7"/>
      <c r="W231" s="7"/>
      <c r="X231" s="7"/>
      <c r="Y231" s="7"/>
      <c r="Z231" s="7"/>
      <c r="AA231" s="7"/>
      <c r="AB231" s="7"/>
      <c r="AC231" s="7"/>
    </row>
    <row r="232" spans="1:29" ht="15.75"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row>
    <row r="233" spans="1:29" ht="15.75"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row>
    <row r="234" spans="1:29" ht="15.75"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row>
    <row r="235" spans="1:29" ht="15.75"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row>
    <row r="236" spans="1:29" ht="15.75"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row>
    <row r="237" spans="1:29" ht="15.75"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row>
    <row r="238" spans="1:29" ht="15.75"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row>
    <row r="239" spans="1:29" ht="15.75"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row>
    <row r="240" spans="1:29" ht="15.75"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row>
    <row r="241" spans="1:29" ht="15.75"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row>
  </sheetData>
  <mergeCells count="224">
    <mergeCell ref="F164:G164"/>
    <mergeCell ref="F165:G165"/>
    <mergeCell ref="F166:G166"/>
    <mergeCell ref="F167:G167"/>
    <mergeCell ref="F141:G141"/>
    <mergeCell ref="F142:G142"/>
    <mergeCell ref="F143:G143"/>
    <mergeCell ref="F144:G144"/>
    <mergeCell ref="F145:G145"/>
    <mergeCell ref="F146:G146"/>
    <mergeCell ref="F147:G147"/>
    <mergeCell ref="F148:G148"/>
    <mergeCell ref="F149:G149"/>
    <mergeCell ref="F150:G150"/>
    <mergeCell ref="F151:G151"/>
    <mergeCell ref="F152:G152"/>
    <mergeCell ref="F153:G153"/>
    <mergeCell ref="F154:G154"/>
    <mergeCell ref="F155:G155"/>
    <mergeCell ref="F156:G156"/>
    <mergeCell ref="F158:G158"/>
    <mergeCell ref="F159:G159"/>
    <mergeCell ref="F160:G160"/>
    <mergeCell ref="F161:G161"/>
    <mergeCell ref="F162:G162"/>
    <mergeCell ref="F163:G163"/>
    <mergeCell ref="F157:G157"/>
    <mergeCell ref="F124:G124"/>
    <mergeCell ref="F125:G125"/>
    <mergeCell ref="F126:G126"/>
    <mergeCell ref="F127:G127"/>
    <mergeCell ref="F128:G128"/>
    <mergeCell ref="F129:G129"/>
    <mergeCell ref="F130:G130"/>
    <mergeCell ref="F131:G131"/>
    <mergeCell ref="F132:G132"/>
    <mergeCell ref="F133:G133"/>
    <mergeCell ref="F134:G134"/>
    <mergeCell ref="F135:G135"/>
    <mergeCell ref="F136:G136"/>
    <mergeCell ref="F137:G137"/>
    <mergeCell ref="F138:G138"/>
    <mergeCell ref="F139:G139"/>
    <mergeCell ref="F140:G140"/>
    <mergeCell ref="F107:G107"/>
    <mergeCell ref="F108:G108"/>
    <mergeCell ref="F109:G109"/>
    <mergeCell ref="F110:G110"/>
    <mergeCell ref="F111:G111"/>
    <mergeCell ref="F112:G112"/>
    <mergeCell ref="F113:G113"/>
    <mergeCell ref="F114:G114"/>
    <mergeCell ref="F115:G115"/>
    <mergeCell ref="F116:G116"/>
    <mergeCell ref="F117:G117"/>
    <mergeCell ref="F118:G118"/>
    <mergeCell ref="F119:G119"/>
    <mergeCell ref="F120:G120"/>
    <mergeCell ref="F121:G121"/>
    <mergeCell ref="F122:G122"/>
    <mergeCell ref="F123:G123"/>
    <mergeCell ref="F90:G90"/>
    <mergeCell ref="F91:G91"/>
    <mergeCell ref="F92:G92"/>
    <mergeCell ref="F93:G93"/>
    <mergeCell ref="F94:G94"/>
    <mergeCell ref="F95:G95"/>
    <mergeCell ref="F96:G96"/>
    <mergeCell ref="F97:G97"/>
    <mergeCell ref="F98:G98"/>
    <mergeCell ref="F99:G99"/>
    <mergeCell ref="F100:G100"/>
    <mergeCell ref="F101:G101"/>
    <mergeCell ref="F102:G102"/>
    <mergeCell ref="F103:G103"/>
    <mergeCell ref="F104:G104"/>
    <mergeCell ref="F105:G105"/>
    <mergeCell ref="F106:G106"/>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H4:M18"/>
    <mergeCell ref="F55:G55"/>
    <mergeCell ref="F28:G28"/>
    <mergeCell ref="F29:G29"/>
    <mergeCell ref="F30:G30"/>
    <mergeCell ref="F31:G31"/>
    <mergeCell ref="F32:G32"/>
    <mergeCell ref="F33:G33"/>
    <mergeCell ref="F34:G34"/>
    <mergeCell ref="F35:G35"/>
    <mergeCell ref="F36:G36"/>
    <mergeCell ref="F37:G37"/>
    <mergeCell ref="F38:G38"/>
    <mergeCell ref="AC202:AC203"/>
    <mergeCell ref="F204:G204"/>
    <mergeCell ref="A1:AC2"/>
    <mergeCell ref="T4:T5"/>
    <mergeCell ref="Z4:AA4"/>
    <mergeCell ref="Q6:R6"/>
    <mergeCell ref="Q7:R7"/>
    <mergeCell ref="Y25:Y27"/>
    <mergeCell ref="Z25:Z26"/>
    <mergeCell ref="AA25:AA26"/>
    <mergeCell ref="AB25:AB27"/>
    <mergeCell ref="AC25:AC26"/>
    <mergeCell ref="Q16:R16"/>
    <mergeCell ref="Q17:R17"/>
    <mergeCell ref="Q8:R8"/>
    <mergeCell ref="Q18:R18"/>
    <mergeCell ref="Q9:R9"/>
    <mergeCell ref="Q19:R19"/>
    <mergeCell ref="Q20:R20"/>
    <mergeCell ref="Q10:R10"/>
    <mergeCell ref="A25:J26"/>
    <mergeCell ref="F27:G27"/>
    <mergeCell ref="Q4:R5"/>
    <mergeCell ref="S4:S5"/>
    <mergeCell ref="A196:J197"/>
    <mergeCell ref="Y196:Y198"/>
    <mergeCell ref="Z196:Z197"/>
    <mergeCell ref="AA196:AA197"/>
    <mergeCell ref="AB214:AB216"/>
    <mergeCell ref="AC214:AC215"/>
    <mergeCell ref="F216:G216"/>
    <mergeCell ref="A208:J209"/>
    <mergeCell ref="Y208:Y210"/>
    <mergeCell ref="Z208:Z209"/>
    <mergeCell ref="AA208:AA209"/>
    <mergeCell ref="AB208:AB210"/>
    <mergeCell ref="AC208:AC209"/>
    <mergeCell ref="F210:G210"/>
    <mergeCell ref="F211:G211"/>
    <mergeCell ref="AB196:AB198"/>
    <mergeCell ref="AC196:AC197"/>
    <mergeCell ref="F198:G198"/>
    <mergeCell ref="F199:G199"/>
    <mergeCell ref="A202:J203"/>
    <mergeCell ref="Y202:Y204"/>
    <mergeCell ref="Z202:Z203"/>
    <mergeCell ref="AA202:AA203"/>
    <mergeCell ref="AB202:AB204"/>
    <mergeCell ref="A223:E223"/>
    <mergeCell ref="A224:E224"/>
    <mergeCell ref="A225:E225"/>
    <mergeCell ref="F217:G217"/>
    <mergeCell ref="A214:J215"/>
    <mergeCell ref="Y214:Y216"/>
    <mergeCell ref="Z214:Z215"/>
    <mergeCell ref="AA214:AA215"/>
    <mergeCell ref="F205:G205"/>
    <mergeCell ref="F168:G168"/>
    <mergeCell ref="F169:G169"/>
    <mergeCell ref="F170:G170"/>
    <mergeCell ref="F171:G171"/>
    <mergeCell ref="F172:G172"/>
    <mergeCell ref="F173:G173"/>
    <mergeCell ref="F174:G174"/>
    <mergeCell ref="F175:G175"/>
    <mergeCell ref="F176:G176"/>
    <mergeCell ref="F186:G186"/>
    <mergeCell ref="F187:G187"/>
    <mergeCell ref="F188:G188"/>
    <mergeCell ref="F189:G189"/>
    <mergeCell ref="F190:G190"/>
    <mergeCell ref="F191:G191"/>
    <mergeCell ref="F192:G192"/>
    <mergeCell ref="F193:G193"/>
    <mergeCell ref="F177:G177"/>
    <mergeCell ref="F178:G178"/>
    <mergeCell ref="F179:G179"/>
    <mergeCell ref="F180:G180"/>
    <mergeCell ref="F181:G181"/>
    <mergeCell ref="F182:G182"/>
    <mergeCell ref="F183:G183"/>
    <mergeCell ref="F184:G184"/>
    <mergeCell ref="F185:G185"/>
  </mergeCells>
  <phoneticPr fontId="43" type="noConversion"/>
  <conditionalFormatting sqref="Z28:AC161 Y28:Y99 Z28:AA163 Y162:AC193 I28:X193">
    <cfRule type="cellIs" dxfId="192" priority="29" operator="greaterThan">
      <formula>0</formula>
    </cfRule>
  </conditionalFormatting>
  <conditionalFormatting sqref="K26:X26">
    <cfRule type="cellIs" dxfId="191" priority="30" operator="greaterThan">
      <formula>0</formula>
    </cfRule>
  </conditionalFormatting>
  <conditionalFormatting sqref="Z28:AA98">
    <cfRule type="containsText" dxfId="190" priority="31" operator="containsText" text="mular">
      <formula>NOT(ISERROR(SEARCH(("mular"),(Z93))))</formula>
    </cfRule>
  </conditionalFormatting>
  <conditionalFormatting sqref="Y100:Y161">
    <cfRule type="cellIs" dxfId="189" priority="22" operator="greaterThan">
      <formula>0</formula>
    </cfRule>
  </conditionalFormatting>
  <conditionalFormatting sqref="Z141:AA163">
    <cfRule type="containsText" dxfId="188" priority="618" operator="containsText" text="mular">
      <formula>NOT(ISERROR(SEARCH(("mular"),(#REF!))))</formula>
    </cfRule>
  </conditionalFormatting>
  <conditionalFormatting sqref="Z164:AA193">
    <cfRule type="containsText" dxfId="187" priority="621" operator="containsText" text="mular">
      <formula>NOT(ISERROR(SEARCH(("mular"),(#REF!))))</formula>
    </cfRule>
  </conditionalFormatting>
  <conditionalFormatting sqref="Z116:AA140 Z104:AA113">
    <cfRule type="containsText" dxfId="186" priority="628" operator="containsText" text="mular">
      <formula>NOT(ISERROR(SEARCH(("mular"),(#REF!))))</formula>
    </cfRule>
  </conditionalFormatting>
  <conditionalFormatting sqref="Z99:AA103">
    <cfRule type="containsText" dxfId="185" priority="643" operator="containsText" text="mular">
      <formula>NOT(ISERROR(SEARCH(("mular"),(#REF!))))</formula>
    </cfRule>
  </conditionalFormatting>
  <conditionalFormatting sqref="Z114:AA115">
    <cfRule type="containsText" dxfId="184" priority="647" operator="containsText" text="mular">
      <formula>NOT(ISERROR(SEARCH(("mular"),(#REF!))))</formula>
    </cfRule>
  </conditionalFormatting>
  <conditionalFormatting sqref="I199:AC199">
    <cfRule type="cellIs" dxfId="183" priority="15" operator="greaterThan">
      <formula>0</formula>
    </cfRule>
  </conditionalFormatting>
  <conditionalFormatting sqref="K197:X197">
    <cfRule type="cellIs" dxfId="182" priority="18" operator="greaterThan">
      <formula>0</formula>
    </cfRule>
  </conditionalFormatting>
  <conditionalFormatting sqref="Z199:AA199">
    <cfRule type="containsText" dxfId="181" priority="16" operator="containsText" text="mular">
      <formula>NOT(ISERROR(SEARCH(("mular"),(#REF!))))</formula>
    </cfRule>
  </conditionalFormatting>
  <conditionalFormatting sqref="I205:AC205">
    <cfRule type="cellIs" dxfId="180" priority="12" operator="greaterThan">
      <formula>0</formula>
    </cfRule>
  </conditionalFormatting>
  <conditionalFormatting sqref="K203:X203">
    <cfRule type="cellIs" dxfId="179" priority="14" operator="greaterThan">
      <formula>0</formula>
    </cfRule>
  </conditionalFormatting>
  <conditionalFormatting sqref="Z205:AA205">
    <cfRule type="containsText" dxfId="178" priority="13" operator="containsText" text="mular">
      <formula>NOT(ISERROR(SEARCH(("mular"),(#REF!))))</formula>
    </cfRule>
  </conditionalFormatting>
  <conditionalFormatting sqref="I211:AC211">
    <cfRule type="cellIs" dxfId="177" priority="9" operator="greaterThan">
      <formula>0</formula>
    </cfRule>
  </conditionalFormatting>
  <conditionalFormatting sqref="K209:X209">
    <cfRule type="cellIs" dxfId="176" priority="11" operator="greaterThan">
      <formula>0</formula>
    </cfRule>
  </conditionalFormatting>
  <conditionalFormatting sqref="Z211:AA211">
    <cfRule type="containsText" dxfId="175" priority="10" operator="containsText" text="mular">
      <formula>NOT(ISERROR(SEARCH(("mular"),(#REF!))))</formula>
    </cfRule>
  </conditionalFormatting>
  <conditionalFormatting sqref="I217:AC217">
    <cfRule type="cellIs" dxfId="174" priority="1" operator="greaterThan">
      <formula>0</formula>
    </cfRule>
  </conditionalFormatting>
  <conditionalFormatting sqref="K215:X215">
    <cfRule type="cellIs" dxfId="173" priority="3" operator="greaterThan">
      <formula>0</formula>
    </cfRule>
  </conditionalFormatting>
  <conditionalFormatting sqref="Z217:AA217">
    <cfRule type="containsText" dxfId="172" priority="2" operator="containsText" text="mular">
      <formula>NOT(ISERROR(SEARCH(("mular"),(#REF!))))</formula>
    </cfRule>
  </conditionalFormatting>
  <pageMargins left="1.1811023622047245" right="1.1811023622047245" top="0.78740157480314965" bottom="0.78740157480314965" header="0" footer="0"/>
  <pageSetup scale="3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6"/>
  <dimension ref="A1:Z603"/>
  <sheetViews>
    <sheetView view="pageBreakPreview" topLeftCell="A346" zoomScaleNormal="100" zoomScaleSheetLayoutView="100" workbookViewId="0">
      <selection activeCell="I616" sqref="I615:I616"/>
    </sheetView>
  </sheetViews>
  <sheetFormatPr baseColWidth="10" defaultColWidth="12.7109375" defaultRowHeight="15" customHeight="1" x14ac:dyDescent="0.2"/>
  <cols>
    <col min="1" max="26" width="11.42578125" customWidth="1"/>
  </cols>
  <sheetData>
    <row r="1" spans="1:26" ht="12.75" customHeight="1" x14ac:dyDescent="0.25">
      <c r="A1" s="1126" t="s">
        <v>919</v>
      </c>
      <c r="B1" s="410"/>
      <c r="C1" s="410"/>
      <c r="D1" s="410"/>
      <c r="E1" s="410"/>
      <c r="F1" s="410"/>
      <c r="G1" s="410"/>
      <c r="H1" s="410"/>
      <c r="I1" s="410"/>
      <c r="J1" s="410"/>
      <c r="K1" s="410"/>
      <c r="L1" s="411"/>
      <c r="M1" s="7"/>
      <c r="N1" s="7"/>
      <c r="O1" s="7"/>
      <c r="P1" s="7"/>
      <c r="Q1" s="7"/>
      <c r="R1" s="7"/>
      <c r="S1" s="7"/>
      <c r="T1" s="7"/>
      <c r="U1" s="7"/>
      <c r="V1" s="7"/>
      <c r="W1" s="7"/>
      <c r="X1" s="7"/>
      <c r="Y1" s="7"/>
      <c r="Z1" s="7"/>
    </row>
    <row r="2" spans="1:26" ht="12.75" customHeight="1" x14ac:dyDescent="0.25">
      <c r="A2" s="412"/>
      <c r="B2" s="413"/>
      <c r="C2" s="413"/>
      <c r="D2" s="413"/>
      <c r="E2" s="413"/>
      <c r="F2" s="413"/>
      <c r="G2" s="413"/>
      <c r="H2" s="413"/>
      <c r="I2" s="413"/>
      <c r="J2" s="413"/>
      <c r="K2" s="413"/>
      <c r="L2" s="414"/>
      <c r="M2" s="7"/>
      <c r="N2" s="7"/>
      <c r="O2" s="7"/>
      <c r="P2" s="7"/>
      <c r="Q2" s="7"/>
      <c r="R2" s="7"/>
      <c r="S2" s="7"/>
      <c r="T2" s="7"/>
      <c r="U2" s="7"/>
      <c r="V2" s="7"/>
      <c r="W2" s="7"/>
      <c r="X2" s="7"/>
      <c r="Y2" s="7"/>
      <c r="Z2" s="7"/>
    </row>
    <row r="3" spans="1:26" ht="12.75" customHeight="1" x14ac:dyDescent="0.25">
      <c r="A3" s="7"/>
      <c r="B3" s="7"/>
      <c r="C3" s="7"/>
      <c r="D3" s="7"/>
      <c r="E3" s="7"/>
      <c r="F3" s="7"/>
      <c r="G3" s="7"/>
      <c r="H3" s="7"/>
      <c r="I3" s="7"/>
      <c r="J3" s="7"/>
      <c r="K3" s="7"/>
      <c r="L3" s="7"/>
      <c r="M3" s="7"/>
      <c r="N3" s="7"/>
      <c r="O3" s="7"/>
      <c r="P3" s="7"/>
      <c r="Q3" s="7"/>
      <c r="R3" s="7"/>
      <c r="S3" s="7"/>
      <c r="T3" s="7"/>
      <c r="U3" s="7"/>
      <c r="V3" s="7"/>
      <c r="W3" s="7"/>
      <c r="X3" s="7"/>
      <c r="Y3" s="7"/>
      <c r="Z3" s="7"/>
    </row>
    <row r="4" spans="1:26" ht="12.75" customHeight="1" x14ac:dyDescent="0.25">
      <c r="A4" s="1127" t="s">
        <v>920</v>
      </c>
      <c r="B4" s="410"/>
      <c r="C4" s="410"/>
      <c r="D4" s="410"/>
      <c r="E4" s="410"/>
      <c r="F4" s="410"/>
      <c r="G4" s="410"/>
      <c r="H4" s="410"/>
      <c r="I4" s="410"/>
      <c r="J4" s="410"/>
      <c r="K4" s="410"/>
      <c r="L4" s="410"/>
      <c r="M4" s="7"/>
      <c r="N4" s="7"/>
      <c r="O4" s="7"/>
      <c r="P4" s="7"/>
      <c r="Q4" s="7"/>
      <c r="R4" s="7"/>
      <c r="S4" s="7"/>
      <c r="T4" s="7"/>
      <c r="U4" s="7"/>
      <c r="V4" s="7"/>
      <c r="W4" s="7"/>
      <c r="X4" s="7"/>
      <c r="Y4" s="7"/>
      <c r="Z4" s="7"/>
    </row>
    <row r="5" spans="1:26" ht="12.75" customHeight="1" x14ac:dyDescent="0.25">
      <c r="A5" s="412"/>
      <c r="B5" s="413"/>
      <c r="C5" s="413"/>
      <c r="D5" s="413"/>
      <c r="E5" s="413"/>
      <c r="F5" s="413"/>
      <c r="G5" s="413"/>
      <c r="H5" s="413"/>
      <c r="I5" s="413"/>
      <c r="J5" s="413"/>
      <c r="K5" s="413"/>
      <c r="L5" s="413"/>
      <c r="M5" s="7"/>
      <c r="N5" s="7"/>
      <c r="O5" s="7"/>
      <c r="P5" s="7"/>
      <c r="Q5" s="7"/>
      <c r="R5" s="7"/>
      <c r="S5" s="7"/>
      <c r="T5" s="7"/>
      <c r="U5" s="7"/>
      <c r="V5" s="7"/>
      <c r="W5" s="7"/>
      <c r="X5" s="7"/>
      <c r="Y5" s="7"/>
      <c r="Z5" s="7"/>
    </row>
    <row r="6" spans="1:26" ht="12.75" customHeight="1" x14ac:dyDescent="0.25">
      <c r="A6" s="7"/>
      <c r="B6" s="7"/>
      <c r="C6" s="7"/>
      <c r="D6" s="7"/>
      <c r="E6" s="7"/>
      <c r="F6" s="7"/>
      <c r="G6" s="7"/>
      <c r="H6" s="7"/>
      <c r="I6" s="7"/>
      <c r="J6" s="7"/>
      <c r="K6" s="7"/>
      <c r="L6" s="7"/>
      <c r="M6" s="7"/>
      <c r="N6" s="7"/>
      <c r="O6" s="7"/>
      <c r="P6" s="7"/>
      <c r="Q6" s="7"/>
      <c r="R6" s="7"/>
      <c r="S6" s="7"/>
      <c r="T6" s="7"/>
      <c r="U6" s="7"/>
      <c r="V6" s="7"/>
      <c r="W6" s="7"/>
      <c r="X6" s="7"/>
      <c r="Y6" s="7"/>
      <c r="Z6" s="7"/>
    </row>
    <row r="7" spans="1:26" ht="27" customHeight="1" x14ac:dyDescent="0.25">
      <c r="A7" s="85" t="s">
        <v>921</v>
      </c>
      <c r="B7" s="85" t="s">
        <v>916</v>
      </c>
      <c r="C7" s="85" t="s">
        <v>917</v>
      </c>
      <c r="D7" s="85" t="s">
        <v>922</v>
      </c>
      <c r="E7" s="85" t="s">
        <v>923</v>
      </c>
      <c r="F7" s="85" t="s">
        <v>1438</v>
      </c>
      <c r="G7" s="85" t="s">
        <v>1439</v>
      </c>
      <c r="H7" s="479" t="s">
        <v>924</v>
      </c>
      <c r="I7" s="418"/>
      <c r="J7" s="416"/>
      <c r="K7" s="7"/>
      <c r="L7" s="7"/>
      <c r="M7" s="7"/>
      <c r="N7" s="7"/>
      <c r="O7" s="7"/>
      <c r="P7" s="7"/>
      <c r="Q7" s="7"/>
      <c r="R7" s="7"/>
      <c r="S7" s="7"/>
      <c r="T7" s="7"/>
      <c r="U7" s="7"/>
      <c r="V7" s="7"/>
      <c r="W7" s="7"/>
      <c r="X7" s="7"/>
      <c r="Y7" s="7"/>
      <c r="Z7" s="7"/>
    </row>
    <row r="8" spans="1:26" ht="12.75" customHeight="1" x14ac:dyDescent="0.25">
      <c r="A8" s="3" t="s">
        <v>1272</v>
      </c>
      <c r="B8" s="3">
        <v>1091102.99</v>
      </c>
      <c r="C8" s="3">
        <v>707621.68</v>
      </c>
      <c r="D8" s="3">
        <v>1925.45</v>
      </c>
      <c r="E8" s="13">
        <v>6</v>
      </c>
      <c r="F8" s="92">
        <v>97.2</v>
      </c>
      <c r="G8" s="93">
        <v>0</v>
      </c>
      <c r="H8" s="1040"/>
      <c r="I8" s="410"/>
      <c r="J8" s="411"/>
      <c r="K8" s="7"/>
      <c r="L8" s="7"/>
      <c r="M8" s="7"/>
      <c r="N8" s="7"/>
      <c r="O8" s="7"/>
      <c r="P8" s="7"/>
      <c r="Q8" s="7"/>
      <c r="R8" s="7"/>
      <c r="S8" s="7"/>
      <c r="T8" s="7"/>
      <c r="U8" s="7"/>
      <c r="V8" s="7"/>
      <c r="W8" s="7"/>
      <c r="X8" s="7"/>
      <c r="Y8" s="7"/>
      <c r="Z8" s="7"/>
    </row>
    <row r="9" spans="1:26" ht="12.75" customHeight="1" x14ac:dyDescent="0.25">
      <c r="A9" s="3" t="s">
        <v>1398</v>
      </c>
      <c r="B9" s="3">
        <v>1092080.18</v>
      </c>
      <c r="C9" s="3">
        <v>705039.63</v>
      </c>
      <c r="D9" s="3">
        <v>1839.12</v>
      </c>
      <c r="E9" s="13">
        <v>6</v>
      </c>
      <c r="F9" s="3">
        <v>82.8</v>
      </c>
      <c r="G9" s="63">
        <v>35</v>
      </c>
      <c r="H9" s="467"/>
      <c r="I9" s="468"/>
      <c r="J9" s="469"/>
      <c r="K9" s="7"/>
      <c r="L9" s="7"/>
      <c r="M9" s="7"/>
      <c r="N9" s="7"/>
      <c r="O9" s="7"/>
      <c r="P9" s="7"/>
      <c r="Q9" s="7"/>
      <c r="R9" s="7"/>
      <c r="S9" s="7"/>
      <c r="T9" s="7"/>
      <c r="U9" s="7"/>
      <c r="V9" s="7"/>
      <c r="W9" s="7"/>
      <c r="X9" s="7"/>
      <c r="Y9" s="7"/>
      <c r="Z9" s="7"/>
    </row>
    <row r="10" spans="1:26" ht="12.75" customHeight="1" x14ac:dyDescent="0.25">
      <c r="A10" s="3" t="s">
        <v>1422</v>
      </c>
      <c r="B10" s="3">
        <v>1092669.1499999999</v>
      </c>
      <c r="C10" s="3">
        <v>704134.24</v>
      </c>
      <c r="D10" s="3">
        <v>1820.98</v>
      </c>
      <c r="E10" s="13">
        <v>6</v>
      </c>
      <c r="F10" s="3">
        <v>51.6</v>
      </c>
      <c r="G10" s="63">
        <v>24</v>
      </c>
      <c r="H10" s="467"/>
      <c r="I10" s="468"/>
      <c r="J10" s="469"/>
      <c r="K10" s="7"/>
      <c r="L10" s="7"/>
      <c r="M10" s="7"/>
      <c r="N10" s="7"/>
      <c r="O10" s="7"/>
      <c r="P10" s="7"/>
      <c r="Q10" s="7"/>
      <c r="R10" s="7"/>
      <c r="S10" s="7"/>
      <c r="T10" s="7"/>
      <c r="U10" s="7"/>
      <c r="V10" s="7"/>
      <c r="W10" s="7"/>
      <c r="X10" s="7"/>
      <c r="Y10" s="7"/>
      <c r="Z10" s="7"/>
    </row>
    <row r="11" spans="1:26" ht="12.75" customHeight="1" x14ac:dyDescent="0.25">
      <c r="A11" s="3"/>
      <c r="B11" s="3"/>
      <c r="C11" s="3"/>
      <c r="D11" s="3"/>
      <c r="E11" s="13"/>
      <c r="F11" s="3"/>
      <c r="G11" s="63"/>
      <c r="H11" s="467"/>
      <c r="I11" s="468"/>
      <c r="J11" s="469"/>
      <c r="K11" s="7"/>
      <c r="L11" s="7"/>
      <c r="M11" s="7"/>
      <c r="N11" s="7"/>
      <c r="O11" s="7"/>
      <c r="P11" s="7"/>
      <c r="Q11" s="7"/>
      <c r="R11" s="7"/>
      <c r="S11" s="7"/>
      <c r="T11" s="7"/>
      <c r="U11" s="7"/>
      <c r="V11" s="7"/>
      <c r="W11" s="7"/>
      <c r="X11" s="7"/>
      <c r="Y11" s="7"/>
      <c r="Z11" s="7"/>
    </row>
    <row r="12" spans="1:26" ht="12.75" customHeight="1" x14ac:dyDescent="0.25">
      <c r="A12" s="3"/>
      <c r="B12" s="3"/>
      <c r="C12" s="3"/>
      <c r="D12" s="3"/>
      <c r="E12" s="13"/>
      <c r="F12" s="3"/>
      <c r="G12" s="63"/>
      <c r="H12" s="467"/>
      <c r="I12" s="468"/>
      <c r="J12" s="469"/>
      <c r="K12" s="7"/>
      <c r="L12" s="7"/>
      <c r="M12" s="7"/>
      <c r="N12" s="7"/>
      <c r="O12" s="7"/>
      <c r="P12" s="7"/>
      <c r="Q12" s="7"/>
      <c r="R12" s="7"/>
      <c r="S12" s="7"/>
      <c r="T12" s="7"/>
      <c r="U12" s="7"/>
      <c r="V12" s="7"/>
      <c r="W12" s="7"/>
      <c r="X12" s="7"/>
      <c r="Y12" s="7"/>
      <c r="Z12" s="7"/>
    </row>
    <row r="13" spans="1:26" ht="12.75" customHeight="1" x14ac:dyDescent="0.25">
      <c r="A13" s="3"/>
      <c r="B13" s="3"/>
      <c r="C13" s="3"/>
      <c r="D13" s="3"/>
      <c r="E13" s="13"/>
      <c r="F13" s="3"/>
      <c r="G13" s="63"/>
      <c r="H13" s="467"/>
      <c r="I13" s="468"/>
      <c r="J13" s="469"/>
      <c r="K13" s="7"/>
      <c r="L13" s="7"/>
      <c r="M13" s="7"/>
      <c r="N13" s="7"/>
      <c r="O13" s="7"/>
      <c r="P13" s="7"/>
      <c r="Q13" s="7"/>
      <c r="R13" s="7"/>
      <c r="S13" s="7"/>
      <c r="T13" s="7"/>
      <c r="U13" s="7"/>
      <c r="V13" s="7"/>
      <c r="W13" s="7"/>
      <c r="X13" s="7"/>
      <c r="Y13" s="7"/>
      <c r="Z13" s="7"/>
    </row>
    <row r="14" spans="1:26" ht="12.75" customHeight="1" x14ac:dyDescent="0.25">
      <c r="A14" s="3"/>
      <c r="B14" s="3"/>
      <c r="C14" s="3"/>
      <c r="D14" s="3"/>
      <c r="E14" s="13"/>
      <c r="F14" s="3"/>
      <c r="G14" s="63"/>
      <c r="H14" s="467"/>
      <c r="I14" s="468"/>
      <c r="J14" s="469"/>
      <c r="K14" s="7"/>
      <c r="L14" s="7"/>
      <c r="M14" s="7"/>
      <c r="N14" s="7"/>
      <c r="O14" s="7"/>
      <c r="P14" s="7"/>
      <c r="Q14" s="7"/>
      <c r="R14" s="7"/>
      <c r="S14" s="7"/>
      <c r="T14" s="7"/>
      <c r="U14" s="7"/>
      <c r="V14" s="7"/>
      <c r="W14" s="7"/>
      <c r="X14" s="7"/>
      <c r="Y14" s="7"/>
      <c r="Z14" s="7"/>
    </row>
    <row r="15" spans="1:26" ht="12.75" customHeight="1" x14ac:dyDescent="0.25">
      <c r="A15" s="3"/>
      <c r="B15" s="3"/>
      <c r="C15" s="3"/>
      <c r="D15" s="3"/>
      <c r="E15" s="13"/>
      <c r="F15" s="3"/>
      <c r="G15" s="63"/>
      <c r="H15" s="467"/>
      <c r="I15" s="468"/>
      <c r="J15" s="469"/>
      <c r="K15" s="7"/>
      <c r="L15" s="7"/>
      <c r="M15" s="7"/>
      <c r="N15" s="7"/>
      <c r="O15" s="7"/>
      <c r="P15" s="7"/>
      <c r="Q15" s="7"/>
      <c r="R15" s="7"/>
      <c r="S15" s="7"/>
      <c r="T15" s="7"/>
      <c r="U15" s="7"/>
      <c r="V15" s="7"/>
      <c r="W15" s="7"/>
      <c r="X15" s="7"/>
      <c r="Y15" s="7"/>
      <c r="Z15" s="7"/>
    </row>
    <row r="16" spans="1:26" ht="12.75" customHeight="1" x14ac:dyDescent="0.25">
      <c r="A16" s="3"/>
      <c r="B16" s="3"/>
      <c r="C16" s="3"/>
      <c r="D16" s="3"/>
      <c r="E16" s="13"/>
      <c r="F16" s="3"/>
      <c r="G16" s="63"/>
      <c r="H16" s="467"/>
      <c r="I16" s="468"/>
      <c r="J16" s="469"/>
      <c r="K16" s="7"/>
      <c r="L16" s="7"/>
      <c r="M16" s="7"/>
      <c r="N16" s="7"/>
      <c r="O16" s="7"/>
      <c r="P16" s="7"/>
      <c r="Q16" s="7"/>
      <c r="R16" s="7"/>
      <c r="S16" s="7"/>
      <c r="T16" s="7"/>
      <c r="U16" s="7"/>
      <c r="V16" s="7"/>
      <c r="W16" s="7"/>
      <c r="X16" s="7"/>
      <c r="Y16" s="7"/>
      <c r="Z16" s="7"/>
    </row>
    <row r="17" spans="1:26" ht="12.75" customHeight="1" x14ac:dyDescent="0.25">
      <c r="A17" s="3"/>
      <c r="B17" s="3"/>
      <c r="C17" s="3"/>
      <c r="D17" s="3"/>
      <c r="E17" s="13"/>
      <c r="F17" s="3"/>
      <c r="G17" s="63"/>
      <c r="H17" s="467"/>
      <c r="I17" s="468"/>
      <c r="J17" s="469"/>
      <c r="K17" s="7"/>
      <c r="L17" s="7"/>
      <c r="M17" s="7"/>
      <c r="N17" s="7"/>
      <c r="O17" s="7"/>
      <c r="P17" s="7"/>
      <c r="Q17" s="7"/>
      <c r="R17" s="7"/>
      <c r="S17" s="7"/>
      <c r="T17" s="7"/>
      <c r="U17" s="7"/>
      <c r="V17" s="7"/>
      <c r="W17" s="7"/>
      <c r="X17" s="7"/>
      <c r="Y17" s="7"/>
      <c r="Z17" s="7"/>
    </row>
    <row r="18" spans="1:26" ht="12.75" customHeight="1" x14ac:dyDescent="0.25">
      <c r="A18" s="3"/>
      <c r="B18" s="3"/>
      <c r="C18" s="3"/>
      <c r="D18" s="3"/>
      <c r="E18" s="13"/>
      <c r="F18" s="3"/>
      <c r="G18" s="63"/>
      <c r="H18" s="467"/>
      <c r="I18" s="468"/>
      <c r="J18" s="469"/>
      <c r="K18" s="7"/>
      <c r="L18" s="7"/>
      <c r="M18" s="7"/>
      <c r="N18" s="7"/>
      <c r="O18" s="7"/>
      <c r="P18" s="7"/>
      <c r="Q18" s="7"/>
      <c r="R18" s="7"/>
      <c r="S18" s="7"/>
      <c r="T18" s="7"/>
      <c r="U18" s="7"/>
      <c r="V18" s="7"/>
      <c r="W18" s="7"/>
      <c r="X18" s="7"/>
      <c r="Y18" s="7"/>
      <c r="Z18" s="7"/>
    </row>
    <row r="19" spans="1:26" ht="12.75" customHeight="1" x14ac:dyDescent="0.25">
      <c r="A19" s="3"/>
      <c r="B19" s="3"/>
      <c r="C19" s="3"/>
      <c r="D19" s="3"/>
      <c r="E19" s="13"/>
      <c r="F19" s="3"/>
      <c r="G19" s="63"/>
      <c r="H19" s="467"/>
      <c r="I19" s="468"/>
      <c r="J19" s="469"/>
      <c r="K19" s="7"/>
      <c r="L19" s="7"/>
      <c r="M19" s="7"/>
      <c r="N19" s="7"/>
      <c r="O19" s="7"/>
      <c r="P19" s="7"/>
      <c r="Q19" s="7"/>
      <c r="R19" s="7"/>
      <c r="S19" s="7"/>
      <c r="T19" s="7"/>
      <c r="U19" s="7"/>
      <c r="V19" s="7"/>
      <c r="W19" s="7"/>
      <c r="X19" s="7"/>
      <c r="Y19" s="7"/>
      <c r="Z19" s="7"/>
    </row>
    <row r="20" spans="1:26" ht="12.75" customHeight="1" x14ac:dyDescent="0.25">
      <c r="A20" s="3"/>
      <c r="B20" s="3"/>
      <c r="C20" s="3"/>
      <c r="D20" s="3"/>
      <c r="E20" s="13"/>
      <c r="F20" s="3"/>
      <c r="G20" s="63"/>
      <c r="H20" s="467"/>
      <c r="I20" s="468"/>
      <c r="J20" s="469"/>
      <c r="K20" s="7"/>
      <c r="L20" s="7"/>
      <c r="M20" s="7"/>
      <c r="N20" s="7"/>
      <c r="O20" s="7"/>
      <c r="P20" s="7"/>
      <c r="Q20" s="7"/>
      <c r="R20" s="7"/>
      <c r="S20" s="7"/>
      <c r="T20" s="7"/>
      <c r="U20" s="7"/>
      <c r="V20" s="7"/>
      <c r="W20" s="7"/>
      <c r="X20" s="7"/>
      <c r="Y20" s="7"/>
      <c r="Z20" s="7"/>
    </row>
    <row r="21" spans="1:26" ht="12.75" customHeight="1" x14ac:dyDescent="0.25">
      <c r="A21" s="3"/>
      <c r="B21" s="3"/>
      <c r="C21" s="3"/>
      <c r="D21" s="3"/>
      <c r="E21" s="13"/>
      <c r="F21" s="3"/>
      <c r="G21" s="63"/>
      <c r="H21" s="467"/>
      <c r="I21" s="468"/>
      <c r="J21" s="469"/>
      <c r="K21" s="7"/>
      <c r="L21" s="7"/>
      <c r="M21" s="7"/>
      <c r="N21" s="7"/>
      <c r="O21" s="7"/>
      <c r="P21" s="7"/>
      <c r="Q21" s="7"/>
      <c r="R21" s="7"/>
      <c r="S21" s="7"/>
      <c r="T21" s="7"/>
      <c r="U21" s="7"/>
      <c r="V21" s="7"/>
      <c r="W21" s="7"/>
      <c r="X21" s="7"/>
      <c r="Y21" s="7"/>
      <c r="Z21" s="7"/>
    </row>
    <row r="22" spans="1:26" ht="12.75" customHeight="1" x14ac:dyDescent="0.25">
      <c r="A22" s="3"/>
      <c r="B22" s="3"/>
      <c r="C22" s="3"/>
      <c r="D22" s="3"/>
      <c r="E22" s="13"/>
      <c r="F22" s="3"/>
      <c r="G22" s="63"/>
      <c r="H22" s="412"/>
      <c r="I22" s="413"/>
      <c r="J22" s="414"/>
      <c r="K22" s="7"/>
      <c r="L22" s="7"/>
      <c r="M22" s="7"/>
      <c r="N22" s="7"/>
      <c r="O22" s="7"/>
      <c r="P22" s="7"/>
      <c r="Q22" s="7"/>
      <c r="R22" s="7"/>
      <c r="S22" s="7"/>
      <c r="T22" s="7"/>
      <c r="U22" s="7"/>
      <c r="V22" s="7"/>
      <c r="W22" s="7"/>
      <c r="X22" s="7"/>
      <c r="Y22" s="7"/>
      <c r="Z22" s="7"/>
    </row>
    <row r="23" spans="1:26" ht="12.75" customHeight="1" x14ac:dyDescent="0.25">
      <c r="A23" s="7"/>
      <c r="B23" s="7"/>
      <c r="C23" s="7"/>
      <c r="D23" s="7"/>
      <c r="E23" s="7"/>
      <c r="F23" s="7"/>
      <c r="G23" s="7"/>
      <c r="H23" s="7"/>
      <c r="I23" s="7"/>
      <c r="J23" s="7"/>
      <c r="K23" s="7"/>
      <c r="L23" s="7"/>
      <c r="M23" s="7"/>
      <c r="N23" s="7"/>
      <c r="O23" s="7"/>
      <c r="P23" s="7"/>
      <c r="Q23" s="7"/>
      <c r="R23" s="7"/>
      <c r="S23" s="7"/>
      <c r="T23" s="7"/>
      <c r="U23" s="7"/>
      <c r="V23" s="7"/>
      <c r="W23" s="7"/>
      <c r="X23" s="7"/>
      <c r="Y23" s="7"/>
      <c r="Z23" s="7"/>
    </row>
    <row r="24" spans="1:26" ht="12.75" customHeight="1" x14ac:dyDescent="0.25">
      <c r="A24" s="6" t="s">
        <v>923</v>
      </c>
      <c r="B24" s="6" t="s">
        <v>882</v>
      </c>
      <c r="C24" s="7"/>
      <c r="D24" s="7"/>
      <c r="E24" s="7"/>
      <c r="F24" s="7"/>
      <c r="G24" s="7"/>
      <c r="H24" s="7"/>
      <c r="I24" s="7"/>
      <c r="J24" s="7"/>
      <c r="K24" s="7"/>
      <c r="L24" s="7"/>
      <c r="M24" s="7"/>
      <c r="N24" s="7"/>
      <c r="O24" s="7"/>
      <c r="P24" s="7"/>
      <c r="Q24" s="7"/>
      <c r="R24" s="7"/>
      <c r="S24" s="7"/>
      <c r="T24" s="7"/>
      <c r="U24" s="7"/>
      <c r="V24" s="7"/>
      <c r="W24" s="7"/>
      <c r="X24" s="7"/>
      <c r="Y24" s="7"/>
      <c r="Z24" s="7"/>
    </row>
    <row r="25" spans="1:26" ht="12.75" customHeight="1" x14ac:dyDescent="0.25">
      <c r="A25" s="8">
        <v>6</v>
      </c>
      <c r="B25" s="8">
        <f t="shared" ref="B25" si="0">COUNTIF($E$8:$E$22,A25)</f>
        <v>3</v>
      </c>
      <c r="C25" s="7"/>
      <c r="D25" s="7"/>
      <c r="E25" s="7"/>
      <c r="F25" s="7"/>
      <c r="G25" s="7"/>
      <c r="H25" s="7"/>
      <c r="I25" s="7"/>
      <c r="J25" s="7"/>
      <c r="K25" s="7"/>
      <c r="L25" s="7"/>
      <c r="M25" s="7"/>
      <c r="N25" s="7"/>
      <c r="O25" s="7"/>
      <c r="P25" s="7"/>
      <c r="Q25" s="7"/>
      <c r="R25" s="7"/>
      <c r="S25" s="7"/>
      <c r="T25" s="7"/>
      <c r="U25" s="7"/>
      <c r="V25" s="7"/>
      <c r="W25" s="7"/>
      <c r="X25" s="7"/>
      <c r="Y25" s="7"/>
      <c r="Z25" s="7"/>
    </row>
    <row r="26" spans="1:26" ht="12.75" customHeight="1" x14ac:dyDescent="0.25">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2.75" customHeight="1" x14ac:dyDescent="0.25">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2.75" customHeight="1" x14ac:dyDescent="0.25">
      <c r="A28" s="10"/>
      <c r="B28" s="10"/>
      <c r="C28" s="10"/>
      <c r="D28" s="10"/>
      <c r="E28" s="10"/>
      <c r="F28" s="10"/>
      <c r="G28" s="10"/>
      <c r="H28" s="7"/>
      <c r="I28" s="7"/>
      <c r="J28" s="7"/>
      <c r="K28" s="7"/>
      <c r="L28" s="7"/>
      <c r="M28" s="7"/>
      <c r="N28" s="7"/>
      <c r="O28" s="7"/>
      <c r="P28" s="7"/>
      <c r="Q28" s="7"/>
      <c r="R28" s="7"/>
      <c r="S28" s="7"/>
      <c r="T28" s="7"/>
      <c r="U28" s="7"/>
      <c r="V28" s="7"/>
      <c r="W28" s="7"/>
      <c r="X28" s="7"/>
      <c r="Y28" s="7"/>
      <c r="Z28" s="7"/>
    </row>
    <row r="29" spans="1:26" ht="12.75" customHeight="1" x14ac:dyDescent="0.25">
      <c r="A29" s="1102" t="s">
        <v>925</v>
      </c>
      <c r="B29" s="1103"/>
      <c r="C29" s="1103"/>
      <c r="D29" s="1103"/>
      <c r="E29" s="1103"/>
      <c r="F29" s="1103"/>
      <c r="G29" s="1103"/>
      <c r="H29" s="1103"/>
      <c r="I29" s="1103"/>
      <c r="J29" s="1103"/>
      <c r="K29" s="1103"/>
      <c r="L29" s="1103"/>
      <c r="M29" s="7"/>
      <c r="N29" s="7"/>
      <c r="O29" s="7"/>
      <c r="P29" s="7"/>
      <c r="Q29" s="7"/>
      <c r="R29" s="7"/>
      <c r="S29" s="7"/>
      <c r="T29" s="7"/>
      <c r="U29" s="7"/>
      <c r="V29" s="7"/>
      <c r="W29" s="7"/>
      <c r="X29" s="7"/>
      <c r="Y29" s="7"/>
      <c r="Z29" s="7"/>
    </row>
    <row r="30" spans="1:26" ht="12.75" customHeight="1" x14ac:dyDescent="0.25">
      <c r="A30" s="1104"/>
      <c r="B30" s="1105"/>
      <c r="C30" s="1105"/>
      <c r="D30" s="1105"/>
      <c r="E30" s="1105"/>
      <c r="F30" s="1105"/>
      <c r="G30" s="1105"/>
      <c r="H30" s="1105"/>
      <c r="I30" s="1105"/>
      <c r="J30" s="1105"/>
      <c r="K30" s="1105"/>
      <c r="L30" s="1105"/>
      <c r="M30" s="7"/>
      <c r="N30" s="7"/>
      <c r="O30" s="7"/>
      <c r="P30" s="7"/>
      <c r="Q30" s="7"/>
      <c r="R30" s="7"/>
      <c r="S30" s="7"/>
      <c r="T30" s="7"/>
      <c r="U30" s="7"/>
      <c r="V30" s="7"/>
      <c r="W30" s="7"/>
      <c r="X30" s="7"/>
      <c r="Y30" s="7"/>
      <c r="Z30" s="7"/>
    </row>
    <row r="31" spans="1:26" ht="12.75" customHeight="1" x14ac:dyDescent="0.25">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2.75" customHeight="1" x14ac:dyDescent="0.25">
      <c r="A32" s="966" t="s">
        <v>39</v>
      </c>
      <c r="B32" s="1092"/>
      <c r="C32" s="1092"/>
      <c r="D32" s="967"/>
      <c r="E32" s="6" t="s">
        <v>40</v>
      </c>
      <c r="F32" s="6" t="s">
        <v>41</v>
      </c>
      <c r="G32" s="1030" t="s">
        <v>730</v>
      </c>
      <c r="H32" s="1123"/>
      <c r="I32" s="966" t="s">
        <v>1427</v>
      </c>
      <c r="J32" s="1092"/>
      <c r="K32" s="1092"/>
      <c r="L32" s="967"/>
      <c r="M32" s="7"/>
      <c r="N32" s="7"/>
      <c r="O32" s="7"/>
      <c r="P32" s="7"/>
      <c r="Q32" s="7"/>
      <c r="R32" s="7"/>
      <c r="S32" s="7"/>
      <c r="T32" s="7"/>
      <c r="U32" s="7"/>
      <c r="V32" s="7"/>
      <c r="W32" s="7"/>
      <c r="X32" s="7"/>
      <c r="Y32" s="7"/>
      <c r="Z32" s="7"/>
    </row>
    <row r="33" spans="1:26" ht="12.75" customHeight="1" x14ac:dyDescent="0.25">
      <c r="A33" s="1108" t="s">
        <v>926</v>
      </c>
      <c r="B33" s="1111" t="s">
        <v>530</v>
      </c>
      <c r="C33" s="1112"/>
      <c r="D33" s="1113"/>
      <c r="E33" s="1108" t="s">
        <v>418</v>
      </c>
      <c r="F33" s="1120">
        <f>I33</f>
        <v>0.71624999999999983</v>
      </c>
      <c r="G33" s="1106" t="s">
        <v>261</v>
      </c>
      <c r="H33" s="1107"/>
      <c r="I33" s="3">
        <f>I40</f>
        <v>0.71624999999999983</v>
      </c>
      <c r="J33" s="1093"/>
      <c r="K33" s="1094"/>
      <c r="L33" s="1095"/>
      <c r="M33" s="7"/>
      <c r="N33" s="7"/>
      <c r="O33" s="7"/>
      <c r="P33" s="7"/>
      <c r="Q33" s="7"/>
      <c r="R33" s="7"/>
      <c r="S33" s="7"/>
      <c r="T33" s="7"/>
      <c r="U33" s="7"/>
      <c r="V33" s="7"/>
      <c r="W33" s="7"/>
      <c r="X33" s="7"/>
      <c r="Y33" s="7"/>
      <c r="Z33" s="7"/>
    </row>
    <row r="34" spans="1:26" ht="12.75" customHeight="1" x14ac:dyDescent="0.25">
      <c r="A34" s="1109"/>
      <c r="B34" s="1114"/>
      <c r="C34" s="1115"/>
      <c r="D34" s="1116"/>
      <c r="E34" s="1109"/>
      <c r="F34" s="1121"/>
      <c r="G34" s="1106" t="s">
        <v>184</v>
      </c>
      <c r="H34" s="1107"/>
      <c r="I34" s="81">
        <v>1</v>
      </c>
      <c r="J34" s="1096"/>
      <c r="K34" s="1097"/>
      <c r="L34" s="1098"/>
      <c r="M34" s="7"/>
      <c r="N34" s="7"/>
      <c r="O34" s="7"/>
      <c r="P34" s="7"/>
      <c r="Q34" s="7"/>
      <c r="R34" s="7"/>
      <c r="S34" s="7"/>
      <c r="T34" s="7"/>
      <c r="U34" s="7"/>
      <c r="V34" s="7"/>
      <c r="W34" s="7"/>
      <c r="X34" s="7"/>
      <c r="Y34" s="7"/>
      <c r="Z34" s="7"/>
    </row>
    <row r="35" spans="1:26" ht="12.75" customHeight="1" x14ac:dyDescent="0.25">
      <c r="A35" s="1109"/>
      <c r="B35" s="1114"/>
      <c r="C35" s="1115"/>
      <c r="D35" s="1116"/>
      <c r="E35" s="1109"/>
      <c r="F35" s="1121"/>
      <c r="G35" s="1106" t="s">
        <v>927</v>
      </c>
      <c r="H35" s="1107"/>
      <c r="I35" s="81">
        <f>1+0.15+0.15</f>
        <v>1.2999999999999998</v>
      </c>
      <c r="J35" s="1096"/>
      <c r="K35" s="1097"/>
      <c r="L35" s="1098"/>
      <c r="M35" s="7"/>
      <c r="N35" s="7"/>
      <c r="O35" s="7"/>
      <c r="P35" s="7"/>
      <c r="Q35" s="7"/>
      <c r="R35" s="7"/>
      <c r="S35" s="7"/>
      <c r="T35" s="7"/>
      <c r="U35" s="7"/>
      <c r="V35" s="7"/>
      <c r="W35" s="7"/>
      <c r="X35" s="7"/>
      <c r="Y35" s="7"/>
      <c r="Z35" s="7"/>
    </row>
    <row r="36" spans="1:26" ht="12.75" customHeight="1" x14ac:dyDescent="0.25">
      <c r="A36" s="1109"/>
      <c r="B36" s="1114"/>
      <c r="C36" s="1115"/>
      <c r="D36" s="1116"/>
      <c r="E36" s="1109"/>
      <c r="F36" s="1121"/>
      <c r="G36" s="1106" t="s">
        <v>928</v>
      </c>
      <c r="H36" s="1107"/>
      <c r="I36" s="81">
        <f>0.61</f>
        <v>0.61</v>
      </c>
      <c r="J36" s="1096"/>
      <c r="K36" s="1097"/>
      <c r="L36" s="1098"/>
      <c r="M36" s="7"/>
      <c r="N36" s="7"/>
      <c r="O36" s="7"/>
      <c r="P36" s="7"/>
      <c r="Q36" s="7"/>
      <c r="R36" s="7"/>
      <c r="S36" s="7"/>
      <c r="T36" s="7"/>
      <c r="U36" s="7"/>
      <c r="V36" s="7"/>
      <c r="W36" s="7"/>
      <c r="X36" s="7"/>
      <c r="Y36" s="7"/>
      <c r="Z36" s="7"/>
    </row>
    <row r="37" spans="1:26" ht="12.75" customHeight="1" x14ac:dyDescent="0.25">
      <c r="A37" s="1109"/>
      <c r="B37" s="1114"/>
      <c r="C37" s="1115"/>
      <c r="D37" s="1116"/>
      <c r="E37" s="1109"/>
      <c r="F37" s="1121"/>
      <c r="G37" s="1106" t="s">
        <v>731</v>
      </c>
      <c r="H37" s="1107"/>
      <c r="I37" s="81">
        <f>0.6+0.15</f>
        <v>0.75</v>
      </c>
      <c r="J37" s="1096"/>
      <c r="K37" s="1097"/>
      <c r="L37" s="1098"/>
      <c r="M37" s="7"/>
      <c r="N37" s="7"/>
      <c r="O37" s="7"/>
      <c r="P37" s="7"/>
      <c r="Q37" s="7"/>
      <c r="R37" s="7"/>
      <c r="S37" s="7"/>
      <c r="T37" s="7"/>
      <c r="U37" s="7"/>
      <c r="V37" s="7"/>
      <c r="W37" s="7"/>
      <c r="X37" s="7"/>
      <c r="Y37" s="7"/>
      <c r="Z37" s="7"/>
    </row>
    <row r="38" spans="1:26" ht="12.75" customHeight="1" x14ac:dyDescent="0.25">
      <c r="A38" s="1109"/>
      <c r="B38" s="1114"/>
      <c r="C38" s="1115"/>
      <c r="D38" s="1116"/>
      <c r="E38" s="1109"/>
      <c r="F38" s="1121"/>
      <c r="G38" s="1106" t="s">
        <v>734</v>
      </c>
      <c r="H38" s="1107"/>
      <c r="I38" s="81"/>
      <c r="J38" s="1096"/>
      <c r="K38" s="1097"/>
      <c r="L38" s="1098"/>
      <c r="M38" s="7"/>
      <c r="N38" s="7"/>
      <c r="O38" s="7"/>
      <c r="P38" s="7"/>
      <c r="Q38" s="7"/>
      <c r="R38" s="7"/>
      <c r="S38" s="7"/>
      <c r="T38" s="7"/>
      <c r="U38" s="7"/>
      <c r="V38" s="7"/>
      <c r="W38" s="7"/>
      <c r="X38" s="7"/>
      <c r="Y38" s="7"/>
      <c r="Z38" s="7"/>
    </row>
    <row r="39" spans="1:26" ht="12.75" customHeight="1" x14ac:dyDescent="0.25">
      <c r="A39" s="1109"/>
      <c r="B39" s="1114"/>
      <c r="C39" s="1115"/>
      <c r="D39" s="1116"/>
      <c r="E39" s="1109"/>
      <c r="F39" s="1121"/>
      <c r="G39" s="1106" t="s">
        <v>735</v>
      </c>
      <c r="H39" s="1107"/>
      <c r="I39" s="7"/>
      <c r="J39" s="1096"/>
      <c r="K39" s="1097"/>
      <c r="L39" s="1098"/>
      <c r="M39" s="7"/>
      <c r="N39" s="7"/>
      <c r="O39" s="7"/>
      <c r="P39" s="7"/>
      <c r="Q39" s="7"/>
      <c r="R39" s="7"/>
      <c r="S39" s="7"/>
      <c r="T39" s="7"/>
      <c r="U39" s="7"/>
      <c r="V39" s="7"/>
      <c r="W39" s="7"/>
      <c r="X39" s="7"/>
      <c r="Y39" s="7"/>
      <c r="Z39" s="7"/>
    </row>
    <row r="40" spans="1:26" ht="12.75" customHeight="1" x14ac:dyDescent="0.25">
      <c r="A40" s="1109"/>
      <c r="B40" s="1114"/>
      <c r="C40" s="1115"/>
      <c r="D40" s="1116"/>
      <c r="E40" s="1109"/>
      <c r="F40" s="1121"/>
      <c r="G40" s="1106" t="s">
        <v>929</v>
      </c>
      <c r="H40" s="1107"/>
      <c r="I40" s="81">
        <f>((I35+I36)*I37)/2</f>
        <v>0.71624999999999983</v>
      </c>
      <c r="J40" s="1096"/>
      <c r="K40" s="1097"/>
      <c r="L40" s="1098"/>
      <c r="M40" s="7"/>
      <c r="N40" s="7"/>
      <c r="O40" s="7"/>
      <c r="P40" s="7"/>
      <c r="Q40" s="7"/>
      <c r="R40" s="7"/>
      <c r="S40" s="7"/>
      <c r="T40" s="7"/>
      <c r="U40" s="7"/>
      <c r="V40" s="7"/>
      <c r="W40" s="7"/>
      <c r="X40" s="7"/>
      <c r="Y40" s="7"/>
      <c r="Z40" s="7"/>
    </row>
    <row r="41" spans="1:26" ht="12.75" customHeight="1" x14ac:dyDescent="0.25">
      <c r="A41" s="1110"/>
      <c r="B41" s="1117"/>
      <c r="C41" s="1118"/>
      <c r="D41" s="1119"/>
      <c r="E41" s="1110"/>
      <c r="F41" s="1122"/>
      <c r="G41" s="1106" t="s">
        <v>930</v>
      </c>
      <c r="H41" s="1107"/>
      <c r="I41" s="81"/>
      <c r="J41" s="1099"/>
      <c r="K41" s="1100"/>
      <c r="L41" s="1101"/>
      <c r="M41" s="7"/>
      <c r="N41" s="7"/>
      <c r="O41" s="7"/>
      <c r="P41" s="7"/>
      <c r="Q41" s="7"/>
      <c r="R41" s="7"/>
      <c r="S41" s="7"/>
      <c r="T41" s="7"/>
      <c r="U41" s="7"/>
      <c r="V41" s="7"/>
      <c r="W41" s="7"/>
      <c r="X41" s="7"/>
      <c r="Y41" s="7"/>
      <c r="Z41" s="7"/>
    </row>
    <row r="42" spans="1:26" ht="12.75" customHeight="1" x14ac:dyDescent="0.25">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2.75" customHeight="1" x14ac:dyDescent="0.25">
      <c r="A43" s="966" t="s">
        <v>39</v>
      </c>
      <c r="B43" s="1092"/>
      <c r="C43" s="1092"/>
      <c r="D43" s="967"/>
      <c r="E43" s="6" t="s">
        <v>40</v>
      </c>
      <c r="F43" s="6" t="s">
        <v>41</v>
      </c>
      <c r="G43" s="1030" t="s">
        <v>730</v>
      </c>
      <c r="H43" s="1123"/>
      <c r="I43" s="966" t="s">
        <v>1427</v>
      </c>
      <c r="J43" s="1092"/>
      <c r="K43" s="1092"/>
      <c r="L43" s="967"/>
      <c r="M43" s="7"/>
      <c r="N43" s="7"/>
      <c r="O43" s="7"/>
      <c r="P43" s="7"/>
      <c r="Q43" s="7"/>
      <c r="R43" s="7"/>
      <c r="S43" s="7"/>
      <c r="T43" s="7"/>
      <c r="U43" s="7"/>
      <c r="V43" s="7"/>
      <c r="W43" s="7"/>
      <c r="X43" s="7"/>
      <c r="Y43" s="7"/>
      <c r="Z43" s="7"/>
    </row>
    <row r="44" spans="1:26" ht="12.75" customHeight="1" x14ac:dyDescent="0.25">
      <c r="A44" s="1108" t="s">
        <v>931</v>
      </c>
      <c r="B44" s="1111" t="s">
        <v>520</v>
      </c>
      <c r="C44" s="1112"/>
      <c r="D44" s="1113"/>
      <c r="E44" s="1108" t="s">
        <v>420</v>
      </c>
      <c r="F44" s="1120">
        <f>I44</f>
        <v>0.14324999999999996</v>
      </c>
      <c r="G44" s="1106" t="s">
        <v>261</v>
      </c>
      <c r="H44" s="1107"/>
      <c r="I44" s="3">
        <f>I52*I49*I45</f>
        <v>0.14324999999999996</v>
      </c>
      <c r="J44" s="1093"/>
      <c r="K44" s="1094"/>
      <c r="L44" s="1095"/>
      <c r="M44" s="7"/>
      <c r="N44" s="7"/>
      <c r="O44" s="7"/>
      <c r="P44" s="7"/>
      <c r="Q44" s="7"/>
      <c r="R44" s="7"/>
      <c r="S44" s="7"/>
      <c r="T44" s="7"/>
      <c r="U44" s="7"/>
      <c r="V44" s="7"/>
      <c r="W44" s="7"/>
      <c r="X44" s="7"/>
      <c r="Y44" s="7"/>
      <c r="Z44" s="7"/>
    </row>
    <row r="45" spans="1:26" ht="12.75" customHeight="1" x14ac:dyDescent="0.25">
      <c r="A45" s="1109"/>
      <c r="B45" s="1114"/>
      <c r="C45" s="1115"/>
      <c r="D45" s="1116"/>
      <c r="E45" s="1109"/>
      <c r="F45" s="1121"/>
      <c r="G45" s="1106" t="s">
        <v>184</v>
      </c>
      <c r="H45" s="1107"/>
      <c r="I45" s="81">
        <v>1</v>
      </c>
      <c r="J45" s="1096"/>
      <c r="K45" s="1097"/>
      <c r="L45" s="1098"/>
      <c r="M45" s="7"/>
      <c r="N45" s="7"/>
      <c r="O45" s="7"/>
      <c r="P45" s="7"/>
      <c r="Q45" s="7"/>
      <c r="R45" s="7"/>
      <c r="S45" s="7"/>
      <c r="T45" s="7"/>
      <c r="U45" s="7"/>
      <c r="V45" s="7"/>
      <c r="W45" s="7"/>
      <c r="X45" s="7"/>
      <c r="Y45" s="7"/>
      <c r="Z45" s="7"/>
    </row>
    <row r="46" spans="1:26" ht="12.75" customHeight="1" x14ac:dyDescent="0.25">
      <c r="A46" s="1109"/>
      <c r="B46" s="1114"/>
      <c r="C46" s="1115"/>
      <c r="D46" s="1116"/>
      <c r="E46" s="1109"/>
      <c r="F46" s="1121"/>
      <c r="G46" s="1106" t="s">
        <v>927</v>
      </c>
      <c r="H46" s="1107"/>
      <c r="I46" s="81">
        <f>1+0.15+0.15</f>
        <v>1.2999999999999998</v>
      </c>
      <c r="J46" s="1096"/>
      <c r="K46" s="1097"/>
      <c r="L46" s="1098"/>
      <c r="M46" s="7"/>
      <c r="N46" s="7"/>
      <c r="O46" s="7"/>
      <c r="P46" s="7"/>
      <c r="Q46" s="7"/>
      <c r="R46" s="7"/>
      <c r="S46" s="7"/>
      <c r="T46" s="7"/>
      <c r="U46" s="7"/>
      <c r="V46" s="7"/>
      <c r="W46" s="7"/>
      <c r="X46" s="7"/>
      <c r="Y46" s="7"/>
      <c r="Z46" s="7"/>
    </row>
    <row r="47" spans="1:26" ht="12.75" customHeight="1" x14ac:dyDescent="0.25">
      <c r="A47" s="1109"/>
      <c r="B47" s="1114"/>
      <c r="C47" s="1115"/>
      <c r="D47" s="1116"/>
      <c r="E47" s="1109"/>
      <c r="F47" s="1121"/>
      <c r="G47" s="1106" t="s">
        <v>928</v>
      </c>
      <c r="H47" s="1107"/>
      <c r="I47" s="81">
        <f>0.61</f>
        <v>0.61</v>
      </c>
      <c r="J47" s="1096"/>
      <c r="K47" s="1097"/>
      <c r="L47" s="1098"/>
      <c r="M47" s="7"/>
      <c r="N47" s="7"/>
      <c r="O47" s="7"/>
      <c r="P47" s="7"/>
      <c r="Q47" s="7"/>
      <c r="R47" s="7"/>
      <c r="S47" s="7"/>
      <c r="T47" s="7"/>
      <c r="U47" s="7"/>
      <c r="V47" s="7"/>
      <c r="W47" s="7"/>
      <c r="X47" s="7"/>
      <c r="Y47" s="7"/>
      <c r="Z47" s="7"/>
    </row>
    <row r="48" spans="1:26" ht="12.75" customHeight="1" x14ac:dyDescent="0.25">
      <c r="A48" s="1109"/>
      <c r="B48" s="1114"/>
      <c r="C48" s="1115"/>
      <c r="D48" s="1116"/>
      <c r="E48" s="1109"/>
      <c r="F48" s="1121"/>
      <c r="G48" s="1106" t="s">
        <v>731</v>
      </c>
      <c r="H48" s="1107"/>
      <c r="I48" s="81">
        <f>0.6+0.15</f>
        <v>0.75</v>
      </c>
      <c r="J48" s="1096"/>
      <c r="K48" s="1097"/>
      <c r="L48" s="1098"/>
      <c r="M48" s="7"/>
      <c r="N48" s="7"/>
      <c r="O48" s="7"/>
      <c r="P48" s="7"/>
      <c r="Q48" s="7"/>
      <c r="R48" s="7"/>
      <c r="S48" s="7"/>
      <c r="T48" s="7"/>
      <c r="U48" s="7"/>
      <c r="V48" s="7"/>
      <c r="W48" s="7"/>
      <c r="X48" s="7"/>
      <c r="Y48" s="7"/>
      <c r="Z48" s="7"/>
    </row>
    <row r="49" spans="1:26" ht="12.75" customHeight="1" x14ac:dyDescent="0.25">
      <c r="A49" s="1109"/>
      <c r="B49" s="1114"/>
      <c r="C49" s="1115"/>
      <c r="D49" s="1116"/>
      <c r="E49" s="1109"/>
      <c r="F49" s="1121"/>
      <c r="G49" s="1106" t="s">
        <v>733</v>
      </c>
      <c r="H49" s="1107"/>
      <c r="I49" s="81">
        <v>0.2</v>
      </c>
      <c r="J49" s="1096"/>
      <c r="K49" s="1097"/>
      <c r="L49" s="1098"/>
      <c r="M49" s="7"/>
      <c r="N49" s="7"/>
      <c r="O49" s="7"/>
      <c r="P49" s="7"/>
      <c r="Q49" s="7"/>
      <c r="R49" s="7"/>
      <c r="S49" s="7"/>
      <c r="T49" s="7"/>
      <c r="U49" s="7"/>
      <c r="V49" s="7"/>
      <c r="W49" s="7"/>
      <c r="X49" s="7"/>
      <c r="Y49" s="7"/>
      <c r="Z49" s="7"/>
    </row>
    <row r="50" spans="1:26" ht="12.75" customHeight="1" x14ac:dyDescent="0.25">
      <c r="A50" s="1109"/>
      <c r="B50" s="1114"/>
      <c r="C50" s="1115"/>
      <c r="D50" s="1116"/>
      <c r="E50" s="1109"/>
      <c r="F50" s="1121"/>
      <c r="G50" s="1106" t="s">
        <v>734</v>
      </c>
      <c r="H50" s="1107"/>
      <c r="I50" s="81"/>
      <c r="J50" s="1096"/>
      <c r="K50" s="1097"/>
      <c r="L50" s="1098"/>
      <c r="M50" s="7"/>
      <c r="N50" s="7"/>
      <c r="O50" s="7"/>
      <c r="P50" s="7"/>
      <c r="Q50" s="7"/>
      <c r="R50" s="7"/>
      <c r="S50" s="7"/>
      <c r="T50" s="7"/>
      <c r="U50" s="7"/>
      <c r="V50" s="7"/>
      <c r="W50" s="7"/>
      <c r="X50" s="7"/>
      <c r="Y50" s="7"/>
      <c r="Z50" s="7"/>
    </row>
    <row r="51" spans="1:26" ht="12.75" customHeight="1" x14ac:dyDescent="0.25">
      <c r="A51" s="1109"/>
      <c r="B51" s="1114"/>
      <c r="C51" s="1115"/>
      <c r="D51" s="1116"/>
      <c r="E51" s="1109"/>
      <c r="F51" s="1121"/>
      <c r="G51" s="1106" t="s">
        <v>735</v>
      </c>
      <c r="H51" s="1107"/>
      <c r="I51" s="7"/>
      <c r="J51" s="1096"/>
      <c r="K51" s="1097"/>
      <c r="L51" s="1098"/>
      <c r="M51" s="7"/>
      <c r="N51" s="7"/>
      <c r="O51" s="7"/>
      <c r="P51" s="7"/>
      <c r="Q51" s="7"/>
      <c r="R51" s="7"/>
      <c r="S51" s="7"/>
      <c r="T51" s="7"/>
      <c r="U51" s="7"/>
      <c r="V51" s="7"/>
      <c r="W51" s="7"/>
      <c r="X51" s="7"/>
      <c r="Y51" s="7"/>
      <c r="Z51" s="7"/>
    </row>
    <row r="52" spans="1:26" ht="12.75" customHeight="1" x14ac:dyDescent="0.25">
      <c r="A52" s="1109"/>
      <c r="B52" s="1114"/>
      <c r="C52" s="1115"/>
      <c r="D52" s="1116"/>
      <c r="E52" s="1109"/>
      <c r="F52" s="1121"/>
      <c r="G52" s="1106" t="s">
        <v>932</v>
      </c>
      <c r="H52" s="1107"/>
      <c r="I52" s="81">
        <f>((I46+I47)*I48)/2</f>
        <v>0.71624999999999983</v>
      </c>
      <c r="J52" s="1096"/>
      <c r="K52" s="1097"/>
      <c r="L52" s="1098"/>
      <c r="M52" s="7"/>
      <c r="N52" s="7"/>
      <c r="O52" s="7"/>
      <c r="P52" s="7"/>
      <c r="Q52" s="7"/>
      <c r="R52" s="7"/>
      <c r="S52" s="7"/>
      <c r="T52" s="7"/>
      <c r="U52" s="7"/>
      <c r="V52" s="7"/>
      <c r="W52" s="7"/>
      <c r="X52" s="7"/>
      <c r="Y52" s="7"/>
      <c r="Z52" s="7"/>
    </row>
    <row r="53" spans="1:26" ht="12.75" customHeight="1" x14ac:dyDescent="0.25">
      <c r="A53" s="1110"/>
      <c r="B53" s="1117"/>
      <c r="C53" s="1118"/>
      <c r="D53" s="1119"/>
      <c r="E53" s="1110"/>
      <c r="F53" s="1122"/>
      <c r="G53" s="1106" t="s">
        <v>933</v>
      </c>
      <c r="H53" s="1107"/>
      <c r="I53" s="81"/>
      <c r="J53" s="1099"/>
      <c r="K53" s="1100"/>
      <c r="L53" s="1101"/>
      <c r="M53" s="7"/>
      <c r="N53" s="7"/>
      <c r="O53" s="7"/>
      <c r="P53" s="7"/>
      <c r="Q53" s="7"/>
      <c r="R53" s="7"/>
      <c r="S53" s="7"/>
      <c r="T53" s="7"/>
      <c r="U53" s="7"/>
      <c r="V53" s="7"/>
      <c r="W53" s="7"/>
      <c r="X53" s="7"/>
      <c r="Y53" s="7"/>
      <c r="Z53" s="7"/>
    </row>
    <row r="54" spans="1:26" ht="12.75" customHeight="1" x14ac:dyDescent="0.25">
      <c r="A54" s="82"/>
      <c r="B54" s="11"/>
      <c r="C54" s="11"/>
      <c r="D54" s="11"/>
      <c r="E54" s="11"/>
      <c r="F54" s="11"/>
      <c r="G54" s="11"/>
      <c r="H54" s="11"/>
      <c r="I54" s="11"/>
      <c r="J54" s="11"/>
      <c r="K54" s="11"/>
      <c r="L54" s="11"/>
      <c r="M54" s="7"/>
      <c r="N54" s="7"/>
      <c r="O54" s="7"/>
      <c r="P54" s="7"/>
      <c r="Q54" s="7"/>
      <c r="R54" s="7"/>
      <c r="S54" s="7"/>
      <c r="T54" s="7"/>
      <c r="U54" s="7"/>
      <c r="V54" s="7"/>
      <c r="W54" s="7"/>
      <c r="X54" s="7"/>
      <c r="Y54" s="7"/>
      <c r="Z54" s="7"/>
    </row>
    <row r="55" spans="1:26" ht="12.75" customHeight="1" x14ac:dyDescent="0.25">
      <c r="A55" s="966" t="s">
        <v>39</v>
      </c>
      <c r="B55" s="1092"/>
      <c r="C55" s="1092"/>
      <c r="D55" s="967"/>
      <c r="E55" s="6" t="s">
        <v>40</v>
      </c>
      <c r="F55" s="6" t="s">
        <v>41</v>
      </c>
      <c r="G55" s="1030" t="s">
        <v>730</v>
      </c>
      <c r="H55" s="1123"/>
      <c r="I55" s="966" t="s">
        <v>1427</v>
      </c>
      <c r="J55" s="1092"/>
      <c r="K55" s="1092"/>
      <c r="L55" s="967"/>
      <c r="M55" s="7"/>
      <c r="N55" s="7"/>
      <c r="O55" s="7"/>
      <c r="P55" s="7"/>
      <c r="Q55" s="7"/>
      <c r="R55" s="7"/>
      <c r="S55" s="7"/>
      <c r="T55" s="7"/>
      <c r="U55" s="7"/>
      <c r="V55" s="7"/>
      <c r="W55" s="7"/>
      <c r="X55" s="7"/>
      <c r="Y55" s="7"/>
      <c r="Z55" s="7"/>
    </row>
    <row r="56" spans="1:26" ht="12.75" customHeight="1" x14ac:dyDescent="0.25">
      <c r="A56" s="1108" t="s">
        <v>934</v>
      </c>
      <c r="B56" s="1111" t="s">
        <v>521</v>
      </c>
      <c r="C56" s="1112"/>
      <c r="D56" s="1113"/>
      <c r="E56" s="1108" t="s">
        <v>420</v>
      </c>
      <c r="F56" s="1120">
        <f>I56</f>
        <v>0.14324999999999996</v>
      </c>
      <c r="G56" s="1106" t="s">
        <v>261</v>
      </c>
      <c r="H56" s="1107"/>
      <c r="I56" s="3">
        <f>I57*I60*I63</f>
        <v>0.14324999999999996</v>
      </c>
      <c r="J56" s="1093"/>
      <c r="K56" s="1094"/>
      <c r="L56" s="1095"/>
      <c r="M56" s="7"/>
      <c r="N56" s="7"/>
      <c r="O56" s="7"/>
      <c r="P56" s="7"/>
      <c r="Q56" s="7"/>
      <c r="R56" s="7"/>
      <c r="S56" s="7"/>
      <c r="T56" s="7"/>
      <c r="U56" s="7"/>
      <c r="V56" s="7"/>
      <c r="W56" s="7"/>
      <c r="X56" s="7"/>
      <c r="Y56" s="7"/>
      <c r="Z56" s="7"/>
    </row>
    <row r="57" spans="1:26" ht="12.75" customHeight="1" x14ac:dyDescent="0.25">
      <c r="A57" s="1109"/>
      <c r="B57" s="1114"/>
      <c r="C57" s="1115"/>
      <c r="D57" s="1116"/>
      <c r="E57" s="1109"/>
      <c r="F57" s="1121"/>
      <c r="G57" s="1106" t="s">
        <v>184</v>
      </c>
      <c r="H57" s="1107"/>
      <c r="I57" s="81">
        <v>1</v>
      </c>
      <c r="J57" s="1096"/>
      <c r="K57" s="1097"/>
      <c r="L57" s="1098"/>
      <c r="M57" s="7"/>
      <c r="N57" s="7"/>
      <c r="O57" s="7"/>
      <c r="P57" s="7"/>
      <c r="Q57" s="7"/>
      <c r="R57" s="7"/>
      <c r="S57" s="7"/>
      <c r="T57" s="7"/>
      <c r="U57" s="7"/>
      <c r="V57" s="7"/>
      <c r="W57" s="7"/>
      <c r="X57" s="7"/>
      <c r="Y57" s="7"/>
      <c r="Z57" s="7"/>
    </row>
    <row r="58" spans="1:26" ht="12.75" customHeight="1" x14ac:dyDescent="0.25">
      <c r="A58" s="1109"/>
      <c r="B58" s="1114"/>
      <c r="C58" s="1115"/>
      <c r="D58" s="1116"/>
      <c r="E58" s="1109"/>
      <c r="F58" s="1121"/>
      <c r="G58" s="1106" t="s">
        <v>731</v>
      </c>
      <c r="H58" s="1107"/>
      <c r="I58" s="81"/>
      <c r="J58" s="1096"/>
      <c r="K58" s="1097"/>
      <c r="L58" s="1098"/>
      <c r="M58" s="7"/>
      <c r="N58" s="7"/>
      <c r="O58" s="7"/>
      <c r="P58" s="7"/>
      <c r="Q58" s="7"/>
      <c r="R58" s="7"/>
      <c r="S58" s="7"/>
      <c r="T58" s="7"/>
      <c r="U58" s="7"/>
      <c r="V58" s="7"/>
      <c r="W58" s="7"/>
      <c r="X58" s="7"/>
      <c r="Y58" s="7"/>
      <c r="Z58" s="7"/>
    </row>
    <row r="59" spans="1:26" ht="12.75" customHeight="1" x14ac:dyDescent="0.25">
      <c r="A59" s="1109"/>
      <c r="B59" s="1114"/>
      <c r="C59" s="1115"/>
      <c r="D59" s="1116"/>
      <c r="E59" s="1109"/>
      <c r="F59" s="1121"/>
      <c r="G59" s="1106" t="s">
        <v>732</v>
      </c>
      <c r="H59" s="1107"/>
      <c r="I59" s="81"/>
      <c r="J59" s="1096"/>
      <c r="K59" s="1097"/>
      <c r="L59" s="1098"/>
      <c r="M59" s="7"/>
      <c r="N59" s="7"/>
      <c r="O59" s="7"/>
      <c r="P59" s="7"/>
      <c r="Q59" s="7"/>
      <c r="R59" s="7"/>
      <c r="S59" s="7"/>
      <c r="T59" s="7"/>
      <c r="U59" s="7"/>
      <c r="V59" s="7"/>
      <c r="W59" s="7"/>
      <c r="X59" s="7"/>
      <c r="Y59" s="7"/>
      <c r="Z59" s="7"/>
    </row>
    <row r="60" spans="1:26" ht="12.75" customHeight="1" x14ac:dyDescent="0.25">
      <c r="A60" s="1109"/>
      <c r="B60" s="1114"/>
      <c r="C60" s="1115"/>
      <c r="D60" s="1116"/>
      <c r="E60" s="1109"/>
      <c r="F60" s="1121"/>
      <c r="G60" s="1106" t="s">
        <v>733</v>
      </c>
      <c r="H60" s="1107"/>
      <c r="I60" s="81">
        <v>0.2</v>
      </c>
      <c r="J60" s="1096"/>
      <c r="K60" s="1097"/>
      <c r="L60" s="1098"/>
      <c r="M60" s="7"/>
      <c r="N60" s="7"/>
      <c r="O60" s="7"/>
      <c r="P60" s="7"/>
      <c r="Q60" s="7"/>
      <c r="R60" s="7"/>
      <c r="S60" s="7"/>
      <c r="T60" s="7"/>
      <c r="U60" s="7"/>
      <c r="V60" s="7"/>
      <c r="W60" s="7"/>
      <c r="X60" s="7"/>
      <c r="Y60" s="7"/>
      <c r="Z60" s="7"/>
    </row>
    <row r="61" spans="1:26" ht="12.75" customHeight="1" x14ac:dyDescent="0.25">
      <c r="A61" s="1109"/>
      <c r="B61" s="1114"/>
      <c r="C61" s="1115"/>
      <c r="D61" s="1116"/>
      <c r="E61" s="1109"/>
      <c r="F61" s="1121"/>
      <c r="G61" s="1106" t="s">
        <v>734</v>
      </c>
      <c r="H61" s="1107"/>
      <c r="I61" s="81"/>
      <c r="J61" s="1096"/>
      <c r="K61" s="1097"/>
      <c r="L61" s="1098"/>
      <c r="M61" s="7"/>
      <c r="N61" s="7"/>
      <c r="O61" s="7"/>
      <c r="P61" s="7"/>
      <c r="Q61" s="7"/>
      <c r="R61" s="7"/>
      <c r="S61" s="7"/>
      <c r="T61" s="7"/>
      <c r="U61" s="7"/>
      <c r="V61" s="7"/>
      <c r="W61" s="7"/>
      <c r="X61" s="7"/>
      <c r="Y61" s="7"/>
      <c r="Z61" s="7"/>
    </row>
    <row r="62" spans="1:26" ht="12.75" customHeight="1" x14ac:dyDescent="0.25">
      <c r="A62" s="1109"/>
      <c r="B62" s="1114"/>
      <c r="C62" s="1115"/>
      <c r="D62" s="1116"/>
      <c r="E62" s="1109"/>
      <c r="F62" s="1121"/>
      <c r="G62" s="1106" t="s">
        <v>735</v>
      </c>
      <c r="H62" s="1107"/>
      <c r="I62" s="81"/>
      <c r="J62" s="1096"/>
      <c r="K62" s="1097"/>
      <c r="L62" s="1098"/>
      <c r="M62" s="7"/>
      <c r="N62" s="7"/>
      <c r="O62" s="7"/>
      <c r="P62" s="7"/>
      <c r="Q62" s="7"/>
      <c r="R62" s="7"/>
      <c r="S62" s="7"/>
      <c r="T62" s="7"/>
      <c r="U62" s="7"/>
      <c r="V62" s="7"/>
      <c r="W62" s="7"/>
      <c r="X62" s="7"/>
      <c r="Y62" s="7"/>
      <c r="Z62" s="7"/>
    </row>
    <row r="63" spans="1:26" ht="12.75" customHeight="1" x14ac:dyDescent="0.25">
      <c r="A63" s="1109"/>
      <c r="B63" s="1114"/>
      <c r="C63" s="1115"/>
      <c r="D63" s="1116"/>
      <c r="E63" s="1109"/>
      <c r="F63" s="1121"/>
      <c r="G63" s="1106" t="s">
        <v>935</v>
      </c>
      <c r="H63" s="1107"/>
      <c r="I63" s="81">
        <v>0.71624999999999983</v>
      </c>
      <c r="J63" s="1096"/>
      <c r="K63" s="1097"/>
      <c r="L63" s="1098"/>
      <c r="M63" s="7"/>
      <c r="N63" s="7"/>
      <c r="O63" s="7"/>
      <c r="P63" s="7"/>
      <c r="Q63" s="7"/>
      <c r="R63" s="7"/>
      <c r="S63" s="7"/>
      <c r="T63" s="7"/>
      <c r="U63" s="7"/>
      <c r="V63" s="7"/>
      <c r="W63" s="7"/>
      <c r="X63" s="7"/>
      <c r="Y63" s="7"/>
      <c r="Z63" s="7"/>
    </row>
    <row r="64" spans="1:26" ht="12.75" customHeight="1" x14ac:dyDescent="0.25">
      <c r="A64" s="1110"/>
      <c r="B64" s="1117"/>
      <c r="C64" s="1118"/>
      <c r="D64" s="1119"/>
      <c r="E64" s="1110"/>
      <c r="F64" s="1122"/>
      <c r="G64" s="1106" t="s">
        <v>936</v>
      </c>
      <c r="H64" s="1107"/>
      <c r="I64" s="81"/>
      <c r="J64" s="1099"/>
      <c r="K64" s="1100"/>
      <c r="L64" s="1101"/>
      <c r="M64" s="7"/>
      <c r="N64" s="7"/>
      <c r="O64" s="7"/>
      <c r="P64" s="7"/>
      <c r="Q64" s="7"/>
      <c r="R64" s="7"/>
      <c r="S64" s="7"/>
      <c r="T64" s="7"/>
      <c r="U64" s="7"/>
      <c r="V64" s="7"/>
      <c r="W64" s="7"/>
      <c r="X64" s="7"/>
      <c r="Y64" s="7"/>
      <c r="Z64" s="7"/>
    </row>
    <row r="65" spans="1:26" ht="12.75" customHeight="1" x14ac:dyDescent="0.25">
      <c r="A65" s="82"/>
      <c r="B65" s="11"/>
      <c r="C65" s="11"/>
      <c r="D65" s="11"/>
      <c r="E65" s="11"/>
      <c r="F65" s="11"/>
      <c r="G65" s="11"/>
      <c r="H65" s="11"/>
      <c r="I65" s="11"/>
      <c r="J65" s="11"/>
      <c r="K65" s="11"/>
      <c r="L65" s="11"/>
      <c r="M65" s="7"/>
      <c r="N65" s="7"/>
      <c r="O65" s="7"/>
      <c r="P65" s="7"/>
      <c r="Q65" s="7"/>
      <c r="R65" s="7"/>
      <c r="S65" s="7"/>
      <c r="T65" s="7"/>
      <c r="U65" s="7"/>
      <c r="V65" s="7"/>
      <c r="W65" s="7"/>
      <c r="X65" s="7"/>
      <c r="Y65" s="7"/>
      <c r="Z65" s="7"/>
    </row>
    <row r="66" spans="1:26" ht="12.75" customHeight="1" x14ac:dyDescent="0.25">
      <c r="A66" s="966" t="s">
        <v>39</v>
      </c>
      <c r="B66" s="1092"/>
      <c r="C66" s="1092"/>
      <c r="D66" s="967"/>
      <c r="E66" s="6" t="s">
        <v>40</v>
      </c>
      <c r="F66" s="6" t="s">
        <v>41</v>
      </c>
      <c r="G66" s="1030" t="s">
        <v>730</v>
      </c>
      <c r="H66" s="1123"/>
      <c r="I66" s="966" t="s">
        <v>1427</v>
      </c>
      <c r="J66" s="1092"/>
      <c r="K66" s="1092"/>
      <c r="L66" s="967"/>
      <c r="M66" s="7"/>
      <c r="N66" s="7"/>
      <c r="O66" s="7"/>
      <c r="P66" s="7"/>
      <c r="Q66" s="7"/>
      <c r="R66" s="7"/>
      <c r="S66" s="7"/>
      <c r="T66" s="7"/>
      <c r="U66" s="7"/>
      <c r="V66" s="7"/>
      <c r="W66" s="7"/>
      <c r="X66" s="7"/>
      <c r="Y66" s="7"/>
      <c r="Z66" s="7"/>
    </row>
    <row r="67" spans="1:26" ht="12.75" customHeight="1" x14ac:dyDescent="0.25">
      <c r="A67" s="1108" t="s">
        <v>937</v>
      </c>
      <c r="B67" s="1111" t="s">
        <v>522</v>
      </c>
      <c r="C67" s="1112"/>
      <c r="D67" s="1113"/>
      <c r="E67" s="1108" t="s">
        <v>420</v>
      </c>
      <c r="F67" s="1120">
        <f>I67</f>
        <v>3.581249999999999E-2</v>
      </c>
      <c r="G67" s="1106" t="s">
        <v>261</v>
      </c>
      <c r="H67" s="1107"/>
      <c r="I67" s="3">
        <f>I68*I71*I74</f>
        <v>3.581249999999999E-2</v>
      </c>
      <c r="J67" s="1093"/>
      <c r="K67" s="1094"/>
      <c r="L67" s="1095"/>
      <c r="M67" s="7"/>
      <c r="N67" s="7"/>
      <c r="O67" s="7"/>
      <c r="P67" s="7"/>
      <c r="Q67" s="7"/>
      <c r="R67" s="7"/>
      <c r="S67" s="7"/>
      <c r="T67" s="7"/>
      <c r="U67" s="7"/>
      <c r="V67" s="7"/>
      <c r="W67" s="7"/>
      <c r="X67" s="7"/>
      <c r="Y67" s="7"/>
      <c r="Z67" s="7"/>
    </row>
    <row r="68" spans="1:26" ht="12.75" customHeight="1" x14ac:dyDescent="0.25">
      <c r="A68" s="1109"/>
      <c r="B68" s="1114"/>
      <c r="C68" s="1115"/>
      <c r="D68" s="1116"/>
      <c r="E68" s="1109"/>
      <c r="F68" s="1121"/>
      <c r="G68" s="1106" t="s">
        <v>184</v>
      </c>
      <c r="H68" s="1107"/>
      <c r="I68" s="81">
        <v>1</v>
      </c>
      <c r="J68" s="1096"/>
      <c r="K68" s="1097"/>
      <c r="L68" s="1098"/>
      <c r="M68" s="7"/>
      <c r="N68" s="7"/>
      <c r="O68" s="7"/>
      <c r="P68" s="7"/>
      <c r="Q68" s="7"/>
      <c r="R68" s="7"/>
      <c r="S68" s="7"/>
      <c r="T68" s="7"/>
      <c r="U68" s="7"/>
      <c r="V68" s="7"/>
      <c r="W68" s="7"/>
      <c r="X68" s="7"/>
      <c r="Y68" s="7"/>
      <c r="Z68" s="7"/>
    </row>
    <row r="69" spans="1:26" ht="12.75" customHeight="1" x14ac:dyDescent="0.25">
      <c r="A69" s="1109"/>
      <c r="B69" s="1114"/>
      <c r="C69" s="1115"/>
      <c r="D69" s="1116"/>
      <c r="E69" s="1109"/>
      <c r="F69" s="1121"/>
      <c r="G69" s="1106" t="s">
        <v>731</v>
      </c>
      <c r="H69" s="1107"/>
      <c r="I69" s="81"/>
      <c r="J69" s="1096"/>
      <c r="K69" s="1097"/>
      <c r="L69" s="1098"/>
      <c r="M69" s="7"/>
      <c r="N69" s="7"/>
      <c r="O69" s="7"/>
      <c r="P69" s="7"/>
      <c r="Q69" s="7"/>
      <c r="R69" s="7"/>
      <c r="S69" s="7"/>
      <c r="T69" s="7"/>
      <c r="U69" s="7"/>
      <c r="V69" s="7"/>
      <c r="W69" s="7"/>
      <c r="X69" s="7"/>
      <c r="Y69" s="7"/>
      <c r="Z69" s="7"/>
    </row>
    <row r="70" spans="1:26" ht="12.75" customHeight="1" x14ac:dyDescent="0.25">
      <c r="A70" s="1109"/>
      <c r="B70" s="1114"/>
      <c r="C70" s="1115"/>
      <c r="D70" s="1116"/>
      <c r="E70" s="1109"/>
      <c r="F70" s="1121"/>
      <c r="G70" s="1106" t="s">
        <v>732</v>
      </c>
      <c r="H70" s="1107"/>
      <c r="I70" s="81"/>
      <c r="J70" s="1096"/>
      <c r="K70" s="1097"/>
      <c r="L70" s="1098"/>
      <c r="M70" s="7"/>
      <c r="N70" s="7"/>
      <c r="O70" s="7"/>
      <c r="P70" s="7"/>
      <c r="Q70" s="7"/>
      <c r="R70" s="7"/>
      <c r="S70" s="7"/>
      <c r="T70" s="7"/>
      <c r="U70" s="7"/>
      <c r="V70" s="7"/>
      <c r="W70" s="7"/>
      <c r="X70" s="7"/>
      <c r="Y70" s="7"/>
      <c r="Z70" s="7"/>
    </row>
    <row r="71" spans="1:26" ht="12.75" customHeight="1" x14ac:dyDescent="0.25">
      <c r="A71" s="1109"/>
      <c r="B71" s="1114"/>
      <c r="C71" s="1115"/>
      <c r="D71" s="1116"/>
      <c r="E71" s="1109"/>
      <c r="F71" s="1121"/>
      <c r="G71" s="1106" t="s">
        <v>733</v>
      </c>
      <c r="H71" s="1107"/>
      <c r="I71" s="81">
        <v>0.05</v>
      </c>
      <c r="J71" s="1096"/>
      <c r="K71" s="1097"/>
      <c r="L71" s="1098"/>
      <c r="M71" s="7"/>
      <c r="N71" s="7"/>
      <c r="O71" s="7"/>
      <c r="P71" s="7"/>
      <c r="Q71" s="7"/>
      <c r="R71" s="7"/>
      <c r="S71" s="7"/>
      <c r="T71" s="7"/>
      <c r="U71" s="7"/>
      <c r="V71" s="7"/>
      <c r="W71" s="7"/>
      <c r="X71" s="7"/>
      <c r="Y71" s="7"/>
      <c r="Z71" s="7"/>
    </row>
    <row r="72" spans="1:26" ht="12.75" customHeight="1" x14ac:dyDescent="0.25">
      <c r="A72" s="1109"/>
      <c r="B72" s="1114"/>
      <c r="C72" s="1115"/>
      <c r="D72" s="1116"/>
      <c r="E72" s="1109"/>
      <c r="F72" s="1121"/>
      <c r="G72" s="1106" t="s">
        <v>734</v>
      </c>
      <c r="H72" s="1107"/>
      <c r="I72" s="81"/>
      <c r="J72" s="1096"/>
      <c r="K72" s="1097"/>
      <c r="L72" s="1098"/>
      <c r="M72" s="7"/>
      <c r="N72" s="7"/>
      <c r="O72" s="7"/>
      <c r="P72" s="7"/>
      <c r="Q72" s="7"/>
      <c r="R72" s="7"/>
      <c r="S72" s="7"/>
      <c r="T72" s="7"/>
      <c r="U72" s="7"/>
      <c r="V72" s="7"/>
      <c r="W72" s="7"/>
      <c r="X72" s="7"/>
      <c r="Y72" s="7"/>
      <c r="Z72" s="7"/>
    </row>
    <row r="73" spans="1:26" ht="12.75" customHeight="1" x14ac:dyDescent="0.25">
      <c r="A73" s="1109"/>
      <c r="B73" s="1114"/>
      <c r="C73" s="1115"/>
      <c r="D73" s="1116"/>
      <c r="E73" s="1109"/>
      <c r="F73" s="1121"/>
      <c r="G73" s="1106" t="s">
        <v>735</v>
      </c>
      <c r="H73" s="1107"/>
      <c r="I73" s="81"/>
      <c r="J73" s="1096"/>
      <c r="K73" s="1097"/>
      <c r="L73" s="1098"/>
      <c r="M73" s="7"/>
      <c r="N73" s="7"/>
      <c r="O73" s="7"/>
      <c r="P73" s="7"/>
      <c r="Q73" s="7"/>
      <c r="R73" s="7"/>
      <c r="S73" s="7"/>
      <c r="T73" s="7"/>
      <c r="U73" s="7"/>
      <c r="V73" s="7"/>
      <c r="W73" s="7"/>
      <c r="X73" s="7"/>
      <c r="Y73" s="7"/>
      <c r="Z73" s="7"/>
    </row>
    <row r="74" spans="1:26" ht="12.75" customHeight="1" x14ac:dyDescent="0.25">
      <c r="A74" s="1109"/>
      <c r="B74" s="1114"/>
      <c r="C74" s="1115"/>
      <c r="D74" s="1116"/>
      <c r="E74" s="1109"/>
      <c r="F74" s="1121"/>
      <c r="G74" s="1106" t="s">
        <v>938</v>
      </c>
      <c r="H74" s="1107"/>
      <c r="I74" s="81">
        <v>0.71624999999999983</v>
      </c>
      <c r="J74" s="1096"/>
      <c r="K74" s="1097"/>
      <c r="L74" s="1098"/>
      <c r="M74" s="7"/>
      <c r="N74" s="7"/>
      <c r="O74" s="7"/>
      <c r="P74" s="7"/>
      <c r="Q74" s="7"/>
      <c r="R74" s="7"/>
      <c r="S74" s="7"/>
      <c r="T74" s="7"/>
      <c r="U74" s="7"/>
      <c r="V74" s="7"/>
      <c r="W74" s="7"/>
      <c r="X74" s="7"/>
      <c r="Y74" s="7"/>
      <c r="Z74" s="7"/>
    </row>
    <row r="75" spans="1:26" ht="12.75" customHeight="1" x14ac:dyDescent="0.25">
      <c r="A75" s="1110"/>
      <c r="B75" s="1117"/>
      <c r="C75" s="1118"/>
      <c r="D75" s="1119"/>
      <c r="E75" s="1110"/>
      <c r="F75" s="1122"/>
      <c r="G75" s="1106" t="s">
        <v>939</v>
      </c>
      <c r="H75" s="1107"/>
      <c r="I75" s="81"/>
      <c r="J75" s="1099"/>
      <c r="K75" s="1100"/>
      <c r="L75" s="1101"/>
      <c r="M75" s="7"/>
      <c r="N75" s="7"/>
      <c r="O75" s="7"/>
      <c r="P75" s="7"/>
      <c r="Q75" s="7"/>
      <c r="R75" s="7"/>
      <c r="S75" s="7"/>
      <c r="T75" s="7"/>
      <c r="U75" s="7"/>
      <c r="V75" s="7"/>
      <c r="W75" s="7"/>
      <c r="X75" s="7"/>
      <c r="Y75" s="7"/>
      <c r="Z75" s="7"/>
    </row>
    <row r="76" spans="1:26" ht="12.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2.75" customHeight="1" x14ac:dyDescent="0.25">
      <c r="A77" s="966" t="s">
        <v>39</v>
      </c>
      <c r="B77" s="1092"/>
      <c r="C77" s="1092"/>
      <c r="D77" s="967"/>
      <c r="E77" s="6" t="s">
        <v>40</v>
      </c>
      <c r="F77" s="6" t="s">
        <v>41</v>
      </c>
      <c r="G77" s="1030" t="s">
        <v>730</v>
      </c>
      <c r="H77" s="1123"/>
      <c r="I77" s="966" t="s">
        <v>1427</v>
      </c>
      <c r="J77" s="1092"/>
      <c r="K77" s="1092"/>
      <c r="L77" s="967"/>
      <c r="M77" s="7"/>
      <c r="N77" s="7"/>
      <c r="O77" s="7"/>
      <c r="P77" s="7"/>
      <c r="Q77" s="7"/>
      <c r="R77" s="7"/>
      <c r="S77" s="7"/>
      <c r="T77" s="7"/>
      <c r="U77" s="7"/>
      <c r="V77" s="7"/>
      <c r="W77" s="7"/>
      <c r="X77" s="7"/>
      <c r="Y77" s="7"/>
      <c r="Z77" s="7"/>
    </row>
    <row r="78" spans="1:26" ht="12.75" customHeight="1" x14ac:dyDescent="0.25">
      <c r="A78" s="1108" t="s">
        <v>940</v>
      </c>
      <c r="B78" s="1111" t="s">
        <v>523</v>
      </c>
      <c r="C78" s="1112"/>
      <c r="D78" s="1113"/>
      <c r="E78" s="1108" t="s">
        <v>445</v>
      </c>
      <c r="F78" s="1120">
        <f>I78</f>
        <v>22</v>
      </c>
      <c r="G78" s="1106" t="s">
        <v>261</v>
      </c>
      <c r="H78" s="1107"/>
      <c r="I78" s="3">
        <f>I79*I83</f>
        <v>22</v>
      </c>
      <c r="J78" s="1093"/>
      <c r="K78" s="1094"/>
      <c r="L78" s="1095"/>
      <c r="M78" s="7"/>
      <c r="N78" s="7"/>
      <c r="O78" s="7"/>
      <c r="P78" s="7"/>
      <c r="Q78" s="7"/>
      <c r="R78" s="7"/>
      <c r="S78" s="7"/>
      <c r="T78" s="7"/>
      <c r="U78" s="7"/>
      <c r="V78" s="7"/>
      <c r="W78" s="7"/>
      <c r="X78" s="7"/>
      <c r="Y78" s="7"/>
      <c r="Z78" s="7"/>
    </row>
    <row r="79" spans="1:26" ht="12.75" customHeight="1" x14ac:dyDescent="0.25">
      <c r="A79" s="1109"/>
      <c r="B79" s="1114"/>
      <c r="C79" s="1115"/>
      <c r="D79" s="1116"/>
      <c r="E79" s="1109"/>
      <c r="F79" s="1121"/>
      <c r="G79" s="1106" t="s">
        <v>184</v>
      </c>
      <c r="H79" s="1107"/>
      <c r="I79" s="81">
        <v>1</v>
      </c>
      <c r="J79" s="1096"/>
      <c r="K79" s="1097"/>
      <c r="L79" s="1098"/>
      <c r="M79" s="7"/>
      <c r="N79" s="7"/>
      <c r="O79" s="7"/>
      <c r="P79" s="7"/>
      <c r="Q79" s="7"/>
      <c r="R79" s="7"/>
      <c r="S79" s="7"/>
      <c r="T79" s="7"/>
      <c r="U79" s="7"/>
      <c r="V79" s="7"/>
      <c r="W79" s="7"/>
      <c r="X79" s="7"/>
      <c r="Y79" s="7"/>
      <c r="Z79" s="7"/>
    </row>
    <row r="80" spans="1:26" ht="12.75" customHeight="1" x14ac:dyDescent="0.25">
      <c r="A80" s="1109"/>
      <c r="B80" s="1114"/>
      <c r="C80" s="1115"/>
      <c r="D80" s="1116"/>
      <c r="E80" s="1109"/>
      <c r="F80" s="1121"/>
      <c r="G80" s="1106" t="s">
        <v>731</v>
      </c>
      <c r="H80" s="1107"/>
      <c r="I80" s="81"/>
      <c r="J80" s="1096"/>
      <c r="K80" s="1097"/>
      <c r="L80" s="1098"/>
      <c r="M80" s="7"/>
      <c r="N80" s="7"/>
      <c r="O80" s="7"/>
      <c r="P80" s="7"/>
      <c r="Q80" s="7"/>
      <c r="R80" s="7"/>
      <c r="S80" s="7"/>
      <c r="T80" s="7"/>
      <c r="U80" s="7"/>
      <c r="V80" s="7"/>
      <c r="W80" s="7"/>
      <c r="X80" s="7"/>
      <c r="Y80" s="7"/>
      <c r="Z80" s="7"/>
    </row>
    <row r="81" spans="1:26" ht="12.75" customHeight="1" x14ac:dyDescent="0.25">
      <c r="A81" s="1109"/>
      <c r="B81" s="1114"/>
      <c r="C81" s="1115"/>
      <c r="D81" s="1116"/>
      <c r="E81" s="1109"/>
      <c r="F81" s="1121"/>
      <c r="G81" s="1106" t="s">
        <v>732</v>
      </c>
      <c r="H81" s="1107"/>
      <c r="I81" s="81"/>
      <c r="J81" s="1096"/>
      <c r="K81" s="1097"/>
      <c r="L81" s="1098"/>
      <c r="M81" s="7"/>
      <c r="N81" s="7"/>
      <c r="O81" s="7"/>
      <c r="P81" s="7"/>
      <c r="Q81" s="7"/>
      <c r="R81" s="7"/>
      <c r="S81" s="7"/>
      <c r="T81" s="7"/>
      <c r="U81" s="7"/>
      <c r="V81" s="7"/>
      <c r="W81" s="7"/>
      <c r="X81" s="7"/>
      <c r="Y81" s="7"/>
      <c r="Z81" s="7"/>
    </row>
    <row r="82" spans="1:26" ht="12.75" customHeight="1" x14ac:dyDescent="0.25">
      <c r="A82" s="1109"/>
      <c r="B82" s="1114"/>
      <c r="C82" s="1115"/>
      <c r="D82" s="1116"/>
      <c r="E82" s="1109"/>
      <c r="F82" s="1121"/>
      <c r="G82" s="1106" t="s">
        <v>733</v>
      </c>
      <c r="H82" s="1107"/>
      <c r="I82" s="81"/>
      <c r="J82" s="1096"/>
      <c r="K82" s="1097"/>
      <c r="L82" s="1098"/>
      <c r="M82" s="7"/>
      <c r="N82" s="7"/>
      <c r="O82" s="7"/>
      <c r="P82" s="7"/>
      <c r="Q82" s="7"/>
      <c r="R82" s="7"/>
      <c r="S82" s="7"/>
      <c r="T82" s="7"/>
      <c r="U82" s="7"/>
      <c r="V82" s="7"/>
      <c r="W82" s="7"/>
      <c r="X82" s="7"/>
      <c r="Y82" s="7"/>
      <c r="Z82" s="7"/>
    </row>
    <row r="83" spans="1:26" ht="12.75" customHeight="1" x14ac:dyDescent="0.25">
      <c r="A83" s="1109"/>
      <c r="B83" s="1114"/>
      <c r="C83" s="1115"/>
      <c r="D83" s="1116"/>
      <c r="E83" s="1109"/>
      <c r="F83" s="1121"/>
      <c r="G83" s="1106" t="s">
        <v>734</v>
      </c>
      <c r="H83" s="1107"/>
      <c r="I83" s="81">
        <v>22</v>
      </c>
      <c r="J83" s="1096"/>
      <c r="K83" s="1097"/>
      <c r="L83" s="1098"/>
      <c r="M83" s="7"/>
      <c r="N83" s="7"/>
      <c r="O83" s="7"/>
      <c r="P83" s="7"/>
      <c r="Q83" s="7"/>
      <c r="R83" s="7"/>
      <c r="S83" s="7"/>
      <c r="T83" s="7"/>
      <c r="U83" s="7"/>
      <c r="V83" s="7"/>
      <c r="W83" s="7"/>
      <c r="X83" s="7"/>
      <c r="Y83" s="7"/>
      <c r="Z83" s="7"/>
    </row>
    <row r="84" spans="1:26" ht="12.75" customHeight="1" x14ac:dyDescent="0.25">
      <c r="A84" s="1109"/>
      <c r="B84" s="1114"/>
      <c r="C84" s="1115"/>
      <c r="D84" s="1116"/>
      <c r="E84" s="1109"/>
      <c r="F84" s="1121"/>
      <c r="G84" s="1106" t="s">
        <v>735</v>
      </c>
      <c r="H84" s="1107"/>
      <c r="I84" s="81"/>
      <c r="J84" s="1096"/>
      <c r="K84" s="1097"/>
      <c r="L84" s="1098"/>
      <c r="M84" s="7"/>
      <c r="N84" s="7"/>
      <c r="O84" s="7"/>
      <c r="P84" s="7"/>
      <c r="Q84" s="7"/>
      <c r="R84" s="7"/>
      <c r="S84" s="7"/>
      <c r="T84" s="7"/>
      <c r="U84" s="7"/>
      <c r="V84" s="7"/>
      <c r="W84" s="7"/>
      <c r="X84" s="7"/>
      <c r="Y84" s="7"/>
      <c r="Z84" s="7"/>
    </row>
    <row r="85" spans="1:26" ht="12.75" customHeight="1" x14ac:dyDescent="0.25">
      <c r="A85" s="1109"/>
      <c r="B85" s="1114"/>
      <c r="C85" s="1115"/>
      <c r="D85" s="1116"/>
      <c r="E85" s="1109"/>
      <c r="F85" s="1121"/>
      <c r="G85" s="1106" t="s">
        <v>941</v>
      </c>
      <c r="H85" s="1107"/>
      <c r="I85" s="81"/>
      <c r="J85" s="1096"/>
      <c r="K85" s="1097"/>
      <c r="L85" s="1098"/>
      <c r="M85" s="7"/>
      <c r="N85" s="7"/>
      <c r="O85" s="7"/>
      <c r="P85" s="7"/>
      <c r="Q85" s="7"/>
      <c r="R85" s="7"/>
      <c r="S85" s="7"/>
      <c r="T85" s="7"/>
      <c r="U85" s="7"/>
      <c r="V85" s="7"/>
      <c r="W85" s="7"/>
      <c r="X85" s="7"/>
      <c r="Y85" s="7"/>
      <c r="Z85" s="7"/>
    </row>
    <row r="86" spans="1:26" ht="12.75" customHeight="1" x14ac:dyDescent="0.25">
      <c r="A86" s="1110"/>
      <c r="B86" s="1117"/>
      <c r="C86" s="1118"/>
      <c r="D86" s="1119"/>
      <c r="E86" s="1110"/>
      <c r="F86" s="1122"/>
      <c r="G86" s="1106" t="s">
        <v>942</v>
      </c>
      <c r="H86" s="1107"/>
      <c r="I86" s="83"/>
      <c r="J86" s="1099"/>
      <c r="K86" s="1100"/>
      <c r="L86" s="1101"/>
      <c r="M86" s="7"/>
      <c r="N86" s="7"/>
      <c r="O86" s="7"/>
      <c r="P86" s="7"/>
      <c r="Q86" s="7"/>
      <c r="R86" s="7"/>
      <c r="S86" s="7"/>
      <c r="T86" s="7"/>
      <c r="U86" s="7"/>
      <c r="V86" s="7"/>
      <c r="W86" s="7"/>
      <c r="X86" s="7"/>
      <c r="Y86" s="7"/>
      <c r="Z86" s="7"/>
    </row>
    <row r="87" spans="1:26" ht="12.75"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2.75" customHeight="1" x14ac:dyDescent="0.25">
      <c r="A88" s="966" t="s">
        <v>39</v>
      </c>
      <c r="B88" s="1092"/>
      <c r="C88" s="1092"/>
      <c r="D88" s="967"/>
      <c r="E88" s="6" t="s">
        <v>40</v>
      </c>
      <c r="F88" s="6" t="s">
        <v>41</v>
      </c>
      <c r="G88" s="1030" t="s">
        <v>730</v>
      </c>
      <c r="H88" s="1123"/>
      <c r="I88" s="966" t="s">
        <v>1427</v>
      </c>
      <c r="J88" s="1092"/>
      <c r="K88" s="1092"/>
      <c r="L88" s="967"/>
      <c r="M88" s="7"/>
      <c r="N88" s="7"/>
      <c r="O88" s="7"/>
      <c r="P88" s="7"/>
      <c r="Q88" s="7"/>
      <c r="R88" s="7"/>
      <c r="S88" s="7"/>
      <c r="T88" s="7"/>
      <c r="U88" s="7"/>
      <c r="V88" s="7"/>
      <c r="W88" s="7"/>
      <c r="X88" s="7"/>
      <c r="Y88" s="7"/>
      <c r="Z88" s="7"/>
    </row>
    <row r="89" spans="1:26" ht="12.75" customHeight="1" x14ac:dyDescent="0.25">
      <c r="A89" s="1108" t="s">
        <v>943</v>
      </c>
      <c r="B89" s="1111" t="s">
        <v>514</v>
      </c>
      <c r="C89" s="1112"/>
      <c r="D89" s="1113"/>
      <c r="E89" s="1108" t="s">
        <v>418</v>
      </c>
      <c r="F89" s="1120">
        <f>I89</f>
        <v>3.1500000000000004</v>
      </c>
      <c r="G89" s="1106" t="s">
        <v>261</v>
      </c>
      <c r="H89" s="1107"/>
      <c r="I89" s="3">
        <f>I90*I91*I93</f>
        <v>3.1500000000000004</v>
      </c>
      <c r="J89" s="1093"/>
      <c r="K89" s="1094"/>
      <c r="L89" s="1095"/>
      <c r="M89" s="7"/>
      <c r="N89" s="7"/>
      <c r="O89" s="7"/>
      <c r="P89" s="7"/>
      <c r="Q89" s="7"/>
      <c r="R89" s="7"/>
      <c r="S89" s="7"/>
      <c r="T89" s="7"/>
      <c r="U89" s="7"/>
      <c r="V89" s="7"/>
      <c r="W89" s="7"/>
      <c r="X89" s="7"/>
      <c r="Y89" s="7"/>
      <c r="Z89" s="7"/>
    </row>
    <row r="90" spans="1:26" ht="12.75" customHeight="1" x14ac:dyDescent="0.25">
      <c r="A90" s="1109"/>
      <c r="B90" s="1114"/>
      <c r="C90" s="1115"/>
      <c r="D90" s="1116"/>
      <c r="E90" s="1109"/>
      <c r="F90" s="1121"/>
      <c r="G90" s="1106" t="s">
        <v>184</v>
      </c>
      <c r="H90" s="1107"/>
      <c r="I90" s="81">
        <v>4</v>
      </c>
      <c r="J90" s="1096"/>
      <c r="K90" s="1097"/>
      <c r="L90" s="1098"/>
      <c r="M90" s="7"/>
      <c r="N90" s="7"/>
      <c r="O90" s="7"/>
      <c r="P90" s="7"/>
      <c r="Q90" s="7"/>
      <c r="R90" s="7"/>
      <c r="S90" s="7"/>
      <c r="T90" s="7"/>
      <c r="U90" s="7"/>
      <c r="V90" s="7"/>
      <c r="W90" s="7"/>
      <c r="X90" s="7"/>
      <c r="Y90" s="7"/>
      <c r="Z90" s="7"/>
    </row>
    <row r="91" spans="1:26" ht="12.75" customHeight="1" x14ac:dyDescent="0.25">
      <c r="A91" s="1109"/>
      <c r="B91" s="1114"/>
      <c r="C91" s="1115"/>
      <c r="D91" s="1116"/>
      <c r="E91" s="1109"/>
      <c r="F91" s="1121"/>
      <c r="G91" s="1106" t="s">
        <v>731</v>
      </c>
      <c r="H91" s="1107"/>
      <c r="I91" s="81">
        <v>0.75</v>
      </c>
      <c r="J91" s="1096"/>
      <c r="K91" s="1097"/>
      <c r="L91" s="1098"/>
      <c r="M91" s="7"/>
      <c r="N91" s="7"/>
      <c r="O91" s="7"/>
      <c r="P91" s="7"/>
      <c r="Q91" s="7"/>
      <c r="R91" s="7"/>
      <c r="S91" s="7"/>
      <c r="T91" s="7"/>
      <c r="U91" s="7"/>
      <c r="V91" s="7"/>
      <c r="W91" s="7"/>
      <c r="X91" s="7"/>
      <c r="Y91" s="7"/>
      <c r="Z91" s="7"/>
    </row>
    <row r="92" spans="1:26" ht="12.75" customHeight="1" x14ac:dyDescent="0.25">
      <c r="A92" s="1109"/>
      <c r="B92" s="1114"/>
      <c r="C92" s="1115"/>
      <c r="D92" s="1116"/>
      <c r="E92" s="1109"/>
      <c r="F92" s="1121"/>
      <c r="G92" s="1106" t="s">
        <v>732</v>
      </c>
      <c r="H92" s="1107"/>
      <c r="I92" s="81"/>
      <c r="J92" s="1096"/>
      <c r="K92" s="1097"/>
      <c r="L92" s="1098"/>
      <c r="M92" s="7"/>
      <c r="N92" s="7"/>
      <c r="O92" s="7"/>
      <c r="P92" s="7"/>
      <c r="Q92" s="7"/>
      <c r="R92" s="7"/>
      <c r="S92" s="7"/>
      <c r="T92" s="7"/>
      <c r="U92" s="7"/>
      <c r="V92" s="7"/>
      <c r="W92" s="7"/>
      <c r="X92" s="7"/>
      <c r="Y92" s="7"/>
      <c r="Z92" s="7"/>
    </row>
    <row r="93" spans="1:26" ht="12.75" customHeight="1" x14ac:dyDescent="0.25">
      <c r="A93" s="1109"/>
      <c r="B93" s="1114"/>
      <c r="C93" s="1115"/>
      <c r="D93" s="1116"/>
      <c r="E93" s="1109"/>
      <c r="F93" s="1121"/>
      <c r="G93" s="1106" t="s">
        <v>733</v>
      </c>
      <c r="H93" s="1107"/>
      <c r="I93" s="81">
        <v>1.05</v>
      </c>
      <c r="J93" s="1096"/>
      <c r="K93" s="1097"/>
      <c r="L93" s="1098"/>
      <c r="M93" s="7"/>
      <c r="N93" s="7"/>
      <c r="O93" s="7"/>
      <c r="P93" s="7"/>
      <c r="Q93" s="7"/>
      <c r="R93" s="7"/>
      <c r="S93" s="7"/>
      <c r="T93" s="7"/>
      <c r="U93" s="7"/>
      <c r="V93" s="7"/>
      <c r="W93" s="7"/>
      <c r="X93" s="7"/>
      <c r="Y93" s="7"/>
      <c r="Z93" s="7"/>
    </row>
    <row r="94" spans="1:26" ht="12.75" customHeight="1" x14ac:dyDescent="0.25">
      <c r="A94" s="1109"/>
      <c r="B94" s="1114"/>
      <c r="C94" s="1115"/>
      <c r="D94" s="1116"/>
      <c r="E94" s="1109"/>
      <c r="F94" s="1121"/>
      <c r="G94" s="1106" t="s">
        <v>734</v>
      </c>
      <c r="H94" s="1107"/>
      <c r="I94" s="81"/>
      <c r="J94" s="1096"/>
      <c r="K94" s="1097"/>
      <c r="L94" s="1098"/>
      <c r="M94" s="7"/>
      <c r="N94" s="7"/>
      <c r="O94" s="7"/>
      <c r="P94" s="7"/>
      <c r="Q94" s="7"/>
      <c r="R94" s="7"/>
      <c r="S94" s="7"/>
      <c r="T94" s="7"/>
      <c r="U94" s="7"/>
      <c r="V94" s="7"/>
      <c r="W94" s="7"/>
      <c r="X94" s="7"/>
      <c r="Y94" s="7"/>
      <c r="Z94" s="7"/>
    </row>
    <row r="95" spans="1:26" ht="12.75" customHeight="1" x14ac:dyDescent="0.25">
      <c r="A95" s="1109"/>
      <c r="B95" s="1114"/>
      <c r="C95" s="1115"/>
      <c r="D95" s="1116"/>
      <c r="E95" s="1109"/>
      <c r="F95" s="1121"/>
      <c r="G95" s="1106" t="s">
        <v>735</v>
      </c>
      <c r="H95" s="1107"/>
      <c r="I95" s="81"/>
      <c r="J95" s="1096"/>
      <c r="K95" s="1097"/>
      <c r="L95" s="1098"/>
      <c r="M95" s="7"/>
      <c r="N95" s="7"/>
      <c r="O95" s="7"/>
      <c r="P95" s="7"/>
      <c r="Q95" s="7"/>
      <c r="R95" s="7"/>
      <c r="S95" s="7"/>
      <c r="T95" s="7"/>
      <c r="U95" s="7"/>
      <c r="V95" s="7"/>
      <c r="W95" s="7"/>
      <c r="X95" s="7"/>
      <c r="Y95" s="7"/>
      <c r="Z95" s="7"/>
    </row>
    <row r="96" spans="1:26" ht="12.75" customHeight="1" x14ac:dyDescent="0.25">
      <c r="A96" s="1109"/>
      <c r="B96" s="1114"/>
      <c r="C96" s="1115"/>
      <c r="D96" s="1116"/>
      <c r="E96" s="1109"/>
      <c r="F96" s="1121"/>
      <c r="G96" s="1106" t="s">
        <v>944</v>
      </c>
      <c r="H96" s="1107"/>
      <c r="I96" s="81"/>
      <c r="J96" s="1096"/>
      <c r="K96" s="1097"/>
      <c r="L96" s="1098"/>
      <c r="M96" s="7"/>
      <c r="N96" s="7"/>
      <c r="O96" s="7"/>
      <c r="P96" s="7"/>
      <c r="Q96" s="7"/>
      <c r="R96" s="7"/>
      <c r="S96" s="7"/>
      <c r="T96" s="7"/>
      <c r="U96" s="7"/>
      <c r="V96" s="7"/>
      <c r="W96" s="7"/>
      <c r="X96" s="7"/>
      <c r="Y96" s="7"/>
      <c r="Z96" s="7"/>
    </row>
    <row r="97" spans="1:26" ht="12.75" customHeight="1" x14ac:dyDescent="0.25">
      <c r="A97" s="1110"/>
      <c r="B97" s="1117"/>
      <c r="C97" s="1118"/>
      <c r="D97" s="1119"/>
      <c r="E97" s="1110"/>
      <c r="F97" s="1122"/>
      <c r="G97" s="1106" t="s">
        <v>945</v>
      </c>
      <c r="H97" s="1107"/>
      <c r="I97" s="81"/>
      <c r="J97" s="1099"/>
      <c r="K97" s="1100"/>
      <c r="L97" s="1101"/>
      <c r="M97" s="7"/>
      <c r="N97" s="7"/>
      <c r="O97" s="7"/>
      <c r="P97" s="7"/>
      <c r="Q97" s="7"/>
      <c r="R97" s="7"/>
      <c r="S97" s="7"/>
      <c r="T97" s="7"/>
      <c r="U97" s="7"/>
      <c r="V97" s="7"/>
      <c r="W97" s="7"/>
      <c r="X97" s="7"/>
      <c r="Y97" s="7"/>
      <c r="Z97" s="7"/>
    </row>
    <row r="98" spans="1:26" ht="12.75"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2.75" customHeight="1" x14ac:dyDescent="0.25">
      <c r="A99" s="966" t="s">
        <v>39</v>
      </c>
      <c r="B99" s="1092"/>
      <c r="C99" s="1092"/>
      <c r="D99" s="967"/>
      <c r="E99" s="6" t="s">
        <v>40</v>
      </c>
      <c r="F99" s="6" t="s">
        <v>41</v>
      </c>
      <c r="G99" s="1030" t="s">
        <v>730</v>
      </c>
      <c r="H99" s="1123"/>
      <c r="I99" s="966" t="s">
        <v>1427</v>
      </c>
      <c r="J99" s="1092"/>
      <c r="K99" s="1092"/>
      <c r="L99" s="967"/>
      <c r="M99" s="7"/>
      <c r="N99" s="7"/>
      <c r="O99" s="7"/>
      <c r="P99" s="7"/>
      <c r="Q99" s="7"/>
      <c r="R99" s="7"/>
      <c r="S99" s="7"/>
      <c r="T99" s="7"/>
      <c r="U99" s="7"/>
      <c r="V99" s="7"/>
      <c r="W99" s="7"/>
      <c r="X99" s="7"/>
      <c r="Y99" s="7"/>
      <c r="Z99" s="7"/>
    </row>
    <row r="100" spans="1:26" ht="12.75" customHeight="1" x14ac:dyDescent="0.25">
      <c r="A100" s="1108" t="s">
        <v>946</v>
      </c>
      <c r="B100" s="1111" t="s">
        <v>541</v>
      </c>
      <c r="C100" s="1112"/>
      <c r="D100" s="1113"/>
      <c r="E100" s="1108" t="s">
        <v>420</v>
      </c>
      <c r="F100" s="1120">
        <f>I100</f>
        <v>0.26</v>
      </c>
      <c r="G100" s="1106" t="s">
        <v>261</v>
      </c>
      <c r="H100" s="1107"/>
      <c r="I100" s="3">
        <f>I101*I108</f>
        <v>0.26</v>
      </c>
      <c r="J100" s="1093"/>
      <c r="K100" s="1094"/>
      <c r="L100" s="1095"/>
      <c r="M100" s="7"/>
      <c r="N100" s="7"/>
      <c r="O100" s="7"/>
      <c r="P100" s="7"/>
      <c r="Q100" s="7"/>
      <c r="R100" s="7"/>
      <c r="S100" s="7"/>
      <c r="T100" s="7"/>
      <c r="U100" s="7"/>
      <c r="V100" s="7"/>
      <c r="W100" s="7"/>
      <c r="X100" s="7"/>
      <c r="Y100" s="7"/>
      <c r="Z100" s="7"/>
    </row>
    <row r="101" spans="1:26" ht="12.75" customHeight="1" x14ac:dyDescent="0.25">
      <c r="A101" s="1109"/>
      <c r="B101" s="1114"/>
      <c r="C101" s="1115"/>
      <c r="D101" s="1116"/>
      <c r="E101" s="1109"/>
      <c r="F101" s="1121"/>
      <c r="G101" s="1106" t="s">
        <v>184</v>
      </c>
      <c r="H101" s="1107"/>
      <c r="I101" s="81">
        <v>1</v>
      </c>
      <c r="J101" s="1096"/>
      <c r="K101" s="1097"/>
      <c r="L101" s="1098"/>
      <c r="M101" s="7"/>
      <c r="N101" s="7"/>
      <c r="O101" s="7"/>
      <c r="P101" s="7"/>
      <c r="Q101" s="7"/>
      <c r="R101" s="7"/>
      <c r="S101" s="7"/>
      <c r="T101" s="7"/>
      <c r="U101" s="7"/>
      <c r="V101" s="7"/>
      <c r="W101" s="7"/>
      <c r="X101" s="7"/>
      <c r="Y101" s="7"/>
      <c r="Z101" s="7"/>
    </row>
    <row r="102" spans="1:26" ht="12.75" customHeight="1" x14ac:dyDescent="0.25">
      <c r="A102" s="1109"/>
      <c r="B102" s="1114"/>
      <c r="C102" s="1115"/>
      <c r="D102" s="1116"/>
      <c r="E102" s="1109"/>
      <c r="F102" s="1121"/>
      <c r="G102" s="1106" t="s">
        <v>731</v>
      </c>
      <c r="H102" s="1107"/>
      <c r="I102" s="81"/>
      <c r="J102" s="1096"/>
      <c r="K102" s="1097"/>
      <c r="L102" s="1098"/>
      <c r="M102" s="7"/>
      <c r="N102" s="7"/>
      <c r="O102" s="7"/>
      <c r="P102" s="7"/>
      <c r="Q102" s="7"/>
      <c r="R102" s="7"/>
      <c r="S102" s="7"/>
      <c r="T102" s="7"/>
      <c r="U102" s="7"/>
      <c r="V102" s="7"/>
      <c r="W102" s="7"/>
      <c r="X102" s="7"/>
      <c r="Y102" s="7"/>
      <c r="Z102" s="7"/>
    </row>
    <row r="103" spans="1:26" ht="12.75" customHeight="1" x14ac:dyDescent="0.25">
      <c r="A103" s="1109"/>
      <c r="B103" s="1114"/>
      <c r="C103" s="1115"/>
      <c r="D103" s="1116"/>
      <c r="E103" s="1109"/>
      <c r="F103" s="1121"/>
      <c r="G103" s="1106" t="s">
        <v>732</v>
      </c>
      <c r="H103" s="1107"/>
      <c r="I103" s="81"/>
      <c r="J103" s="1096"/>
      <c r="K103" s="1097"/>
      <c r="L103" s="1098"/>
      <c r="M103" s="7"/>
      <c r="N103" s="7"/>
      <c r="O103" s="7"/>
      <c r="P103" s="7"/>
      <c r="Q103" s="7"/>
      <c r="R103" s="7"/>
      <c r="S103" s="7"/>
      <c r="T103" s="7"/>
      <c r="U103" s="7"/>
      <c r="V103" s="7"/>
      <c r="W103" s="7"/>
      <c r="X103" s="7"/>
      <c r="Y103" s="7"/>
      <c r="Z103" s="7"/>
    </row>
    <row r="104" spans="1:26" ht="12.75" customHeight="1" x14ac:dyDescent="0.25">
      <c r="A104" s="1109"/>
      <c r="B104" s="1114"/>
      <c r="C104" s="1115"/>
      <c r="D104" s="1116"/>
      <c r="E104" s="1109"/>
      <c r="F104" s="1121"/>
      <c r="G104" s="1106" t="s">
        <v>733</v>
      </c>
      <c r="H104" s="1107"/>
      <c r="I104" s="81"/>
      <c r="J104" s="1096"/>
      <c r="K104" s="1097"/>
      <c r="L104" s="1098"/>
      <c r="M104" s="7"/>
      <c r="N104" s="7"/>
      <c r="O104" s="7"/>
      <c r="P104" s="7"/>
      <c r="Q104" s="7"/>
      <c r="R104" s="7"/>
      <c r="S104" s="7"/>
      <c r="T104" s="7"/>
      <c r="U104" s="7"/>
      <c r="V104" s="7"/>
      <c r="W104" s="7"/>
      <c r="X104" s="7"/>
      <c r="Y104" s="7"/>
      <c r="Z104" s="7"/>
    </row>
    <row r="105" spans="1:26" ht="12.75" customHeight="1" x14ac:dyDescent="0.25">
      <c r="A105" s="1109"/>
      <c r="B105" s="1114"/>
      <c r="C105" s="1115"/>
      <c r="D105" s="1116"/>
      <c r="E105" s="1109"/>
      <c r="F105" s="1121"/>
      <c r="G105" s="1106" t="s">
        <v>734</v>
      </c>
      <c r="H105" s="1107"/>
      <c r="I105" s="81"/>
      <c r="J105" s="1096"/>
      <c r="K105" s="1097"/>
      <c r="L105" s="1098"/>
      <c r="M105" s="7"/>
      <c r="N105" s="7"/>
      <c r="O105" s="7"/>
      <c r="P105" s="7"/>
      <c r="Q105" s="7"/>
      <c r="R105" s="7"/>
      <c r="S105" s="7"/>
      <c r="T105" s="7"/>
      <c r="U105" s="7"/>
      <c r="V105" s="7"/>
      <c r="W105" s="7"/>
      <c r="X105" s="7"/>
      <c r="Y105" s="7"/>
      <c r="Z105" s="7"/>
    </row>
    <row r="106" spans="1:26" ht="12.75" customHeight="1" x14ac:dyDescent="0.25">
      <c r="A106" s="1109"/>
      <c r="B106" s="1114"/>
      <c r="C106" s="1115"/>
      <c r="D106" s="1116"/>
      <c r="E106" s="1109"/>
      <c r="F106" s="1121"/>
      <c r="G106" s="1106" t="s">
        <v>735</v>
      </c>
      <c r="H106" s="1107"/>
      <c r="I106" s="81"/>
      <c r="J106" s="1096"/>
      <c r="K106" s="1097"/>
      <c r="L106" s="1098"/>
      <c r="M106" s="7"/>
      <c r="N106" s="7"/>
      <c r="O106" s="7"/>
      <c r="P106" s="7"/>
      <c r="Q106" s="7"/>
      <c r="R106" s="7"/>
      <c r="S106" s="7"/>
      <c r="T106" s="7"/>
      <c r="U106" s="7"/>
      <c r="V106" s="7"/>
      <c r="W106" s="7"/>
      <c r="X106" s="7"/>
      <c r="Y106" s="7"/>
      <c r="Z106" s="7"/>
    </row>
    <row r="107" spans="1:26" ht="12.75" customHeight="1" x14ac:dyDescent="0.25">
      <c r="A107" s="1109"/>
      <c r="B107" s="1114"/>
      <c r="C107" s="1115"/>
      <c r="D107" s="1116"/>
      <c r="E107" s="1109"/>
      <c r="F107" s="1121"/>
      <c r="G107" s="1106" t="s">
        <v>947</v>
      </c>
      <c r="H107" s="1107"/>
      <c r="I107" s="81"/>
      <c r="J107" s="1096"/>
      <c r="K107" s="1097"/>
      <c r="L107" s="1098"/>
      <c r="M107" s="7"/>
      <c r="N107" s="7"/>
      <c r="O107" s="7"/>
      <c r="P107" s="7"/>
      <c r="Q107" s="7"/>
      <c r="R107" s="7"/>
      <c r="S107" s="7"/>
      <c r="T107" s="7"/>
      <c r="U107" s="7"/>
      <c r="V107" s="7"/>
      <c r="W107" s="7"/>
      <c r="X107" s="7"/>
      <c r="Y107" s="7"/>
      <c r="Z107" s="7"/>
    </row>
    <row r="108" spans="1:26" ht="12.75" customHeight="1" x14ac:dyDescent="0.25">
      <c r="A108" s="1110"/>
      <c r="B108" s="1117"/>
      <c r="C108" s="1118"/>
      <c r="D108" s="1119"/>
      <c r="E108" s="1110"/>
      <c r="F108" s="1122"/>
      <c r="G108" s="1106" t="s">
        <v>948</v>
      </c>
      <c r="H108" s="1107"/>
      <c r="I108" s="81">
        <v>0.26</v>
      </c>
      <c r="J108" s="1099"/>
      <c r="K108" s="1100"/>
      <c r="L108" s="1101"/>
      <c r="M108" s="7"/>
      <c r="N108" s="7"/>
      <c r="O108" s="7"/>
      <c r="P108" s="7"/>
      <c r="Q108" s="7"/>
      <c r="R108" s="7"/>
      <c r="S108" s="7"/>
      <c r="T108" s="7"/>
      <c r="U108" s="7"/>
      <c r="V108" s="7"/>
      <c r="W108" s="7"/>
      <c r="X108" s="7"/>
      <c r="Y108" s="7"/>
      <c r="Z108" s="7"/>
    </row>
    <row r="109" spans="1:26" ht="12.75"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x14ac:dyDescent="0.25">
      <c r="A110" s="1102" t="s">
        <v>949</v>
      </c>
      <c r="B110" s="1103"/>
      <c r="C110" s="1103"/>
      <c r="D110" s="1103"/>
      <c r="E110" s="1103"/>
      <c r="F110" s="1103"/>
      <c r="G110" s="1103"/>
      <c r="H110" s="1103"/>
      <c r="I110" s="1103"/>
      <c r="J110" s="1103"/>
      <c r="K110" s="1103"/>
      <c r="L110" s="1103"/>
      <c r="M110" s="7"/>
      <c r="N110" s="7"/>
      <c r="O110" s="7"/>
      <c r="P110" s="7"/>
      <c r="Q110" s="7"/>
      <c r="R110" s="7"/>
      <c r="S110" s="7"/>
      <c r="T110" s="7"/>
      <c r="U110" s="7"/>
      <c r="V110" s="7"/>
      <c r="W110" s="7"/>
      <c r="X110" s="7"/>
      <c r="Y110" s="7"/>
      <c r="Z110" s="7"/>
    </row>
    <row r="111" spans="1:26" ht="12.75" customHeight="1" x14ac:dyDescent="0.25">
      <c r="A111" s="1104"/>
      <c r="B111" s="1105"/>
      <c r="C111" s="1105"/>
      <c r="D111" s="1105"/>
      <c r="E111" s="1105"/>
      <c r="F111" s="1105"/>
      <c r="G111" s="1105"/>
      <c r="H111" s="1105"/>
      <c r="I111" s="1105"/>
      <c r="J111" s="1105"/>
      <c r="K111" s="1105"/>
      <c r="L111" s="1105"/>
      <c r="M111" s="7"/>
      <c r="N111" s="7"/>
      <c r="O111" s="7"/>
      <c r="P111" s="7"/>
      <c r="Q111" s="7"/>
      <c r="R111" s="7"/>
      <c r="S111" s="7"/>
      <c r="T111" s="7"/>
      <c r="U111" s="7"/>
      <c r="V111" s="7"/>
      <c r="W111" s="7"/>
      <c r="X111" s="7"/>
      <c r="Y111" s="7"/>
      <c r="Z111" s="7"/>
    </row>
    <row r="112" spans="1:26" ht="12.75"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x14ac:dyDescent="0.25">
      <c r="A113" s="966" t="s">
        <v>39</v>
      </c>
      <c r="B113" s="1092"/>
      <c r="C113" s="1092"/>
      <c r="D113" s="967"/>
      <c r="E113" s="6" t="s">
        <v>40</v>
      </c>
      <c r="F113" s="6" t="s">
        <v>41</v>
      </c>
      <c r="G113" s="1030" t="s">
        <v>730</v>
      </c>
      <c r="H113" s="1123"/>
      <c r="I113" s="966" t="s">
        <v>1427</v>
      </c>
      <c r="J113" s="1092"/>
      <c r="K113" s="1092"/>
      <c r="L113" s="967"/>
      <c r="M113" s="7"/>
      <c r="N113" s="7"/>
      <c r="O113" s="7"/>
      <c r="P113" s="7"/>
      <c r="Q113" s="7"/>
      <c r="R113" s="7"/>
      <c r="S113" s="7"/>
      <c r="T113" s="7"/>
      <c r="U113" s="7"/>
      <c r="V113" s="7"/>
      <c r="W113" s="7"/>
      <c r="X113" s="7"/>
      <c r="Y113" s="7"/>
      <c r="Z113" s="7"/>
    </row>
    <row r="114" spans="1:26" ht="12.75" customHeight="1" x14ac:dyDescent="0.25">
      <c r="A114" s="1108" t="s">
        <v>950</v>
      </c>
      <c r="B114" s="1111" t="s">
        <v>530</v>
      </c>
      <c r="C114" s="1112"/>
      <c r="D114" s="1113"/>
      <c r="E114" s="1108" t="s">
        <v>418</v>
      </c>
      <c r="F114" s="1120">
        <f>I114</f>
        <v>2.0106240000000004</v>
      </c>
      <c r="G114" s="1106" t="s">
        <v>261</v>
      </c>
      <c r="H114" s="1107"/>
      <c r="I114" s="3">
        <f>+I121*I115</f>
        <v>2.0106240000000004</v>
      </c>
      <c r="J114" s="1093"/>
      <c r="K114" s="1094"/>
      <c r="L114" s="1095"/>
      <c r="M114" s="7"/>
      <c r="N114" s="7"/>
      <c r="O114" s="7"/>
      <c r="P114" s="7"/>
      <c r="Q114" s="7"/>
      <c r="R114" s="7"/>
      <c r="S114" s="7"/>
      <c r="T114" s="7"/>
      <c r="U114" s="7"/>
      <c r="V114" s="7"/>
      <c r="W114" s="7"/>
      <c r="X114" s="7"/>
      <c r="Y114" s="7"/>
      <c r="Z114" s="7"/>
    </row>
    <row r="115" spans="1:26" ht="12.75" customHeight="1" x14ac:dyDescent="0.25">
      <c r="A115" s="1109"/>
      <c r="B115" s="1114"/>
      <c r="C115" s="1115"/>
      <c r="D115" s="1116"/>
      <c r="E115" s="1109"/>
      <c r="F115" s="1121"/>
      <c r="G115" s="1106" t="s">
        <v>184</v>
      </c>
      <c r="H115" s="1107"/>
      <c r="I115" s="81">
        <v>1</v>
      </c>
      <c r="J115" s="1096"/>
      <c r="K115" s="1097"/>
      <c r="L115" s="1098"/>
      <c r="M115" s="7"/>
      <c r="N115" s="7"/>
      <c r="O115" s="7"/>
      <c r="P115" s="7"/>
      <c r="Q115" s="7"/>
      <c r="R115" s="7"/>
      <c r="S115" s="7"/>
      <c r="T115" s="7"/>
      <c r="U115" s="7"/>
      <c r="V115" s="7"/>
      <c r="W115" s="7"/>
      <c r="X115" s="7"/>
      <c r="Y115" s="7"/>
      <c r="Z115" s="7"/>
    </row>
    <row r="116" spans="1:26" ht="12.75" customHeight="1" x14ac:dyDescent="0.25">
      <c r="A116" s="1109"/>
      <c r="B116" s="1114"/>
      <c r="C116" s="1115"/>
      <c r="D116" s="1116"/>
      <c r="E116" s="1109"/>
      <c r="F116" s="1121"/>
      <c r="G116" s="1106" t="s">
        <v>927</v>
      </c>
      <c r="H116" s="1107"/>
      <c r="I116" s="81"/>
      <c r="J116" s="1096"/>
      <c r="K116" s="1097"/>
      <c r="L116" s="1098"/>
      <c r="M116" s="7"/>
      <c r="N116" s="7"/>
      <c r="O116" s="7"/>
      <c r="P116" s="7"/>
      <c r="Q116" s="7"/>
      <c r="R116" s="7"/>
      <c r="S116" s="7"/>
      <c r="T116" s="7"/>
      <c r="U116" s="7"/>
      <c r="V116" s="7"/>
      <c r="W116" s="7"/>
      <c r="X116" s="7"/>
      <c r="Y116" s="7"/>
      <c r="Z116" s="7"/>
    </row>
    <row r="117" spans="1:26" ht="12.75" customHeight="1" x14ac:dyDescent="0.25">
      <c r="A117" s="1109"/>
      <c r="B117" s="1114"/>
      <c r="C117" s="1115"/>
      <c r="D117" s="1116"/>
      <c r="E117" s="1109"/>
      <c r="F117" s="1121"/>
      <c r="G117" s="1106" t="s">
        <v>918</v>
      </c>
      <c r="H117" s="1107"/>
      <c r="I117" s="91">
        <v>3.1415999999999999</v>
      </c>
      <c r="J117" s="1096"/>
      <c r="K117" s="1097"/>
      <c r="L117" s="1098"/>
      <c r="M117" s="7"/>
      <c r="N117" s="7"/>
      <c r="O117" s="7"/>
      <c r="P117" s="7"/>
      <c r="Q117" s="7"/>
      <c r="R117" s="7"/>
      <c r="S117" s="7"/>
      <c r="T117" s="7"/>
      <c r="U117" s="7"/>
      <c r="V117" s="7"/>
      <c r="W117" s="7"/>
      <c r="X117" s="7"/>
      <c r="Y117" s="7"/>
      <c r="Z117" s="7"/>
    </row>
    <row r="118" spans="1:26" ht="12.75" customHeight="1" x14ac:dyDescent="0.25">
      <c r="A118" s="1109"/>
      <c r="B118" s="1114"/>
      <c r="C118" s="1115"/>
      <c r="D118" s="1116"/>
      <c r="E118" s="1109"/>
      <c r="F118" s="1121"/>
      <c r="G118" s="1106" t="s">
        <v>731</v>
      </c>
      <c r="H118" s="1107"/>
      <c r="I118" s="81"/>
      <c r="J118" s="1096"/>
      <c r="K118" s="1097"/>
      <c r="L118" s="1098"/>
      <c r="M118" s="7"/>
      <c r="N118" s="7"/>
      <c r="O118" s="7"/>
      <c r="P118" s="7"/>
      <c r="Q118" s="7"/>
      <c r="R118" s="7"/>
      <c r="S118" s="7"/>
      <c r="T118" s="7"/>
      <c r="U118" s="7"/>
      <c r="V118" s="7"/>
      <c r="W118" s="7"/>
      <c r="X118" s="7"/>
      <c r="Y118" s="7"/>
      <c r="Z118" s="7"/>
    </row>
    <row r="119" spans="1:26" ht="12.75" customHeight="1" x14ac:dyDescent="0.25">
      <c r="A119" s="1109"/>
      <c r="B119" s="1114"/>
      <c r="C119" s="1115"/>
      <c r="D119" s="1116"/>
      <c r="E119" s="1109"/>
      <c r="F119" s="1121"/>
      <c r="G119" s="1106" t="s">
        <v>749</v>
      </c>
      <c r="H119" s="1107"/>
      <c r="I119" s="81">
        <v>1.6</v>
      </c>
      <c r="J119" s="1096"/>
      <c r="K119" s="1097"/>
      <c r="L119" s="1098"/>
      <c r="M119" s="7"/>
      <c r="N119" s="7"/>
      <c r="O119" s="7"/>
      <c r="P119" s="7"/>
      <c r="Q119" s="7"/>
      <c r="R119" s="7"/>
      <c r="S119" s="7"/>
      <c r="T119" s="7"/>
      <c r="U119" s="7"/>
      <c r="V119" s="7"/>
      <c r="W119" s="7"/>
      <c r="X119" s="7"/>
      <c r="Y119" s="7"/>
      <c r="Z119" s="7"/>
    </row>
    <row r="120" spans="1:26" ht="12.75" customHeight="1" x14ac:dyDescent="0.25">
      <c r="A120" s="1109"/>
      <c r="B120" s="1114"/>
      <c r="C120" s="1115"/>
      <c r="D120" s="1116"/>
      <c r="E120" s="1109"/>
      <c r="F120" s="1121"/>
      <c r="G120" s="1106" t="s">
        <v>735</v>
      </c>
      <c r="H120" s="1107"/>
      <c r="I120" s="7"/>
      <c r="J120" s="1096"/>
      <c r="K120" s="1097"/>
      <c r="L120" s="1098"/>
      <c r="M120" s="7"/>
      <c r="N120" s="7"/>
      <c r="O120" s="7"/>
      <c r="P120" s="7"/>
      <c r="Q120" s="7"/>
      <c r="R120" s="7"/>
      <c r="S120" s="7"/>
      <c r="T120" s="7"/>
      <c r="U120" s="7"/>
      <c r="V120" s="7"/>
      <c r="W120" s="7"/>
      <c r="X120" s="7"/>
      <c r="Y120" s="7"/>
      <c r="Z120" s="7"/>
    </row>
    <row r="121" spans="1:26" ht="12.75" customHeight="1" x14ac:dyDescent="0.25">
      <c r="A121" s="1109"/>
      <c r="B121" s="1114"/>
      <c r="C121" s="1115"/>
      <c r="D121" s="1116"/>
      <c r="E121" s="1109"/>
      <c r="F121" s="1121"/>
      <c r="G121" s="1106" t="s">
        <v>951</v>
      </c>
      <c r="H121" s="1107"/>
      <c r="I121" s="91">
        <f>+I117*((I119^2)/4)</f>
        <v>2.0106240000000004</v>
      </c>
      <c r="J121" s="1096"/>
      <c r="K121" s="1097"/>
      <c r="L121" s="1098"/>
      <c r="M121" s="7"/>
      <c r="N121" s="7"/>
      <c r="O121" s="7"/>
      <c r="P121" s="7"/>
      <c r="Q121" s="7"/>
      <c r="R121" s="7"/>
      <c r="S121" s="7"/>
      <c r="T121" s="7"/>
      <c r="U121" s="7"/>
      <c r="V121" s="7"/>
      <c r="W121" s="7"/>
      <c r="X121" s="7"/>
      <c r="Y121" s="7"/>
      <c r="Z121" s="7"/>
    </row>
    <row r="122" spans="1:26" ht="12.75" customHeight="1" x14ac:dyDescent="0.25">
      <c r="A122" s="1110"/>
      <c r="B122" s="1117"/>
      <c r="C122" s="1118"/>
      <c r="D122" s="1119"/>
      <c r="E122" s="1110"/>
      <c r="F122" s="1122"/>
      <c r="G122" s="1106" t="s">
        <v>952</v>
      </c>
      <c r="H122" s="1107"/>
      <c r="I122" s="81"/>
      <c r="J122" s="1099"/>
      <c r="K122" s="1100"/>
      <c r="L122" s="1101"/>
      <c r="M122" s="7"/>
      <c r="N122" s="7"/>
      <c r="O122" s="7"/>
      <c r="P122" s="7"/>
      <c r="Q122" s="7"/>
      <c r="R122" s="7"/>
      <c r="S122" s="7"/>
      <c r="T122" s="7"/>
      <c r="U122" s="7"/>
      <c r="V122" s="7"/>
      <c r="W122" s="7"/>
      <c r="X122" s="7"/>
      <c r="Y122" s="7"/>
      <c r="Z122" s="7"/>
    </row>
    <row r="123" spans="1:26" ht="12.75"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x14ac:dyDescent="0.25">
      <c r="A124" s="966" t="s">
        <v>39</v>
      </c>
      <c r="B124" s="1092"/>
      <c r="C124" s="1092"/>
      <c r="D124" s="967"/>
      <c r="E124" s="6" t="s">
        <v>40</v>
      </c>
      <c r="F124" s="6" t="s">
        <v>41</v>
      </c>
      <c r="G124" s="1030" t="s">
        <v>730</v>
      </c>
      <c r="H124" s="1123"/>
      <c r="I124" s="966" t="s">
        <v>1427</v>
      </c>
      <c r="J124" s="1092"/>
      <c r="K124" s="1092"/>
      <c r="L124" s="967"/>
      <c r="M124" s="7"/>
      <c r="N124" s="7"/>
      <c r="O124" s="7"/>
      <c r="P124" s="7"/>
      <c r="Q124" s="7"/>
      <c r="R124" s="7"/>
      <c r="S124" s="7"/>
      <c r="T124" s="7"/>
      <c r="U124" s="7"/>
      <c r="V124" s="7"/>
      <c r="W124" s="7"/>
      <c r="X124" s="7"/>
      <c r="Y124" s="7"/>
      <c r="Z124" s="7"/>
    </row>
    <row r="125" spans="1:26" ht="12.75" customHeight="1" x14ac:dyDescent="0.25">
      <c r="A125" s="1108" t="s">
        <v>953</v>
      </c>
      <c r="B125" s="1111" t="s">
        <v>954</v>
      </c>
      <c r="C125" s="1112"/>
      <c r="D125" s="1113"/>
      <c r="E125" s="1108" t="s">
        <v>420</v>
      </c>
      <c r="F125" s="1120">
        <f>I125</f>
        <v>5.1270300000000004</v>
      </c>
      <c r="G125" s="1106" t="s">
        <v>261</v>
      </c>
      <c r="H125" s="1107"/>
      <c r="I125" s="3">
        <f>+I132*I128*I126</f>
        <v>5.1270300000000004</v>
      </c>
      <c r="J125" s="1093"/>
      <c r="K125" s="1094"/>
      <c r="L125" s="1095"/>
      <c r="M125" s="7"/>
      <c r="N125" s="7"/>
      <c r="O125" s="7"/>
      <c r="P125" s="7"/>
      <c r="Q125" s="7"/>
      <c r="R125" s="7"/>
      <c r="S125" s="7"/>
      <c r="T125" s="7"/>
      <c r="U125" s="7"/>
      <c r="V125" s="7"/>
      <c r="W125" s="7"/>
      <c r="X125" s="7"/>
      <c r="Y125" s="7"/>
      <c r="Z125" s="7"/>
    </row>
    <row r="126" spans="1:26" ht="12.75" customHeight="1" x14ac:dyDescent="0.25">
      <c r="A126" s="1109"/>
      <c r="B126" s="1114"/>
      <c r="C126" s="1115"/>
      <c r="D126" s="1116"/>
      <c r="E126" s="1109"/>
      <c r="F126" s="1121"/>
      <c r="G126" s="1106" t="s">
        <v>184</v>
      </c>
      <c r="H126" s="1107"/>
      <c r="I126" s="81">
        <v>1</v>
      </c>
      <c r="J126" s="1096"/>
      <c r="K126" s="1097"/>
      <c r="L126" s="1098"/>
      <c r="M126" s="7"/>
      <c r="N126" s="7"/>
      <c r="O126" s="7"/>
      <c r="P126" s="7"/>
      <c r="Q126" s="7"/>
      <c r="R126" s="7"/>
      <c r="S126" s="7"/>
      <c r="T126" s="7"/>
      <c r="U126" s="7"/>
      <c r="V126" s="7"/>
      <c r="W126" s="7"/>
      <c r="X126" s="7"/>
      <c r="Y126" s="7"/>
      <c r="Z126" s="7"/>
    </row>
    <row r="127" spans="1:26" ht="12.75" customHeight="1" x14ac:dyDescent="0.25">
      <c r="A127" s="1109"/>
      <c r="B127" s="1114"/>
      <c r="C127" s="1115"/>
      <c r="D127" s="1116"/>
      <c r="E127" s="1109"/>
      <c r="F127" s="1121"/>
      <c r="G127" s="1106" t="s">
        <v>927</v>
      </c>
      <c r="H127" s="1107"/>
      <c r="I127" s="81"/>
      <c r="J127" s="1096"/>
      <c r="K127" s="1097"/>
      <c r="L127" s="1098"/>
      <c r="M127" s="7"/>
      <c r="N127" s="7"/>
      <c r="O127" s="7"/>
      <c r="P127" s="7"/>
      <c r="Q127" s="7"/>
      <c r="R127" s="7"/>
      <c r="S127" s="7"/>
      <c r="T127" s="7"/>
      <c r="U127" s="7"/>
      <c r="V127" s="7"/>
      <c r="W127" s="7"/>
      <c r="X127" s="7"/>
      <c r="Y127" s="7"/>
      <c r="Z127" s="7"/>
    </row>
    <row r="128" spans="1:26" ht="12.75" customHeight="1" x14ac:dyDescent="0.25">
      <c r="A128" s="1109"/>
      <c r="B128" s="1114"/>
      <c r="C128" s="1115"/>
      <c r="D128" s="1116"/>
      <c r="E128" s="1109"/>
      <c r="F128" s="1121"/>
      <c r="G128" s="1106" t="s">
        <v>733</v>
      </c>
      <c r="H128" s="1107"/>
      <c r="I128" s="81">
        <v>2.5499999999999998</v>
      </c>
      <c r="J128" s="1096"/>
      <c r="K128" s="1097"/>
      <c r="L128" s="1098"/>
      <c r="M128" s="7"/>
      <c r="N128" s="7"/>
      <c r="O128" s="7"/>
      <c r="P128" s="7"/>
      <c r="Q128" s="7"/>
      <c r="R128" s="7"/>
      <c r="S128" s="7"/>
      <c r="T128" s="7"/>
      <c r="U128" s="7"/>
      <c r="V128" s="7"/>
      <c r="W128" s="7"/>
      <c r="X128" s="7"/>
      <c r="Y128" s="7"/>
      <c r="Z128" s="7"/>
    </row>
    <row r="129" spans="1:26" ht="12.75" customHeight="1" x14ac:dyDescent="0.25">
      <c r="A129" s="1109"/>
      <c r="B129" s="1114"/>
      <c r="C129" s="1115"/>
      <c r="D129" s="1116"/>
      <c r="E129" s="1109"/>
      <c r="F129" s="1121"/>
      <c r="G129" s="1106" t="s">
        <v>731</v>
      </c>
      <c r="H129" s="1107"/>
      <c r="I129" s="81"/>
      <c r="J129" s="1096"/>
      <c r="K129" s="1097"/>
      <c r="L129" s="1098"/>
      <c r="M129" s="7"/>
      <c r="N129" s="7"/>
      <c r="O129" s="7"/>
      <c r="P129" s="7"/>
      <c r="Q129" s="7"/>
      <c r="R129" s="7"/>
      <c r="S129" s="7"/>
      <c r="T129" s="7"/>
      <c r="U129" s="7"/>
      <c r="V129" s="7"/>
      <c r="W129" s="7"/>
      <c r="X129" s="7"/>
      <c r="Y129" s="7"/>
      <c r="Z129" s="7"/>
    </row>
    <row r="130" spans="1:26" ht="12.75" customHeight="1" x14ac:dyDescent="0.25">
      <c r="A130" s="1109"/>
      <c r="B130" s="1114"/>
      <c r="C130" s="1115"/>
      <c r="D130" s="1116"/>
      <c r="E130" s="1109"/>
      <c r="F130" s="1121"/>
      <c r="G130" s="1106" t="s">
        <v>734</v>
      </c>
      <c r="H130" s="1107"/>
      <c r="I130" s="81"/>
      <c r="J130" s="1096"/>
      <c r="K130" s="1097"/>
      <c r="L130" s="1098"/>
      <c r="M130" s="7"/>
      <c r="N130" s="7"/>
      <c r="O130" s="7"/>
      <c r="P130" s="7"/>
      <c r="Q130" s="7"/>
      <c r="R130" s="7"/>
      <c r="S130" s="7"/>
      <c r="T130" s="7"/>
      <c r="U130" s="7"/>
      <c r="V130" s="7"/>
      <c r="W130" s="7"/>
      <c r="X130" s="7"/>
      <c r="Y130" s="7"/>
      <c r="Z130" s="7"/>
    </row>
    <row r="131" spans="1:26" ht="12.75" customHeight="1" x14ac:dyDescent="0.25">
      <c r="A131" s="1109"/>
      <c r="B131" s="1114"/>
      <c r="C131" s="1115"/>
      <c r="D131" s="1116"/>
      <c r="E131" s="1109"/>
      <c r="F131" s="1121"/>
      <c r="G131" s="1106" t="s">
        <v>735</v>
      </c>
      <c r="H131" s="1107"/>
      <c r="I131" s="7"/>
      <c r="J131" s="1096"/>
      <c r="K131" s="1097"/>
      <c r="L131" s="1098"/>
      <c r="M131" s="7"/>
      <c r="N131" s="7"/>
      <c r="O131" s="7"/>
      <c r="P131" s="7"/>
      <c r="Q131" s="7"/>
      <c r="R131" s="7"/>
      <c r="S131" s="7"/>
      <c r="T131" s="7"/>
      <c r="U131" s="7"/>
      <c r="V131" s="7"/>
      <c r="W131" s="7"/>
      <c r="X131" s="7"/>
      <c r="Y131" s="7"/>
      <c r="Z131" s="7"/>
    </row>
    <row r="132" spans="1:26" ht="12.75" customHeight="1" x14ac:dyDescent="0.25">
      <c r="A132" s="1109"/>
      <c r="B132" s="1114"/>
      <c r="C132" s="1115"/>
      <c r="D132" s="1116"/>
      <c r="E132" s="1109"/>
      <c r="F132" s="1121"/>
      <c r="G132" s="1106" t="s">
        <v>955</v>
      </c>
      <c r="H132" s="1107"/>
      <c r="I132" s="91">
        <v>2.0106000000000002</v>
      </c>
      <c r="J132" s="1096"/>
      <c r="K132" s="1097"/>
      <c r="L132" s="1098"/>
      <c r="M132" s="7"/>
      <c r="N132" s="7"/>
      <c r="O132" s="7"/>
      <c r="P132" s="7"/>
      <c r="Q132" s="7"/>
      <c r="R132" s="7"/>
      <c r="S132" s="7"/>
      <c r="T132" s="7"/>
      <c r="U132" s="7"/>
      <c r="V132" s="7"/>
      <c r="W132" s="7"/>
      <c r="X132" s="7"/>
      <c r="Y132" s="7"/>
      <c r="Z132" s="7"/>
    </row>
    <row r="133" spans="1:26" ht="12.75" customHeight="1" x14ac:dyDescent="0.25">
      <c r="A133" s="1110"/>
      <c r="B133" s="1117"/>
      <c r="C133" s="1118"/>
      <c r="D133" s="1119"/>
      <c r="E133" s="1110"/>
      <c r="F133" s="1122"/>
      <c r="G133" s="1106" t="s">
        <v>956</v>
      </c>
      <c r="H133" s="1107"/>
      <c r="I133" s="81"/>
      <c r="J133" s="1099"/>
      <c r="K133" s="1100"/>
      <c r="L133" s="1101"/>
      <c r="M133" s="7"/>
      <c r="N133" s="7"/>
      <c r="O133" s="7"/>
      <c r="P133" s="7"/>
      <c r="Q133" s="7"/>
      <c r="R133" s="7"/>
      <c r="S133" s="7"/>
      <c r="T133" s="7"/>
      <c r="U133" s="7"/>
      <c r="V133" s="7"/>
      <c r="W133" s="7"/>
      <c r="X133" s="7"/>
      <c r="Y133" s="7"/>
      <c r="Z133" s="7"/>
    </row>
    <row r="134" spans="1:26" ht="12.75"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x14ac:dyDescent="0.25">
      <c r="A135" s="966" t="s">
        <v>39</v>
      </c>
      <c r="B135" s="1092"/>
      <c r="C135" s="1092"/>
      <c r="D135" s="967"/>
      <c r="E135" s="6" t="s">
        <v>40</v>
      </c>
      <c r="F135" s="6" t="s">
        <v>41</v>
      </c>
      <c r="G135" s="1030" t="s">
        <v>730</v>
      </c>
      <c r="H135" s="1123"/>
      <c r="I135" s="966" t="s">
        <v>1427</v>
      </c>
      <c r="J135" s="1092"/>
      <c r="K135" s="1092"/>
      <c r="L135" s="967"/>
      <c r="M135" s="7"/>
      <c r="N135" s="7"/>
      <c r="O135" s="7"/>
      <c r="P135" s="7"/>
      <c r="Q135" s="7"/>
      <c r="R135" s="7"/>
      <c r="S135" s="7"/>
      <c r="T135" s="7"/>
      <c r="U135" s="7"/>
      <c r="V135" s="7"/>
      <c r="W135" s="7"/>
      <c r="X135" s="7"/>
      <c r="Y135" s="7"/>
      <c r="Z135" s="7"/>
    </row>
    <row r="136" spans="1:26" ht="12.75" customHeight="1" x14ac:dyDescent="0.25">
      <c r="A136" s="1108" t="s">
        <v>957</v>
      </c>
      <c r="B136" s="1111" t="s">
        <v>958</v>
      </c>
      <c r="C136" s="1112"/>
      <c r="D136" s="1113"/>
      <c r="E136" s="1108" t="s">
        <v>420</v>
      </c>
      <c r="F136" s="1120">
        <f>I136</f>
        <v>0.40212000000000003</v>
      </c>
      <c r="G136" s="1106" t="s">
        <v>261</v>
      </c>
      <c r="H136" s="1107"/>
      <c r="I136" s="3">
        <f>+I143*I139*I137</f>
        <v>0.40212000000000003</v>
      </c>
      <c r="J136" s="1093"/>
      <c r="K136" s="1094"/>
      <c r="L136" s="1095"/>
      <c r="M136" s="7"/>
      <c r="N136" s="7"/>
      <c r="O136" s="7"/>
      <c r="P136" s="7"/>
      <c r="Q136" s="7"/>
      <c r="R136" s="7"/>
      <c r="S136" s="7"/>
      <c r="T136" s="7"/>
      <c r="U136" s="7"/>
      <c r="V136" s="7"/>
      <c r="W136" s="7"/>
      <c r="X136" s="7"/>
      <c r="Y136" s="7"/>
      <c r="Z136" s="7"/>
    </row>
    <row r="137" spans="1:26" ht="12.75" customHeight="1" x14ac:dyDescent="0.25">
      <c r="A137" s="1109"/>
      <c r="B137" s="1114"/>
      <c r="C137" s="1115"/>
      <c r="D137" s="1116"/>
      <c r="E137" s="1109"/>
      <c r="F137" s="1121"/>
      <c r="G137" s="1106" t="s">
        <v>184</v>
      </c>
      <c r="H137" s="1107"/>
      <c r="I137" s="81">
        <v>1</v>
      </c>
      <c r="J137" s="1096"/>
      <c r="K137" s="1097"/>
      <c r="L137" s="1098"/>
      <c r="M137" s="7"/>
      <c r="N137" s="7"/>
      <c r="O137" s="7"/>
      <c r="P137" s="7"/>
      <c r="Q137" s="7"/>
      <c r="R137" s="7"/>
      <c r="S137" s="7"/>
      <c r="T137" s="7"/>
      <c r="U137" s="7"/>
      <c r="V137" s="7"/>
      <c r="W137" s="7"/>
      <c r="X137" s="7"/>
      <c r="Y137" s="7"/>
      <c r="Z137" s="7"/>
    </row>
    <row r="138" spans="1:26" ht="12.75" customHeight="1" x14ac:dyDescent="0.25">
      <c r="A138" s="1109"/>
      <c r="B138" s="1114"/>
      <c r="C138" s="1115"/>
      <c r="D138" s="1116"/>
      <c r="E138" s="1109"/>
      <c r="F138" s="1121"/>
      <c r="G138" s="1106" t="s">
        <v>927</v>
      </c>
      <c r="H138" s="1107"/>
      <c r="I138" s="81"/>
      <c r="J138" s="1096"/>
      <c r="K138" s="1097"/>
      <c r="L138" s="1098"/>
      <c r="M138" s="7"/>
      <c r="N138" s="7"/>
      <c r="O138" s="7"/>
      <c r="P138" s="7"/>
      <c r="Q138" s="7"/>
      <c r="R138" s="7"/>
      <c r="S138" s="7"/>
      <c r="T138" s="7"/>
      <c r="U138" s="7"/>
      <c r="V138" s="7"/>
      <c r="W138" s="7"/>
      <c r="X138" s="7"/>
      <c r="Y138" s="7"/>
      <c r="Z138" s="7"/>
    </row>
    <row r="139" spans="1:26" ht="12.75" customHeight="1" x14ac:dyDescent="0.25">
      <c r="A139" s="1109"/>
      <c r="B139" s="1114"/>
      <c r="C139" s="1115"/>
      <c r="D139" s="1116"/>
      <c r="E139" s="1109"/>
      <c r="F139" s="1121"/>
      <c r="G139" s="1106" t="s">
        <v>733</v>
      </c>
      <c r="H139" s="1107"/>
      <c r="I139" s="81">
        <v>0.2</v>
      </c>
      <c r="J139" s="1096"/>
      <c r="K139" s="1097"/>
      <c r="L139" s="1098"/>
      <c r="M139" s="7"/>
      <c r="N139" s="7"/>
      <c r="O139" s="7"/>
      <c r="P139" s="7"/>
      <c r="Q139" s="7"/>
      <c r="R139" s="7"/>
      <c r="S139" s="7"/>
      <c r="T139" s="7"/>
      <c r="U139" s="7"/>
      <c r="V139" s="7"/>
      <c r="W139" s="7"/>
      <c r="X139" s="7"/>
      <c r="Y139" s="7"/>
      <c r="Z139" s="7"/>
    </row>
    <row r="140" spans="1:26" ht="12.75" customHeight="1" x14ac:dyDescent="0.25">
      <c r="A140" s="1109"/>
      <c r="B140" s="1114"/>
      <c r="C140" s="1115"/>
      <c r="D140" s="1116"/>
      <c r="E140" s="1109"/>
      <c r="F140" s="1121"/>
      <c r="G140" s="1106" t="s">
        <v>731</v>
      </c>
      <c r="H140" s="1107"/>
      <c r="I140" s="81"/>
      <c r="J140" s="1096"/>
      <c r="K140" s="1097"/>
      <c r="L140" s="1098"/>
      <c r="M140" s="7"/>
      <c r="N140" s="7"/>
      <c r="O140" s="7"/>
      <c r="P140" s="7"/>
      <c r="Q140" s="7"/>
      <c r="R140" s="7"/>
      <c r="S140" s="7"/>
      <c r="T140" s="7"/>
      <c r="U140" s="7"/>
      <c r="V140" s="7"/>
      <c r="W140" s="7"/>
      <c r="X140" s="7"/>
      <c r="Y140" s="7"/>
      <c r="Z140" s="7"/>
    </row>
    <row r="141" spans="1:26" ht="12.75" customHeight="1" x14ac:dyDescent="0.25">
      <c r="A141" s="1109"/>
      <c r="B141" s="1114"/>
      <c r="C141" s="1115"/>
      <c r="D141" s="1116"/>
      <c r="E141" s="1109"/>
      <c r="F141" s="1121"/>
      <c r="G141" s="1106" t="s">
        <v>734</v>
      </c>
      <c r="H141" s="1107"/>
      <c r="I141" s="81"/>
      <c r="J141" s="1096"/>
      <c r="K141" s="1097"/>
      <c r="L141" s="1098"/>
      <c r="M141" s="7"/>
      <c r="N141" s="7"/>
      <c r="O141" s="7"/>
      <c r="P141" s="7"/>
      <c r="Q141" s="7"/>
      <c r="R141" s="7"/>
      <c r="S141" s="7"/>
      <c r="T141" s="7"/>
      <c r="U141" s="7"/>
      <c r="V141" s="7"/>
      <c r="W141" s="7"/>
      <c r="X141" s="7"/>
      <c r="Y141" s="7"/>
      <c r="Z141" s="7"/>
    </row>
    <row r="142" spans="1:26" ht="12.75" customHeight="1" x14ac:dyDescent="0.25">
      <c r="A142" s="1109"/>
      <c r="B142" s="1114"/>
      <c r="C142" s="1115"/>
      <c r="D142" s="1116"/>
      <c r="E142" s="1109"/>
      <c r="F142" s="1121"/>
      <c r="G142" s="1106" t="s">
        <v>735</v>
      </c>
      <c r="H142" s="1107"/>
      <c r="I142" s="7"/>
      <c r="J142" s="1096"/>
      <c r="K142" s="1097"/>
      <c r="L142" s="1098"/>
      <c r="M142" s="7"/>
      <c r="N142" s="7"/>
      <c r="O142" s="7"/>
      <c r="P142" s="7"/>
      <c r="Q142" s="7"/>
      <c r="R142" s="7"/>
      <c r="S142" s="7"/>
      <c r="T142" s="7"/>
      <c r="U142" s="7"/>
      <c r="V142" s="7"/>
      <c r="W142" s="7"/>
      <c r="X142" s="7"/>
      <c r="Y142" s="7"/>
      <c r="Z142" s="7"/>
    </row>
    <row r="143" spans="1:26" ht="12.75" customHeight="1" x14ac:dyDescent="0.25">
      <c r="A143" s="1109"/>
      <c r="B143" s="1114"/>
      <c r="C143" s="1115"/>
      <c r="D143" s="1116"/>
      <c r="E143" s="1109"/>
      <c r="F143" s="1121"/>
      <c r="G143" s="1106" t="s">
        <v>959</v>
      </c>
      <c r="H143" s="1107"/>
      <c r="I143" s="91">
        <v>2.0106000000000002</v>
      </c>
      <c r="J143" s="1096"/>
      <c r="K143" s="1097"/>
      <c r="L143" s="1098"/>
      <c r="M143" s="7"/>
      <c r="N143" s="7"/>
      <c r="O143" s="7"/>
      <c r="P143" s="7"/>
      <c r="Q143" s="7"/>
      <c r="R143" s="7"/>
      <c r="S143" s="7"/>
      <c r="T143" s="7"/>
      <c r="U143" s="7"/>
      <c r="V143" s="7"/>
      <c r="W143" s="7"/>
      <c r="X143" s="7"/>
      <c r="Y143" s="7"/>
      <c r="Z143" s="7"/>
    </row>
    <row r="144" spans="1:26" ht="12.75" customHeight="1" x14ac:dyDescent="0.25">
      <c r="A144" s="1110"/>
      <c r="B144" s="1117"/>
      <c r="C144" s="1118"/>
      <c r="D144" s="1119"/>
      <c r="E144" s="1110"/>
      <c r="F144" s="1122"/>
      <c r="G144" s="1106" t="s">
        <v>960</v>
      </c>
      <c r="H144" s="1107"/>
      <c r="I144" s="81"/>
      <c r="J144" s="1099"/>
      <c r="K144" s="1100"/>
      <c r="L144" s="1101"/>
      <c r="M144" s="7"/>
      <c r="N144" s="7"/>
      <c r="O144" s="7"/>
      <c r="P144" s="7"/>
      <c r="Q144" s="7"/>
      <c r="R144" s="7"/>
      <c r="S144" s="7"/>
      <c r="T144" s="7"/>
      <c r="U144" s="7"/>
      <c r="V144" s="7"/>
      <c r="W144" s="7"/>
      <c r="X144" s="7"/>
      <c r="Y144" s="7"/>
      <c r="Z144" s="7"/>
    </row>
    <row r="145" spans="1:26" ht="12.75"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x14ac:dyDescent="0.25">
      <c r="A146" s="966" t="s">
        <v>39</v>
      </c>
      <c r="B146" s="1092"/>
      <c r="C146" s="1092"/>
      <c r="D146" s="967"/>
      <c r="E146" s="6" t="s">
        <v>40</v>
      </c>
      <c r="F146" s="6" t="s">
        <v>41</v>
      </c>
      <c r="G146" s="1030" t="s">
        <v>730</v>
      </c>
      <c r="H146" s="1123"/>
      <c r="I146" s="966" t="s">
        <v>1427</v>
      </c>
      <c r="J146" s="1092"/>
      <c r="K146" s="1092"/>
      <c r="L146" s="967"/>
      <c r="M146" s="7"/>
      <c r="N146" s="7"/>
      <c r="O146" s="7"/>
      <c r="P146" s="7"/>
      <c r="Q146" s="7"/>
      <c r="R146" s="7"/>
      <c r="S146" s="7"/>
      <c r="T146" s="7"/>
      <c r="U146" s="7"/>
      <c r="V146" s="7"/>
      <c r="W146" s="7"/>
      <c r="X146" s="7"/>
      <c r="Y146" s="7"/>
      <c r="Z146" s="7"/>
    </row>
    <row r="147" spans="1:26" ht="12.75" customHeight="1" x14ac:dyDescent="0.25">
      <c r="A147" s="1108" t="s">
        <v>961</v>
      </c>
      <c r="B147" s="1111" t="s">
        <v>962</v>
      </c>
      <c r="C147" s="1112"/>
      <c r="D147" s="1113"/>
      <c r="E147" s="1108" t="s">
        <v>420</v>
      </c>
      <c r="F147" s="1120">
        <f>I147</f>
        <v>0.10053000000000001</v>
      </c>
      <c r="G147" s="1106" t="s">
        <v>261</v>
      </c>
      <c r="H147" s="1107"/>
      <c r="I147" s="3">
        <f>+I154*I150*I148</f>
        <v>0.10053000000000001</v>
      </c>
      <c r="J147" s="1093"/>
      <c r="K147" s="1094"/>
      <c r="L147" s="1095"/>
      <c r="M147" s="7"/>
      <c r="N147" s="7"/>
      <c r="O147" s="7"/>
      <c r="P147" s="7"/>
      <c r="Q147" s="7"/>
      <c r="R147" s="7"/>
      <c r="S147" s="7"/>
      <c r="T147" s="7"/>
      <c r="U147" s="7"/>
      <c r="V147" s="7"/>
      <c r="W147" s="7"/>
      <c r="X147" s="7"/>
      <c r="Y147" s="7"/>
      <c r="Z147" s="7"/>
    </row>
    <row r="148" spans="1:26" ht="12.75" customHeight="1" x14ac:dyDescent="0.25">
      <c r="A148" s="1109"/>
      <c r="B148" s="1114"/>
      <c r="C148" s="1115"/>
      <c r="D148" s="1116"/>
      <c r="E148" s="1109"/>
      <c r="F148" s="1121"/>
      <c r="G148" s="1106" t="s">
        <v>184</v>
      </c>
      <c r="H148" s="1107"/>
      <c r="I148" s="81">
        <v>1</v>
      </c>
      <c r="J148" s="1096"/>
      <c r="K148" s="1097"/>
      <c r="L148" s="1098"/>
      <c r="M148" s="7"/>
      <c r="N148" s="7"/>
      <c r="O148" s="7"/>
      <c r="P148" s="7"/>
      <c r="Q148" s="7"/>
      <c r="R148" s="7"/>
      <c r="S148" s="7"/>
      <c r="T148" s="7"/>
      <c r="U148" s="7"/>
      <c r="V148" s="7"/>
      <c r="W148" s="7"/>
      <c r="X148" s="7"/>
      <c r="Y148" s="7"/>
      <c r="Z148" s="7"/>
    </row>
    <row r="149" spans="1:26" ht="12.75" customHeight="1" x14ac:dyDescent="0.25">
      <c r="A149" s="1109"/>
      <c r="B149" s="1114"/>
      <c r="C149" s="1115"/>
      <c r="D149" s="1116"/>
      <c r="E149" s="1109"/>
      <c r="F149" s="1121"/>
      <c r="G149" s="1106" t="s">
        <v>927</v>
      </c>
      <c r="H149" s="1107"/>
      <c r="I149" s="81"/>
      <c r="J149" s="1096"/>
      <c r="K149" s="1097"/>
      <c r="L149" s="1098"/>
      <c r="M149" s="7"/>
      <c r="N149" s="7"/>
      <c r="O149" s="7"/>
      <c r="P149" s="7"/>
      <c r="Q149" s="7"/>
      <c r="R149" s="7"/>
      <c r="S149" s="7"/>
      <c r="T149" s="7"/>
      <c r="U149" s="7"/>
      <c r="V149" s="7"/>
      <c r="W149" s="7"/>
      <c r="X149" s="7"/>
      <c r="Y149" s="7"/>
      <c r="Z149" s="7"/>
    </row>
    <row r="150" spans="1:26" ht="12.75" customHeight="1" x14ac:dyDescent="0.25">
      <c r="A150" s="1109"/>
      <c r="B150" s="1114"/>
      <c r="C150" s="1115"/>
      <c r="D150" s="1116"/>
      <c r="E150" s="1109"/>
      <c r="F150" s="1121"/>
      <c r="G150" s="1106" t="s">
        <v>733</v>
      </c>
      <c r="H150" s="1107"/>
      <c r="I150" s="81">
        <v>0.05</v>
      </c>
      <c r="J150" s="1096"/>
      <c r="K150" s="1097"/>
      <c r="L150" s="1098"/>
      <c r="M150" s="7"/>
      <c r="N150" s="7"/>
      <c r="O150" s="7"/>
      <c r="P150" s="7"/>
      <c r="Q150" s="7"/>
      <c r="R150" s="7"/>
      <c r="S150" s="7"/>
      <c r="T150" s="7"/>
      <c r="U150" s="7"/>
      <c r="V150" s="7"/>
      <c r="W150" s="7"/>
      <c r="X150" s="7"/>
      <c r="Y150" s="7"/>
      <c r="Z150" s="7"/>
    </row>
    <row r="151" spans="1:26" ht="12.75" customHeight="1" x14ac:dyDescent="0.25">
      <c r="A151" s="1109"/>
      <c r="B151" s="1114"/>
      <c r="C151" s="1115"/>
      <c r="D151" s="1116"/>
      <c r="E151" s="1109"/>
      <c r="F151" s="1121"/>
      <c r="G151" s="1106" t="s">
        <v>731</v>
      </c>
      <c r="H151" s="1107"/>
      <c r="I151" s="81"/>
      <c r="J151" s="1096"/>
      <c r="K151" s="1097"/>
      <c r="L151" s="1098"/>
      <c r="M151" s="7"/>
      <c r="N151" s="7"/>
      <c r="O151" s="7"/>
      <c r="P151" s="7"/>
      <c r="Q151" s="7"/>
      <c r="R151" s="7"/>
      <c r="S151" s="7"/>
      <c r="T151" s="7"/>
      <c r="U151" s="7"/>
      <c r="V151" s="7"/>
      <c r="W151" s="7"/>
      <c r="X151" s="7"/>
      <c r="Y151" s="7"/>
      <c r="Z151" s="7"/>
    </row>
    <row r="152" spans="1:26" ht="12.75" customHeight="1" x14ac:dyDescent="0.25">
      <c r="A152" s="1109"/>
      <c r="B152" s="1114"/>
      <c r="C152" s="1115"/>
      <c r="D152" s="1116"/>
      <c r="E152" s="1109"/>
      <c r="F152" s="1121"/>
      <c r="G152" s="1106" t="s">
        <v>734</v>
      </c>
      <c r="H152" s="1107"/>
      <c r="I152" s="81"/>
      <c r="J152" s="1096"/>
      <c r="K152" s="1097"/>
      <c r="L152" s="1098"/>
      <c r="M152" s="7"/>
      <c r="N152" s="7"/>
      <c r="O152" s="7"/>
      <c r="P152" s="7"/>
      <c r="Q152" s="7"/>
      <c r="R152" s="7"/>
      <c r="S152" s="7"/>
      <c r="T152" s="7"/>
      <c r="U152" s="7"/>
      <c r="V152" s="7"/>
      <c r="W152" s="7"/>
      <c r="X152" s="7"/>
      <c r="Y152" s="7"/>
      <c r="Z152" s="7"/>
    </row>
    <row r="153" spans="1:26" ht="12.75" customHeight="1" x14ac:dyDescent="0.25">
      <c r="A153" s="1109"/>
      <c r="B153" s="1114"/>
      <c r="C153" s="1115"/>
      <c r="D153" s="1116"/>
      <c r="E153" s="1109"/>
      <c r="F153" s="1121"/>
      <c r="G153" s="1106" t="s">
        <v>735</v>
      </c>
      <c r="H153" s="1107"/>
      <c r="I153" s="7"/>
      <c r="J153" s="1096"/>
      <c r="K153" s="1097"/>
      <c r="L153" s="1098"/>
      <c r="M153" s="7"/>
      <c r="N153" s="7"/>
      <c r="O153" s="7"/>
      <c r="P153" s="7"/>
      <c r="Q153" s="7"/>
      <c r="R153" s="7"/>
      <c r="S153" s="7"/>
      <c r="T153" s="7"/>
      <c r="U153" s="7"/>
      <c r="V153" s="7"/>
      <c r="W153" s="7"/>
      <c r="X153" s="7"/>
      <c r="Y153" s="7"/>
      <c r="Z153" s="7"/>
    </row>
    <row r="154" spans="1:26" ht="12.75" customHeight="1" x14ac:dyDescent="0.25">
      <c r="A154" s="1109"/>
      <c r="B154" s="1114"/>
      <c r="C154" s="1115"/>
      <c r="D154" s="1116"/>
      <c r="E154" s="1109"/>
      <c r="F154" s="1121"/>
      <c r="G154" s="1106" t="s">
        <v>963</v>
      </c>
      <c r="H154" s="1107"/>
      <c r="I154" s="91">
        <v>2.0106000000000002</v>
      </c>
      <c r="J154" s="1096"/>
      <c r="K154" s="1097"/>
      <c r="L154" s="1098"/>
      <c r="M154" s="7"/>
      <c r="N154" s="7"/>
      <c r="O154" s="7"/>
      <c r="P154" s="7"/>
      <c r="Q154" s="7"/>
      <c r="R154" s="7"/>
      <c r="S154" s="7"/>
      <c r="T154" s="7"/>
      <c r="U154" s="7"/>
      <c r="V154" s="7"/>
      <c r="W154" s="7"/>
      <c r="X154" s="7"/>
      <c r="Y154" s="7"/>
      <c r="Z154" s="7"/>
    </row>
    <row r="155" spans="1:26" ht="12.75" customHeight="1" x14ac:dyDescent="0.25">
      <c r="A155" s="1110"/>
      <c r="B155" s="1117"/>
      <c r="C155" s="1118"/>
      <c r="D155" s="1119"/>
      <c r="E155" s="1110"/>
      <c r="F155" s="1122"/>
      <c r="G155" s="1106" t="s">
        <v>964</v>
      </c>
      <c r="H155" s="1107"/>
      <c r="I155" s="81"/>
      <c r="J155" s="1099"/>
      <c r="K155" s="1100"/>
      <c r="L155" s="1101"/>
      <c r="M155" s="7"/>
      <c r="N155" s="7"/>
      <c r="O155" s="7"/>
      <c r="P155" s="7"/>
      <c r="Q155" s="7"/>
      <c r="R155" s="7"/>
      <c r="S155" s="7"/>
      <c r="T155" s="7"/>
      <c r="U155" s="7"/>
      <c r="V155" s="7"/>
      <c r="W155" s="7"/>
      <c r="X155" s="7"/>
      <c r="Y155" s="7"/>
      <c r="Z155" s="7"/>
    </row>
    <row r="156" spans="1:26" ht="12.75"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x14ac:dyDescent="0.25">
      <c r="A157" s="966" t="s">
        <v>39</v>
      </c>
      <c r="B157" s="1092"/>
      <c r="C157" s="1092"/>
      <c r="D157" s="967"/>
      <c r="E157" s="6" t="s">
        <v>40</v>
      </c>
      <c r="F157" s="6" t="s">
        <v>41</v>
      </c>
      <c r="G157" s="1030" t="s">
        <v>730</v>
      </c>
      <c r="H157" s="1123"/>
      <c r="I157" s="966" t="s">
        <v>1427</v>
      </c>
      <c r="J157" s="1092"/>
      <c r="K157" s="1092"/>
      <c r="L157" s="967"/>
      <c r="M157" s="7"/>
      <c r="N157" s="7"/>
      <c r="O157" s="7"/>
      <c r="P157" s="7"/>
      <c r="Q157" s="7"/>
      <c r="R157" s="7"/>
      <c r="S157" s="7"/>
      <c r="T157" s="7"/>
      <c r="U157" s="7"/>
      <c r="V157" s="7"/>
      <c r="W157" s="7"/>
      <c r="X157" s="7"/>
      <c r="Y157" s="7"/>
      <c r="Z157" s="7"/>
    </row>
    <row r="158" spans="1:26" ht="12.75" customHeight="1" x14ac:dyDescent="0.25">
      <c r="A158" s="1108" t="s">
        <v>965</v>
      </c>
      <c r="B158" s="1111" t="s">
        <v>966</v>
      </c>
      <c r="C158" s="1112"/>
      <c r="D158" s="1113"/>
      <c r="E158" s="1108" t="s">
        <v>420</v>
      </c>
      <c r="F158" s="1120">
        <f>I158</f>
        <v>0.6</v>
      </c>
      <c r="G158" s="1106" t="s">
        <v>261</v>
      </c>
      <c r="H158" s="1107"/>
      <c r="I158" s="3">
        <f>+I166*I159</f>
        <v>0.6</v>
      </c>
      <c r="J158" s="1093"/>
      <c r="K158" s="1094"/>
      <c r="L158" s="1095"/>
      <c r="M158" s="7"/>
      <c r="N158" s="7"/>
      <c r="O158" s="7"/>
      <c r="P158" s="7"/>
      <c r="Q158" s="7"/>
      <c r="R158" s="7"/>
      <c r="S158" s="7"/>
      <c r="T158" s="7"/>
      <c r="U158" s="7"/>
      <c r="V158" s="7"/>
      <c r="W158" s="7"/>
      <c r="X158" s="7"/>
      <c r="Y158" s="7"/>
      <c r="Z158" s="7"/>
    </row>
    <row r="159" spans="1:26" ht="12.75" customHeight="1" x14ac:dyDescent="0.25">
      <c r="A159" s="1109"/>
      <c r="B159" s="1114"/>
      <c r="C159" s="1115"/>
      <c r="D159" s="1116"/>
      <c r="E159" s="1109"/>
      <c r="F159" s="1121"/>
      <c r="G159" s="1106" t="s">
        <v>184</v>
      </c>
      <c r="H159" s="1107"/>
      <c r="I159" s="81">
        <v>1</v>
      </c>
      <c r="J159" s="1096"/>
      <c r="K159" s="1097"/>
      <c r="L159" s="1098"/>
      <c r="M159" s="7"/>
      <c r="N159" s="7"/>
      <c r="O159" s="7"/>
      <c r="P159" s="7"/>
      <c r="Q159" s="7"/>
      <c r="R159" s="7"/>
      <c r="S159" s="7"/>
      <c r="T159" s="7"/>
      <c r="U159" s="7"/>
      <c r="V159" s="7"/>
      <c r="W159" s="7"/>
      <c r="X159" s="7"/>
      <c r="Y159" s="7"/>
      <c r="Z159" s="7"/>
    </row>
    <row r="160" spans="1:26" ht="12.75" customHeight="1" x14ac:dyDescent="0.25">
      <c r="A160" s="1109"/>
      <c r="B160" s="1114"/>
      <c r="C160" s="1115"/>
      <c r="D160" s="1116"/>
      <c r="E160" s="1109"/>
      <c r="F160" s="1121"/>
      <c r="G160" s="1106" t="s">
        <v>927</v>
      </c>
      <c r="H160" s="1107"/>
      <c r="I160" s="81"/>
      <c r="J160" s="1096"/>
      <c r="K160" s="1097"/>
      <c r="L160" s="1098"/>
      <c r="M160" s="7"/>
      <c r="N160" s="7"/>
      <c r="O160" s="7"/>
      <c r="P160" s="7"/>
      <c r="Q160" s="7"/>
      <c r="R160" s="7"/>
      <c r="S160" s="7"/>
      <c r="T160" s="7"/>
      <c r="U160" s="7"/>
      <c r="V160" s="7"/>
      <c r="W160" s="7"/>
      <c r="X160" s="7"/>
      <c r="Y160" s="7"/>
      <c r="Z160" s="7"/>
    </row>
    <row r="161" spans="1:26" ht="12.75" customHeight="1" x14ac:dyDescent="0.25">
      <c r="A161" s="1109"/>
      <c r="B161" s="1114"/>
      <c r="C161" s="1115"/>
      <c r="D161" s="1116"/>
      <c r="E161" s="1109"/>
      <c r="F161" s="1121"/>
      <c r="G161" s="1106" t="s">
        <v>733</v>
      </c>
      <c r="H161" s="1107"/>
      <c r="I161" s="81"/>
      <c r="J161" s="1096"/>
      <c r="K161" s="1097"/>
      <c r="L161" s="1098"/>
      <c r="M161" s="7"/>
      <c r="N161" s="7"/>
      <c r="O161" s="7"/>
      <c r="P161" s="7"/>
      <c r="Q161" s="7"/>
      <c r="R161" s="7"/>
      <c r="S161" s="7"/>
      <c r="T161" s="7"/>
      <c r="U161" s="7"/>
      <c r="V161" s="7"/>
      <c r="W161" s="7"/>
      <c r="X161" s="7"/>
      <c r="Y161" s="7"/>
      <c r="Z161" s="7"/>
    </row>
    <row r="162" spans="1:26" ht="12.75" customHeight="1" x14ac:dyDescent="0.25">
      <c r="A162" s="1109"/>
      <c r="B162" s="1114"/>
      <c r="C162" s="1115"/>
      <c r="D162" s="1116"/>
      <c r="E162" s="1109"/>
      <c r="F162" s="1121"/>
      <c r="G162" s="1106" t="s">
        <v>731</v>
      </c>
      <c r="H162" s="1107"/>
      <c r="I162" s="81"/>
      <c r="J162" s="1096"/>
      <c r="K162" s="1097"/>
      <c r="L162" s="1098"/>
      <c r="M162" s="7"/>
      <c r="N162" s="7"/>
      <c r="O162" s="7"/>
      <c r="P162" s="7"/>
      <c r="Q162" s="7"/>
      <c r="R162" s="7"/>
      <c r="S162" s="7"/>
      <c r="T162" s="7"/>
      <c r="U162" s="7"/>
      <c r="V162" s="7"/>
      <c r="W162" s="7"/>
      <c r="X162" s="7"/>
      <c r="Y162" s="7"/>
      <c r="Z162" s="7"/>
    </row>
    <row r="163" spans="1:26" ht="12.75" customHeight="1" x14ac:dyDescent="0.25">
      <c r="A163" s="1109"/>
      <c r="B163" s="1114"/>
      <c r="C163" s="1115"/>
      <c r="D163" s="1116"/>
      <c r="E163" s="1109"/>
      <c r="F163" s="1121"/>
      <c r="G163" s="1106" t="s">
        <v>734</v>
      </c>
      <c r="H163" s="1107"/>
      <c r="I163" s="81"/>
      <c r="J163" s="1096"/>
      <c r="K163" s="1097"/>
      <c r="L163" s="1098"/>
      <c r="M163" s="7"/>
      <c r="N163" s="7"/>
      <c r="O163" s="7"/>
      <c r="P163" s="7"/>
      <c r="Q163" s="7"/>
      <c r="R163" s="7"/>
      <c r="S163" s="7"/>
      <c r="T163" s="7"/>
      <c r="U163" s="7"/>
      <c r="V163" s="7"/>
      <c r="W163" s="7"/>
      <c r="X163" s="7"/>
      <c r="Y163" s="7"/>
      <c r="Z163" s="7"/>
    </row>
    <row r="164" spans="1:26" ht="12.75" customHeight="1" x14ac:dyDescent="0.25">
      <c r="A164" s="1109"/>
      <c r="B164" s="1114"/>
      <c r="C164" s="1115"/>
      <c r="D164" s="1116"/>
      <c r="E164" s="1109"/>
      <c r="F164" s="1121"/>
      <c r="G164" s="1106" t="s">
        <v>735</v>
      </c>
      <c r="H164" s="1107"/>
      <c r="I164" s="7"/>
      <c r="J164" s="1096"/>
      <c r="K164" s="1097"/>
      <c r="L164" s="1098"/>
      <c r="M164" s="7"/>
      <c r="N164" s="7"/>
      <c r="O164" s="7"/>
      <c r="P164" s="7"/>
      <c r="Q164" s="7"/>
      <c r="R164" s="7"/>
      <c r="S164" s="7"/>
      <c r="T164" s="7"/>
      <c r="U164" s="7"/>
      <c r="V164" s="7"/>
      <c r="W164" s="7"/>
      <c r="X164" s="7"/>
      <c r="Y164" s="7"/>
      <c r="Z164" s="7"/>
    </row>
    <row r="165" spans="1:26" ht="12.75" customHeight="1" x14ac:dyDescent="0.25">
      <c r="A165" s="1109"/>
      <c r="B165" s="1114"/>
      <c r="C165" s="1115"/>
      <c r="D165" s="1116"/>
      <c r="E165" s="1109"/>
      <c r="F165" s="1121"/>
      <c r="G165" s="1106" t="s">
        <v>967</v>
      </c>
      <c r="H165" s="1107"/>
      <c r="I165" s="91"/>
      <c r="J165" s="1096"/>
      <c r="K165" s="1097"/>
      <c r="L165" s="1098"/>
      <c r="M165" s="7"/>
      <c r="N165" s="7"/>
      <c r="O165" s="7"/>
      <c r="P165" s="7"/>
      <c r="Q165" s="7"/>
      <c r="R165" s="7"/>
      <c r="S165" s="7"/>
      <c r="T165" s="7"/>
      <c r="U165" s="7"/>
      <c r="V165" s="7"/>
      <c r="W165" s="7"/>
      <c r="X165" s="7"/>
      <c r="Y165" s="7"/>
      <c r="Z165" s="7"/>
    </row>
    <row r="166" spans="1:26" ht="12.75" customHeight="1" x14ac:dyDescent="0.25">
      <c r="A166" s="1110"/>
      <c r="B166" s="1117"/>
      <c r="C166" s="1118"/>
      <c r="D166" s="1119"/>
      <c r="E166" s="1110"/>
      <c r="F166" s="1122"/>
      <c r="G166" s="1106" t="s">
        <v>968</v>
      </c>
      <c r="H166" s="1107"/>
      <c r="I166" s="81">
        <v>0.6</v>
      </c>
      <c r="J166" s="1099"/>
      <c r="K166" s="1100"/>
      <c r="L166" s="1101"/>
      <c r="M166" s="7"/>
      <c r="N166" s="7"/>
      <c r="O166" s="7"/>
      <c r="P166" s="7"/>
      <c r="Q166" s="7"/>
      <c r="R166" s="7"/>
      <c r="S166" s="7"/>
      <c r="T166" s="7"/>
      <c r="U166" s="7"/>
      <c r="V166" s="7"/>
      <c r="W166" s="7"/>
      <c r="X166" s="7"/>
      <c r="Y166" s="7"/>
      <c r="Z166" s="7"/>
    </row>
    <row r="167" spans="1:26" ht="12.75"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x14ac:dyDescent="0.25">
      <c r="A168" s="966" t="s">
        <v>39</v>
      </c>
      <c r="B168" s="1092"/>
      <c r="C168" s="1092"/>
      <c r="D168" s="967"/>
      <c r="E168" s="6" t="s">
        <v>40</v>
      </c>
      <c r="F168" s="6" t="s">
        <v>41</v>
      </c>
      <c r="G168" s="1030" t="s">
        <v>730</v>
      </c>
      <c r="H168" s="1123"/>
      <c r="I168" s="966" t="s">
        <v>1427</v>
      </c>
      <c r="J168" s="1092"/>
      <c r="K168" s="1092"/>
      <c r="L168" s="967"/>
      <c r="M168" s="7"/>
      <c r="N168" s="7"/>
      <c r="O168" s="7"/>
      <c r="P168" s="7"/>
      <c r="Q168" s="7"/>
      <c r="R168" s="7"/>
      <c r="S168" s="7"/>
      <c r="T168" s="7"/>
      <c r="U168" s="7"/>
      <c r="V168" s="7"/>
      <c r="W168" s="7"/>
      <c r="X168" s="7"/>
      <c r="Y168" s="7"/>
      <c r="Z168" s="7"/>
    </row>
    <row r="169" spans="1:26" ht="12.75" customHeight="1" x14ac:dyDescent="0.25">
      <c r="A169" s="1108" t="s">
        <v>969</v>
      </c>
      <c r="B169" s="1111" t="s">
        <v>970</v>
      </c>
      <c r="C169" s="1112"/>
      <c r="D169" s="1113"/>
      <c r="E169" s="1108" t="s">
        <v>420</v>
      </c>
      <c r="F169" s="1120">
        <f>I169</f>
        <v>1.76</v>
      </c>
      <c r="G169" s="1106" t="s">
        <v>261</v>
      </c>
      <c r="H169" s="1107"/>
      <c r="I169" s="3">
        <f>+I177*I170</f>
        <v>1.76</v>
      </c>
      <c r="J169" s="1093"/>
      <c r="K169" s="1094"/>
      <c r="L169" s="1095"/>
      <c r="M169" s="7"/>
      <c r="N169" s="7"/>
      <c r="O169" s="7"/>
      <c r="P169" s="7"/>
      <c r="Q169" s="7"/>
      <c r="R169" s="7"/>
      <c r="S169" s="7"/>
      <c r="T169" s="7"/>
      <c r="U169" s="7"/>
      <c r="V169" s="7"/>
      <c r="W169" s="7"/>
      <c r="X169" s="7"/>
      <c r="Y169" s="7"/>
      <c r="Z169" s="7"/>
    </row>
    <row r="170" spans="1:26" ht="12.75" customHeight="1" x14ac:dyDescent="0.25">
      <c r="A170" s="1109"/>
      <c r="B170" s="1114"/>
      <c r="C170" s="1115"/>
      <c r="D170" s="1116"/>
      <c r="E170" s="1109"/>
      <c r="F170" s="1121"/>
      <c r="G170" s="1106" t="s">
        <v>184</v>
      </c>
      <c r="H170" s="1107"/>
      <c r="I170" s="81">
        <v>2</v>
      </c>
      <c r="J170" s="1096"/>
      <c r="K170" s="1097"/>
      <c r="L170" s="1098"/>
      <c r="M170" s="7"/>
      <c r="N170" s="7"/>
      <c r="O170" s="7"/>
      <c r="P170" s="7"/>
      <c r="Q170" s="7"/>
      <c r="R170" s="7"/>
      <c r="S170" s="7"/>
      <c r="T170" s="7"/>
      <c r="U170" s="7"/>
      <c r="V170" s="7"/>
      <c r="W170" s="7"/>
      <c r="X170" s="7"/>
      <c r="Y170" s="7"/>
      <c r="Z170" s="7"/>
    </row>
    <row r="171" spans="1:26" ht="12.75" customHeight="1" x14ac:dyDescent="0.25">
      <c r="A171" s="1109"/>
      <c r="B171" s="1114"/>
      <c r="C171" s="1115"/>
      <c r="D171" s="1116"/>
      <c r="E171" s="1109"/>
      <c r="F171" s="1121"/>
      <c r="G171" s="1106" t="s">
        <v>927</v>
      </c>
      <c r="H171" s="1107"/>
      <c r="I171" s="81"/>
      <c r="J171" s="1096"/>
      <c r="K171" s="1097"/>
      <c r="L171" s="1098"/>
      <c r="M171" s="7"/>
      <c r="N171" s="7"/>
      <c r="O171" s="7"/>
      <c r="P171" s="7"/>
      <c r="Q171" s="7"/>
      <c r="R171" s="7"/>
      <c r="S171" s="7"/>
      <c r="T171" s="7"/>
      <c r="U171" s="7"/>
      <c r="V171" s="7"/>
      <c r="W171" s="7"/>
      <c r="X171" s="7"/>
      <c r="Y171" s="7"/>
      <c r="Z171" s="7"/>
    </row>
    <row r="172" spans="1:26" ht="12.75" customHeight="1" x14ac:dyDescent="0.25">
      <c r="A172" s="1109"/>
      <c r="B172" s="1114"/>
      <c r="C172" s="1115"/>
      <c r="D172" s="1116"/>
      <c r="E172" s="1109"/>
      <c r="F172" s="1121"/>
      <c r="G172" s="1106" t="s">
        <v>733</v>
      </c>
      <c r="H172" s="1107"/>
      <c r="I172" s="81"/>
      <c r="J172" s="1096"/>
      <c r="K172" s="1097"/>
      <c r="L172" s="1098"/>
      <c r="M172" s="7"/>
      <c r="N172" s="7"/>
      <c r="O172" s="7"/>
      <c r="P172" s="7"/>
      <c r="Q172" s="7"/>
      <c r="R172" s="7"/>
      <c r="S172" s="7"/>
      <c r="T172" s="7"/>
      <c r="U172" s="7"/>
      <c r="V172" s="7"/>
      <c r="W172" s="7"/>
      <c r="X172" s="7"/>
      <c r="Y172" s="7"/>
      <c r="Z172" s="7"/>
    </row>
    <row r="173" spans="1:26" ht="12.75" customHeight="1" x14ac:dyDescent="0.25">
      <c r="A173" s="1109"/>
      <c r="B173" s="1114"/>
      <c r="C173" s="1115"/>
      <c r="D173" s="1116"/>
      <c r="E173" s="1109"/>
      <c r="F173" s="1121"/>
      <c r="G173" s="1106" t="s">
        <v>731</v>
      </c>
      <c r="H173" s="1107"/>
      <c r="I173" s="81"/>
      <c r="J173" s="1096"/>
      <c r="K173" s="1097"/>
      <c r="L173" s="1098"/>
      <c r="M173" s="7"/>
      <c r="N173" s="7"/>
      <c r="O173" s="7"/>
      <c r="P173" s="7"/>
      <c r="Q173" s="7"/>
      <c r="R173" s="7"/>
      <c r="S173" s="7"/>
      <c r="T173" s="7"/>
      <c r="U173" s="7"/>
      <c r="V173" s="7"/>
      <c r="W173" s="7"/>
      <c r="X173" s="7"/>
      <c r="Y173" s="7"/>
      <c r="Z173" s="7"/>
    </row>
    <row r="174" spans="1:26" ht="12.75" customHeight="1" x14ac:dyDescent="0.25">
      <c r="A174" s="1109"/>
      <c r="B174" s="1114"/>
      <c r="C174" s="1115"/>
      <c r="D174" s="1116"/>
      <c r="E174" s="1109"/>
      <c r="F174" s="1121"/>
      <c r="G174" s="1106" t="s">
        <v>734</v>
      </c>
      <c r="H174" s="1107"/>
      <c r="I174" s="81"/>
      <c r="J174" s="1096"/>
      <c r="K174" s="1097"/>
      <c r="L174" s="1098"/>
      <c r="M174" s="7"/>
      <c r="N174" s="7"/>
      <c r="O174" s="7"/>
      <c r="P174" s="7"/>
      <c r="Q174" s="7"/>
      <c r="R174" s="7"/>
      <c r="S174" s="7"/>
      <c r="T174" s="7"/>
      <c r="U174" s="7"/>
      <c r="V174" s="7"/>
      <c r="W174" s="7"/>
      <c r="X174" s="7"/>
      <c r="Y174" s="7"/>
      <c r="Z174" s="7"/>
    </row>
    <row r="175" spans="1:26" ht="12.75" customHeight="1" x14ac:dyDescent="0.25">
      <c r="A175" s="1109"/>
      <c r="B175" s="1114"/>
      <c r="C175" s="1115"/>
      <c r="D175" s="1116"/>
      <c r="E175" s="1109"/>
      <c r="F175" s="1121"/>
      <c r="G175" s="1106" t="s">
        <v>735</v>
      </c>
      <c r="H175" s="1107"/>
      <c r="I175" s="7"/>
      <c r="J175" s="1096"/>
      <c r="K175" s="1097"/>
      <c r="L175" s="1098"/>
      <c r="M175" s="7"/>
      <c r="N175" s="7"/>
      <c r="O175" s="7"/>
      <c r="P175" s="7"/>
      <c r="Q175" s="7"/>
      <c r="R175" s="7"/>
      <c r="S175" s="7"/>
      <c r="T175" s="7"/>
      <c r="U175" s="7"/>
      <c r="V175" s="7"/>
      <c r="W175" s="7"/>
      <c r="X175" s="7"/>
      <c r="Y175" s="7"/>
      <c r="Z175" s="7"/>
    </row>
    <row r="176" spans="1:26" ht="12.75" customHeight="1" x14ac:dyDescent="0.25">
      <c r="A176" s="1109"/>
      <c r="B176" s="1114"/>
      <c r="C176" s="1115"/>
      <c r="D176" s="1116"/>
      <c r="E176" s="1109"/>
      <c r="F176" s="1121"/>
      <c r="G176" s="1106" t="s">
        <v>971</v>
      </c>
      <c r="H176" s="1107"/>
      <c r="I176" s="91"/>
      <c r="J176" s="1096"/>
      <c r="K176" s="1097"/>
      <c r="L176" s="1098"/>
      <c r="M176" s="7"/>
      <c r="N176" s="7"/>
      <c r="O176" s="7"/>
      <c r="P176" s="7"/>
      <c r="Q176" s="7"/>
      <c r="R176" s="7"/>
      <c r="S176" s="7"/>
      <c r="T176" s="7"/>
      <c r="U176" s="7"/>
      <c r="V176" s="7"/>
      <c r="W176" s="7"/>
      <c r="X176" s="7"/>
      <c r="Y176" s="7"/>
      <c r="Z176" s="7"/>
    </row>
    <row r="177" spans="1:26" ht="12.75" customHeight="1" x14ac:dyDescent="0.25">
      <c r="A177" s="1110"/>
      <c r="B177" s="1117"/>
      <c r="C177" s="1118"/>
      <c r="D177" s="1119"/>
      <c r="E177" s="1110"/>
      <c r="F177" s="1122"/>
      <c r="G177" s="1106" t="s">
        <v>972</v>
      </c>
      <c r="H177" s="1107"/>
      <c r="I177" s="81">
        <v>0.88</v>
      </c>
      <c r="J177" s="1099"/>
      <c r="K177" s="1100"/>
      <c r="L177" s="1101"/>
      <c r="M177" s="7"/>
      <c r="N177" s="7"/>
      <c r="O177" s="7"/>
      <c r="P177" s="7"/>
      <c r="Q177" s="7"/>
      <c r="R177" s="7"/>
      <c r="S177" s="7"/>
      <c r="T177" s="7"/>
      <c r="U177" s="7"/>
      <c r="V177" s="7"/>
      <c r="W177" s="7"/>
      <c r="X177" s="7"/>
      <c r="Y177" s="7"/>
      <c r="Z177" s="7"/>
    </row>
    <row r="178" spans="1:26" ht="12.75"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x14ac:dyDescent="0.25">
      <c r="A179" s="966" t="s">
        <v>39</v>
      </c>
      <c r="B179" s="1092"/>
      <c r="C179" s="1092"/>
      <c r="D179" s="967"/>
      <c r="E179" s="6" t="s">
        <v>40</v>
      </c>
      <c r="F179" s="6" t="s">
        <v>41</v>
      </c>
      <c r="G179" s="1030" t="s">
        <v>730</v>
      </c>
      <c r="H179" s="1123"/>
      <c r="I179" s="966" t="s">
        <v>1427</v>
      </c>
      <c r="J179" s="1092"/>
      <c r="K179" s="1092"/>
      <c r="L179" s="967"/>
      <c r="M179" s="7"/>
      <c r="N179" s="7"/>
      <c r="O179" s="7"/>
      <c r="P179" s="7"/>
      <c r="Q179" s="7"/>
      <c r="R179" s="7"/>
      <c r="S179" s="7"/>
      <c r="T179" s="7"/>
      <c r="U179" s="7"/>
      <c r="V179" s="7"/>
      <c r="W179" s="7"/>
      <c r="X179" s="7"/>
      <c r="Y179" s="7"/>
      <c r="Z179" s="7"/>
    </row>
    <row r="180" spans="1:26" ht="12.75" customHeight="1" x14ac:dyDescent="0.25">
      <c r="A180" s="1108" t="s">
        <v>973</v>
      </c>
      <c r="B180" s="1111" t="s">
        <v>974</v>
      </c>
      <c r="C180" s="1112"/>
      <c r="D180" s="1113"/>
      <c r="E180" s="1108" t="s">
        <v>420</v>
      </c>
      <c r="F180" s="1120">
        <f>I180</f>
        <v>0.35</v>
      </c>
      <c r="G180" s="1106" t="s">
        <v>261</v>
      </c>
      <c r="H180" s="1107"/>
      <c r="I180" s="3">
        <f>+I188*I181</f>
        <v>0.35</v>
      </c>
      <c r="J180" s="1093"/>
      <c r="K180" s="1094"/>
      <c r="L180" s="1095"/>
      <c r="M180" s="7"/>
      <c r="N180" s="7"/>
      <c r="O180" s="7"/>
      <c r="P180" s="7"/>
      <c r="Q180" s="7"/>
      <c r="R180" s="7"/>
      <c r="S180" s="7"/>
      <c r="T180" s="7"/>
      <c r="U180" s="7"/>
      <c r="V180" s="7"/>
      <c r="W180" s="7"/>
      <c r="X180" s="7"/>
      <c r="Y180" s="7"/>
      <c r="Z180" s="7"/>
    </row>
    <row r="181" spans="1:26" ht="12.75" customHeight="1" x14ac:dyDescent="0.25">
      <c r="A181" s="1109"/>
      <c r="B181" s="1114"/>
      <c r="C181" s="1115"/>
      <c r="D181" s="1116"/>
      <c r="E181" s="1109"/>
      <c r="F181" s="1121"/>
      <c r="G181" s="1106" t="s">
        <v>184</v>
      </c>
      <c r="H181" s="1107"/>
      <c r="I181" s="81">
        <v>1</v>
      </c>
      <c r="J181" s="1096"/>
      <c r="K181" s="1097"/>
      <c r="L181" s="1098"/>
      <c r="M181" s="7"/>
      <c r="N181" s="7"/>
      <c r="O181" s="7"/>
      <c r="P181" s="7"/>
      <c r="Q181" s="7"/>
      <c r="R181" s="7"/>
      <c r="S181" s="7"/>
      <c r="T181" s="7"/>
      <c r="U181" s="7"/>
      <c r="V181" s="7"/>
      <c r="W181" s="7"/>
      <c r="X181" s="7"/>
      <c r="Y181" s="7"/>
      <c r="Z181" s="7"/>
    </row>
    <row r="182" spans="1:26" ht="12.75" customHeight="1" x14ac:dyDescent="0.25">
      <c r="A182" s="1109"/>
      <c r="B182" s="1114"/>
      <c r="C182" s="1115"/>
      <c r="D182" s="1116"/>
      <c r="E182" s="1109"/>
      <c r="F182" s="1121"/>
      <c r="G182" s="1106" t="s">
        <v>927</v>
      </c>
      <c r="H182" s="1107"/>
      <c r="I182" s="81"/>
      <c r="J182" s="1096"/>
      <c r="K182" s="1097"/>
      <c r="L182" s="1098"/>
      <c r="M182" s="7"/>
      <c r="N182" s="7"/>
      <c r="O182" s="7"/>
      <c r="P182" s="7"/>
      <c r="Q182" s="7"/>
      <c r="R182" s="7"/>
      <c r="S182" s="7"/>
      <c r="T182" s="7"/>
      <c r="U182" s="7"/>
      <c r="V182" s="7"/>
      <c r="W182" s="7"/>
      <c r="X182" s="7"/>
      <c r="Y182" s="7"/>
      <c r="Z182" s="7"/>
    </row>
    <row r="183" spans="1:26" ht="12.75" customHeight="1" x14ac:dyDescent="0.25">
      <c r="A183" s="1109"/>
      <c r="B183" s="1114"/>
      <c r="C183" s="1115"/>
      <c r="D183" s="1116"/>
      <c r="E183" s="1109"/>
      <c r="F183" s="1121"/>
      <c r="G183" s="1106" t="s">
        <v>733</v>
      </c>
      <c r="H183" s="1107"/>
      <c r="I183" s="81"/>
      <c r="J183" s="1096"/>
      <c r="K183" s="1097"/>
      <c r="L183" s="1098"/>
      <c r="M183" s="7"/>
      <c r="N183" s="7"/>
      <c r="O183" s="7"/>
      <c r="P183" s="7"/>
      <c r="Q183" s="7"/>
      <c r="R183" s="7"/>
      <c r="S183" s="7"/>
      <c r="T183" s="7"/>
      <c r="U183" s="7"/>
      <c r="V183" s="7"/>
      <c r="W183" s="7"/>
      <c r="X183" s="7"/>
      <c r="Y183" s="7"/>
      <c r="Z183" s="7"/>
    </row>
    <row r="184" spans="1:26" ht="12.75" customHeight="1" x14ac:dyDescent="0.25">
      <c r="A184" s="1109"/>
      <c r="B184" s="1114"/>
      <c r="C184" s="1115"/>
      <c r="D184" s="1116"/>
      <c r="E184" s="1109"/>
      <c r="F184" s="1121"/>
      <c r="G184" s="1106" t="s">
        <v>731</v>
      </c>
      <c r="H184" s="1107"/>
      <c r="I184" s="81"/>
      <c r="J184" s="1096"/>
      <c r="K184" s="1097"/>
      <c r="L184" s="1098"/>
      <c r="M184" s="7"/>
      <c r="N184" s="7"/>
      <c r="O184" s="7"/>
      <c r="P184" s="7"/>
      <c r="Q184" s="7"/>
      <c r="R184" s="7"/>
      <c r="S184" s="7"/>
      <c r="T184" s="7"/>
      <c r="U184" s="7"/>
      <c r="V184" s="7"/>
      <c r="W184" s="7"/>
      <c r="X184" s="7"/>
      <c r="Y184" s="7"/>
      <c r="Z184" s="7"/>
    </row>
    <row r="185" spans="1:26" ht="12.75" customHeight="1" x14ac:dyDescent="0.25">
      <c r="A185" s="1109"/>
      <c r="B185" s="1114"/>
      <c r="C185" s="1115"/>
      <c r="D185" s="1116"/>
      <c r="E185" s="1109"/>
      <c r="F185" s="1121"/>
      <c r="G185" s="1106" t="s">
        <v>734</v>
      </c>
      <c r="H185" s="1107"/>
      <c r="I185" s="81"/>
      <c r="J185" s="1096"/>
      <c r="K185" s="1097"/>
      <c r="L185" s="1098"/>
      <c r="M185" s="7"/>
      <c r="N185" s="7"/>
      <c r="O185" s="7"/>
      <c r="P185" s="7"/>
      <c r="Q185" s="7"/>
      <c r="R185" s="7"/>
      <c r="S185" s="7"/>
      <c r="T185" s="7"/>
      <c r="U185" s="7"/>
      <c r="V185" s="7"/>
      <c r="W185" s="7"/>
      <c r="X185" s="7"/>
      <c r="Y185" s="7"/>
      <c r="Z185" s="7"/>
    </row>
    <row r="186" spans="1:26" ht="12.75" customHeight="1" x14ac:dyDescent="0.25">
      <c r="A186" s="1109"/>
      <c r="B186" s="1114"/>
      <c r="C186" s="1115"/>
      <c r="D186" s="1116"/>
      <c r="E186" s="1109"/>
      <c r="F186" s="1121"/>
      <c r="G186" s="1106" t="s">
        <v>735</v>
      </c>
      <c r="H186" s="1107"/>
      <c r="I186" s="7"/>
      <c r="J186" s="1096"/>
      <c r="K186" s="1097"/>
      <c r="L186" s="1098"/>
      <c r="M186" s="7"/>
      <c r="N186" s="7"/>
      <c r="O186" s="7"/>
      <c r="P186" s="7"/>
      <c r="Q186" s="7"/>
      <c r="R186" s="7"/>
      <c r="S186" s="7"/>
      <c r="T186" s="7"/>
      <c r="U186" s="7"/>
      <c r="V186" s="7"/>
      <c r="W186" s="7"/>
      <c r="X186" s="7"/>
      <c r="Y186" s="7"/>
      <c r="Z186" s="7"/>
    </row>
    <row r="187" spans="1:26" ht="12.75" customHeight="1" x14ac:dyDescent="0.25">
      <c r="A187" s="1109"/>
      <c r="B187" s="1114"/>
      <c r="C187" s="1115"/>
      <c r="D187" s="1116"/>
      <c r="E187" s="1109"/>
      <c r="F187" s="1121"/>
      <c r="G187" s="1106" t="s">
        <v>975</v>
      </c>
      <c r="H187" s="1107"/>
      <c r="I187" s="91"/>
      <c r="J187" s="1096"/>
      <c r="K187" s="1097"/>
      <c r="L187" s="1098"/>
      <c r="M187" s="7"/>
      <c r="N187" s="7"/>
      <c r="O187" s="7"/>
      <c r="P187" s="7"/>
      <c r="Q187" s="7"/>
      <c r="R187" s="7"/>
      <c r="S187" s="7"/>
      <c r="T187" s="7"/>
      <c r="U187" s="7"/>
      <c r="V187" s="7"/>
      <c r="W187" s="7"/>
      <c r="X187" s="7"/>
      <c r="Y187" s="7"/>
      <c r="Z187" s="7"/>
    </row>
    <row r="188" spans="1:26" ht="12.75" customHeight="1" x14ac:dyDescent="0.25">
      <c r="A188" s="1110"/>
      <c r="B188" s="1117"/>
      <c r="C188" s="1118"/>
      <c r="D188" s="1119"/>
      <c r="E188" s="1110"/>
      <c r="F188" s="1122"/>
      <c r="G188" s="1106" t="s">
        <v>976</v>
      </c>
      <c r="H188" s="1107"/>
      <c r="I188" s="81">
        <v>0.35</v>
      </c>
      <c r="J188" s="1099"/>
      <c r="K188" s="1100"/>
      <c r="L188" s="1101"/>
      <c r="M188" s="7"/>
      <c r="N188" s="7"/>
      <c r="O188" s="7"/>
      <c r="P188" s="7"/>
      <c r="Q188" s="7"/>
      <c r="R188" s="7"/>
      <c r="S188" s="7"/>
      <c r="T188" s="7"/>
      <c r="U188" s="7"/>
      <c r="V188" s="7"/>
      <c r="W188" s="7"/>
      <c r="X188" s="7"/>
      <c r="Y188" s="7"/>
      <c r="Z188" s="7"/>
    </row>
    <row r="189" spans="1:26" ht="12.75"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x14ac:dyDescent="0.25">
      <c r="A190" s="966" t="s">
        <v>39</v>
      </c>
      <c r="B190" s="1092"/>
      <c r="C190" s="1092"/>
      <c r="D190" s="967"/>
      <c r="E190" s="6" t="s">
        <v>40</v>
      </c>
      <c r="F190" s="6" t="s">
        <v>41</v>
      </c>
      <c r="G190" s="1030" t="s">
        <v>730</v>
      </c>
      <c r="H190" s="1123"/>
      <c r="I190" s="966" t="s">
        <v>1427</v>
      </c>
      <c r="J190" s="1092"/>
      <c r="K190" s="1092"/>
      <c r="L190" s="967"/>
      <c r="M190" s="7"/>
      <c r="N190" s="7"/>
      <c r="O190" s="7"/>
      <c r="P190" s="7"/>
      <c r="Q190" s="7"/>
      <c r="R190" s="7"/>
      <c r="S190" s="7"/>
      <c r="T190" s="7"/>
      <c r="U190" s="7"/>
      <c r="V190" s="7"/>
      <c r="W190" s="7"/>
      <c r="X190" s="7"/>
      <c r="Y190" s="7"/>
      <c r="Z190" s="7"/>
    </row>
    <row r="191" spans="1:26" ht="12.75" customHeight="1" x14ac:dyDescent="0.25">
      <c r="A191" s="1108" t="s">
        <v>977</v>
      </c>
      <c r="B191" s="1111" t="s">
        <v>978</v>
      </c>
      <c r="C191" s="1112"/>
      <c r="D191" s="1113"/>
      <c r="E191" s="1108" t="s">
        <v>420</v>
      </c>
      <c r="F191" s="1120">
        <f>I191</f>
        <v>4</v>
      </c>
      <c r="G191" s="1106" t="s">
        <v>261</v>
      </c>
      <c r="H191" s="1107"/>
      <c r="I191" s="3">
        <f>+I192</f>
        <v>4</v>
      </c>
      <c r="J191" s="1093"/>
      <c r="K191" s="1094"/>
      <c r="L191" s="1095"/>
      <c r="M191" s="7"/>
      <c r="N191" s="7"/>
      <c r="O191" s="7"/>
      <c r="P191" s="7"/>
      <c r="Q191" s="7"/>
      <c r="R191" s="7"/>
      <c r="S191" s="7"/>
      <c r="T191" s="7"/>
      <c r="U191" s="7"/>
      <c r="V191" s="7"/>
      <c r="W191" s="7"/>
      <c r="X191" s="7"/>
      <c r="Y191" s="7"/>
      <c r="Z191" s="7"/>
    </row>
    <row r="192" spans="1:26" ht="12.75" customHeight="1" x14ac:dyDescent="0.25">
      <c r="A192" s="1109"/>
      <c r="B192" s="1114"/>
      <c r="C192" s="1115"/>
      <c r="D192" s="1116"/>
      <c r="E192" s="1109"/>
      <c r="F192" s="1121"/>
      <c r="G192" s="1106" t="s">
        <v>184</v>
      </c>
      <c r="H192" s="1107"/>
      <c r="I192" s="81">
        <v>4</v>
      </c>
      <c r="J192" s="1096"/>
      <c r="K192" s="1097"/>
      <c r="L192" s="1098"/>
      <c r="M192" s="7"/>
      <c r="N192" s="7"/>
      <c r="O192" s="7"/>
      <c r="P192" s="7"/>
      <c r="Q192" s="7"/>
      <c r="R192" s="7"/>
      <c r="S192" s="7"/>
      <c r="T192" s="7"/>
      <c r="U192" s="7"/>
      <c r="V192" s="7"/>
      <c r="W192" s="7"/>
      <c r="X192" s="7"/>
      <c r="Y192" s="7"/>
      <c r="Z192" s="7"/>
    </row>
    <row r="193" spans="1:26" ht="12.75" customHeight="1" x14ac:dyDescent="0.25">
      <c r="A193" s="1109"/>
      <c r="B193" s="1114"/>
      <c r="C193" s="1115"/>
      <c r="D193" s="1116"/>
      <c r="E193" s="1109"/>
      <c r="F193" s="1121"/>
      <c r="G193" s="1106" t="s">
        <v>927</v>
      </c>
      <c r="H193" s="1107"/>
      <c r="I193" s="81"/>
      <c r="J193" s="1096"/>
      <c r="K193" s="1097"/>
      <c r="L193" s="1098"/>
      <c r="M193" s="7"/>
      <c r="N193" s="7"/>
      <c r="O193" s="7"/>
      <c r="P193" s="7"/>
      <c r="Q193" s="7"/>
      <c r="R193" s="7"/>
      <c r="S193" s="7"/>
      <c r="T193" s="7"/>
      <c r="U193" s="7"/>
      <c r="V193" s="7"/>
      <c r="W193" s="7"/>
      <c r="X193" s="7"/>
      <c r="Y193" s="7"/>
      <c r="Z193" s="7"/>
    </row>
    <row r="194" spans="1:26" ht="12.75" customHeight="1" x14ac:dyDescent="0.25">
      <c r="A194" s="1109"/>
      <c r="B194" s="1114"/>
      <c r="C194" s="1115"/>
      <c r="D194" s="1116"/>
      <c r="E194" s="1109"/>
      <c r="F194" s="1121"/>
      <c r="G194" s="1106" t="s">
        <v>733</v>
      </c>
      <c r="H194" s="1107"/>
      <c r="I194" s="81"/>
      <c r="J194" s="1096"/>
      <c r="K194" s="1097"/>
      <c r="L194" s="1098"/>
      <c r="M194" s="7"/>
      <c r="N194" s="7"/>
      <c r="O194" s="7"/>
      <c r="P194" s="7"/>
      <c r="Q194" s="7"/>
      <c r="R194" s="7"/>
      <c r="S194" s="7"/>
      <c r="T194" s="7"/>
      <c r="U194" s="7"/>
      <c r="V194" s="7"/>
      <c r="W194" s="7"/>
      <c r="X194" s="7"/>
      <c r="Y194" s="7"/>
      <c r="Z194" s="7"/>
    </row>
    <row r="195" spans="1:26" ht="12.75" customHeight="1" x14ac:dyDescent="0.25">
      <c r="A195" s="1109"/>
      <c r="B195" s="1114"/>
      <c r="C195" s="1115"/>
      <c r="D195" s="1116"/>
      <c r="E195" s="1109"/>
      <c r="F195" s="1121"/>
      <c r="G195" s="1106" t="s">
        <v>731</v>
      </c>
      <c r="H195" s="1107"/>
      <c r="I195" s="81"/>
      <c r="J195" s="1096"/>
      <c r="K195" s="1097"/>
      <c r="L195" s="1098"/>
      <c r="M195" s="7"/>
      <c r="N195" s="7"/>
      <c r="O195" s="7"/>
      <c r="P195" s="7"/>
      <c r="Q195" s="7"/>
      <c r="R195" s="7"/>
      <c r="S195" s="7"/>
      <c r="T195" s="7"/>
      <c r="U195" s="7"/>
      <c r="V195" s="7"/>
      <c r="W195" s="7"/>
      <c r="X195" s="7"/>
      <c r="Y195" s="7"/>
      <c r="Z195" s="7"/>
    </row>
    <row r="196" spans="1:26" ht="12.75" customHeight="1" x14ac:dyDescent="0.25">
      <c r="A196" s="1109"/>
      <c r="B196" s="1114"/>
      <c r="C196" s="1115"/>
      <c r="D196" s="1116"/>
      <c r="E196" s="1109"/>
      <c r="F196" s="1121"/>
      <c r="G196" s="1106" t="s">
        <v>734</v>
      </c>
      <c r="H196" s="1107"/>
      <c r="I196" s="81"/>
      <c r="J196" s="1096"/>
      <c r="K196" s="1097"/>
      <c r="L196" s="1098"/>
      <c r="M196" s="7"/>
      <c r="N196" s="7"/>
      <c r="O196" s="7"/>
      <c r="P196" s="7"/>
      <c r="Q196" s="7"/>
      <c r="R196" s="7"/>
      <c r="S196" s="7"/>
      <c r="T196" s="7"/>
      <c r="U196" s="7"/>
      <c r="V196" s="7"/>
      <c r="W196" s="7"/>
      <c r="X196" s="7"/>
      <c r="Y196" s="7"/>
      <c r="Z196" s="7"/>
    </row>
    <row r="197" spans="1:26" ht="12.75" customHeight="1" x14ac:dyDescent="0.25">
      <c r="A197" s="1109"/>
      <c r="B197" s="1114"/>
      <c r="C197" s="1115"/>
      <c r="D197" s="1116"/>
      <c r="E197" s="1109"/>
      <c r="F197" s="1121"/>
      <c r="G197" s="1106" t="s">
        <v>735</v>
      </c>
      <c r="H197" s="1107"/>
      <c r="I197" s="7"/>
      <c r="J197" s="1096"/>
      <c r="K197" s="1097"/>
      <c r="L197" s="1098"/>
      <c r="M197" s="7"/>
      <c r="N197" s="7"/>
      <c r="O197" s="7"/>
      <c r="P197" s="7"/>
      <c r="Q197" s="7"/>
      <c r="R197" s="7"/>
      <c r="S197" s="7"/>
      <c r="T197" s="7"/>
      <c r="U197" s="7"/>
      <c r="V197" s="7"/>
      <c r="W197" s="7"/>
      <c r="X197" s="7"/>
      <c r="Y197" s="7"/>
      <c r="Z197" s="7"/>
    </row>
    <row r="198" spans="1:26" ht="12.75" customHeight="1" x14ac:dyDescent="0.25">
      <c r="A198" s="1109"/>
      <c r="B198" s="1114"/>
      <c r="C198" s="1115"/>
      <c r="D198" s="1116"/>
      <c r="E198" s="1109"/>
      <c r="F198" s="1121"/>
      <c r="G198" s="1106" t="s">
        <v>979</v>
      </c>
      <c r="H198" s="1107"/>
      <c r="I198" s="91"/>
      <c r="J198" s="1096"/>
      <c r="K198" s="1097"/>
      <c r="L198" s="1098"/>
      <c r="M198" s="7"/>
      <c r="N198" s="7"/>
      <c r="O198" s="7"/>
      <c r="P198" s="7"/>
      <c r="Q198" s="7"/>
      <c r="R198" s="7"/>
      <c r="S198" s="7"/>
      <c r="T198" s="7"/>
      <c r="U198" s="7"/>
      <c r="V198" s="7"/>
      <c r="W198" s="7"/>
      <c r="X198" s="7"/>
      <c r="Y198" s="7"/>
      <c r="Z198" s="7"/>
    </row>
    <row r="199" spans="1:26" ht="12.75" customHeight="1" x14ac:dyDescent="0.25">
      <c r="A199" s="1110"/>
      <c r="B199" s="1117"/>
      <c r="C199" s="1118"/>
      <c r="D199" s="1119"/>
      <c r="E199" s="1110"/>
      <c r="F199" s="1122"/>
      <c r="G199" s="1106" t="s">
        <v>980</v>
      </c>
      <c r="H199" s="1107"/>
      <c r="I199" s="81"/>
      <c r="J199" s="1099"/>
      <c r="K199" s="1100"/>
      <c r="L199" s="1101"/>
      <c r="M199" s="7"/>
      <c r="N199" s="7"/>
      <c r="O199" s="7"/>
      <c r="P199" s="7"/>
      <c r="Q199" s="7"/>
      <c r="R199" s="7"/>
      <c r="S199" s="7"/>
      <c r="T199" s="7"/>
      <c r="U199" s="7"/>
      <c r="V199" s="7"/>
      <c r="W199" s="7"/>
      <c r="X199" s="7"/>
      <c r="Y199" s="7"/>
      <c r="Z199" s="7"/>
    </row>
    <row r="200" spans="1:26" ht="12.75"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x14ac:dyDescent="0.25">
      <c r="A201" s="966" t="s">
        <v>39</v>
      </c>
      <c r="B201" s="1092"/>
      <c r="C201" s="1092"/>
      <c r="D201" s="967"/>
      <c r="E201" s="6" t="s">
        <v>40</v>
      </c>
      <c r="F201" s="6" t="s">
        <v>41</v>
      </c>
      <c r="G201" s="1030" t="s">
        <v>730</v>
      </c>
      <c r="H201" s="1123"/>
      <c r="I201" s="966" t="s">
        <v>1427</v>
      </c>
      <c r="J201" s="1092"/>
      <c r="K201" s="1092"/>
      <c r="L201" s="967"/>
      <c r="M201" s="7"/>
      <c r="N201" s="7"/>
      <c r="O201" s="7"/>
      <c r="P201" s="7"/>
      <c r="Q201" s="7"/>
      <c r="R201" s="7"/>
      <c r="S201" s="7"/>
      <c r="T201" s="7"/>
      <c r="U201" s="7"/>
      <c r="V201" s="7"/>
      <c r="W201" s="7"/>
      <c r="X201" s="7"/>
      <c r="Y201" s="7"/>
      <c r="Z201" s="7"/>
    </row>
    <row r="202" spans="1:26" ht="12.75" customHeight="1" x14ac:dyDescent="0.25">
      <c r="A202" s="1108" t="s">
        <v>981</v>
      </c>
      <c r="B202" s="1111" t="s">
        <v>982</v>
      </c>
      <c r="C202" s="1112"/>
      <c r="D202" s="1113"/>
      <c r="E202" s="1108" t="s">
        <v>420</v>
      </c>
      <c r="F202" s="1120">
        <f>I202</f>
        <v>1</v>
      </c>
      <c r="G202" s="1106" t="s">
        <v>261</v>
      </c>
      <c r="H202" s="1107"/>
      <c r="I202" s="3">
        <f>+I203</f>
        <v>1</v>
      </c>
      <c r="J202" s="1093"/>
      <c r="K202" s="1094"/>
      <c r="L202" s="1095"/>
      <c r="M202" s="7"/>
      <c r="N202" s="7"/>
      <c r="O202" s="7"/>
      <c r="P202" s="7"/>
      <c r="Q202" s="7"/>
      <c r="R202" s="7"/>
      <c r="S202" s="7"/>
      <c r="T202" s="7"/>
      <c r="U202" s="7"/>
      <c r="V202" s="7"/>
      <c r="W202" s="7"/>
      <c r="X202" s="7"/>
      <c r="Y202" s="7"/>
      <c r="Z202" s="7"/>
    </row>
    <row r="203" spans="1:26" ht="12.75" customHeight="1" x14ac:dyDescent="0.25">
      <c r="A203" s="1109"/>
      <c r="B203" s="1114"/>
      <c r="C203" s="1115"/>
      <c r="D203" s="1116"/>
      <c r="E203" s="1109"/>
      <c r="F203" s="1121"/>
      <c r="G203" s="1106" t="s">
        <v>184</v>
      </c>
      <c r="H203" s="1107"/>
      <c r="I203" s="81">
        <v>1</v>
      </c>
      <c r="J203" s="1096"/>
      <c r="K203" s="1097"/>
      <c r="L203" s="1098"/>
      <c r="M203" s="7"/>
      <c r="N203" s="7"/>
      <c r="O203" s="7"/>
      <c r="P203" s="7"/>
      <c r="Q203" s="7"/>
      <c r="R203" s="7"/>
      <c r="S203" s="7"/>
      <c r="T203" s="7"/>
      <c r="U203" s="7"/>
      <c r="V203" s="7"/>
      <c r="W203" s="7"/>
      <c r="X203" s="7"/>
      <c r="Y203" s="7"/>
      <c r="Z203" s="7"/>
    </row>
    <row r="204" spans="1:26" ht="12.75" customHeight="1" x14ac:dyDescent="0.25">
      <c r="A204" s="1109"/>
      <c r="B204" s="1114"/>
      <c r="C204" s="1115"/>
      <c r="D204" s="1116"/>
      <c r="E204" s="1109"/>
      <c r="F204" s="1121"/>
      <c r="G204" s="1106" t="s">
        <v>927</v>
      </c>
      <c r="H204" s="1107"/>
      <c r="I204" s="81"/>
      <c r="J204" s="1096"/>
      <c r="K204" s="1097"/>
      <c r="L204" s="1098"/>
      <c r="M204" s="7"/>
      <c r="N204" s="7"/>
      <c r="O204" s="7"/>
      <c r="P204" s="7"/>
      <c r="Q204" s="7"/>
      <c r="R204" s="7"/>
      <c r="S204" s="7"/>
      <c r="T204" s="7"/>
      <c r="U204" s="7"/>
      <c r="V204" s="7"/>
      <c r="W204" s="7"/>
      <c r="X204" s="7"/>
      <c r="Y204" s="7"/>
      <c r="Z204" s="7"/>
    </row>
    <row r="205" spans="1:26" ht="12.75" customHeight="1" x14ac:dyDescent="0.25">
      <c r="A205" s="1109"/>
      <c r="B205" s="1114"/>
      <c r="C205" s="1115"/>
      <c r="D205" s="1116"/>
      <c r="E205" s="1109"/>
      <c r="F205" s="1121"/>
      <c r="G205" s="1106" t="s">
        <v>733</v>
      </c>
      <c r="H205" s="1107"/>
      <c r="I205" s="81"/>
      <c r="J205" s="1096"/>
      <c r="K205" s="1097"/>
      <c r="L205" s="1098"/>
      <c r="M205" s="7"/>
      <c r="N205" s="7"/>
      <c r="O205" s="7"/>
      <c r="P205" s="7"/>
      <c r="Q205" s="7"/>
      <c r="R205" s="7"/>
      <c r="S205" s="7"/>
      <c r="T205" s="7"/>
      <c r="U205" s="7"/>
      <c r="V205" s="7"/>
      <c r="W205" s="7"/>
      <c r="X205" s="7"/>
      <c r="Y205" s="7"/>
      <c r="Z205" s="7"/>
    </row>
    <row r="206" spans="1:26" ht="12.75" customHeight="1" x14ac:dyDescent="0.25">
      <c r="A206" s="1109"/>
      <c r="B206" s="1114"/>
      <c r="C206" s="1115"/>
      <c r="D206" s="1116"/>
      <c r="E206" s="1109"/>
      <c r="F206" s="1121"/>
      <c r="G206" s="1106" t="s">
        <v>731</v>
      </c>
      <c r="H206" s="1107"/>
      <c r="I206" s="81"/>
      <c r="J206" s="1096"/>
      <c r="K206" s="1097"/>
      <c r="L206" s="1098"/>
      <c r="M206" s="7"/>
      <c r="N206" s="7"/>
      <c r="O206" s="7"/>
      <c r="P206" s="7"/>
      <c r="Q206" s="7"/>
      <c r="R206" s="7"/>
      <c r="S206" s="7"/>
      <c r="T206" s="7"/>
      <c r="U206" s="7"/>
      <c r="V206" s="7"/>
      <c r="W206" s="7"/>
      <c r="X206" s="7"/>
      <c r="Y206" s="7"/>
      <c r="Z206" s="7"/>
    </row>
    <row r="207" spans="1:26" ht="12.75" customHeight="1" x14ac:dyDescent="0.25">
      <c r="A207" s="1109"/>
      <c r="B207" s="1114"/>
      <c r="C207" s="1115"/>
      <c r="D207" s="1116"/>
      <c r="E207" s="1109"/>
      <c r="F207" s="1121"/>
      <c r="G207" s="1106" t="s">
        <v>734</v>
      </c>
      <c r="H207" s="1107"/>
      <c r="I207" s="81"/>
      <c r="J207" s="1096"/>
      <c r="K207" s="1097"/>
      <c r="L207" s="1098"/>
      <c r="M207" s="7"/>
      <c r="N207" s="7"/>
      <c r="O207" s="7"/>
      <c r="P207" s="7"/>
      <c r="Q207" s="7"/>
      <c r="R207" s="7"/>
      <c r="S207" s="7"/>
      <c r="T207" s="7"/>
      <c r="U207" s="7"/>
      <c r="V207" s="7"/>
      <c r="W207" s="7"/>
      <c r="X207" s="7"/>
      <c r="Y207" s="7"/>
      <c r="Z207" s="7"/>
    </row>
    <row r="208" spans="1:26" ht="12.75" customHeight="1" x14ac:dyDescent="0.25">
      <c r="A208" s="1109"/>
      <c r="B208" s="1114"/>
      <c r="C208" s="1115"/>
      <c r="D208" s="1116"/>
      <c r="E208" s="1109"/>
      <c r="F208" s="1121"/>
      <c r="G208" s="1106" t="s">
        <v>735</v>
      </c>
      <c r="H208" s="1107"/>
      <c r="I208" s="7"/>
      <c r="J208" s="1096"/>
      <c r="K208" s="1097"/>
      <c r="L208" s="1098"/>
      <c r="M208" s="7"/>
      <c r="N208" s="7"/>
      <c r="O208" s="7"/>
      <c r="P208" s="7"/>
      <c r="Q208" s="7"/>
      <c r="R208" s="7"/>
      <c r="S208" s="7"/>
      <c r="T208" s="7"/>
      <c r="U208" s="7"/>
      <c r="V208" s="7"/>
      <c r="W208" s="7"/>
      <c r="X208" s="7"/>
      <c r="Y208" s="7"/>
      <c r="Z208" s="7"/>
    </row>
    <row r="209" spans="1:26" ht="12.75" customHeight="1" x14ac:dyDescent="0.25">
      <c r="A209" s="1109"/>
      <c r="B209" s="1114"/>
      <c r="C209" s="1115"/>
      <c r="D209" s="1116"/>
      <c r="E209" s="1109"/>
      <c r="F209" s="1121"/>
      <c r="G209" s="1106" t="s">
        <v>983</v>
      </c>
      <c r="H209" s="1107"/>
      <c r="I209" s="91"/>
      <c r="J209" s="1096"/>
      <c r="K209" s="1097"/>
      <c r="L209" s="1098"/>
      <c r="M209" s="7"/>
      <c r="N209" s="7"/>
      <c r="O209" s="7"/>
      <c r="P209" s="7"/>
      <c r="Q209" s="7"/>
      <c r="R209" s="7"/>
      <c r="S209" s="7"/>
      <c r="T209" s="7"/>
      <c r="U209" s="7"/>
      <c r="V209" s="7"/>
      <c r="W209" s="7"/>
      <c r="X209" s="7"/>
      <c r="Y209" s="7"/>
      <c r="Z209" s="7"/>
    </row>
    <row r="210" spans="1:26" ht="12.75" customHeight="1" x14ac:dyDescent="0.25">
      <c r="A210" s="1110"/>
      <c r="B210" s="1117"/>
      <c r="C210" s="1118"/>
      <c r="D210" s="1119"/>
      <c r="E210" s="1110"/>
      <c r="F210" s="1122"/>
      <c r="G210" s="1106" t="s">
        <v>984</v>
      </c>
      <c r="H210" s="1107"/>
      <c r="I210" s="81"/>
      <c r="J210" s="1099"/>
      <c r="K210" s="1100"/>
      <c r="L210" s="1101"/>
      <c r="M210" s="7"/>
      <c r="N210" s="7"/>
      <c r="O210" s="7"/>
      <c r="P210" s="7"/>
      <c r="Q210" s="7"/>
      <c r="R210" s="7"/>
      <c r="S210" s="7"/>
      <c r="T210" s="7"/>
      <c r="U210" s="7"/>
      <c r="V210" s="7"/>
      <c r="W210" s="7"/>
      <c r="X210" s="7"/>
      <c r="Y210" s="7"/>
      <c r="Z210" s="7"/>
    </row>
    <row r="211" spans="1:26" ht="12.75"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x14ac:dyDescent="0.25">
      <c r="A212" s="1126" t="s">
        <v>988</v>
      </c>
      <c r="B212" s="410"/>
      <c r="C212" s="410"/>
      <c r="D212" s="410"/>
      <c r="E212" s="410"/>
      <c r="F212" s="410"/>
      <c r="G212" s="410"/>
      <c r="H212" s="410"/>
      <c r="I212" s="410"/>
      <c r="J212" s="410"/>
      <c r="K212" s="410"/>
      <c r="L212" s="410"/>
      <c r="M212" s="7"/>
      <c r="N212" s="7"/>
      <c r="O212" s="7"/>
      <c r="P212" s="7"/>
      <c r="Q212" s="7"/>
      <c r="R212" s="7"/>
      <c r="S212" s="7"/>
      <c r="T212" s="7"/>
      <c r="U212" s="7"/>
      <c r="V212" s="7"/>
      <c r="W212" s="7"/>
      <c r="X212" s="7"/>
      <c r="Y212" s="7"/>
      <c r="Z212" s="7"/>
    </row>
    <row r="213" spans="1:26" ht="12.75" customHeight="1" x14ac:dyDescent="0.25">
      <c r="A213" s="412"/>
      <c r="B213" s="413"/>
      <c r="C213" s="413"/>
      <c r="D213" s="413"/>
      <c r="E213" s="413"/>
      <c r="F213" s="413"/>
      <c r="G213" s="413"/>
      <c r="H213" s="413"/>
      <c r="I213" s="413"/>
      <c r="J213" s="413"/>
      <c r="K213" s="413"/>
      <c r="L213" s="413"/>
      <c r="M213" s="7"/>
      <c r="N213" s="7"/>
      <c r="O213" s="7"/>
      <c r="P213" s="7"/>
      <c r="Q213" s="7"/>
      <c r="R213" s="7"/>
      <c r="S213" s="7"/>
      <c r="T213" s="7"/>
      <c r="U213" s="7"/>
      <c r="V213" s="7"/>
      <c r="W213" s="7"/>
      <c r="X213" s="7"/>
      <c r="Y213" s="7"/>
      <c r="Z213" s="7"/>
    </row>
    <row r="214" spans="1:26" ht="12.75"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x14ac:dyDescent="0.25">
      <c r="A215" s="470" t="s">
        <v>39</v>
      </c>
      <c r="B215" s="418"/>
      <c r="C215" s="418"/>
      <c r="D215" s="418"/>
      <c r="E215" s="6" t="s">
        <v>40</v>
      </c>
      <c r="F215" s="6" t="s">
        <v>41</v>
      </c>
      <c r="G215" s="1030" t="s">
        <v>730</v>
      </c>
      <c r="H215" s="459"/>
      <c r="I215" s="470" t="s">
        <v>1427</v>
      </c>
      <c r="J215" s="418"/>
      <c r="K215" s="418"/>
      <c r="L215" s="416"/>
      <c r="M215" s="7"/>
      <c r="N215" s="7"/>
      <c r="O215" s="7"/>
      <c r="P215" s="7"/>
      <c r="Q215" s="7"/>
      <c r="R215" s="7"/>
      <c r="S215" s="7"/>
      <c r="T215" s="7"/>
      <c r="U215" s="7"/>
      <c r="V215" s="7"/>
      <c r="W215" s="7"/>
      <c r="X215" s="7"/>
      <c r="Y215" s="7"/>
      <c r="Z215" s="7"/>
    </row>
    <row r="216" spans="1:26" ht="12.75" customHeight="1" x14ac:dyDescent="0.25">
      <c r="A216" s="1027" t="s">
        <v>915</v>
      </c>
      <c r="B216" s="1035" t="s">
        <v>985</v>
      </c>
      <c r="C216" s="410"/>
      <c r="D216" s="411"/>
      <c r="E216" s="1027" t="s">
        <v>418</v>
      </c>
      <c r="F216" s="1025">
        <f>I216</f>
        <v>3.9600000000000004</v>
      </c>
      <c r="G216" s="479" t="s">
        <v>261</v>
      </c>
      <c r="H216" s="416"/>
      <c r="I216" s="81">
        <f>+I223*I217</f>
        <v>3.9600000000000004</v>
      </c>
      <c r="J216" s="1124"/>
      <c r="K216" s="410"/>
      <c r="L216" s="411"/>
      <c r="M216" s="7"/>
      <c r="N216" s="7"/>
      <c r="O216" s="7"/>
      <c r="P216" s="7"/>
      <c r="Q216" s="7"/>
      <c r="R216" s="7"/>
      <c r="S216" s="7"/>
      <c r="T216" s="7"/>
      <c r="U216" s="7"/>
      <c r="V216" s="7"/>
      <c r="W216" s="7"/>
      <c r="X216" s="7"/>
      <c r="Y216" s="7"/>
      <c r="Z216" s="7"/>
    </row>
    <row r="217" spans="1:26" ht="12.75" customHeight="1" x14ac:dyDescent="0.25">
      <c r="A217" s="1024"/>
      <c r="B217" s="467"/>
      <c r="C217" s="468"/>
      <c r="D217" s="469"/>
      <c r="E217" s="1024"/>
      <c r="F217" s="1024"/>
      <c r="G217" s="479" t="s">
        <v>184</v>
      </c>
      <c r="H217" s="416"/>
      <c r="I217" s="81">
        <v>1</v>
      </c>
      <c r="J217" s="467"/>
      <c r="K217" s="468"/>
      <c r="L217" s="469"/>
      <c r="M217" s="7"/>
      <c r="N217" s="7"/>
      <c r="O217" s="7"/>
      <c r="P217" s="7"/>
      <c r="Q217" s="7"/>
      <c r="R217" s="7"/>
      <c r="S217" s="7"/>
      <c r="T217" s="7"/>
      <c r="U217" s="7"/>
      <c r="V217" s="7"/>
      <c r="W217" s="7"/>
      <c r="X217" s="7"/>
      <c r="Y217" s="7"/>
      <c r="Z217" s="7"/>
    </row>
    <row r="218" spans="1:26" ht="12.75" customHeight="1" x14ac:dyDescent="0.25">
      <c r="A218" s="1024"/>
      <c r="B218" s="467"/>
      <c r="C218" s="468"/>
      <c r="D218" s="469"/>
      <c r="E218" s="1024"/>
      <c r="F218" s="1024"/>
      <c r="G218" s="479" t="s">
        <v>927</v>
      </c>
      <c r="H218" s="416"/>
      <c r="I218" s="81">
        <v>2.2000000000000002</v>
      </c>
      <c r="J218" s="467"/>
      <c r="K218" s="468"/>
      <c r="L218" s="469"/>
      <c r="M218" s="7"/>
      <c r="N218" s="7"/>
      <c r="O218" s="7"/>
      <c r="P218" s="7"/>
      <c r="Q218" s="7"/>
      <c r="R218" s="7"/>
      <c r="S218" s="7"/>
      <c r="T218" s="7"/>
      <c r="U218" s="7"/>
      <c r="V218" s="7"/>
      <c r="W218" s="7"/>
      <c r="X218" s="7"/>
      <c r="Y218" s="7"/>
      <c r="Z218" s="7"/>
    </row>
    <row r="219" spans="1:26" ht="12.75" customHeight="1" x14ac:dyDescent="0.25">
      <c r="A219" s="1024"/>
      <c r="B219" s="467"/>
      <c r="C219" s="468"/>
      <c r="D219" s="469"/>
      <c r="E219" s="1024"/>
      <c r="F219" s="1024"/>
      <c r="G219" s="479" t="s">
        <v>733</v>
      </c>
      <c r="H219" s="416"/>
      <c r="I219" s="81"/>
      <c r="J219" s="467"/>
      <c r="K219" s="468"/>
      <c r="L219" s="469"/>
      <c r="M219" s="7"/>
      <c r="N219" s="7"/>
      <c r="O219" s="7"/>
      <c r="P219" s="7"/>
      <c r="Q219" s="7"/>
      <c r="R219" s="7"/>
      <c r="S219" s="7"/>
      <c r="T219" s="7"/>
      <c r="U219" s="7"/>
      <c r="V219" s="7"/>
      <c r="W219" s="7"/>
      <c r="X219" s="7"/>
      <c r="Y219" s="7"/>
      <c r="Z219" s="7"/>
    </row>
    <row r="220" spans="1:26" ht="12.75" customHeight="1" x14ac:dyDescent="0.25">
      <c r="A220" s="1024"/>
      <c r="B220" s="467"/>
      <c r="C220" s="468"/>
      <c r="D220" s="469"/>
      <c r="E220" s="1024"/>
      <c r="F220" s="1024"/>
      <c r="G220" s="479" t="s">
        <v>731</v>
      </c>
      <c r="H220" s="416"/>
      <c r="I220" s="81">
        <v>1.8</v>
      </c>
      <c r="J220" s="467"/>
      <c r="K220" s="468"/>
      <c r="L220" s="469"/>
      <c r="M220" s="7"/>
      <c r="N220" s="7"/>
      <c r="O220" s="7"/>
      <c r="P220" s="7"/>
      <c r="Q220" s="7"/>
      <c r="R220" s="7"/>
      <c r="S220" s="7"/>
      <c r="T220" s="7"/>
      <c r="U220" s="7"/>
      <c r="V220" s="7"/>
      <c r="W220" s="7"/>
      <c r="X220" s="7"/>
      <c r="Y220" s="7"/>
      <c r="Z220" s="7"/>
    </row>
    <row r="221" spans="1:26" ht="12.75" customHeight="1" x14ac:dyDescent="0.25">
      <c r="A221" s="1024"/>
      <c r="B221" s="467"/>
      <c r="C221" s="468"/>
      <c r="D221" s="469"/>
      <c r="E221" s="1024"/>
      <c r="F221" s="1024"/>
      <c r="G221" s="479" t="s">
        <v>734</v>
      </c>
      <c r="H221" s="416"/>
      <c r="I221" s="81"/>
      <c r="J221" s="467"/>
      <c r="K221" s="468"/>
      <c r="L221" s="469"/>
      <c r="M221" s="7"/>
      <c r="N221" s="7"/>
      <c r="O221" s="7"/>
      <c r="P221" s="7"/>
      <c r="Q221" s="7"/>
      <c r="R221" s="7"/>
      <c r="S221" s="7"/>
      <c r="T221" s="7"/>
      <c r="U221" s="7"/>
      <c r="V221" s="7"/>
      <c r="W221" s="7"/>
      <c r="X221" s="7"/>
      <c r="Y221" s="7"/>
      <c r="Z221" s="7"/>
    </row>
    <row r="222" spans="1:26" ht="12.75" customHeight="1" x14ac:dyDescent="0.25">
      <c r="A222" s="1024"/>
      <c r="B222" s="467"/>
      <c r="C222" s="468"/>
      <c r="D222" s="469"/>
      <c r="E222" s="1024"/>
      <c r="F222" s="1024"/>
      <c r="G222" s="479" t="s">
        <v>735</v>
      </c>
      <c r="H222" s="416"/>
      <c r="I222" s="81"/>
      <c r="J222" s="467"/>
      <c r="K222" s="468"/>
      <c r="L222" s="469"/>
      <c r="M222" s="7"/>
      <c r="N222" s="7"/>
      <c r="O222" s="7"/>
      <c r="P222" s="7"/>
      <c r="Q222" s="7"/>
      <c r="R222" s="7"/>
      <c r="S222" s="7"/>
      <c r="T222" s="7"/>
      <c r="U222" s="7"/>
      <c r="V222" s="7"/>
      <c r="W222" s="7"/>
      <c r="X222" s="7"/>
      <c r="Y222" s="7"/>
      <c r="Z222" s="7"/>
    </row>
    <row r="223" spans="1:26" ht="12.75" customHeight="1" x14ac:dyDescent="0.25">
      <c r="A223" s="1024"/>
      <c r="B223" s="467"/>
      <c r="C223" s="468"/>
      <c r="D223" s="469"/>
      <c r="E223" s="1024"/>
      <c r="F223" s="1024"/>
      <c r="G223" s="479" t="s">
        <v>989</v>
      </c>
      <c r="H223" s="416"/>
      <c r="I223" s="81">
        <f>+I220*I218</f>
        <v>3.9600000000000004</v>
      </c>
      <c r="J223" s="467"/>
      <c r="K223" s="468"/>
      <c r="L223" s="469"/>
      <c r="M223" s="7"/>
      <c r="N223" s="7"/>
      <c r="O223" s="7"/>
      <c r="P223" s="7"/>
      <c r="Q223" s="7"/>
      <c r="R223" s="7"/>
      <c r="S223" s="7"/>
      <c r="T223" s="7"/>
      <c r="U223" s="7"/>
      <c r="V223" s="7"/>
      <c r="W223" s="7"/>
      <c r="X223" s="7"/>
      <c r="Y223" s="7"/>
      <c r="Z223" s="7"/>
    </row>
    <row r="224" spans="1:26" ht="12.75" customHeight="1" x14ac:dyDescent="0.25">
      <c r="A224" s="408"/>
      <c r="B224" s="412"/>
      <c r="C224" s="413"/>
      <c r="D224" s="414"/>
      <c r="E224" s="408"/>
      <c r="F224" s="408"/>
      <c r="G224" s="479" t="s">
        <v>990</v>
      </c>
      <c r="H224" s="416"/>
      <c r="I224" s="81"/>
      <c r="J224" s="412"/>
      <c r="K224" s="413"/>
      <c r="L224" s="414"/>
      <c r="M224" s="7"/>
      <c r="N224" s="7"/>
      <c r="O224" s="7"/>
      <c r="P224" s="7"/>
      <c r="Q224" s="7"/>
      <c r="R224" s="7"/>
      <c r="S224" s="7"/>
      <c r="T224" s="7"/>
      <c r="U224" s="7"/>
      <c r="V224" s="7"/>
      <c r="W224" s="7"/>
      <c r="X224" s="7"/>
      <c r="Y224" s="7"/>
      <c r="Z224" s="7"/>
    </row>
    <row r="225" spans="1:26" ht="12.75"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x14ac:dyDescent="0.25">
      <c r="A226" s="470" t="s">
        <v>39</v>
      </c>
      <c r="B226" s="418"/>
      <c r="C226" s="418"/>
      <c r="D226" s="418"/>
      <c r="E226" s="6" t="s">
        <v>40</v>
      </c>
      <c r="F226" s="6" t="s">
        <v>41</v>
      </c>
      <c r="G226" s="1030" t="s">
        <v>730</v>
      </c>
      <c r="H226" s="459"/>
      <c r="I226" s="470" t="s">
        <v>1427</v>
      </c>
      <c r="J226" s="418"/>
      <c r="K226" s="418"/>
      <c r="L226" s="416"/>
      <c r="M226" s="7"/>
      <c r="N226" s="7"/>
      <c r="O226" s="7"/>
      <c r="P226" s="7"/>
      <c r="Q226" s="7"/>
      <c r="R226" s="7"/>
      <c r="S226" s="7"/>
      <c r="T226" s="7"/>
      <c r="U226" s="7"/>
      <c r="V226" s="7"/>
      <c r="W226" s="7"/>
      <c r="X226" s="7"/>
      <c r="Y226" s="7"/>
      <c r="Z226" s="7"/>
    </row>
    <row r="227" spans="1:26" ht="12.75" customHeight="1" x14ac:dyDescent="0.25">
      <c r="A227" s="1027" t="s">
        <v>991</v>
      </c>
      <c r="B227" s="1035" t="s">
        <v>520</v>
      </c>
      <c r="C227" s="410"/>
      <c r="D227" s="411"/>
      <c r="E227" s="1027" t="s">
        <v>420</v>
      </c>
      <c r="F227" s="1025">
        <f>I227</f>
        <v>7.7220000000000004</v>
      </c>
      <c r="G227" s="479" t="s">
        <v>261</v>
      </c>
      <c r="H227" s="416"/>
      <c r="I227" s="81">
        <f>+I235*I228</f>
        <v>7.7220000000000004</v>
      </c>
      <c r="J227" s="1124"/>
      <c r="K227" s="410"/>
      <c r="L227" s="411"/>
      <c r="M227" s="7"/>
      <c r="N227" s="7"/>
      <c r="O227" s="7"/>
      <c r="P227" s="7"/>
      <c r="Q227" s="7"/>
      <c r="R227" s="7"/>
      <c r="S227" s="7"/>
      <c r="T227" s="7"/>
      <c r="U227" s="7"/>
      <c r="V227" s="7"/>
      <c r="W227" s="7"/>
      <c r="X227" s="7"/>
      <c r="Y227" s="7"/>
      <c r="Z227" s="7"/>
    </row>
    <row r="228" spans="1:26" ht="12.75" customHeight="1" x14ac:dyDescent="0.25">
      <c r="A228" s="1024"/>
      <c r="B228" s="467"/>
      <c r="C228" s="468"/>
      <c r="D228" s="469"/>
      <c r="E228" s="1024"/>
      <c r="F228" s="1024"/>
      <c r="G228" s="479" t="s">
        <v>184</v>
      </c>
      <c r="H228" s="416"/>
      <c r="I228" s="81">
        <v>1</v>
      </c>
      <c r="J228" s="467"/>
      <c r="K228" s="468"/>
      <c r="L228" s="469"/>
      <c r="M228" s="7"/>
      <c r="N228" s="7"/>
      <c r="O228" s="7"/>
      <c r="P228" s="7"/>
      <c r="Q228" s="7"/>
      <c r="R228" s="7"/>
      <c r="S228" s="7"/>
      <c r="T228" s="7"/>
      <c r="U228" s="7"/>
      <c r="V228" s="7"/>
      <c r="W228" s="7"/>
      <c r="X228" s="7"/>
      <c r="Y228" s="7"/>
      <c r="Z228" s="7"/>
    </row>
    <row r="229" spans="1:26" ht="12.75" customHeight="1" x14ac:dyDescent="0.25">
      <c r="A229" s="1024"/>
      <c r="B229" s="467"/>
      <c r="C229" s="468"/>
      <c r="D229" s="469"/>
      <c r="E229" s="1024"/>
      <c r="F229" s="1024"/>
      <c r="G229" s="479" t="s">
        <v>927</v>
      </c>
      <c r="H229" s="416"/>
      <c r="I229" s="81">
        <v>2.2000000000000002</v>
      </c>
      <c r="J229" s="467"/>
      <c r="K229" s="468"/>
      <c r="L229" s="469"/>
      <c r="M229" s="7"/>
      <c r="N229" s="7"/>
      <c r="O229" s="7"/>
      <c r="P229" s="7"/>
      <c r="Q229" s="7"/>
      <c r="R229" s="7"/>
      <c r="S229" s="7"/>
      <c r="T229" s="7"/>
      <c r="U229" s="7"/>
      <c r="V229" s="7"/>
      <c r="W229" s="7"/>
      <c r="X229" s="7"/>
      <c r="Y229" s="7"/>
      <c r="Z229" s="7"/>
    </row>
    <row r="230" spans="1:26" ht="12.75" customHeight="1" x14ac:dyDescent="0.25">
      <c r="A230" s="1024"/>
      <c r="B230" s="467"/>
      <c r="C230" s="468"/>
      <c r="D230" s="469"/>
      <c r="E230" s="1024"/>
      <c r="F230" s="1024"/>
      <c r="G230" s="479" t="s">
        <v>733</v>
      </c>
      <c r="H230" s="416"/>
      <c r="I230" s="81">
        <v>1.95</v>
      </c>
      <c r="J230" s="467"/>
      <c r="K230" s="468"/>
      <c r="L230" s="469"/>
      <c r="M230" s="7"/>
      <c r="N230" s="7"/>
      <c r="O230" s="7"/>
      <c r="P230" s="7"/>
      <c r="Q230" s="7"/>
      <c r="R230" s="7"/>
      <c r="S230" s="7"/>
      <c r="T230" s="7"/>
      <c r="U230" s="7"/>
      <c r="V230" s="7"/>
      <c r="W230" s="7"/>
      <c r="X230" s="7"/>
      <c r="Y230" s="7"/>
      <c r="Z230" s="7"/>
    </row>
    <row r="231" spans="1:26" ht="12.75" customHeight="1" x14ac:dyDescent="0.25">
      <c r="A231" s="1024"/>
      <c r="B231" s="467"/>
      <c r="C231" s="468"/>
      <c r="D231" s="469"/>
      <c r="E231" s="1024"/>
      <c r="F231" s="1024"/>
      <c r="G231" s="479" t="s">
        <v>731</v>
      </c>
      <c r="H231" s="416"/>
      <c r="I231" s="81">
        <v>1.8</v>
      </c>
      <c r="J231" s="467"/>
      <c r="K231" s="468"/>
      <c r="L231" s="469"/>
      <c r="M231" s="7"/>
      <c r="N231" s="7"/>
      <c r="O231" s="7"/>
      <c r="P231" s="7"/>
      <c r="Q231" s="7"/>
      <c r="R231" s="7"/>
      <c r="S231" s="7"/>
      <c r="T231" s="7"/>
      <c r="U231" s="7"/>
      <c r="V231" s="7"/>
      <c r="W231" s="7"/>
      <c r="X231" s="7"/>
      <c r="Y231" s="7"/>
      <c r="Z231" s="7"/>
    </row>
    <row r="232" spans="1:26" ht="12.75" customHeight="1" x14ac:dyDescent="0.25">
      <c r="A232" s="1024"/>
      <c r="B232" s="467"/>
      <c r="C232" s="468"/>
      <c r="D232" s="469"/>
      <c r="E232" s="1024"/>
      <c r="F232" s="1024"/>
      <c r="G232" s="479" t="s">
        <v>734</v>
      </c>
      <c r="H232" s="416"/>
      <c r="I232" s="81"/>
      <c r="J232" s="467"/>
      <c r="K232" s="468"/>
      <c r="L232" s="469"/>
      <c r="M232" s="7"/>
      <c r="N232" s="7"/>
      <c r="O232" s="7"/>
      <c r="P232" s="7"/>
      <c r="Q232" s="7"/>
      <c r="R232" s="7"/>
      <c r="S232" s="7"/>
      <c r="T232" s="7"/>
      <c r="U232" s="7"/>
      <c r="V232" s="7"/>
      <c r="W232" s="7"/>
      <c r="X232" s="7"/>
      <c r="Y232" s="7"/>
      <c r="Z232" s="7"/>
    </row>
    <row r="233" spans="1:26" ht="12.75" customHeight="1" x14ac:dyDescent="0.25">
      <c r="A233" s="1024"/>
      <c r="B233" s="467"/>
      <c r="C233" s="468"/>
      <c r="D233" s="469"/>
      <c r="E233" s="1024"/>
      <c r="F233" s="1024"/>
      <c r="G233" s="479" t="s">
        <v>735</v>
      </c>
      <c r="H233" s="416"/>
      <c r="I233" s="81"/>
      <c r="J233" s="467"/>
      <c r="K233" s="468"/>
      <c r="L233" s="469"/>
      <c r="M233" s="7"/>
      <c r="N233" s="7"/>
      <c r="O233" s="7"/>
      <c r="P233" s="7"/>
      <c r="Q233" s="7"/>
      <c r="R233" s="7"/>
      <c r="S233" s="7"/>
      <c r="T233" s="7"/>
      <c r="U233" s="7"/>
      <c r="V233" s="7"/>
      <c r="W233" s="7"/>
      <c r="X233" s="7"/>
      <c r="Y233" s="7"/>
      <c r="Z233" s="7"/>
    </row>
    <row r="234" spans="1:26" ht="12.75" customHeight="1" x14ac:dyDescent="0.25">
      <c r="A234" s="1024"/>
      <c r="B234" s="467"/>
      <c r="C234" s="468"/>
      <c r="D234" s="469"/>
      <c r="E234" s="1024"/>
      <c r="F234" s="1024"/>
      <c r="G234" s="479" t="s">
        <v>992</v>
      </c>
      <c r="H234" s="416"/>
      <c r="I234" s="81">
        <f>+I231*I229</f>
        <v>3.9600000000000004</v>
      </c>
      <c r="J234" s="467"/>
      <c r="K234" s="468"/>
      <c r="L234" s="469"/>
      <c r="M234" s="7"/>
      <c r="N234" s="7"/>
      <c r="O234" s="7"/>
      <c r="P234" s="7"/>
      <c r="Q234" s="7"/>
      <c r="R234" s="7"/>
      <c r="S234" s="7"/>
      <c r="T234" s="7"/>
      <c r="U234" s="7"/>
      <c r="V234" s="7"/>
      <c r="W234" s="7"/>
      <c r="X234" s="7"/>
      <c r="Y234" s="7"/>
      <c r="Z234" s="7"/>
    </row>
    <row r="235" spans="1:26" ht="12.75" customHeight="1" x14ac:dyDescent="0.25">
      <c r="A235" s="408"/>
      <c r="B235" s="412"/>
      <c r="C235" s="413"/>
      <c r="D235" s="414"/>
      <c r="E235" s="408"/>
      <c r="F235" s="408"/>
      <c r="G235" s="479" t="s">
        <v>993</v>
      </c>
      <c r="H235" s="416"/>
      <c r="I235" s="81">
        <f>+I234*I230</f>
        <v>7.7220000000000004</v>
      </c>
      <c r="J235" s="412"/>
      <c r="K235" s="413"/>
      <c r="L235" s="414"/>
      <c r="M235" s="7"/>
      <c r="N235" s="7"/>
      <c r="O235" s="7"/>
      <c r="P235" s="7"/>
      <c r="Q235" s="7"/>
      <c r="R235" s="7"/>
      <c r="S235" s="7"/>
      <c r="T235" s="7"/>
      <c r="U235" s="7"/>
      <c r="V235" s="7"/>
      <c r="W235" s="7"/>
      <c r="X235" s="7"/>
      <c r="Y235" s="7"/>
      <c r="Z235" s="7"/>
    </row>
    <row r="236" spans="1:26" ht="12.75"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x14ac:dyDescent="0.25">
      <c r="A237" s="470" t="s">
        <v>39</v>
      </c>
      <c r="B237" s="418"/>
      <c r="C237" s="418"/>
      <c r="D237" s="418"/>
      <c r="E237" s="6" t="s">
        <v>40</v>
      </c>
      <c r="F237" s="6" t="s">
        <v>41</v>
      </c>
      <c r="G237" s="1030" t="s">
        <v>730</v>
      </c>
      <c r="H237" s="459"/>
      <c r="I237" s="470" t="s">
        <v>1427</v>
      </c>
      <c r="J237" s="418"/>
      <c r="K237" s="418"/>
      <c r="L237" s="416"/>
      <c r="M237" s="7"/>
      <c r="N237" s="7"/>
      <c r="O237" s="7"/>
      <c r="P237" s="7"/>
      <c r="Q237" s="7"/>
      <c r="R237" s="7"/>
      <c r="S237" s="7"/>
      <c r="T237" s="7"/>
      <c r="U237" s="7"/>
      <c r="V237" s="7"/>
      <c r="W237" s="7"/>
      <c r="X237" s="7"/>
      <c r="Y237" s="7"/>
      <c r="Z237" s="7"/>
    </row>
    <row r="238" spans="1:26" ht="12.75" customHeight="1" x14ac:dyDescent="0.25">
      <c r="A238" s="1027" t="s">
        <v>994</v>
      </c>
      <c r="B238" s="1035" t="s">
        <v>986</v>
      </c>
      <c r="C238" s="410"/>
      <c r="D238" s="411"/>
      <c r="E238" s="1027" t="s">
        <v>420</v>
      </c>
      <c r="F238" s="1025">
        <f>I238</f>
        <v>0.79200000000000015</v>
      </c>
      <c r="G238" s="479" t="s">
        <v>261</v>
      </c>
      <c r="H238" s="416"/>
      <c r="I238" s="81">
        <f>+I246*I239</f>
        <v>0.79200000000000015</v>
      </c>
      <c r="J238" s="1124"/>
      <c r="K238" s="410"/>
      <c r="L238" s="411"/>
      <c r="M238" s="7"/>
      <c r="N238" s="7"/>
      <c r="O238" s="7"/>
      <c r="P238" s="7"/>
      <c r="Q238" s="7"/>
      <c r="R238" s="7"/>
      <c r="S238" s="7"/>
      <c r="T238" s="7"/>
      <c r="U238" s="7"/>
      <c r="V238" s="7"/>
      <c r="W238" s="7"/>
      <c r="X238" s="7"/>
      <c r="Y238" s="7"/>
      <c r="Z238" s="7"/>
    </row>
    <row r="239" spans="1:26" ht="12.75" customHeight="1" x14ac:dyDescent="0.25">
      <c r="A239" s="1024"/>
      <c r="B239" s="467"/>
      <c r="C239" s="468"/>
      <c r="D239" s="469"/>
      <c r="E239" s="1024"/>
      <c r="F239" s="1024"/>
      <c r="G239" s="479" t="s">
        <v>184</v>
      </c>
      <c r="H239" s="416"/>
      <c r="I239" s="81">
        <v>1</v>
      </c>
      <c r="J239" s="467"/>
      <c r="K239" s="468"/>
      <c r="L239" s="469"/>
      <c r="M239" s="7"/>
      <c r="N239" s="7"/>
      <c r="O239" s="7"/>
      <c r="P239" s="7"/>
      <c r="Q239" s="7"/>
      <c r="R239" s="7"/>
      <c r="S239" s="7"/>
      <c r="T239" s="7"/>
      <c r="U239" s="7"/>
      <c r="V239" s="7"/>
      <c r="W239" s="7"/>
      <c r="X239" s="7"/>
      <c r="Y239" s="7"/>
      <c r="Z239" s="7"/>
    </row>
    <row r="240" spans="1:26" ht="12.75" customHeight="1" x14ac:dyDescent="0.25">
      <c r="A240" s="1024"/>
      <c r="B240" s="467"/>
      <c r="C240" s="468"/>
      <c r="D240" s="469"/>
      <c r="E240" s="1024"/>
      <c r="F240" s="1024"/>
      <c r="G240" s="479" t="s">
        <v>927</v>
      </c>
      <c r="H240" s="416"/>
      <c r="I240" s="81">
        <v>2.2000000000000002</v>
      </c>
      <c r="J240" s="467"/>
      <c r="K240" s="468"/>
      <c r="L240" s="469"/>
      <c r="M240" s="7"/>
      <c r="N240" s="7"/>
      <c r="O240" s="7"/>
      <c r="P240" s="7"/>
      <c r="Q240" s="7"/>
      <c r="R240" s="7"/>
      <c r="S240" s="7"/>
      <c r="T240" s="7"/>
      <c r="U240" s="7"/>
      <c r="V240" s="7"/>
      <c r="W240" s="7"/>
      <c r="X240" s="7"/>
      <c r="Y240" s="7"/>
      <c r="Z240" s="7"/>
    </row>
    <row r="241" spans="1:26" ht="12.75" customHeight="1" x14ac:dyDescent="0.25">
      <c r="A241" s="1024"/>
      <c r="B241" s="467"/>
      <c r="C241" s="468"/>
      <c r="D241" s="469"/>
      <c r="E241" s="1024"/>
      <c r="F241" s="1024"/>
      <c r="G241" s="479" t="s">
        <v>733</v>
      </c>
      <c r="H241" s="416"/>
      <c r="I241" s="81">
        <v>0.2</v>
      </c>
      <c r="J241" s="467"/>
      <c r="K241" s="468"/>
      <c r="L241" s="469"/>
      <c r="M241" s="7"/>
      <c r="N241" s="7"/>
      <c r="O241" s="7"/>
      <c r="P241" s="7"/>
      <c r="Q241" s="7"/>
      <c r="R241" s="7"/>
      <c r="S241" s="7"/>
      <c r="T241" s="7"/>
      <c r="U241" s="7"/>
      <c r="V241" s="7"/>
      <c r="W241" s="7"/>
      <c r="X241" s="7"/>
      <c r="Y241" s="7"/>
      <c r="Z241" s="7"/>
    </row>
    <row r="242" spans="1:26" ht="12.75" customHeight="1" x14ac:dyDescent="0.25">
      <c r="A242" s="1024"/>
      <c r="B242" s="467"/>
      <c r="C242" s="468"/>
      <c r="D242" s="469"/>
      <c r="E242" s="1024"/>
      <c r="F242" s="1024"/>
      <c r="G242" s="479" t="s">
        <v>731</v>
      </c>
      <c r="H242" s="416"/>
      <c r="I242" s="81">
        <v>1.8</v>
      </c>
      <c r="J242" s="467"/>
      <c r="K242" s="468"/>
      <c r="L242" s="469"/>
      <c r="M242" s="7"/>
      <c r="N242" s="7"/>
      <c r="O242" s="7"/>
      <c r="P242" s="7"/>
      <c r="Q242" s="7"/>
      <c r="R242" s="7"/>
      <c r="S242" s="7"/>
      <c r="T242" s="7"/>
      <c r="U242" s="7"/>
      <c r="V242" s="7"/>
      <c r="W242" s="7"/>
      <c r="X242" s="7"/>
      <c r="Y242" s="7"/>
      <c r="Z242" s="7"/>
    </row>
    <row r="243" spans="1:26" ht="12.75" customHeight="1" x14ac:dyDescent="0.25">
      <c r="A243" s="1024"/>
      <c r="B243" s="467"/>
      <c r="C243" s="468"/>
      <c r="D243" s="469"/>
      <c r="E243" s="1024"/>
      <c r="F243" s="1024"/>
      <c r="G243" s="479" t="s">
        <v>734</v>
      </c>
      <c r="H243" s="416"/>
      <c r="I243" s="81"/>
      <c r="J243" s="467"/>
      <c r="K243" s="468"/>
      <c r="L243" s="469"/>
      <c r="M243" s="7"/>
      <c r="N243" s="7"/>
      <c r="O243" s="7"/>
      <c r="P243" s="7"/>
      <c r="Q243" s="7"/>
      <c r="R243" s="7"/>
      <c r="S243" s="7"/>
      <c r="T243" s="7"/>
      <c r="U243" s="7"/>
      <c r="V243" s="7"/>
      <c r="W243" s="7"/>
      <c r="X243" s="7"/>
      <c r="Y243" s="7"/>
      <c r="Z243" s="7"/>
    </row>
    <row r="244" spans="1:26" ht="12.75" customHeight="1" x14ac:dyDescent="0.25">
      <c r="A244" s="1024"/>
      <c r="B244" s="467"/>
      <c r="C244" s="468"/>
      <c r="D244" s="469"/>
      <c r="E244" s="1024"/>
      <c r="F244" s="1024"/>
      <c r="G244" s="479" t="s">
        <v>735</v>
      </c>
      <c r="H244" s="416"/>
      <c r="I244" s="81"/>
      <c r="J244" s="467"/>
      <c r="K244" s="468"/>
      <c r="L244" s="469"/>
      <c r="M244" s="7"/>
      <c r="N244" s="7"/>
      <c r="O244" s="7"/>
      <c r="P244" s="7"/>
      <c r="Q244" s="7"/>
      <c r="R244" s="7"/>
      <c r="S244" s="7"/>
      <c r="T244" s="7"/>
      <c r="U244" s="7"/>
      <c r="V244" s="7"/>
      <c r="W244" s="7"/>
      <c r="X244" s="7"/>
      <c r="Y244" s="7"/>
      <c r="Z244" s="7"/>
    </row>
    <row r="245" spans="1:26" ht="12.75" customHeight="1" x14ac:dyDescent="0.25">
      <c r="A245" s="1024"/>
      <c r="B245" s="467"/>
      <c r="C245" s="468"/>
      <c r="D245" s="469"/>
      <c r="E245" s="1024"/>
      <c r="F245" s="1024"/>
      <c r="G245" s="479" t="s">
        <v>995</v>
      </c>
      <c r="H245" s="416"/>
      <c r="I245" s="91">
        <f>+I242*I240</f>
        <v>3.9600000000000004</v>
      </c>
      <c r="J245" s="467"/>
      <c r="K245" s="468"/>
      <c r="L245" s="469"/>
      <c r="M245" s="7"/>
      <c r="N245" s="7"/>
      <c r="O245" s="7"/>
      <c r="P245" s="7"/>
      <c r="Q245" s="7"/>
      <c r="R245" s="7"/>
      <c r="S245" s="7"/>
      <c r="T245" s="7"/>
      <c r="U245" s="7"/>
      <c r="V245" s="7"/>
      <c r="W245" s="7"/>
      <c r="X245" s="7"/>
      <c r="Y245" s="7"/>
      <c r="Z245" s="7"/>
    </row>
    <row r="246" spans="1:26" ht="12.75" customHeight="1" x14ac:dyDescent="0.25">
      <c r="A246" s="408"/>
      <c r="B246" s="412"/>
      <c r="C246" s="413"/>
      <c r="D246" s="414"/>
      <c r="E246" s="408"/>
      <c r="F246" s="408"/>
      <c r="G246" s="479" t="s">
        <v>996</v>
      </c>
      <c r="H246" s="416"/>
      <c r="I246" s="81">
        <f>+I245*I241</f>
        <v>0.79200000000000015</v>
      </c>
      <c r="J246" s="412"/>
      <c r="K246" s="413"/>
      <c r="L246" s="414"/>
      <c r="M246" s="7"/>
      <c r="N246" s="7"/>
      <c r="O246" s="7"/>
      <c r="P246" s="7"/>
      <c r="Q246" s="7"/>
      <c r="R246" s="7"/>
      <c r="S246" s="7"/>
      <c r="T246" s="7"/>
      <c r="U246" s="7"/>
      <c r="V246" s="7"/>
      <c r="W246" s="7"/>
      <c r="X246" s="7"/>
      <c r="Y246" s="7"/>
      <c r="Z246" s="7"/>
    </row>
    <row r="247" spans="1:26" ht="12.75"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x14ac:dyDescent="0.25">
      <c r="A248" s="470" t="s">
        <v>39</v>
      </c>
      <c r="B248" s="418"/>
      <c r="C248" s="418"/>
      <c r="D248" s="418"/>
      <c r="E248" s="6" t="s">
        <v>40</v>
      </c>
      <c r="F248" s="6" t="s">
        <v>41</v>
      </c>
      <c r="G248" s="1030" t="s">
        <v>730</v>
      </c>
      <c r="H248" s="459"/>
      <c r="I248" s="470" t="s">
        <v>1427</v>
      </c>
      <c r="J248" s="418"/>
      <c r="K248" s="418"/>
      <c r="L248" s="416"/>
      <c r="M248" s="7"/>
      <c r="N248" s="7"/>
      <c r="O248" s="7"/>
      <c r="P248" s="7"/>
      <c r="Q248" s="7"/>
      <c r="R248" s="7"/>
      <c r="S248" s="7"/>
      <c r="T248" s="7"/>
      <c r="U248" s="7"/>
      <c r="V248" s="7"/>
      <c r="W248" s="7"/>
      <c r="X248" s="7"/>
      <c r="Y248" s="7"/>
      <c r="Z248" s="7"/>
    </row>
    <row r="249" spans="1:26" ht="12.75" customHeight="1" x14ac:dyDescent="0.25">
      <c r="A249" s="1027" t="s">
        <v>997</v>
      </c>
      <c r="B249" s="1035" t="s">
        <v>998</v>
      </c>
      <c r="C249" s="410"/>
      <c r="D249" s="411"/>
      <c r="E249" s="1027" t="s">
        <v>420</v>
      </c>
      <c r="F249" s="1025">
        <f>I249</f>
        <v>4.5175000000000001</v>
      </c>
      <c r="G249" s="479" t="s">
        <v>261</v>
      </c>
      <c r="H249" s="416"/>
      <c r="I249" s="81">
        <f>+$F$227-(I257*I250)</f>
        <v>4.5175000000000001</v>
      </c>
      <c r="J249" s="1124"/>
      <c r="K249" s="410"/>
      <c r="L249" s="411"/>
      <c r="M249" s="7"/>
      <c r="N249" s="7"/>
      <c r="O249" s="7"/>
      <c r="P249" s="7"/>
      <c r="Q249" s="7"/>
      <c r="R249" s="7"/>
      <c r="S249" s="7"/>
      <c r="T249" s="7"/>
      <c r="U249" s="7"/>
      <c r="V249" s="7"/>
      <c r="W249" s="7"/>
      <c r="X249" s="7"/>
      <c r="Y249" s="7"/>
      <c r="Z249" s="7"/>
    </row>
    <row r="250" spans="1:26" ht="12.75" customHeight="1" x14ac:dyDescent="0.25">
      <c r="A250" s="1024"/>
      <c r="B250" s="467"/>
      <c r="C250" s="468"/>
      <c r="D250" s="469"/>
      <c r="E250" s="1024"/>
      <c r="F250" s="1024"/>
      <c r="G250" s="479" t="s">
        <v>184</v>
      </c>
      <c r="H250" s="416"/>
      <c r="I250" s="81">
        <v>1</v>
      </c>
      <c r="J250" s="467"/>
      <c r="K250" s="468"/>
      <c r="L250" s="469"/>
      <c r="M250" s="7"/>
      <c r="N250" s="7"/>
      <c r="O250" s="7"/>
      <c r="P250" s="7"/>
      <c r="Q250" s="7"/>
      <c r="R250" s="7"/>
      <c r="S250" s="7"/>
      <c r="T250" s="7"/>
      <c r="U250" s="7"/>
      <c r="V250" s="7"/>
      <c r="W250" s="7"/>
      <c r="X250" s="7"/>
      <c r="Y250" s="7"/>
      <c r="Z250" s="7"/>
    </row>
    <row r="251" spans="1:26" ht="12.75" customHeight="1" x14ac:dyDescent="0.25">
      <c r="A251" s="1024"/>
      <c r="B251" s="467"/>
      <c r="C251" s="468"/>
      <c r="D251" s="469"/>
      <c r="E251" s="1024"/>
      <c r="F251" s="1024"/>
      <c r="G251" s="479" t="s">
        <v>927</v>
      </c>
      <c r="H251" s="416"/>
      <c r="I251" s="81">
        <v>1.3</v>
      </c>
      <c r="J251" s="467"/>
      <c r="K251" s="468"/>
      <c r="L251" s="469"/>
      <c r="M251" s="7"/>
      <c r="N251" s="7"/>
      <c r="O251" s="7"/>
      <c r="P251" s="7"/>
      <c r="Q251" s="7"/>
      <c r="R251" s="7"/>
      <c r="S251" s="7"/>
      <c r="T251" s="7"/>
      <c r="U251" s="7"/>
      <c r="V251" s="7"/>
      <c r="W251" s="7"/>
      <c r="X251" s="7"/>
      <c r="Y251" s="7"/>
      <c r="Z251" s="7"/>
    </row>
    <row r="252" spans="1:26" ht="12.75" customHeight="1" x14ac:dyDescent="0.25">
      <c r="A252" s="1024"/>
      <c r="B252" s="467"/>
      <c r="C252" s="468"/>
      <c r="D252" s="469"/>
      <c r="E252" s="1024"/>
      <c r="F252" s="1024"/>
      <c r="G252" s="479" t="s">
        <v>733</v>
      </c>
      <c r="H252" s="416"/>
      <c r="I252" s="81">
        <v>1.45</v>
      </c>
      <c r="J252" s="467"/>
      <c r="K252" s="468"/>
      <c r="L252" s="469"/>
      <c r="M252" s="7"/>
      <c r="N252" s="7"/>
      <c r="O252" s="7"/>
      <c r="P252" s="7"/>
      <c r="Q252" s="7"/>
      <c r="R252" s="7"/>
      <c r="S252" s="7"/>
      <c r="T252" s="7"/>
      <c r="U252" s="7"/>
      <c r="V252" s="7"/>
      <c r="W252" s="7"/>
      <c r="X252" s="7"/>
      <c r="Y252" s="7"/>
      <c r="Z252" s="7"/>
    </row>
    <row r="253" spans="1:26" ht="12.75" customHeight="1" x14ac:dyDescent="0.25">
      <c r="A253" s="1024"/>
      <c r="B253" s="467"/>
      <c r="C253" s="468"/>
      <c r="D253" s="469"/>
      <c r="E253" s="1024"/>
      <c r="F253" s="1024"/>
      <c r="G253" s="479" t="s">
        <v>731</v>
      </c>
      <c r="H253" s="416"/>
      <c r="I253" s="81">
        <v>1.7</v>
      </c>
      <c r="J253" s="467"/>
      <c r="K253" s="468"/>
      <c r="L253" s="469"/>
      <c r="M253" s="7"/>
      <c r="N253" s="7"/>
      <c r="O253" s="7"/>
      <c r="P253" s="7"/>
      <c r="Q253" s="7"/>
      <c r="R253" s="7"/>
      <c r="S253" s="7"/>
      <c r="T253" s="7"/>
      <c r="U253" s="7"/>
      <c r="V253" s="7"/>
      <c r="W253" s="7"/>
      <c r="X253" s="7"/>
      <c r="Y253" s="7"/>
      <c r="Z253" s="7"/>
    </row>
    <row r="254" spans="1:26" ht="12.75" customHeight="1" x14ac:dyDescent="0.25">
      <c r="A254" s="1024"/>
      <c r="B254" s="467"/>
      <c r="C254" s="468"/>
      <c r="D254" s="469"/>
      <c r="E254" s="1024"/>
      <c r="F254" s="1024"/>
      <c r="G254" s="479" t="s">
        <v>734</v>
      </c>
      <c r="H254" s="416"/>
      <c r="I254" s="81"/>
      <c r="J254" s="467"/>
      <c r="K254" s="468"/>
      <c r="L254" s="469"/>
      <c r="M254" s="7"/>
      <c r="N254" s="7"/>
      <c r="O254" s="7"/>
      <c r="P254" s="7"/>
      <c r="Q254" s="7"/>
      <c r="R254" s="7"/>
      <c r="S254" s="7"/>
      <c r="T254" s="7"/>
      <c r="U254" s="7"/>
      <c r="V254" s="7"/>
      <c r="W254" s="7"/>
      <c r="X254" s="7"/>
      <c r="Y254" s="7"/>
      <c r="Z254" s="7"/>
    </row>
    <row r="255" spans="1:26" ht="12.75" customHeight="1" x14ac:dyDescent="0.25">
      <c r="A255" s="1024"/>
      <c r="B255" s="467"/>
      <c r="C255" s="468"/>
      <c r="D255" s="469"/>
      <c r="E255" s="1024"/>
      <c r="F255" s="1024"/>
      <c r="G255" s="479" t="s">
        <v>735</v>
      </c>
      <c r="H255" s="416"/>
      <c r="I255" s="81"/>
      <c r="J255" s="467"/>
      <c r="K255" s="468"/>
      <c r="L255" s="469"/>
      <c r="M255" s="7"/>
      <c r="N255" s="7"/>
      <c r="O255" s="7"/>
      <c r="P255" s="7"/>
      <c r="Q255" s="7"/>
      <c r="R255" s="7"/>
      <c r="S255" s="7"/>
      <c r="T255" s="7"/>
      <c r="U255" s="7"/>
      <c r="V255" s="7"/>
      <c r="W255" s="7"/>
      <c r="X255" s="7"/>
      <c r="Y255" s="7"/>
      <c r="Z255" s="7"/>
    </row>
    <row r="256" spans="1:26" ht="12.75" customHeight="1" x14ac:dyDescent="0.25">
      <c r="A256" s="1024"/>
      <c r="B256" s="467"/>
      <c r="C256" s="468"/>
      <c r="D256" s="469"/>
      <c r="E256" s="1024"/>
      <c r="F256" s="1024"/>
      <c r="G256" s="479" t="s">
        <v>999</v>
      </c>
      <c r="H256" s="416"/>
      <c r="I256" s="91"/>
      <c r="J256" s="467"/>
      <c r="K256" s="468"/>
      <c r="L256" s="469"/>
      <c r="M256" s="7"/>
      <c r="N256" s="7"/>
      <c r="O256" s="7"/>
      <c r="P256" s="7"/>
      <c r="Q256" s="7"/>
      <c r="R256" s="7"/>
      <c r="S256" s="7"/>
      <c r="T256" s="7"/>
      <c r="U256" s="7"/>
      <c r="V256" s="7"/>
      <c r="W256" s="7"/>
      <c r="X256" s="7"/>
      <c r="Y256" s="7"/>
      <c r="Z256" s="7"/>
    </row>
    <row r="257" spans="1:26" ht="12.75" customHeight="1" x14ac:dyDescent="0.25">
      <c r="A257" s="408"/>
      <c r="B257" s="412"/>
      <c r="C257" s="413"/>
      <c r="D257" s="414"/>
      <c r="E257" s="408"/>
      <c r="F257" s="408"/>
      <c r="G257" s="479" t="s">
        <v>1000</v>
      </c>
      <c r="H257" s="416"/>
      <c r="I257" s="81">
        <f>+I253*I251*I252</f>
        <v>3.2044999999999999</v>
      </c>
      <c r="J257" s="412"/>
      <c r="K257" s="413"/>
      <c r="L257" s="414"/>
      <c r="M257" s="7"/>
      <c r="N257" s="7"/>
      <c r="O257" s="7"/>
      <c r="P257" s="7"/>
      <c r="Q257" s="7"/>
      <c r="R257" s="7"/>
      <c r="S257" s="7"/>
      <c r="T257" s="7"/>
      <c r="U257" s="7"/>
      <c r="V257" s="7"/>
      <c r="W257" s="7"/>
      <c r="X257" s="7"/>
      <c r="Y257" s="7"/>
      <c r="Z257" s="7"/>
    </row>
    <row r="258" spans="1:26" ht="12.75"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x14ac:dyDescent="0.25">
      <c r="A259" s="470" t="s">
        <v>39</v>
      </c>
      <c r="B259" s="418"/>
      <c r="C259" s="418"/>
      <c r="D259" s="418"/>
      <c r="E259" s="6" t="s">
        <v>40</v>
      </c>
      <c r="F259" s="6" t="s">
        <v>41</v>
      </c>
      <c r="G259" s="1030" t="s">
        <v>730</v>
      </c>
      <c r="H259" s="459"/>
      <c r="I259" s="470" t="s">
        <v>1427</v>
      </c>
      <c r="J259" s="418"/>
      <c r="K259" s="418"/>
      <c r="L259" s="416"/>
      <c r="M259" s="7"/>
      <c r="N259" s="7"/>
      <c r="O259" s="7"/>
      <c r="P259" s="7"/>
      <c r="Q259" s="7"/>
      <c r="R259" s="7"/>
      <c r="S259" s="7"/>
      <c r="T259" s="7"/>
      <c r="U259" s="7"/>
      <c r="V259" s="7"/>
      <c r="W259" s="7"/>
      <c r="X259" s="7"/>
      <c r="Y259" s="7"/>
      <c r="Z259" s="7"/>
    </row>
    <row r="260" spans="1:26" ht="12.75" customHeight="1" x14ac:dyDescent="0.25">
      <c r="A260" s="1027" t="s">
        <v>1001</v>
      </c>
      <c r="B260" s="1035" t="s">
        <v>1002</v>
      </c>
      <c r="C260" s="410"/>
      <c r="D260" s="411"/>
      <c r="E260" s="1027" t="s">
        <v>420</v>
      </c>
      <c r="F260" s="1025">
        <f>I260</f>
        <v>3.2045000000000003</v>
      </c>
      <c r="G260" s="479" t="s">
        <v>261</v>
      </c>
      <c r="H260" s="416"/>
      <c r="I260" s="81">
        <f>+I268*I261</f>
        <v>3.2045000000000003</v>
      </c>
      <c r="J260" s="1042" t="s">
        <v>748</v>
      </c>
      <c r="K260" s="410"/>
      <c r="L260" s="411"/>
      <c r="M260" s="7"/>
      <c r="N260" s="7"/>
      <c r="O260" s="7"/>
      <c r="P260" s="7"/>
      <c r="Q260" s="7"/>
      <c r="R260" s="7"/>
      <c r="S260" s="7"/>
      <c r="T260" s="7"/>
      <c r="U260" s="7"/>
      <c r="V260" s="7"/>
      <c r="W260" s="7"/>
      <c r="X260" s="7"/>
      <c r="Y260" s="7"/>
      <c r="Z260" s="7"/>
    </row>
    <row r="261" spans="1:26" ht="12.75" customHeight="1" x14ac:dyDescent="0.25">
      <c r="A261" s="1024"/>
      <c r="B261" s="467"/>
      <c r="C261" s="468"/>
      <c r="D261" s="469"/>
      <c r="E261" s="1024"/>
      <c r="F261" s="1024"/>
      <c r="G261" s="479" t="s">
        <v>184</v>
      </c>
      <c r="H261" s="416"/>
      <c r="I261" s="81">
        <v>1</v>
      </c>
      <c r="J261" s="467"/>
      <c r="K261" s="468"/>
      <c r="L261" s="469"/>
      <c r="M261" s="7"/>
      <c r="N261" s="7"/>
      <c r="O261" s="7"/>
      <c r="P261" s="7"/>
      <c r="Q261" s="7"/>
      <c r="R261" s="7"/>
      <c r="S261" s="7"/>
      <c r="T261" s="7"/>
      <c r="U261" s="7"/>
      <c r="V261" s="7"/>
      <c r="W261" s="7"/>
      <c r="X261" s="7"/>
      <c r="Y261" s="7"/>
      <c r="Z261" s="7"/>
    </row>
    <row r="262" spans="1:26" ht="12.75" customHeight="1" x14ac:dyDescent="0.25">
      <c r="A262" s="1024"/>
      <c r="B262" s="467"/>
      <c r="C262" s="468"/>
      <c r="D262" s="469"/>
      <c r="E262" s="1024"/>
      <c r="F262" s="1024"/>
      <c r="G262" s="479" t="s">
        <v>927</v>
      </c>
      <c r="H262" s="416"/>
      <c r="I262" s="81"/>
      <c r="J262" s="467"/>
      <c r="K262" s="468"/>
      <c r="L262" s="469"/>
      <c r="M262" s="7"/>
      <c r="N262" s="7"/>
      <c r="O262" s="7"/>
      <c r="P262" s="7"/>
      <c r="Q262" s="7"/>
      <c r="R262" s="7"/>
      <c r="S262" s="7"/>
      <c r="T262" s="7"/>
      <c r="U262" s="7"/>
      <c r="V262" s="7"/>
      <c r="W262" s="7"/>
      <c r="X262" s="7"/>
      <c r="Y262" s="7"/>
      <c r="Z262" s="7"/>
    </row>
    <row r="263" spans="1:26" ht="12.75" customHeight="1" x14ac:dyDescent="0.25">
      <c r="A263" s="1024"/>
      <c r="B263" s="467"/>
      <c r="C263" s="468"/>
      <c r="D263" s="469"/>
      <c r="E263" s="1024"/>
      <c r="F263" s="1024"/>
      <c r="G263" s="479" t="s">
        <v>733</v>
      </c>
      <c r="H263" s="416"/>
      <c r="I263" s="81"/>
      <c r="J263" s="467"/>
      <c r="K263" s="468"/>
      <c r="L263" s="469"/>
      <c r="M263" s="7"/>
      <c r="N263" s="7"/>
      <c r="O263" s="7"/>
      <c r="P263" s="7"/>
      <c r="Q263" s="7"/>
      <c r="R263" s="7"/>
      <c r="S263" s="7"/>
      <c r="T263" s="7"/>
      <c r="U263" s="7"/>
      <c r="V263" s="7"/>
      <c r="W263" s="7"/>
      <c r="X263" s="7"/>
      <c r="Y263" s="7"/>
      <c r="Z263" s="7"/>
    </row>
    <row r="264" spans="1:26" ht="12.75" customHeight="1" x14ac:dyDescent="0.25">
      <c r="A264" s="1024"/>
      <c r="B264" s="467"/>
      <c r="C264" s="468"/>
      <c r="D264" s="469"/>
      <c r="E264" s="1024"/>
      <c r="F264" s="1024"/>
      <c r="G264" s="479" t="s">
        <v>731</v>
      </c>
      <c r="H264" s="416"/>
      <c r="I264" s="81"/>
      <c r="J264" s="467"/>
      <c r="K264" s="468"/>
      <c r="L264" s="469"/>
      <c r="M264" s="7"/>
      <c r="N264" s="7"/>
      <c r="O264" s="7"/>
      <c r="P264" s="7"/>
      <c r="Q264" s="7"/>
      <c r="R264" s="7"/>
      <c r="S264" s="7"/>
      <c r="T264" s="7"/>
      <c r="U264" s="7"/>
      <c r="V264" s="7"/>
      <c r="W264" s="7"/>
      <c r="X264" s="7"/>
      <c r="Y264" s="7"/>
      <c r="Z264" s="7"/>
    </row>
    <row r="265" spans="1:26" ht="12.75" customHeight="1" x14ac:dyDescent="0.25">
      <c r="A265" s="1024"/>
      <c r="B265" s="467"/>
      <c r="C265" s="468"/>
      <c r="D265" s="469"/>
      <c r="E265" s="1024"/>
      <c r="F265" s="1024"/>
      <c r="G265" s="479" t="s">
        <v>734</v>
      </c>
      <c r="H265" s="416"/>
      <c r="I265" s="81"/>
      <c r="J265" s="467"/>
      <c r="K265" s="468"/>
      <c r="L265" s="469"/>
      <c r="M265" s="7"/>
      <c r="N265" s="7"/>
      <c r="O265" s="7"/>
      <c r="P265" s="7"/>
      <c r="Q265" s="7"/>
      <c r="R265" s="7"/>
      <c r="S265" s="7"/>
      <c r="T265" s="7"/>
      <c r="U265" s="7"/>
      <c r="V265" s="7"/>
      <c r="W265" s="7"/>
      <c r="X265" s="7"/>
      <c r="Y265" s="7"/>
      <c r="Z265" s="7"/>
    </row>
    <row r="266" spans="1:26" ht="12.75" customHeight="1" x14ac:dyDescent="0.25">
      <c r="A266" s="1024"/>
      <c r="B266" s="467"/>
      <c r="C266" s="468"/>
      <c r="D266" s="469"/>
      <c r="E266" s="1024"/>
      <c r="F266" s="1024"/>
      <c r="G266" s="479" t="s">
        <v>735</v>
      </c>
      <c r="H266" s="416"/>
      <c r="I266" s="81"/>
      <c r="J266" s="467"/>
      <c r="K266" s="468"/>
      <c r="L266" s="469"/>
      <c r="M266" s="7"/>
      <c r="N266" s="7"/>
      <c r="O266" s="7"/>
      <c r="P266" s="7"/>
      <c r="Q266" s="7"/>
      <c r="R266" s="7"/>
      <c r="S266" s="7"/>
      <c r="T266" s="7"/>
      <c r="U266" s="7"/>
      <c r="V266" s="7"/>
      <c r="W266" s="7"/>
      <c r="X266" s="7"/>
      <c r="Y266" s="7"/>
      <c r="Z266" s="7"/>
    </row>
    <row r="267" spans="1:26" ht="12.75" customHeight="1" x14ac:dyDescent="0.25">
      <c r="A267" s="1024"/>
      <c r="B267" s="467"/>
      <c r="C267" s="468"/>
      <c r="D267" s="469"/>
      <c r="E267" s="1024"/>
      <c r="F267" s="1024"/>
      <c r="G267" s="479" t="s">
        <v>1003</v>
      </c>
      <c r="H267" s="416"/>
      <c r="I267" s="91"/>
      <c r="J267" s="467"/>
      <c r="K267" s="468"/>
      <c r="L267" s="469"/>
      <c r="M267" s="7"/>
      <c r="N267" s="7"/>
      <c r="O267" s="7"/>
      <c r="P267" s="7"/>
      <c r="Q267" s="7"/>
      <c r="R267" s="7"/>
      <c r="S267" s="7"/>
      <c r="T267" s="7"/>
      <c r="U267" s="7"/>
      <c r="V267" s="7"/>
      <c r="W267" s="7"/>
      <c r="X267" s="7"/>
      <c r="Y267" s="7"/>
      <c r="Z267" s="7"/>
    </row>
    <row r="268" spans="1:26" ht="12.75" customHeight="1" x14ac:dyDescent="0.25">
      <c r="A268" s="408"/>
      <c r="B268" s="412"/>
      <c r="C268" s="413"/>
      <c r="D268" s="414"/>
      <c r="E268" s="408"/>
      <c r="F268" s="408"/>
      <c r="G268" s="479" t="s">
        <v>1004</v>
      </c>
      <c r="H268" s="416"/>
      <c r="I268" s="81">
        <f>+$F$227-$F$249</f>
        <v>3.2045000000000003</v>
      </c>
      <c r="J268" s="412"/>
      <c r="K268" s="413"/>
      <c r="L268" s="414"/>
      <c r="M268" s="7"/>
      <c r="N268" s="7"/>
      <c r="O268" s="7"/>
      <c r="P268" s="7"/>
      <c r="Q268" s="7"/>
      <c r="R268" s="7"/>
      <c r="S268" s="7"/>
      <c r="T268" s="7"/>
      <c r="U268" s="7"/>
      <c r="V268" s="7"/>
      <c r="W268" s="7"/>
      <c r="X268" s="7"/>
      <c r="Y268" s="7"/>
      <c r="Z268" s="7"/>
    </row>
    <row r="269" spans="1:26" ht="12.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x14ac:dyDescent="0.25">
      <c r="A270" s="470" t="s">
        <v>39</v>
      </c>
      <c r="B270" s="418"/>
      <c r="C270" s="418"/>
      <c r="D270" s="418"/>
      <c r="E270" s="6" t="s">
        <v>40</v>
      </c>
      <c r="F270" s="6" t="s">
        <v>41</v>
      </c>
      <c r="G270" s="1030" t="s">
        <v>730</v>
      </c>
      <c r="H270" s="459"/>
      <c r="I270" s="470" t="s">
        <v>1427</v>
      </c>
      <c r="J270" s="418"/>
      <c r="K270" s="418"/>
      <c r="L270" s="416"/>
      <c r="M270" s="7"/>
      <c r="N270" s="7"/>
      <c r="O270" s="7"/>
      <c r="P270" s="7"/>
      <c r="Q270" s="7"/>
      <c r="R270" s="7"/>
      <c r="S270" s="7"/>
      <c r="T270" s="7"/>
      <c r="U270" s="7"/>
      <c r="V270" s="7"/>
      <c r="W270" s="7"/>
      <c r="X270" s="7"/>
      <c r="Y270" s="7"/>
      <c r="Z270" s="7"/>
    </row>
    <row r="271" spans="1:26" ht="12.75" customHeight="1" x14ac:dyDescent="0.25">
      <c r="A271" s="1027" t="s">
        <v>1005</v>
      </c>
      <c r="B271" s="1035" t="s">
        <v>962</v>
      </c>
      <c r="C271" s="410"/>
      <c r="D271" s="411"/>
      <c r="E271" s="1027" t="s">
        <v>420</v>
      </c>
      <c r="F271" s="1025">
        <f>I271</f>
        <v>0.19800000000000004</v>
      </c>
      <c r="G271" s="479" t="s">
        <v>261</v>
      </c>
      <c r="H271" s="416"/>
      <c r="I271" s="81">
        <f>+I279*I272</f>
        <v>0.19800000000000004</v>
      </c>
      <c r="J271" s="1124"/>
      <c r="K271" s="410"/>
      <c r="L271" s="411"/>
      <c r="M271" s="7"/>
      <c r="N271" s="7"/>
      <c r="O271" s="7"/>
      <c r="P271" s="7"/>
      <c r="Q271" s="7"/>
      <c r="R271" s="7"/>
      <c r="S271" s="7"/>
      <c r="T271" s="7"/>
      <c r="U271" s="7"/>
      <c r="V271" s="7"/>
      <c r="W271" s="7"/>
      <c r="X271" s="7"/>
      <c r="Y271" s="7"/>
      <c r="Z271" s="7"/>
    </row>
    <row r="272" spans="1:26" ht="12.75" customHeight="1" x14ac:dyDescent="0.25">
      <c r="A272" s="1024"/>
      <c r="B272" s="467"/>
      <c r="C272" s="468"/>
      <c r="D272" s="469"/>
      <c r="E272" s="1024"/>
      <c r="F272" s="1024"/>
      <c r="G272" s="479" t="s">
        <v>184</v>
      </c>
      <c r="H272" s="416"/>
      <c r="I272" s="81">
        <v>1</v>
      </c>
      <c r="J272" s="467"/>
      <c r="K272" s="468"/>
      <c r="L272" s="469"/>
      <c r="M272" s="7"/>
      <c r="N272" s="7"/>
      <c r="O272" s="7"/>
      <c r="P272" s="7"/>
      <c r="Q272" s="7"/>
      <c r="R272" s="7"/>
      <c r="S272" s="7"/>
      <c r="T272" s="7"/>
      <c r="U272" s="7"/>
      <c r="V272" s="7"/>
      <c r="W272" s="7"/>
      <c r="X272" s="7"/>
      <c r="Y272" s="7"/>
      <c r="Z272" s="7"/>
    </row>
    <row r="273" spans="1:26" ht="12.75" customHeight="1" x14ac:dyDescent="0.25">
      <c r="A273" s="1024"/>
      <c r="B273" s="467"/>
      <c r="C273" s="468"/>
      <c r="D273" s="469"/>
      <c r="E273" s="1024"/>
      <c r="F273" s="1024"/>
      <c r="G273" s="479" t="s">
        <v>927</v>
      </c>
      <c r="H273" s="416"/>
      <c r="I273" s="81">
        <v>2.2000000000000002</v>
      </c>
      <c r="J273" s="467"/>
      <c r="K273" s="468"/>
      <c r="L273" s="469"/>
      <c r="M273" s="7"/>
      <c r="N273" s="7"/>
      <c r="O273" s="7"/>
      <c r="P273" s="7"/>
      <c r="Q273" s="7"/>
      <c r="R273" s="7"/>
      <c r="S273" s="7"/>
      <c r="T273" s="7"/>
      <c r="U273" s="7"/>
      <c r="V273" s="7"/>
      <c r="W273" s="7"/>
      <c r="X273" s="7"/>
      <c r="Y273" s="7"/>
      <c r="Z273" s="7"/>
    </row>
    <row r="274" spans="1:26" ht="12.75" customHeight="1" x14ac:dyDescent="0.25">
      <c r="A274" s="1024"/>
      <c r="B274" s="467"/>
      <c r="C274" s="468"/>
      <c r="D274" s="469"/>
      <c r="E274" s="1024"/>
      <c r="F274" s="1024"/>
      <c r="G274" s="479" t="s">
        <v>733</v>
      </c>
      <c r="H274" s="416"/>
      <c r="I274" s="81">
        <v>0.05</v>
      </c>
      <c r="J274" s="467"/>
      <c r="K274" s="468"/>
      <c r="L274" s="469"/>
      <c r="M274" s="7"/>
      <c r="N274" s="7"/>
      <c r="O274" s="7"/>
      <c r="P274" s="7"/>
      <c r="Q274" s="7"/>
      <c r="R274" s="7"/>
      <c r="S274" s="7"/>
      <c r="T274" s="7"/>
      <c r="U274" s="7"/>
      <c r="V274" s="7"/>
      <c r="W274" s="7"/>
      <c r="X274" s="7"/>
      <c r="Y274" s="7"/>
      <c r="Z274" s="7"/>
    </row>
    <row r="275" spans="1:26" ht="12.75" customHeight="1" x14ac:dyDescent="0.25">
      <c r="A275" s="1024"/>
      <c r="B275" s="467"/>
      <c r="C275" s="468"/>
      <c r="D275" s="469"/>
      <c r="E275" s="1024"/>
      <c r="F275" s="1024"/>
      <c r="G275" s="479" t="s">
        <v>731</v>
      </c>
      <c r="H275" s="416"/>
      <c r="I275" s="81">
        <v>1.8</v>
      </c>
      <c r="J275" s="467"/>
      <c r="K275" s="468"/>
      <c r="L275" s="469"/>
      <c r="M275" s="7"/>
      <c r="N275" s="7"/>
      <c r="O275" s="7"/>
      <c r="P275" s="7"/>
      <c r="Q275" s="7"/>
      <c r="R275" s="7"/>
      <c r="S275" s="7"/>
      <c r="T275" s="7"/>
      <c r="U275" s="7"/>
      <c r="V275" s="7"/>
      <c r="W275" s="7"/>
      <c r="X275" s="7"/>
      <c r="Y275" s="7"/>
      <c r="Z275" s="7"/>
    </row>
    <row r="276" spans="1:26" ht="12.75" customHeight="1" x14ac:dyDescent="0.25">
      <c r="A276" s="1024"/>
      <c r="B276" s="467"/>
      <c r="C276" s="468"/>
      <c r="D276" s="469"/>
      <c r="E276" s="1024"/>
      <c r="F276" s="1024"/>
      <c r="G276" s="479" t="s">
        <v>734</v>
      </c>
      <c r="H276" s="416"/>
      <c r="I276" s="81"/>
      <c r="J276" s="467"/>
      <c r="K276" s="468"/>
      <c r="L276" s="469"/>
      <c r="M276" s="7"/>
      <c r="N276" s="7"/>
      <c r="O276" s="7"/>
      <c r="P276" s="7"/>
      <c r="Q276" s="7"/>
      <c r="R276" s="7"/>
      <c r="S276" s="7"/>
      <c r="T276" s="7"/>
      <c r="U276" s="7"/>
      <c r="V276" s="7"/>
      <c r="W276" s="7"/>
      <c r="X276" s="7"/>
      <c r="Y276" s="7"/>
      <c r="Z276" s="7"/>
    </row>
    <row r="277" spans="1:26" ht="12.75" customHeight="1" x14ac:dyDescent="0.25">
      <c r="A277" s="1024"/>
      <c r="B277" s="467"/>
      <c r="C277" s="468"/>
      <c r="D277" s="469"/>
      <c r="E277" s="1024"/>
      <c r="F277" s="1024"/>
      <c r="G277" s="479" t="s">
        <v>735</v>
      </c>
      <c r="H277" s="416"/>
      <c r="I277" s="81"/>
      <c r="J277" s="467"/>
      <c r="K277" s="468"/>
      <c r="L277" s="469"/>
      <c r="M277" s="7"/>
      <c r="N277" s="7"/>
      <c r="O277" s="7"/>
      <c r="P277" s="7"/>
      <c r="Q277" s="7"/>
      <c r="R277" s="7"/>
      <c r="S277" s="7"/>
      <c r="T277" s="7"/>
      <c r="U277" s="7"/>
      <c r="V277" s="7"/>
      <c r="W277" s="7"/>
      <c r="X277" s="7"/>
      <c r="Y277" s="7"/>
      <c r="Z277" s="7"/>
    </row>
    <row r="278" spans="1:26" ht="12.75" customHeight="1" x14ac:dyDescent="0.25">
      <c r="A278" s="1024"/>
      <c r="B278" s="467"/>
      <c r="C278" s="468"/>
      <c r="D278" s="469"/>
      <c r="E278" s="1024"/>
      <c r="F278" s="1024"/>
      <c r="G278" s="479" t="s">
        <v>1006</v>
      </c>
      <c r="H278" s="416"/>
      <c r="I278" s="91"/>
      <c r="J278" s="467"/>
      <c r="K278" s="468"/>
      <c r="L278" s="469"/>
      <c r="M278" s="7"/>
      <c r="N278" s="7"/>
      <c r="O278" s="7"/>
      <c r="P278" s="7"/>
      <c r="Q278" s="7"/>
      <c r="R278" s="7"/>
      <c r="S278" s="7"/>
      <c r="T278" s="7"/>
      <c r="U278" s="7"/>
      <c r="V278" s="7"/>
      <c r="W278" s="7"/>
      <c r="X278" s="7"/>
      <c r="Y278" s="7"/>
      <c r="Z278" s="7"/>
    </row>
    <row r="279" spans="1:26" ht="12.75" customHeight="1" x14ac:dyDescent="0.25">
      <c r="A279" s="408"/>
      <c r="B279" s="412"/>
      <c r="C279" s="413"/>
      <c r="D279" s="414"/>
      <c r="E279" s="408"/>
      <c r="F279" s="408"/>
      <c r="G279" s="479" t="s">
        <v>1007</v>
      </c>
      <c r="H279" s="416"/>
      <c r="I279" s="81">
        <f>+I275*I273*I274</f>
        <v>0.19800000000000004</v>
      </c>
      <c r="J279" s="412"/>
      <c r="K279" s="413"/>
      <c r="L279" s="414"/>
      <c r="M279" s="7"/>
      <c r="N279" s="7"/>
      <c r="O279" s="7"/>
      <c r="P279" s="7"/>
      <c r="Q279" s="7"/>
      <c r="R279" s="7"/>
      <c r="S279" s="7"/>
      <c r="T279" s="7"/>
      <c r="U279" s="7"/>
      <c r="V279" s="7"/>
      <c r="W279" s="7"/>
      <c r="X279" s="7"/>
      <c r="Y279" s="7"/>
      <c r="Z279" s="7"/>
    </row>
    <row r="280" spans="1:26" ht="12.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x14ac:dyDescent="0.25">
      <c r="A281" s="470" t="s">
        <v>39</v>
      </c>
      <c r="B281" s="418"/>
      <c r="C281" s="418"/>
      <c r="D281" s="418"/>
      <c r="E281" s="6" t="s">
        <v>40</v>
      </c>
      <c r="F281" s="6" t="s">
        <v>41</v>
      </c>
      <c r="G281" s="1030" t="s">
        <v>730</v>
      </c>
      <c r="H281" s="459"/>
      <c r="I281" s="470" t="s">
        <v>1427</v>
      </c>
      <c r="J281" s="418"/>
      <c r="K281" s="418"/>
      <c r="L281" s="416"/>
      <c r="M281" s="7"/>
      <c r="N281" s="7"/>
      <c r="O281" s="7"/>
      <c r="P281" s="7"/>
      <c r="Q281" s="7"/>
      <c r="R281" s="7"/>
      <c r="S281" s="7"/>
      <c r="T281" s="7"/>
      <c r="U281" s="7"/>
      <c r="V281" s="7"/>
      <c r="W281" s="7"/>
      <c r="X281" s="7"/>
      <c r="Y281" s="7"/>
      <c r="Z281" s="7"/>
    </row>
    <row r="282" spans="1:26" ht="12.75" customHeight="1" x14ac:dyDescent="0.25">
      <c r="A282" s="1027" t="s">
        <v>1008</v>
      </c>
      <c r="B282" s="1035" t="s">
        <v>987</v>
      </c>
      <c r="C282" s="410"/>
      <c r="D282" s="411"/>
      <c r="E282" s="1027" t="s">
        <v>420</v>
      </c>
      <c r="F282" s="1025">
        <f>I282</f>
        <v>0.9900000000000001</v>
      </c>
      <c r="G282" s="479" t="s">
        <v>261</v>
      </c>
      <c r="H282" s="416"/>
      <c r="I282" s="81">
        <f>+I290*I283</f>
        <v>0.9900000000000001</v>
      </c>
      <c r="J282" s="1124"/>
      <c r="K282" s="410"/>
      <c r="L282" s="411"/>
      <c r="M282" s="7"/>
      <c r="N282" s="7"/>
      <c r="O282" s="7"/>
      <c r="P282" s="7"/>
      <c r="Q282" s="7"/>
      <c r="R282" s="7"/>
      <c r="S282" s="7"/>
      <c r="T282" s="7"/>
      <c r="U282" s="7"/>
      <c r="V282" s="7"/>
      <c r="W282" s="7"/>
      <c r="X282" s="7"/>
      <c r="Y282" s="7"/>
      <c r="Z282" s="7"/>
    </row>
    <row r="283" spans="1:26" ht="12.75" customHeight="1" x14ac:dyDescent="0.25">
      <c r="A283" s="1024"/>
      <c r="B283" s="467"/>
      <c r="C283" s="468"/>
      <c r="D283" s="469"/>
      <c r="E283" s="1024"/>
      <c r="F283" s="1024"/>
      <c r="G283" s="479" t="s">
        <v>184</v>
      </c>
      <c r="H283" s="416"/>
      <c r="I283" s="81">
        <v>1</v>
      </c>
      <c r="J283" s="467"/>
      <c r="K283" s="468"/>
      <c r="L283" s="469"/>
      <c r="M283" s="7"/>
      <c r="N283" s="7"/>
      <c r="O283" s="7"/>
      <c r="P283" s="7"/>
      <c r="Q283" s="7"/>
      <c r="R283" s="7"/>
      <c r="S283" s="7"/>
      <c r="T283" s="7"/>
      <c r="U283" s="7"/>
      <c r="V283" s="7"/>
      <c r="W283" s="7"/>
      <c r="X283" s="7"/>
      <c r="Y283" s="7"/>
      <c r="Z283" s="7"/>
    </row>
    <row r="284" spans="1:26" ht="12.75" customHeight="1" x14ac:dyDescent="0.25">
      <c r="A284" s="1024"/>
      <c r="B284" s="467"/>
      <c r="C284" s="468"/>
      <c r="D284" s="469"/>
      <c r="E284" s="1024"/>
      <c r="F284" s="1024"/>
      <c r="G284" s="479" t="s">
        <v>927</v>
      </c>
      <c r="H284" s="416"/>
      <c r="I284" s="81">
        <v>2.2000000000000002</v>
      </c>
      <c r="J284" s="467"/>
      <c r="K284" s="468"/>
      <c r="L284" s="469"/>
      <c r="M284" s="7"/>
      <c r="N284" s="7"/>
      <c r="O284" s="7"/>
      <c r="P284" s="7"/>
      <c r="Q284" s="7"/>
      <c r="R284" s="7"/>
      <c r="S284" s="7"/>
      <c r="T284" s="7"/>
      <c r="U284" s="7"/>
      <c r="V284" s="7"/>
      <c r="W284" s="7"/>
      <c r="X284" s="7"/>
      <c r="Y284" s="7"/>
      <c r="Z284" s="7"/>
    </row>
    <row r="285" spans="1:26" ht="12.75" customHeight="1" x14ac:dyDescent="0.25">
      <c r="A285" s="1024"/>
      <c r="B285" s="467"/>
      <c r="C285" s="468"/>
      <c r="D285" s="469"/>
      <c r="E285" s="1024"/>
      <c r="F285" s="1024"/>
      <c r="G285" s="479" t="s">
        <v>733</v>
      </c>
      <c r="H285" s="416"/>
      <c r="I285" s="81">
        <v>0.25</v>
      </c>
      <c r="J285" s="467"/>
      <c r="K285" s="468"/>
      <c r="L285" s="469"/>
      <c r="M285" s="7"/>
      <c r="N285" s="7"/>
      <c r="O285" s="7"/>
      <c r="P285" s="7"/>
      <c r="Q285" s="7"/>
      <c r="R285" s="7"/>
      <c r="S285" s="7"/>
      <c r="T285" s="7"/>
      <c r="U285" s="7"/>
      <c r="V285" s="7"/>
      <c r="W285" s="7"/>
      <c r="X285" s="7"/>
      <c r="Y285" s="7"/>
      <c r="Z285" s="7"/>
    </row>
    <row r="286" spans="1:26" ht="12.75" customHeight="1" x14ac:dyDescent="0.25">
      <c r="A286" s="1024"/>
      <c r="B286" s="467"/>
      <c r="C286" s="468"/>
      <c r="D286" s="469"/>
      <c r="E286" s="1024"/>
      <c r="F286" s="1024"/>
      <c r="G286" s="479" t="s">
        <v>731</v>
      </c>
      <c r="H286" s="416"/>
      <c r="I286" s="81">
        <v>1.8</v>
      </c>
      <c r="J286" s="467"/>
      <c r="K286" s="468"/>
      <c r="L286" s="469"/>
      <c r="M286" s="7"/>
      <c r="N286" s="7"/>
      <c r="O286" s="7"/>
      <c r="P286" s="7"/>
      <c r="Q286" s="7"/>
      <c r="R286" s="7"/>
      <c r="S286" s="7"/>
      <c r="T286" s="7"/>
      <c r="U286" s="7"/>
      <c r="V286" s="7"/>
      <c r="W286" s="7"/>
      <c r="X286" s="7"/>
      <c r="Y286" s="7"/>
      <c r="Z286" s="7"/>
    </row>
    <row r="287" spans="1:26" ht="12.75" customHeight="1" x14ac:dyDescent="0.25">
      <c r="A287" s="1024"/>
      <c r="B287" s="467"/>
      <c r="C287" s="468"/>
      <c r="D287" s="469"/>
      <c r="E287" s="1024"/>
      <c r="F287" s="1024"/>
      <c r="G287" s="479" t="s">
        <v>734</v>
      </c>
      <c r="H287" s="416"/>
      <c r="I287" s="81"/>
      <c r="J287" s="467"/>
      <c r="K287" s="468"/>
      <c r="L287" s="469"/>
      <c r="M287" s="7"/>
      <c r="N287" s="7"/>
      <c r="O287" s="7"/>
      <c r="P287" s="7"/>
      <c r="Q287" s="7"/>
      <c r="R287" s="7"/>
      <c r="S287" s="7"/>
      <c r="T287" s="7"/>
      <c r="U287" s="7"/>
      <c r="V287" s="7"/>
      <c r="W287" s="7"/>
      <c r="X287" s="7"/>
      <c r="Y287" s="7"/>
      <c r="Z287" s="7"/>
    </row>
    <row r="288" spans="1:26" ht="12.75" customHeight="1" x14ac:dyDescent="0.25">
      <c r="A288" s="1024"/>
      <c r="B288" s="467"/>
      <c r="C288" s="468"/>
      <c r="D288" s="469"/>
      <c r="E288" s="1024"/>
      <c r="F288" s="1024"/>
      <c r="G288" s="479" t="s">
        <v>735</v>
      </c>
      <c r="H288" s="416"/>
      <c r="I288" s="81"/>
      <c r="J288" s="467"/>
      <c r="K288" s="468"/>
      <c r="L288" s="469"/>
      <c r="M288" s="7"/>
      <c r="N288" s="7"/>
      <c r="O288" s="7"/>
      <c r="P288" s="7"/>
      <c r="Q288" s="7"/>
      <c r="R288" s="7"/>
      <c r="S288" s="7"/>
      <c r="T288" s="7"/>
      <c r="U288" s="7"/>
      <c r="V288" s="7"/>
      <c r="W288" s="7"/>
      <c r="X288" s="7"/>
      <c r="Y288" s="7"/>
      <c r="Z288" s="7"/>
    </row>
    <row r="289" spans="1:26" ht="12.75" customHeight="1" x14ac:dyDescent="0.25">
      <c r="A289" s="1024"/>
      <c r="B289" s="467"/>
      <c r="C289" s="468"/>
      <c r="D289" s="469"/>
      <c r="E289" s="1024"/>
      <c r="F289" s="1024"/>
      <c r="G289" s="479" t="s">
        <v>1009</v>
      </c>
      <c r="H289" s="416"/>
      <c r="I289" s="91"/>
      <c r="J289" s="467"/>
      <c r="K289" s="468"/>
      <c r="L289" s="469"/>
      <c r="M289" s="7"/>
      <c r="N289" s="7"/>
      <c r="O289" s="7"/>
      <c r="P289" s="7"/>
      <c r="Q289" s="7"/>
      <c r="R289" s="7"/>
      <c r="S289" s="7"/>
      <c r="T289" s="7"/>
      <c r="U289" s="7"/>
      <c r="V289" s="7"/>
      <c r="W289" s="7"/>
      <c r="X289" s="7"/>
      <c r="Y289" s="7"/>
      <c r="Z289" s="7"/>
    </row>
    <row r="290" spans="1:26" ht="12.75" customHeight="1" x14ac:dyDescent="0.25">
      <c r="A290" s="408"/>
      <c r="B290" s="412"/>
      <c r="C290" s="413"/>
      <c r="D290" s="414"/>
      <c r="E290" s="408"/>
      <c r="F290" s="408"/>
      <c r="G290" s="479" t="s">
        <v>1010</v>
      </c>
      <c r="H290" s="416"/>
      <c r="I290" s="81">
        <f>+I286*I284*I285</f>
        <v>0.9900000000000001</v>
      </c>
      <c r="J290" s="412"/>
      <c r="K290" s="413"/>
      <c r="L290" s="414"/>
      <c r="M290" s="7"/>
      <c r="N290" s="7"/>
      <c r="O290" s="7"/>
      <c r="P290" s="7"/>
      <c r="Q290" s="7"/>
      <c r="R290" s="7"/>
      <c r="S290" s="7"/>
      <c r="T290" s="7"/>
      <c r="U290" s="7"/>
      <c r="V290" s="7"/>
      <c r="W290" s="7"/>
      <c r="X290" s="7"/>
      <c r="Y290" s="7"/>
      <c r="Z290" s="7"/>
    </row>
    <row r="291" spans="1:26" ht="12.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x14ac:dyDescent="0.25">
      <c r="A292" s="470" t="s">
        <v>39</v>
      </c>
      <c r="B292" s="418"/>
      <c r="C292" s="418"/>
      <c r="D292" s="418"/>
      <c r="E292" s="6" t="s">
        <v>40</v>
      </c>
      <c r="F292" s="6" t="s">
        <v>41</v>
      </c>
      <c r="G292" s="1030" t="s">
        <v>730</v>
      </c>
      <c r="H292" s="459"/>
      <c r="I292" s="470" t="s">
        <v>1427</v>
      </c>
      <c r="J292" s="418"/>
      <c r="K292" s="418"/>
      <c r="L292" s="416"/>
      <c r="M292" s="7"/>
      <c r="N292" s="7"/>
      <c r="O292" s="7"/>
      <c r="P292" s="7"/>
      <c r="Q292" s="7"/>
      <c r="R292" s="7"/>
      <c r="S292" s="7"/>
      <c r="T292" s="7"/>
      <c r="U292" s="7"/>
      <c r="V292" s="7"/>
      <c r="W292" s="7"/>
      <c r="X292" s="7"/>
      <c r="Y292" s="7"/>
      <c r="Z292" s="7"/>
    </row>
    <row r="293" spans="1:26" ht="12.75" customHeight="1" x14ac:dyDescent="0.25">
      <c r="A293" s="1027" t="s">
        <v>1011</v>
      </c>
      <c r="B293" s="1035" t="s">
        <v>1012</v>
      </c>
      <c r="C293" s="410"/>
      <c r="D293" s="411"/>
      <c r="E293" s="1027" t="s">
        <v>420</v>
      </c>
      <c r="F293" s="1025">
        <f>I293</f>
        <v>1.3</v>
      </c>
      <c r="G293" s="479" t="s">
        <v>261</v>
      </c>
      <c r="H293" s="416"/>
      <c r="I293" s="81">
        <f>+I301*I294</f>
        <v>1.3</v>
      </c>
      <c r="J293" s="1124"/>
      <c r="K293" s="410"/>
      <c r="L293" s="411"/>
      <c r="M293" s="7"/>
      <c r="N293" s="7"/>
      <c r="O293" s="7"/>
      <c r="P293" s="7"/>
      <c r="Q293" s="7"/>
      <c r="R293" s="7"/>
      <c r="S293" s="7"/>
      <c r="T293" s="7"/>
      <c r="U293" s="7"/>
      <c r="V293" s="7"/>
      <c r="W293" s="7"/>
      <c r="X293" s="7"/>
      <c r="Y293" s="7"/>
      <c r="Z293" s="7"/>
    </row>
    <row r="294" spans="1:26" ht="12.75" customHeight="1" x14ac:dyDescent="0.25">
      <c r="A294" s="1024"/>
      <c r="B294" s="467"/>
      <c r="C294" s="468"/>
      <c r="D294" s="469"/>
      <c r="E294" s="1024"/>
      <c r="F294" s="1024"/>
      <c r="G294" s="479" t="s">
        <v>184</v>
      </c>
      <c r="H294" s="416"/>
      <c r="I294" s="81">
        <v>1</v>
      </c>
      <c r="J294" s="467"/>
      <c r="K294" s="468"/>
      <c r="L294" s="469"/>
      <c r="M294" s="7"/>
      <c r="N294" s="7"/>
      <c r="O294" s="7"/>
      <c r="P294" s="7"/>
      <c r="Q294" s="7"/>
      <c r="R294" s="7"/>
      <c r="S294" s="7"/>
      <c r="T294" s="7"/>
      <c r="U294" s="7"/>
      <c r="V294" s="7"/>
      <c r="W294" s="7"/>
      <c r="X294" s="7"/>
      <c r="Y294" s="7"/>
      <c r="Z294" s="7"/>
    </row>
    <row r="295" spans="1:26" ht="12.75" customHeight="1" x14ac:dyDescent="0.25">
      <c r="A295" s="1024"/>
      <c r="B295" s="467"/>
      <c r="C295" s="468"/>
      <c r="D295" s="469"/>
      <c r="E295" s="1024"/>
      <c r="F295" s="1024"/>
      <c r="G295" s="479" t="s">
        <v>927</v>
      </c>
      <c r="H295" s="416"/>
      <c r="I295" s="81">
        <v>0.8</v>
      </c>
      <c r="J295" s="467"/>
      <c r="K295" s="468"/>
      <c r="L295" s="469"/>
      <c r="M295" s="7"/>
      <c r="N295" s="7"/>
      <c r="O295" s="7"/>
      <c r="P295" s="7"/>
      <c r="Q295" s="7"/>
      <c r="R295" s="7"/>
      <c r="S295" s="7"/>
      <c r="T295" s="7"/>
      <c r="U295" s="7"/>
      <c r="V295" s="7"/>
      <c r="W295" s="7"/>
      <c r="X295" s="7"/>
      <c r="Y295" s="7"/>
      <c r="Z295" s="7"/>
    </row>
    <row r="296" spans="1:26" ht="12.75" customHeight="1" x14ac:dyDescent="0.25">
      <c r="A296" s="1024"/>
      <c r="B296" s="467"/>
      <c r="C296" s="468"/>
      <c r="D296" s="469"/>
      <c r="E296" s="1024"/>
      <c r="F296" s="1024"/>
      <c r="G296" s="479" t="s">
        <v>733</v>
      </c>
      <c r="H296" s="416"/>
      <c r="I296" s="81">
        <v>1.3</v>
      </c>
      <c r="J296" s="467"/>
      <c r="K296" s="468"/>
      <c r="L296" s="469"/>
      <c r="M296" s="7"/>
      <c r="N296" s="7"/>
      <c r="O296" s="7"/>
      <c r="P296" s="7"/>
      <c r="Q296" s="7"/>
      <c r="R296" s="7"/>
      <c r="S296" s="7"/>
      <c r="T296" s="7"/>
      <c r="U296" s="7"/>
      <c r="V296" s="7"/>
      <c r="W296" s="7"/>
      <c r="X296" s="7"/>
      <c r="Y296" s="7"/>
      <c r="Z296" s="7"/>
    </row>
    <row r="297" spans="1:26" ht="12.75" customHeight="1" x14ac:dyDescent="0.25">
      <c r="A297" s="1024"/>
      <c r="B297" s="467"/>
      <c r="C297" s="468"/>
      <c r="D297" s="469"/>
      <c r="E297" s="1024"/>
      <c r="F297" s="1024"/>
      <c r="G297" s="479" t="s">
        <v>731</v>
      </c>
      <c r="H297" s="416"/>
      <c r="I297" s="81">
        <v>1.2</v>
      </c>
      <c r="J297" s="467"/>
      <c r="K297" s="468"/>
      <c r="L297" s="469"/>
      <c r="M297" s="7"/>
      <c r="N297" s="7"/>
      <c r="O297" s="7"/>
      <c r="P297" s="7"/>
      <c r="Q297" s="7"/>
      <c r="R297" s="7"/>
      <c r="S297" s="7"/>
      <c r="T297" s="7"/>
      <c r="U297" s="7"/>
      <c r="V297" s="7"/>
      <c r="W297" s="7"/>
      <c r="X297" s="7"/>
      <c r="Y297" s="7"/>
      <c r="Z297" s="7"/>
    </row>
    <row r="298" spans="1:26" ht="12.75" customHeight="1" x14ac:dyDescent="0.25">
      <c r="A298" s="1024"/>
      <c r="B298" s="467"/>
      <c r="C298" s="468"/>
      <c r="D298" s="469"/>
      <c r="E298" s="1024"/>
      <c r="F298" s="1024"/>
      <c r="G298" s="479" t="s">
        <v>747</v>
      </c>
      <c r="H298" s="416"/>
      <c r="I298" s="81">
        <v>0.25</v>
      </c>
      <c r="J298" s="467"/>
      <c r="K298" s="468"/>
      <c r="L298" s="469"/>
      <c r="M298" s="7"/>
      <c r="N298" s="7"/>
      <c r="O298" s="7"/>
      <c r="P298" s="7"/>
      <c r="Q298" s="7"/>
      <c r="R298" s="7"/>
      <c r="S298" s="7"/>
      <c r="T298" s="7"/>
      <c r="U298" s="7"/>
      <c r="V298" s="7"/>
      <c r="W298" s="7"/>
      <c r="X298" s="7"/>
      <c r="Y298" s="7"/>
      <c r="Z298" s="7"/>
    </row>
    <row r="299" spans="1:26" ht="12.75" customHeight="1" x14ac:dyDescent="0.25">
      <c r="A299" s="1024"/>
      <c r="B299" s="467"/>
      <c r="C299" s="468"/>
      <c r="D299" s="469"/>
      <c r="E299" s="1024"/>
      <c r="F299" s="1024"/>
      <c r="G299" s="479" t="s">
        <v>735</v>
      </c>
      <c r="H299" s="416"/>
      <c r="I299" s="81"/>
      <c r="J299" s="467"/>
      <c r="K299" s="468"/>
      <c r="L299" s="469"/>
      <c r="M299" s="7"/>
      <c r="N299" s="7"/>
      <c r="O299" s="7"/>
      <c r="P299" s="7"/>
      <c r="Q299" s="7"/>
      <c r="R299" s="7"/>
      <c r="S299" s="7"/>
      <c r="T299" s="7"/>
      <c r="U299" s="7"/>
      <c r="V299" s="7"/>
      <c r="W299" s="7"/>
      <c r="X299" s="7"/>
      <c r="Y299" s="7"/>
      <c r="Z299" s="7"/>
    </row>
    <row r="300" spans="1:26" ht="12.75" customHeight="1" x14ac:dyDescent="0.25">
      <c r="A300" s="1024"/>
      <c r="B300" s="467"/>
      <c r="C300" s="468"/>
      <c r="D300" s="469"/>
      <c r="E300" s="1024"/>
      <c r="F300" s="1024"/>
      <c r="G300" s="479" t="s">
        <v>1013</v>
      </c>
      <c r="H300" s="416"/>
      <c r="I300" s="91"/>
      <c r="J300" s="467"/>
      <c r="K300" s="468"/>
      <c r="L300" s="469"/>
      <c r="M300" s="7"/>
      <c r="N300" s="7"/>
      <c r="O300" s="7"/>
      <c r="P300" s="7"/>
      <c r="Q300" s="7"/>
      <c r="R300" s="7"/>
      <c r="S300" s="7"/>
      <c r="T300" s="7"/>
      <c r="U300" s="7"/>
      <c r="V300" s="7"/>
      <c r="W300" s="7"/>
      <c r="X300" s="7"/>
      <c r="Y300" s="7"/>
      <c r="Z300" s="7"/>
    </row>
    <row r="301" spans="1:26" ht="12.75" customHeight="1" x14ac:dyDescent="0.25">
      <c r="A301" s="408"/>
      <c r="B301" s="412"/>
      <c r="C301" s="413"/>
      <c r="D301" s="414"/>
      <c r="E301" s="408"/>
      <c r="F301" s="408"/>
      <c r="G301" s="479" t="s">
        <v>1014</v>
      </c>
      <c r="H301" s="416"/>
      <c r="I301" s="81">
        <f>+(I295+I295+I297+I297)*I296*I298</f>
        <v>1.3</v>
      </c>
      <c r="J301" s="412"/>
      <c r="K301" s="413"/>
      <c r="L301" s="414"/>
      <c r="M301" s="7"/>
      <c r="N301" s="7"/>
      <c r="O301" s="7"/>
      <c r="P301" s="7"/>
      <c r="Q301" s="7"/>
      <c r="R301" s="7"/>
      <c r="S301" s="7"/>
      <c r="T301" s="7"/>
      <c r="U301" s="7"/>
      <c r="V301" s="7"/>
      <c r="W301" s="7"/>
      <c r="X301" s="7"/>
      <c r="Y301" s="7"/>
      <c r="Z301" s="7"/>
    </row>
    <row r="302" spans="1:26" ht="12.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x14ac:dyDescent="0.25">
      <c r="A303" s="470" t="s">
        <v>39</v>
      </c>
      <c r="B303" s="418"/>
      <c r="C303" s="418"/>
      <c r="D303" s="418"/>
      <c r="E303" s="6" t="s">
        <v>40</v>
      </c>
      <c r="F303" s="6" t="s">
        <v>41</v>
      </c>
      <c r="G303" s="1030" t="s">
        <v>730</v>
      </c>
      <c r="H303" s="459"/>
      <c r="I303" s="470" t="s">
        <v>1427</v>
      </c>
      <c r="J303" s="418"/>
      <c r="K303" s="418"/>
      <c r="L303" s="416"/>
      <c r="M303" s="7"/>
      <c r="N303" s="7"/>
      <c r="O303" s="7"/>
      <c r="P303" s="7"/>
      <c r="Q303" s="7"/>
      <c r="R303" s="7"/>
      <c r="S303" s="7"/>
      <c r="T303" s="7"/>
      <c r="U303" s="7"/>
      <c r="V303" s="7"/>
      <c r="W303" s="7"/>
      <c r="X303" s="7"/>
      <c r="Y303" s="7"/>
      <c r="Z303" s="7"/>
    </row>
    <row r="304" spans="1:26" ht="12.75" customHeight="1" x14ac:dyDescent="0.25">
      <c r="A304" s="1027" t="s">
        <v>1015</v>
      </c>
      <c r="B304" s="1035" t="s">
        <v>1016</v>
      </c>
      <c r="C304" s="410"/>
      <c r="D304" s="411"/>
      <c r="E304" s="1027" t="s">
        <v>420</v>
      </c>
      <c r="F304" s="1025">
        <f>I304</f>
        <v>0.33150000000000002</v>
      </c>
      <c r="G304" s="479" t="s">
        <v>261</v>
      </c>
      <c r="H304" s="416"/>
      <c r="I304" s="81">
        <f>+I305*I312</f>
        <v>0.33150000000000002</v>
      </c>
      <c r="J304" s="1124"/>
      <c r="K304" s="410"/>
      <c r="L304" s="411"/>
      <c r="M304" s="7"/>
      <c r="N304" s="7"/>
      <c r="O304" s="7"/>
      <c r="P304" s="7"/>
      <c r="Q304" s="7"/>
      <c r="R304" s="7"/>
      <c r="S304" s="7"/>
      <c r="T304" s="7"/>
      <c r="U304" s="7"/>
      <c r="V304" s="7"/>
      <c r="W304" s="7"/>
      <c r="X304" s="7"/>
      <c r="Y304" s="7"/>
      <c r="Z304" s="7"/>
    </row>
    <row r="305" spans="1:26" ht="12.75" customHeight="1" x14ac:dyDescent="0.25">
      <c r="A305" s="1024"/>
      <c r="B305" s="467"/>
      <c r="C305" s="468"/>
      <c r="D305" s="469"/>
      <c r="E305" s="1024"/>
      <c r="F305" s="1024"/>
      <c r="G305" s="479" t="s">
        <v>184</v>
      </c>
      <c r="H305" s="416"/>
      <c r="I305" s="81">
        <v>1</v>
      </c>
      <c r="J305" s="467"/>
      <c r="K305" s="468"/>
      <c r="L305" s="469"/>
      <c r="M305" s="7"/>
      <c r="N305" s="7"/>
      <c r="O305" s="7"/>
      <c r="P305" s="7"/>
      <c r="Q305" s="7"/>
      <c r="R305" s="7"/>
      <c r="S305" s="7"/>
      <c r="T305" s="7"/>
      <c r="U305" s="7"/>
      <c r="V305" s="7"/>
      <c r="W305" s="7"/>
      <c r="X305" s="7"/>
      <c r="Y305" s="7"/>
      <c r="Z305" s="7"/>
    </row>
    <row r="306" spans="1:26" ht="12.75" customHeight="1" x14ac:dyDescent="0.25">
      <c r="A306" s="1024"/>
      <c r="B306" s="467"/>
      <c r="C306" s="468"/>
      <c r="D306" s="469"/>
      <c r="E306" s="1024"/>
      <c r="F306" s="1024"/>
      <c r="G306" s="479" t="s">
        <v>927</v>
      </c>
      <c r="H306" s="416"/>
      <c r="I306" s="81">
        <v>1.7</v>
      </c>
      <c r="J306" s="467"/>
      <c r="K306" s="468"/>
      <c r="L306" s="469"/>
      <c r="M306" s="7"/>
      <c r="N306" s="7"/>
      <c r="O306" s="7"/>
      <c r="P306" s="7"/>
      <c r="Q306" s="7"/>
      <c r="R306" s="7"/>
      <c r="S306" s="7"/>
      <c r="T306" s="7"/>
      <c r="U306" s="7"/>
      <c r="V306" s="7"/>
      <c r="W306" s="7"/>
      <c r="X306" s="7"/>
      <c r="Y306" s="7"/>
      <c r="Z306" s="7"/>
    </row>
    <row r="307" spans="1:26" ht="12.75" customHeight="1" x14ac:dyDescent="0.25">
      <c r="A307" s="1024"/>
      <c r="B307" s="467"/>
      <c r="C307" s="468"/>
      <c r="D307" s="469"/>
      <c r="E307" s="1024"/>
      <c r="F307" s="1024"/>
      <c r="G307" s="479" t="s">
        <v>733</v>
      </c>
      <c r="H307" s="416"/>
      <c r="I307" s="81"/>
      <c r="J307" s="467"/>
      <c r="K307" s="468"/>
      <c r="L307" s="469"/>
      <c r="M307" s="7"/>
      <c r="N307" s="7"/>
      <c r="O307" s="7"/>
      <c r="P307" s="7"/>
      <c r="Q307" s="7"/>
      <c r="R307" s="7"/>
      <c r="S307" s="7"/>
      <c r="T307" s="7"/>
      <c r="U307" s="7"/>
      <c r="V307" s="7"/>
      <c r="W307" s="7"/>
      <c r="X307" s="7"/>
      <c r="Y307" s="7"/>
      <c r="Z307" s="7"/>
    </row>
    <row r="308" spans="1:26" ht="12.75" customHeight="1" x14ac:dyDescent="0.25">
      <c r="A308" s="1024"/>
      <c r="B308" s="467"/>
      <c r="C308" s="468"/>
      <c r="D308" s="469"/>
      <c r="E308" s="1024"/>
      <c r="F308" s="1024"/>
      <c r="G308" s="479" t="s">
        <v>731</v>
      </c>
      <c r="H308" s="416"/>
      <c r="I308" s="81">
        <v>1.3</v>
      </c>
      <c r="J308" s="467"/>
      <c r="K308" s="468"/>
      <c r="L308" s="469"/>
      <c r="M308" s="7"/>
      <c r="N308" s="7"/>
      <c r="O308" s="7"/>
      <c r="P308" s="7"/>
      <c r="Q308" s="7"/>
      <c r="R308" s="7"/>
      <c r="S308" s="7"/>
      <c r="T308" s="7"/>
      <c r="U308" s="7"/>
      <c r="V308" s="7"/>
      <c r="W308" s="7"/>
      <c r="X308" s="7"/>
      <c r="Y308" s="7"/>
      <c r="Z308" s="7"/>
    </row>
    <row r="309" spans="1:26" ht="12.75" customHeight="1" x14ac:dyDescent="0.25">
      <c r="A309" s="1024"/>
      <c r="B309" s="467"/>
      <c r="C309" s="468"/>
      <c r="D309" s="469"/>
      <c r="E309" s="1024"/>
      <c r="F309" s="1024"/>
      <c r="G309" s="479" t="s">
        <v>747</v>
      </c>
      <c r="H309" s="416"/>
      <c r="I309" s="81">
        <v>0.15</v>
      </c>
      <c r="J309" s="467"/>
      <c r="K309" s="468"/>
      <c r="L309" s="469"/>
      <c r="M309" s="7"/>
      <c r="N309" s="7"/>
      <c r="O309" s="7"/>
      <c r="P309" s="7"/>
      <c r="Q309" s="7"/>
      <c r="R309" s="7"/>
      <c r="S309" s="7"/>
      <c r="T309" s="7"/>
      <c r="U309" s="7"/>
      <c r="V309" s="7"/>
      <c r="W309" s="7"/>
      <c r="X309" s="7"/>
      <c r="Y309" s="7"/>
      <c r="Z309" s="7"/>
    </row>
    <row r="310" spans="1:26" ht="12.75" customHeight="1" x14ac:dyDescent="0.25">
      <c r="A310" s="1024"/>
      <c r="B310" s="467"/>
      <c r="C310" s="468"/>
      <c r="D310" s="469"/>
      <c r="E310" s="1024"/>
      <c r="F310" s="1024"/>
      <c r="G310" s="479" t="s">
        <v>735</v>
      </c>
      <c r="H310" s="416"/>
      <c r="I310" s="81"/>
      <c r="J310" s="467"/>
      <c r="K310" s="468"/>
      <c r="L310" s="469"/>
      <c r="M310" s="7"/>
      <c r="N310" s="7"/>
      <c r="O310" s="7"/>
      <c r="P310" s="7"/>
      <c r="Q310" s="7"/>
      <c r="R310" s="7"/>
      <c r="S310" s="7"/>
      <c r="T310" s="7"/>
      <c r="U310" s="7"/>
      <c r="V310" s="7"/>
      <c r="W310" s="7"/>
      <c r="X310" s="7"/>
      <c r="Y310" s="7"/>
      <c r="Z310" s="7"/>
    </row>
    <row r="311" spans="1:26" ht="12.75" customHeight="1" x14ac:dyDescent="0.25">
      <c r="A311" s="1024"/>
      <c r="B311" s="467"/>
      <c r="C311" s="468"/>
      <c r="D311" s="469"/>
      <c r="E311" s="1024"/>
      <c r="F311" s="1024"/>
      <c r="G311" s="479" t="s">
        <v>1017</v>
      </c>
      <c r="H311" s="416"/>
      <c r="I311" s="91"/>
      <c r="J311" s="467"/>
      <c r="K311" s="468"/>
      <c r="L311" s="469"/>
      <c r="M311" s="7"/>
      <c r="N311" s="7"/>
      <c r="O311" s="7"/>
      <c r="P311" s="7"/>
      <c r="Q311" s="7"/>
      <c r="R311" s="7"/>
      <c r="S311" s="7"/>
      <c r="T311" s="7"/>
      <c r="U311" s="7"/>
      <c r="V311" s="7"/>
      <c r="W311" s="7"/>
      <c r="X311" s="7"/>
      <c r="Y311" s="7"/>
      <c r="Z311" s="7"/>
    </row>
    <row r="312" spans="1:26" ht="12.75" customHeight="1" x14ac:dyDescent="0.25">
      <c r="A312" s="408"/>
      <c r="B312" s="412"/>
      <c r="C312" s="413"/>
      <c r="D312" s="414"/>
      <c r="E312" s="408"/>
      <c r="F312" s="408"/>
      <c r="G312" s="479" t="s">
        <v>1018</v>
      </c>
      <c r="H312" s="416"/>
      <c r="I312" s="81">
        <f>+I309*I308*I306</f>
        <v>0.33150000000000002</v>
      </c>
      <c r="J312" s="412"/>
      <c r="K312" s="413"/>
      <c r="L312" s="414"/>
      <c r="M312" s="7"/>
      <c r="N312" s="7"/>
      <c r="O312" s="7"/>
      <c r="P312" s="7"/>
      <c r="Q312" s="7"/>
      <c r="R312" s="7"/>
      <c r="S312" s="7"/>
      <c r="T312" s="7"/>
      <c r="U312" s="7"/>
      <c r="V312" s="7"/>
      <c r="W312" s="7"/>
      <c r="X312" s="7"/>
      <c r="Y312" s="7"/>
      <c r="Z312" s="7"/>
    </row>
    <row r="313" spans="1:26" ht="12.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x14ac:dyDescent="0.25">
      <c r="A314" s="470" t="s">
        <v>39</v>
      </c>
      <c r="B314" s="418"/>
      <c r="C314" s="418"/>
      <c r="D314" s="418"/>
      <c r="E314" s="6" t="s">
        <v>40</v>
      </c>
      <c r="F314" s="6" t="s">
        <v>41</v>
      </c>
      <c r="G314" s="1030" t="s">
        <v>730</v>
      </c>
      <c r="H314" s="459"/>
      <c r="I314" s="470" t="s">
        <v>1427</v>
      </c>
      <c r="J314" s="418"/>
      <c r="K314" s="418"/>
      <c r="L314" s="416"/>
      <c r="M314" s="7"/>
      <c r="N314" s="7"/>
      <c r="O314" s="7"/>
      <c r="P314" s="7"/>
      <c r="Q314" s="7"/>
      <c r="R314" s="7"/>
      <c r="S314" s="7"/>
      <c r="T314" s="7"/>
      <c r="U314" s="7"/>
      <c r="V314" s="7"/>
      <c r="W314" s="7"/>
      <c r="X314" s="7"/>
      <c r="Y314" s="7"/>
      <c r="Z314" s="7"/>
    </row>
    <row r="315" spans="1:26" ht="12.75" customHeight="1" x14ac:dyDescent="0.25">
      <c r="A315" s="1027" t="s">
        <v>1019</v>
      </c>
      <c r="B315" s="1035" t="s">
        <v>446</v>
      </c>
      <c r="C315" s="410"/>
      <c r="D315" s="411"/>
      <c r="E315" s="1027" t="s">
        <v>445</v>
      </c>
      <c r="F315" s="1025">
        <f>I315</f>
        <v>259</v>
      </c>
      <c r="G315" s="479" t="s">
        <v>261</v>
      </c>
      <c r="H315" s="416"/>
      <c r="I315" s="81">
        <f>+I320*I316</f>
        <v>259</v>
      </c>
      <c r="J315" s="1042" t="s">
        <v>748</v>
      </c>
      <c r="K315" s="410"/>
      <c r="L315" s="411"/>
      <c r="M315" s="7"/>
      <c r="N315" s="7"/>
      <c r="O315" s="7"/>
      <c r="P315" s="7"/>
      <c r="Q315" s="7"/>
      <c r="R315" s="7"/>
      <c r="S315" s="7"/>
      <c r="T315" s="7"/>
      <c r="U315" s="7"/>
      <c r="V315" s="7"/>
      <c r="W315" s="7"/>
      <c r="X315" s="7"/>
      <c r="Y315" s="7"/>
      <c r="Z315" s="7"/>
    </row>
    <row r="316" spans="1:26" ht="12.75" customHeight="1" x14ac:dyDescent="0.25">
      <c r="A316" s="1024"/>
      <c r="B316" s="467"/>
      <c r="C316" s="468"/>
      <c r="D316" s="469"/>
      <c r="E316" s="1024"/>
      <c r="F316" s="1024"/>
      <c r="G316" s="479" t="s">
        <v>184</v>
      </c>
      <c r="H316" s="416"/>
      <c r="I316" s="81">
        <v>1</v>
      </c>
      <c r="J316" s="467"/>
      <c r="K316" s="468"/>
      <c r="L316" s="469"/>
      <c r="M316" s="7"/>
      <c r="N316" s="7"/>
      <c r="O316" s="7"/>
      <c r="P316" s="7"/>
      <c r="Q316" s="7"/>
      <c r="R316" s="7"/>
      <c r="S316" s="7"/>
      <c r="T316" s="7"/>
      <c r="U316" s="7"/>
      <c r="V316" s="7"/>
      <c r="W316" s="7"/>
      <c r="X316" s="7"/>
      <c r="Y316" s="7"/>
      <c r="Z316" s="7"/>
    </row>
    <row r="317" spans="1:26" ht="12.75" customHeight="1" x14ac:dyDescent="0.25">
      <c r="A317" s="1024"/>
      <c r="B317" s="467"/>
      <c r="C317" s="468"/>
      <c r="D317" s="469"/>
      <c r="E317" s="1024"/>
      <c r="F317" s="1024"/>
      <c r="G317" s="479" t="s">
        <v>927</v>
      </c>
      <c r="H317" s="416"/>
      <c r="I317" s="81"/>
      <c r="J317" s="467"/>
      <c r="K317" s="468"/>
      <c r="L317" s="469"/>
      <c r="M317" s="7"/>
      <c r="N317" s="7"/>
      <c r="O317" s="7"/>
      <c r="P317" s="7"/>
      <c r="Q317" s="7"/>
      <c r="R317" s="7"/>
      <c r="S317" s="7"/>
      <c r="T317" s="7"/>
      <c r="U317" s="7"/>
      <c r="V317" s="7"/>
      <c r="W317" s="7"/>
      <c r="X317" s="7"/>
      <c r="Y317" s="7"/>
      <c r="Z317" s="7"/>
    </row>
    <row r="318" spans="1:26" ht="12.75" customHeight="1" x14ac:dyDescent="0.25">
      <c r="A318" s="1024"/>
      <c r="B318" s="467"/>
      <c r="C318" s="468"/>
      <c r="D318" s="469"/>
      <c r="E318" s="1024"/>
      <c r="F318" s="1024"/>
      <c r="G318" s="479" t="s">
        <v>733</v>
      </c>
      <c r="H318" s="416"/>
      <c r="I318" s="81"/>
      <c r="J318" s="467"/>
      <c r="K318" s="468"/>
      <c r="L318" s="469"/>
      <c r="M318" s="7"/>
      <c r="N318" s="7"/>
      <c r="O318" s="7"/>
      <c r="P318" s="7"/>
      <c r="Q318" s="7"/>
      <c r="R318" s="7"/>
      <c r="S318" s="7"/>
      <c r="T318" s="7"/>
      <c r="U318" s="7"/>
      <c r="V318" s="7"/>
      <c r="W318" s="7"/>
      <c r="X318" s="7"/>
      <c r="Y318" s="7"/>
      <c r="Z318" s="7"/>
    </row>
    <row r="319" spans="1:26" ht="12.75" customHeight="1" x14ac:dyDescent="0.25">
      <c r="A319" s="1024"/>
      <c r="B319" s="467"/>
      <c r="C319" s="468"/>
      <c r="D319" s="469"/>
      <c r="E319" s="1024"/>
      <c r="F319" s="1024"/>
      <c r="G319" s="479" t="s">
        <v>731</v>
      </c>
      <c r="H319" s="416"/>
      <c r="I319" s="81"/>
      <c r="J319" s="467"/>
      <c r="K319" s="468"/>
      <c r="L319" s="469"/>
      <c r="M319" s="7"/>
      <c r="N319" s="7"/>
      <c r="O319" s="7"/>
      <c r="P319" s="7"/>
      <c r="Q319" s="7"/>
      <c r="R319" s="7"/>
      <c r="S319" s="7"/>
      <c r="T319" s="7"/>
      <c r="U319" s="7"/>
      <c r="V319" s="7"/>
      <c r="W319" s="7"/>
      <c r="X319" s="7"/>
      <c r="Y319" s="7"/>
      <c r="Z319" s="7"/>
    </row>
    <row r="320" spans="1:26" ht="12.75" customHeight="1" x14ac:dyDescent="0.25">
      <c r="A320" s="1024"/>
      <c r="B320" s="467"/>
      <c r="C320" s="468"/>
      <c r="D320" s="469"/>
      <c r="E320" s="1024"/>
      <c r="F320" s="1024"/>
      <c r="G320" s="479" t="s">
        <v>445</v>
      </c>
      <c r="H320" s="416"/>
      <c r="I320" s="81">
        <v>259</v>
      </c>
      <c r="J320" s="467"/>
      <c r="K320" s="468"/>
      <c r="L320" s="469"/>
      <c r="M320" s="7"/>
      <c r="N320" s="7"/>
      <c r="O320" s="7"/>
      <c r="P320" s="7"/>
      <c r="Q320" s="7"/>
      <c r="R320" s="7"/>
      <c r="S320" s="7"/>
      <c r="T320" s="7"/>
      <c r="U320" s="7"/>
      <c r="V320" s="7"/>
      <c r="W320" s="7"/>
      <c r="X320" s="7"/>
      <c r="Y320" s="7"/>
      <c r="Z320" s="7"/>
    </row>
    <row r="321" spans="1:26" ht="12.75" customHeight="1" x14ac:dyDescent="0.25">
      <c r="A321" s="1024"/>
      <c r="B321" s="467"/>
      <c r="C321" s="468"/>
      <c r="D321" s="469"/>
      <c r="E321" s="1024"/>
      <c r="F321" s="1024"/>
      <c r="G321" s="479" t="s">
        <v>735</v>
      </c>
      <c r="H321" s="416"/>
      <c r="I321" s="81"/>
      <c r="J321" s="467"/>
      <c r="K321" s="468"/>
      <c r="L321" s="469"/>
      <c r="M321" s="7"/>
      <c r="N321" s="7"/>
      <c r="O321" s="7"/>
      <c r="P321" s="7"/>
      <c r="Q321" s="7"/>
      <c r="R321" s="7"/>
      <c r="S321" s="7"/>
      <c r="T321" s="7"/>
      <c r="U321" s="7"/>
      <c r="V321" s="7"/>
      <c r="W321" s="7"/>
      <c r="X321" s="7"/>
      <c r="Y321" s="7"/>
      <c r="Z321" s="7"/>
    </row>
    <row r="322" spans="1:26" ht="12.75" customHeight="1" x14ac:dyDescent="0.25">
      <c r="A322" s="1024"/>
      <c r="B322" s="467"/>
      <c r="C322" s="468"/>
      <c r="D322" s="469"/>
      <c r="E322" s="1024"/>
      <c r="F322" s="1024"/>
      <c r="G322" s="479" t="s">
        <v>1020</v>
      </c>
      <c r="H322" s="416"/>
      <c r="I322" s="91"/>
      <c r="J322" s="467"/>
      <c r="K322" s="468"/>
      <c r="L322" s="469"/>
      <c r="M322" s="7"/>
      <c r="N322" s="7"/>
      <c r="O322" s="7"/>
      <c r="P322" s="7"/>
      <c r="Q322" s="7"/>
      <c r="R322" s="7"/>
      <c r="S322" s="7"/>
      <c r="T322" s="7"/>
      <c r="U322" s="7"/>
      <c r="V322" s="7"/>
      <c r="W322" s="7"/>
      <c r="X322" s="7"/>
      <c r="Y322" s="7"/>
      <c r="Z322" s="7"/>
    </row>
    <row r="323" spans="1:26" ht="12.75" customHeight="1" x14ac:dyDescent="0.25">
      <c r="A323" s="408"/>
      <c r="B323" s="412"/>
      <c r="C323" s="413"/>
      <c r="D323" s="414"/>
      <c r="E323" s="408"/>
      <c r="F323" s="408"/>
      <c r="G323" s="479" t="s">
        <v>1021</v>
      </c>
      <c r="H323" s="416"/>
      <c r="I323" s="81"/>
      <c r="J323" s="412"/>
      <c r="K323" s="413"/>
      <c r="L323" s="414"/>
      <c r="M323" s="7"/>
      <c r="N323" s="7"/>
      <c r="O323" s="7"/>
      <c r="P323" s="7"/>
      <c r="Q323" s="7"/>
      <c r="R323" s="7"/>
      <c r="S323" s="7"/>
      <c r="T323" s="7"/>
      <c r="U323" s="7"/>
      <c r="V323" s="7"/>
      <c r="W323" s="7"/>
      <c r="X323" s="7"/>
      <c r="Y323" s="7"/>
      <c r="Z323" s="7"/>
    </row>
    <row r="324" spans="1:26" ht="12.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x14ac:dyDescent="0.25">
      <c r="A325" s="470" t="s">
        <v>39</v>
      </c>
      <c r="B325" s="418"/>
      <c r="C325" s="418"/>
      <c r="D325" s="418"/>
      <c r="E325" s="6" t="s">
        <v>40</v>
      </c>
      <c r="F325" s="6" t="s">
        <v>41</v>
      </c>
      <c r="G325" s="1030" t="s">
        <v>730</v>
      </c>
      <c r="H325" s="459"/>
      <c r="I325" s="470" t="s">
        <v>1427</v>
      </c>
      <c r="J325" s="418"/>
      <c r="K325" s="418"/>
      <c r="L325" s="416"/>
      <c r="M325" s="7"/>
      <c r="N325" s="7"/>
      <c r="O325" s="7"/>
      <c r="P325" s="7"/>
      <c r="Q325" s="7"/>
      <c r="R325" s="7"/>
      <c r="S325" s="7"/>
      <c r="T325" s="7"/>
      <c r="U325" s="7"/>
      <c r="V325" s="7"/>
      <c r="W325" s="7"/>
      <c r="X325" s="7"/>
      <c r="Y325" s="7"/>
      <c r="Z325" s="7"/>
    </row>
    <row r="326" spans="1:26" ht="12.75" customHeight="1" x14ac:dyDescent="0.25">
      <c r="A326" s="1027" t="s">
        <v>1022</v>
      </c>
      <c r="B326" s="1035" t="s">
        <v>1023</v>
      </c>
      <c r="C326" s="410"/>
      <c r="D326" s="411"/>
      <c r="E326" s="1027" t="s">
        <v>418</v>
      </c>
      <c r="F326" s="1125">
        <f>+F330+F341</f>
        <v>6.16</v>
      </c>
      <c r="G326" s="466" t="s">
        <v>261</v>
      </c>
      <c r="H326" s="411"/>
      <c r="I326" s="1025"/>
      <c r="J326" s="1042"/>
      <c r="K326" s="410"/>
      <c r="L326" s="411"/>
      <c r="M326" s="7"/>
      <c r="N326" s="7"/>
      <c r="O326" s="7"/>
      <c r="P326" s="7"/>
      <c r="Q326" s="7"/>
      <c r="R326" s="7"/>
      <c r="S326" s="7"/>
      <c r="T326" s="7"/>
      <c r="U326" s="7"/>
      <c r="V326" s="7"/>
      <c r="W326" s="7"/>
      <c r="X326" s="7"/>
      <c r="Y326" s="7"/>
      <c r="Z326" s="7"/>
    </row>
    <row r="327" spans="1:26" ht="12.75" customHeight="1" x14ac:dyDescent="0.25">
      <c r="A327" s="408"/>
      <c r="B327" s="412"/>
      <c r="C327" s="413"/>
      <c r="D327" s="414"/>
      <c r="E327" s="408"/>
      <c r="F327" s="408"/>
      <c r="G327" s="412"/>
      <c r="H327" s="414"/>
      <c r="I327" s="408"/>
      <c r="J327" s="412"/>
      <c r="K327" s="413"/>
      <c r="L327" s="414"/>
      <c r="M327" s="7"/>
      <c r="N327" s="7"/>
      <c r="O327" s="7"/>
      <c r="P327" s="7"/>
      <c r="Q327" s="7"/>
      <c r="R327" s="7"/>
      <c r="S327" s="7"/>
      <c r="T327" s="7"/>
      <c r="U327" s="7"/>
      <c r="V327" s="7"/>
      <c r="W327" s="7"/>
      <c r="X327" s="7"/>
      <c r="Y327" s="7"/>
      <c r="Z327" s="7"/>
    </row>
    <row r="328" spans="1:26" ht="12.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x14ac:dyDescent="0.25">
      <c r="A329" s="470" t="s">
        <v>39</v>
      </c>
      <c r="B329" s="418"/>
      <c r="C329" s="418"/>
      <c r="D329" s="418"/>
      <c r="E329" s="6" t="s">
        <v>40</v>
      </c>
      <c r="F329" s="6" t="s">
        <v>41</v>
      </c>
      <c r="G329" s="1030" t="s">
        <v>730</v>
      </c>
      <c r="H329" s="459"/>
      <c r="I329" s="470" t="s">
        <v>1427</v>
      </c>
      <c r="J329" s="418"/>
      <c r="K329" s="418"/>
      <c r="L329" s="416"/>
      <c r="M329" s="7"/>
      <c r="N329" s="7"/>
      <c r="O329" s="7"/>
      <c r="P329" s="7"/>
      <c r="Q329" s="7"/>
      <c r="R329" s="7"/>
      <c r="S329" s="7"/>
      <c r="T329" s="7"/>
      <c r="U329" s="7"/>
      <c r="V329" s="7"/>
      <c r="W329" s="7"/>
      <c r="X329" s="7"/>
      <c r="Y329" s="7"/>
      <c r="Z329" s="7"/>
    </row>
    <row r="330" spans="1:26" ht="12.75" customHeight="1" x14ac:dyDescent="0.25">
      <c r="A330" s="1027" t="s">
        <v>1024</v>
      </c>
      <c r="B330" s="1035" t="s">
        <v>1025</v>
      </c>
      <c r="C330" s="410"/>
      <c r="D330" s="411"/>
      <c r="E330" s="1027" t="s">
        <v>418</v>
      </c>
      <c r="F330" s="1025">
        <f>I330</f>
        <v>0.96</v>
      </c>
      <c r="G330" s="479" t="s">
        <v>261</v>
      </c>
      <c r="H330" s="416"/>
      <c r="I330" s="81">
        <f>+I337*I331</f>
        <v>0.96</v>
      </c>
      <c r="J330" s="1124"/>
      <c r="K330" s="410"/>
      <c r="L330" s="411"/>
      <c r="M330" s="7"/>
      <c r="N330" s="7"/>
      <c r="O330" s="7"/>
      <c r="P330" s="7"/>
      <c r="Q330" s="7"/>
      <c r="R330" s="7"/>
      <c r="S330" s="7"/>
      <c r="T330" s="7"/>
      <c r="U330" s="7"/>
      <c r="V330" s="7"/>
      <c r="W330" s="7"/>
      <c r="X330" s="7"/>
      <c r="Y330" s="7"/>
      <c r="Z330" s="7"/>
    </row>
    <row r="331" spans="1:26" ht="12.75" customHeight="1" x14ac:dyDescent="0.25">
      <c r="A331" s="1024"/>
      <c r="B331" s="467"/>
      <c r="C331" s="468"/>
      <c r="D331" s="469"/>
      <c r="E331" s="1024"/>
      <c r="F331" s="1024"/>
      <c r="G331" s="479" t="s">
        <v>184</v>
      </c>
      <c r="H331" s="416"/>
      <c r="I331" s="81">
        <v>1</v>
      </c>
      <c r="J331" s="467"/>
      <c r="K331" s="468"/>
      <c r="L331" s="469"/>
      <c r="M331" s="7"/>
      <c r="N331" s="7"/>
      <c r="O331" s="7"/>
      <c r="P331" s="7"/>
      <c r="Q331" s="7"/>
      <c r="R331" s="7"/>
      <c r="S331" s="7"/>
      <c r="T331" s="7"/>
      <c r="U331" s="7"/>
      <c r="V331" s="7"/>
      <c r="W331" s="7"/>
      <c r="X331" s="7"/>
      <c r="Y331" s="7"/>
      <c r="Z331" s="7"/>
    </row>
    <row r="332" spans="1:26" ht="12.75" customHeight="1" x14ac:dyDescent="0.25">
      <c r="A332" s="1024"/>
      <c r="B332" s="467"/>
      <c r="C332" s="468"/>
      <c r="D332" s="469"/>
      <c r="E332" s="1024"/>
      <c r="F332" s="1024"/>
      <c r="G332" s="479" t="s">
        <v>927</v>
      </c>
      <c r="H332" s="416"/>
      <c r="I332" s="81">
        <v>0.8</v>
      </c>
      <c r="J332" s="467"/>
      <c r="K332" s="468"/>
      <c r="L332" s="469"/>
      <c r="M332" s="7"/>
      <c r="N332" s="7"/>
      <c r="O332" s="7"/>
      <c r="P332" s="7"/>
      <c r="Q332" s="7"/>
      <c r="R332" s="7"/>
      <c r="S332" s="7"/>
      <c r="T332" s="7"/>
      <c r="U332" s="7"/>
      <c r="V332" s="7"/>
      <c r="W332" s="7"/>
      <c r="X332" s="7"/>
      <c r="Y332" s="7"/>
      <c r="Z332" s="7"/>
    </row>
    <row r="333" spans="1:26" ht="12.75" customHeight="1" x14ac:dyDescent="0.25">
      <c r="A333" s="1024"/>
      <c r="B333" s="467"/>
      <c r="C333" s="468"/>
      <c r="D333" s="469"/>
      <c r="E333" s="1024"/>
      <c r="F333" s="1024"/>
      <c r="G333" s="479" t="s">
        <v>733</v>
      </c>
      <c r="H333" s="416"/>
      <c r="I333" s="81"/>
      <c r="J333" s="467"/>
      <c r="K333" s="468"/>
      <c r="L333" s="469"/>
      <c r="M333" s="7"/>
      <c r="N333" s="7"/>
      <c r="O333" s="7"/>
      <c r="P333" s="7"/>
      <c r="Q333" s="7"/>
      <c r="R333" s="7"/>
      <c r="S333" s="7"/>
      <c r="T333" s="7"/>
      <c r="U333" s="7"/>
      <c r="V333" s="7"/>
      <c r="W333" s="7"/>
      <c r="X333" s="7"/>
      <c r="Y333" s="7"/>
      <c r="Z333" s="7"/>
    </row>
    <row r="334" spans="1:26" ht="12.75" customHeight="1" x14ac:dyDescent="0.25">
      <c r="A334" s="1024"/>
      <c r="B334" s="467"/>
      <c r="C334" s="468"/>
      <c r="D334" s="469"/>
      <c r="E334" s="1024"/>
      <c r="F334" s="1024"/>
      <c r="G334" s="479" t="s">
        <v>731</v>
      </c>
      <c r="H334" s="416"/>
      <c r="I334" s="81">
        <v>1.2</v>
      </c>
      <c r="J334" s="467"/>
      <c r="K334" s="468"/>
      <c r="L334" s="469"/>
      <c r="M334" s="7"/>
      <c r="N334" s="7"/>
      <c r="O334" s="7"/>
      <c r="P334" s="7"/>
      <c r="Q334" s="7"/>
      <c r="R334" s="7"/>
      <c r="S334" s="7"/>
      <c r="T334" s="7"/>
      <c r="U334" s="7"/>
      <c r="V334" s="7"/>
      <c r="W334" s="7"/>
      <c r="X334" s="7"/>
      <c r="Y334" s="7"/>
      <c r="Z334" s="7"/>
    </row>
    <row r="335" spans="1:26" ht="12.75" customHeight="1" x14ac:dyDescent="0.25">
      <c r="A335" s="1024"/>
      <c r="B335" s="467"/>
      <c r="C335" s="468"/>
      <c r="D335" s="469"/>
      <c r="E335" s="1024"/>
      <c r="F335" s="1024"/>
      <c r="G335" s="479" t="s">
        <v>747</v>
      </c>
      <c r="H335" s="416"/>
      <c r="I335" s="81"/>
      <c r="J335" s="467"/>
      <c r="K335" s="468"/>
      <c r="L335" s="469"/>
      <c r="M335" s="7"/>
      <c r="N335" s="7"/>
      <c r="O335" s="7"/>
      <c r="P335" s="7"/>
      <c r="Q335" s="7"/>
      <c r="R335" s="7"/>
      <c r="S335" s="7"/>
      <c r="T335" s="7"/>
      <c r="U335" s="7"/>
      <c r="V335" s="7"/>
      <c r="W335" s="7"/>
      <c r="X335" s="7"/>
      <c r="Y335" s="7"/>
      <c r="Z335" s="7"/>
    </row>
    <row r="336" spans="1:26" ht="12.75" customHeight="1" x14ac:dyDescent="0.25">
      <c r="A336" s="1024"/>
      <c r="B336" s="467"/>
      <c r="C336" s="468"/>
      <c r="D336" s="469"/>
      <c r="E336" s="1024"/>
      <c r="F336" s="1024"/>
      <c r="G336" s="479" t="s">
        <v>735</v>
      </c>
      <c r="H336" s="416"/>
      <c r="I336" s="81"/>
      <c r="J336" s="467"/>
      <c r="K336" s="468"/>
      <c r="L336" s="469"/>
      <c r="M336" s="7"/>
      <c r="N336" s="7"/>
      <c r="O336" s="7"/>
      <c r="P336" s="7"/>
      <c r="Q336" s="7"/>
      <c r="R336" s="7"/>
      <c r="S336" s="7"/>
      <c r="T336" s="7"/>
      <c r="U336" s="7"/>
      <c r="V336" s="7"/>
      <c r="W336" s="7"/>
      <c r="X336" s="7"/>
      <c r="Y336" s="7"/>
      <c r="Z336" s="7"/>
    </row>
    <row r="337" spans="1:26" ht="12.75" customHeight="1" x14ac:dyDescent="0.25">
      <c r="A337" s="1024"/>
      <c r="B337" s="467"/>
      <c r="C337" s="468"/>
      <c r="D337" s="469"/>
      <c r="E337" s="1024"/>
      <c r="F337" s="1024"/>
      <c r="G337" s="479" t="s">
        <v>1026</v>
      </c>
      <c r="H337" s="416"/>
      <c r="I337" s="91">
        <f>+I332*I334</f>
        <v>0.96</v>
      </c>
      <c r="J337" s="467"/>
      <c r="K337" s="468"/>
      <c r="L337" s="469"/>
      <c r="M337" s="7"/>
      <c r="N337" s="7"/>
      <c r="O337" s="7"/>
      <c r="P337" s="7"/>
      <c r="Q337" s="7"/>
      <c r="R337" s="7"/>
      <c r="S337" s="7"/>
      <c r="T337" s="7"/>
      <c r="U337" s="7"/>
      <c r="V337" s="7"/>
      <c r="W337" s="7"/>
      <c r="X337" s="7"/>
      <c r="Y337" s="7"/>
      <c r="Z337" s="7"/>
    </row>
    <row r="338" spans="1:26" ht="12.75" customHeight="1" x14ac:dyDescent="0.25">
      <c r="A338" s="408"/>
      <c r="B338" s="412"/>
      <c r="C338" s="413"/>
      <c r="D338" s="414"/>
      <c r="E338" s="408"/>
      <c r="F338" s="408"/>
      <c r="G338" s="479" t="s">
        <v>1027</v>
      </c>
      <c r="H338" s="416"/>
      <c r="I338" s="81"/>
      <c r="J338" s="412"/>
      <c r="K338" s="413"/>
      <c r="L338" s="414"/>
      <c r="M338" s="7"/>
      <c r="N338" s="7"/>
      <c r="O338" s="7"/>
      <c r="P338" s="7"/>
      <c r="Q338" s="7"/>
      <c r="R338" s="7"/>
      <c r="S338" s="7"/>
      <c r="T338" s="7"/>
      <c r="U338" s="7"/>
      <c r="V338" s="7"/>
      <c r="W338" s="7"/>
      <c r="X338" s="7"/>
      <c r="Y338" s="7"/>
      <c r="Z338" s="7"/>
    </row>
    <row r="339" spans="1:26" ht="12.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x14ac:dyDescent="0.25">
      <c r="A340" s="470" t="s">
        <v>39</v>
      </c>
      <c r="B340" s="418"/>
      <c r="C340" s="418"/>
      <c r="D340" s="418"/>
      <c r="E340" s="6" t="s">
        <v>40</v>
      </c>
      <c r="F340" s="6" t="s">
        <v>41</v>
      </c>
      <c r="G340" s="1030" t="s">
        <v>730</v>
      </c>
      <c r="H340" s="459"/>
      <c r="I340" s="470" t="s">
        <v>1427</v>
      </c>
      <c r="J340" s="418"/>
      <c r="K340" s="418"/>
      <c r="L340" s="416"/>
      <c r="M340" s="7"/>
      <c r="N340" s="7"/>
      <c r="O340" s="7"/>
      <c r="P340" s="7"/>
      <c r="Q340" s="7"/>
      <c r="R340" s="7"/>
      <c r="S340" s="7"/>
      <c r="T340" s="7"/>
      <c r="U340" s="7"/>
      <c r="V340" s="7"/>
      <c r="W340" s="7"/>
      <c r="X340" s="7"/>
      <c r="Y340" s="7"/>
      <c r="Z340" s="7"/>
    </row>
    <row r="341" spans="1:26" ht="12.75" customHeight="1" x14ac:dyDescent="0.25">
      <c r="A341" s="1027" t="s">
        <v>1028</v>
      </c>
      <c r="B341" s="1035" t="s">
        <v>1029</v>
      </c>
      <c r="C341" s="410"/>
      <c r="D341" s="411"/>
      <c r="E341" s="1027" t="s">
        <v>418</v>
      </c>
      <c r="F341" s="1025">
        <f>I341</f>
        <v>5.2</v>
      </c>
      <c r="G341" s="479" t="s">
        <v>261</v>
      </c>
      <c r="H341" s="416"/>
      <c r="I341" s="81">
        <f>+I348*I342</f>
        <v>5.2</v>
      </c>
      <c r="J341" s="1124"/>
      <c r="K341" s="410"/>
      <c r="L341" s="411"/>
      <c r="M341" s="7"/>
      <c r="N341" s="7"/>
      <c r="O341" s="7"/>
      <c r="P341" s="7"/>
      <c r="Q341" s="7"/>
      <c r="R341" s="7"/>
      <c r="S341" s="7"/>
      <c r="T341" s="7"/>
      <c r="U341" s="7"/>
      <c r="V341" s="7"/>
      <c r="W341" s="7"/>
      <c r="X341" s="7"/>
      <c r="Y341" s="7"/>
      <c r="Z341" s="7"/>
    </row>
    <row r="342" spans="1:26" ht="12.75" customHeight="1" x14ac:dyDescent="0.25">
      <c r="A342" s="1024"/>
      <c r="B342" s="467"/>
      <c r="C342" s="468"/>
      <c r="D342" s="469"/>
      <c r="E342" s="1024"/>
      <c r="F342" s="1024"/>
      <c r="G342" s="479" t="s">
        <v>184</v>
      </c>
      <c r="H342" s="416"/>
      <c r="I342" s="81">
        <v>1</v>
      </c>
      <c r="J342" s="467"/>
      <c r="K342" s="468"/>
      <c r="L342" s="469"/>
      <c r="M342" s="7"/>
      <c r="N342" s="7"/>
      <c r="O342" s="7"/>
      <c r="P342" s="7"/>
      <c r="Q342" s="7"/>
      <c r="R342" s="7"/>
      <c r="S342" s="7"/>
      <c r="T342" s="7"/>
      <c r="U342" s="7"/>
      <c r="V342" s="7"/>
      <c r="W342" s="7"/>
      <c r="X342" s="7"/>
      <c r="Y342" s="7"/>
      <c r="Z342" s="7"/>
    </row>
    <row r="343" spans="1:26" ht="12.75" customHeight="1" x14ac:dyDescent="0.25">
      <c r="A343" s="1024"/>
      <c r="B343" s="467"/>
      <c r="C343" s="468"/>
      <c r="D343" s="469"/>
      <c r="E343" s="1024"/>
      <c r="F343" s="1024"/>
      <c r="G343" s="479" t="s">
        <v>927</v>
      </c>
      <c r="H343" s="416"/>
      <c r="I343" s="81">
        <v>0.8</v>
      </c>
      <c r="J343" s="467"/>
      <c r="K343" s="468"/>
      <c r="L343" s="469"/>
      <c r="M343" s="7"/>
      <c r="N343" s="7"/>
      <c r="O343" s="7"/>
      <c r="P343" s="7"/>
      <c r="Q343" s="7"/>
      <c r="R343" s="7"/>
      <c r="S343" s="7"/>
      <c r="T343" s="7"/>
      <c r="U343" s="7"/>
      <c r="V343" s="7"/>
      <c r="W343" s="7"/>
      <c r="X343" s="7"/>
      <c r="Y343" s="7"/>
      <c r="Z343" s="7"/>
    </row>
    <row r="344" spans="1:26" ht="12.75" customHeight="1" x14ac:dyDescent="0.25">
      <c r="A344" s="1024"/>
      <c r="B344" s="467"/>
      <c r="C344" s="468"/>
      <c r="D344" s="469"/>
      <c r="E344" s="1024"/>
      <c r="F344" s="1024"/>
      <c r="G344" s="479" t="s">
        <v>733</v>
      </c>
      <c r="H344" s="416"/>
      <c r="I344" s="81">
        <v>1.3</v>
      </c>
      <c r="J344" s="467"/>
      <c r="K344" s="468"/>
      <c r="L344" s="469"/>
      <c r="M344" s="7"/>
      <c r="N344" s="7"/>
      <c r="O344" s="7"/>
      <c r="P344" s="7"/>
      <c r="Q344" s="7"/>
      <c r="R344" s="7"/>
      <c r="S344" s="7"/>
      <c r="T344" s="7"/>
      <c r="U344" s="7"/>
      <c r="V344" s="7"/>
      <c r="W344" s="7"/>
      <c r="X344" s="7"/>
      <c r="Y344" s="7"/>
      <c r="Z344" s="7"/>
    </row>
    <row r="345" spans="1:26" ht="12.75" customHeight="1" x14ac:dyDescent="0.25">
      <c r="A345" s="1024"/>
      <c r="B345" s="467"/>
      <c r="C345" s="468"/>
      <c r="D345" s="469"/>
      <c r="E345" s="1024"/>
      <c r="F345" s="1024"/>
      <c r="G345" s="479" t="s">
        <v>731</v>
      </c>
      <c r="H345" s="416"/>
      <c r="I345" s="81">
        <v>1.2</v>
      </c>
      <c r="J345" s="467"/>
      <c r="K345" s="468"/>
      <c r="L345" s="469"/>
      <c r="M345" s="7"/>
      <c r="N345" s="7"/>
      <c r="O345" s="7"/>
      <c r="P345" s="7"/>
      <c r="Q345" s="7"/>
      <c r="R345" s="7"/>
      <c r="S345" s="7"/>
      <c r="T345" s="7"/>
      <c r="U345" s="7"/>
      <c r="V345" s="7"/>
      <c r="W345" s="7"/>
      <c r="X345" s="7"/>
      <c r="Y345" s="7"/>
      <c r="Z345" s="7"/>
    </row>
    <row r="346" spans="1:26" ht="12.75" customHeight="1" x14ac:dyDescent="0.25">
      <c r="A346" s="1024"/>
      <c r="B346" s="467"/>
      <c r="C346" s="468"/>
      <c r="D346" s="469"/>
      <c r="E346" s="1024"/>
      <c r="F346" s="1024"/>
      <c r="G346" s="479" t="s">
        <v>747</v>
      </c>
      <c r="H346" s="416"/>
      <c r="I346" s="81"/>
      <c r="J346" s="467"/>
      <c r="K346" s="468"/>
      <c r="L346" s="469"/>
      <c r="M346" s="7"/>
      <c r="N346" s="7"/>
      <c r="O346" s="7"/>
      <c r="P346" s="7"/>
      <c r="Q346" s="7"/>
      <c r="R346" s="7"/>
      <c r="S346" s="7"/>
      <c r="T346" s="7"/>
      <c r="U346" s="7"/>
      <c r="V346" s="7"/>
      <c r="W346" s="7"/>
      <c r="X346" s="7"/>
      <c r="Y346" s="7"/>
      <c r="Z346" s="7"/>
    </row>
    <row r="347" spans="1:26" ht="12.75" customHeight="1" x14ac:dyDescent="0.25">
      <c r="A347" s="1024"/>
      <c r="B347" s="467"/>
      <c r="C347" s="468"/>
      <c r="D347" s="469"/>
      <c r="E347" s="1024"/>
      <c r="F347" s="1024"/>
      <c r="G347" s="479" t="s">
        <v>735</v>
      </c>
      <c r="H347" s="416"/>
      <c r="I347" s="81">
        <f>+I345+I345+I343+I343</f>
        <v>4</v>
      </c>
      <c r="J347" s="467"/>
      <c r="K347" s="468"/>
      <c r="L347" s="469"/>
      <c r="M347" s="7"/>
      <c r="N347" s="7"/>
      <c r="O347" s="7"/>
      <c r="P347" s="7"/>
      <c r="Q347" s="7"/>
      <c r="R347" s="7"/>
      <c r="S347" s="7"/>
      <c r="T347" s="7"/>
      <c r="U347" s="7"/>
      <c r="V347" s="7"/>
      <c r="W347" s="7"/>
      <c r="X347" s="7"/>
      <c r="Y347" s="7"/>
      <c r="Z347" s="7"/>
    </row>
    <row r="348" spans="1:26" ht="12.75" customHeight="1" x14ac:dyDescent="0.25">
      <c r="A348" s="1024"/>
      <c r="B348" s="467"/>
      <c r="C348" s="468"/>
      <c r="D348" s="469"/>
      <c r="E348" s="1024"/>
      <c r="F348" s="1024"/>
      <c r="G348" s="479" t="s">
        <v>1030</v>
      </c>
      <c r="H348" s="416"/>
      <c r="I348" s="81">
        <f>+I347*I344</f>
        <v>5.2</v>
      </c>
      <c r="J348" s="467"/>
      <c r="K348" s="468"/>
      <c r="L348" s="469"/>
      <c r="M348" s="7"/>
      <c r="N348" s="7"/>
      <c r="O348" s="7"/>
      <c r="P348" s="7"/>
      <c r="Q348" s="7"/>
      <c r="R348" s="7"/>
      <c r="S348" s="7"/>
      <c r="T348" s="7"/>
      <c r="U348" s="7"/>
      <c r="V348" s="7"/>
      <c r="W348" s="7"/>
      <c r="X348" s="7"/>
      <c r="Y348" s="7"/>
      <c r="Z348" s="7"/>
    </row>
    <row r="349" spans="1:26" ht="12.75" customHeight="1" x14ac:dyDescent="0.25">
      <c r="A349" s="408"/>
      <c r="B349" s="412"/>
      <c r="C349" s="413"/>
      <c r="D349" s="414"/>
      <c r="E349" s="408"/>
      <c r="F349" s="408"/>
      <c r="G349" s="479" t="s">
        <v>1031</v>
      </c>
      <c r="H349" s="416"/>
      <c r="I349" s="81"/>
      <c r="J349" s="412"/>
      <c r="K349" s="413"/>
      <c r="L349" s="414"/>
      <c r="M349" s="7"/>
      <c r="N349" s="7"/>
      <c r="O349" s="7"/>
      <c r="P349" s="7"/>
      <c r="Q349" s="7"/>
      <c r="R349" s="7"/>
      <c r="S349" s="7"/>
      <c r="T349" s="7"/>
      <c r="U349" s="7"/>
      <c r="V349" s="7"/>
      <c r="W349" s="7"/>
      <c r="X349" s="7"/>
      <c r="Y349" s="7"/>
      <c r="Z349" s="7"/>
    </row>
    <row r="350" spans="1:26" ht="12.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x14ac:dyDescent="0.25">
      <c r="A351" s="470" t="s">
        <v>39</v>
      </c>
      <c r="B351" s="418"/>
      <c r="C351" s="418"/>
      <c r="D351" s="418"/>
      <c r="E351" s="6" t="s">
        <v>40</v>
      </c>
      <c r="F351" s="6" t="s">
        <v>41</v>
      </c>
      <c r="G351" s="1030" t="s">
        <v>730</v>
      </c>
      <c r="H351" s="459"/>
      <c r="I351" s="470" t="s">
        <v>1427</v>
      </c>
      <c r="J351" s="418"/>
      <c r="K351" s="418"/>
      <c r="L351" s="416"/>
      <c r="M351" s="7"/>
      <c r="N351" s="7"/>
      <c r="O351" s="7"/>
      <c r="P351" s="7"/>
      <c r="Q351" s="7"/>
      <c r="R351" s="7"/>
      <c r="S351" s="7"/>
      <c r="T351" s="7"/>
      <c r="U351" s="7"/>
      <c r="V351" s="7"/>
      <c r="W351" s="7"/>
      <c r="X351" s="7"/>
      <c r="Y351" s="7"/>
      <c r="Z351" s="7"/>
    </row>
    <row r="352" spans="1:26" ht="12.75" customHeight="1" x14ac:dyDescent="0.25">
      <c r="A352" s="1027" t="s">
        <v>1032</v>
      </c>
      <c r="B352" s="1035" t="s">
        <v>1033</v>
      </c>
      <c r="C352" s="410"/>
      <c r="D352" s="411"/>
      <c r="E352" s="1027" t="s">
        <v>475</v>
      </c>
      <c r="F352" s="1025">
        <f>I352</f>
        <v>1</v>
      </c>
      <c r="G352" s="479" t="s">
        <v>261</v>
      </c>
      <c r="H352" s="416"/>
      <c r="I352" s="81">
        <f>+I353</f>
        <v>1</v>
      </c>
      <c r="J352" s="1124"/>
      <c r="K352" s="410"/>
      <c r="L352" s="411"/>
      <c r="M352" s="7"/>
      <c r="N352" s="7"/>
      <c r="O352" s="7"/>
      <c r="P352" s="7"/>
      <c r="Q352" s="7"/>
      <c r="R352" s="7"/>
      <c r="S352" s="7"/>
      <c r="T352" s="7"/>
      <c r="U352" s="7"/>
      <c r="V352" s="7"/>
      <c r="W352" s="7"/>
      <c r="X352" s="7"/>
      <c r="Y352" s="7"/>
      <c r="Z352" s="7"/>
    </row>
    <row r="353" spans="1:26" ht="12.75" customHeight="1" x14ac:dyDescent="0.25">
      <c r="A353" s="1024"/>
      <c r="B353" s="467"/>
      <c r="C353" s="468"/>
      <c r="D353" s="469"/>
      <c r="E353" s="1024"/>
      <c r="F353" s="1024"/>
      <c r="G353" s="479" t="s">
        <v>184</v>
      </c>
      <c r="H353" s="416"/>
      <c r="I353" s="81">
        <v>1</v>
      </c>
      <c r="J353" s="467"/>
      <c r="K353" s="468"/>
      <c r="L353" s="469"/>
      <c r="M353" s="7"/>
      <c r="N353" s="7"/>
      <c r="O353" s="7"/>
      <c r="P353" s="7"/>
      <c r="Q353" s="7"/>
      <c r="R353" s="7"/>
      <c r="S353" s="7"/>
      <c r="T353" s="7"/>
      <c r="U353" s="7"/>
      <c r="V353" s="7"/>
      <c r="W353" s="7"/>
      <c r="X353" s="7"/>
      <c r="Y353" s="7"/>
      <c r="Z353" s="7"/>
    </row>
    <row r="354" spans="1:26" ht="12.75" customHeight="1" x14ac:dyDescent="0.25">
      <c r="A354" s="1024"/>
      <c r="B354" s="467"/>
      <c r="C354" s="468"/>
      <c r="D354" s="469"/>
      <c r="E354" s="1024"/>
      <c r="F354" s="1024"/>
      <c r="G354" s="479" t="s">
        <v>927</v>
      </c>
      <c r="H354" s="416"/>
      <c r="I354" s="81"/>
      <c r="J354" s="467"/>
      <c r="K354" s="468"/>
      <c r="L354" s="469"/>
      <c r="M354" s="7"/>
      <c r="N354" s="7"/>
      <c r="O354" s="7"/>
      <c r="P354" s="7"/>
      <c r="Q354" s="7"/>
      <c r="R354" s="7"/>
      <c r="S354" s="7"/>
      <c r="T354" s="7"/>
      <c r="U354" s="7"/>
      <c r="V354" s="7"/>
      <c r="W354" s="7"/>
      <c r="X354" s="7"/>
      <c r="Y354" s="7"/>
      <c r="Z354" s="7"/>
    </row>
    <row r="355" spans="1:26" ht="12.75" customHeight="1" x14ac:dyDescent="0.25">
      <c r="A355" s="1024"/>
      <c r="B355" s="467"/>
      <c r="C355" s="468"/>
      <c r="D355" s="469"/>
      <c r="E355" s="1024"/>
      <c r="F355" s="1024"/>
      <c r="G355" s="479" t="s">
        <v>733</v>
      </c>
      <c r="H355" s="416"/>
      <c r="I355" s="81"/>
      <c r="J355" s="467"/>
      <c r="K355" s="468"/>
      <c r="L355" s="469"/>
      <c r="M355" s="7"/>
      <c r="N355" s="7"/>
      <c r="O355" s="7"/>
      <c r="P355" s="7"/>
      <c r="Q355" s="7"/>
      <c r="R355" s="7"/>
      <c r="S355" s="7"/>
      <c r="T355" s="7"/>
      <c r="U355" s="7"/>
      <c r="V355" s="7"/>
      <c r="W355" s="7"/>
      <c r="X355" s="7"/>
      <c r="Y355" s="7"/>
      <c r="Z355" s="7"/>
    </row>
    <row r="356" spans="1:26" ht="12.75" customHeight="1" x14ac:dyDescent="0.25">
      <c r="A356" s="1024"/>
      <c r="B356" s="467"/>
      <c r="C356" s="468"/>
      <c r="D356" s="469"/>
      <c r="E356" s="1024"/>
      <c r="F356" s="1024"/>
      <c r="G356" s="479" t="s">
        <v>731</v>
      </c>
      <c r="H356" s="416"/>
      <c r="I356" s="81"/>
      <c r="J356" s="467"/>
      <c r="K356" s="468"/>
      <c r="L356" s="469"/>
      <c r="M356" s="7"/>
      <c r="N356" s="7"/>
      <c r="O356" s="7"/>
      <c r="P356" s="7"/>
      <c r="Q356" s="7"/>
      <c r="R356" s="7"/>
      <c r="S356" s="7"/>
      <c r="T356" s="7"/>
      <c r="U356" s="7"/>
      <c r="V356" s="7"/>
      <c r="W356" s="7"/>
      <c r="X356" s="7"/>
      <c r="Y356" s="7"/>
      <c r="Z356" s="7"/>
    </row>
    <row r="357" spans="1:26" ht="12.75" customHeight="1" x14ac:dyDescent="0.25">
      <c r="A357" s="1024"/>
      <c r="B357" s="467"/>
      <c r="C357" s="468"/>
      <c r="D357" s="469"/>
      <c r="E357" s="1024"/>
      <c r="F357" s="1024"/>
      <c r="G357" s="479" t="s">
        <v>445</v>
      </c>
      <c r="H357" s="416"/>
      <c r="I357" s="81"/>
      <c r="J357" s="467"/>
      <c r="K357" s="468"/>
      <c r="L357" s="469"/>
      <c r="M357" s="7"/>
      <c r="N357" s="7"/>
      <c r="O357" s="7"/>
      <c r="P357" s="7"/>
      <c r="Q357" s="7"/>
      <c r="R357" s="7"/>
      <c r="S357" s="7"/>
      <c r="T357" s="7"/>
      <c r="U357" s="7"/>
      <c r="V357" s="7"/>
      <c r="W357" s="7"/>
      <c r="X357" s="7"/>
      <c r="Y357" s="7"/>
      <c r="Z357" s="7"/>
    </row>
    <row r="358" spans="1:26" ht="12.75" customHeight="1" x14ac:dyDescent="0.25">
      <c r="A358" s="1024"/>
      <c r="B358" s="467"/>
      <c r="C358" s="468"/>
      <c r="D358" s="469"/>
      <c r="E358" s="1024"/>
      <c r="F358" s="1024"/>
      <c r="G358" s="479" t="s">
        <v>735</v>
      </c>
      <c r="H358" s="416"/>
      <c r="I358" s="81"/>
      <c r="J358" s="467"/>
      <c r="K358" s="468"/>
      <c r="L358" s="469"/>
      <c r="M358" s="7"/>
      <c r="N358" s="7"/>
      <c r="O358" s="7"/>
      <c r="P358" s="7"/>
      <c r="Q358" s="7"/>
      <c r="R358" s="7"/>
      <c r="S358" s="7"/>
      <c r="T358" s="7"/>
      <c r="U358" s="7"/>
      <c r="V358" s="7"/>
      <c r="W358" s="7"/>
      <c r="X358" s="7"/>
      <c r="Y358" s="7"/>
      <c r="Z358" s="7"/>
    </row>
    <row r="359" spans="1:26" ht="12.75" customHeight="1" x14ac:dyDescent="0.25">
      <c r="A359" s="1024"/>
      <c r="B359" s="467"/>
      <c r="C359" s="468"/>
      <c r="D359" s="469"/>
      <c r="E359" s="1024"/>
      <c r="F359" s="1024"/>
      <c r="G359" s="479" t="s">
        <v>1034</v>
      </c>
      <c r="H359" s="416"/>
      <c r="I359" s="91"/>
      <c r="J359" s="467"/>
      <c r="K359" s="468"/>
      <c r="L359" s="469"/>
      <c r="M359" s="7"/>
      <c r="N359" s="7"/>
      <c r="O359" s="7"/>
      <c r="P359" s="7"/>
      <c r="Q359" s="7"/>
      <c r="R359" s="7"/>
      <c r="S359" s="7"/>
      <c r="T359" s="7"/>
      <c r="U359" s="7"/>
      <c r="V359" s="7"/>
      <c r="W359" s="7"/>
      <c r="X359" s="7"/>
      <c r="Y359" s="7"/>
      <c r="Z359" s="7"/>
    </row>
    <row r="360" spans="1:26" ht="12.75" customHeight="1" x14ac:dyDescent="0.25">
      <c r="A360" s="408"/>
      <c r="B360" s="412"/>
      <c r="C360" s="413"/>
      <c r="D360" s="414"/>
      <c r="E360" s="408"/>
      <c r="F360" s="408"/>
      <c r="G360" s="479" t="s">
        <v>1035</v>
      </c>
      <c r="H360" s="416"/>
      <c r="I360" s="81"/>
      <c r="J360" s="412"/>
      <c r="K360" s="413"/>
      <c r="L360" s="414"/>
      <c r="M360" s="7"/>
      <c r="N360" s="7"/>
      <c r="O360" s="7"/>
      <c r="P360" s="7"/>
      <c r="Q360" s="7"/>
      <c r="R360" s="7"/>
      <c r="S360" s="7"/>
      <c r="T360" s="7"/>
      <c r="U360" s="7"/>
      <c r="V360" s="7"/>
      <c r="W360" s="7"/>
      <c r="X360" s="7"/>
      <c r="Y360" s="7"/>
      <c r="Z360" s="7"/>
    </row>
    <row r="361" spans="1:26" ht="12.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x14ac:dyDescent="0.25">
      <c r="A362" s="470" t="s">
        <v>39</v>
      </c>
      <c r="B362" s="418"/>
      <c r="C362" s="418"/>
      <c r="D362" s="418"/>
      <c r="E362" s="6" t="s">
        <v>40</v>
      </c>
      <c r="F362" s="6" t="s">
        <v>41</v>
      </c>
      <c r="G362" s="1030" t="s">
        <v>730</v>
      </c>
      <c r="H362" s="459"/>
      <c r="I362" s="470" t="s">
        <v>1427</v>
      </c>
      <c r="J362" s="418"/>
      <c r="K362" s="418"/>
      <c r="L362" s="416"/>
      <c r="M362" s="7"/>
      <c r="N362" s="7"/>
      <c r="O362" s="7"/>
      <c r="P362" s="7"/>
      <c r="Q362" s="7"/>
      <c r="R362" s="7"/>
      <c r="S362" s="7"/>
      <c r="T362" s="7"/>
      <c r="U362" s="7"/>
      <c r="V362" s="7"/>
      <c r="W362" s="7"/>
      <c r="X362" s="7"/>
      <c r="Y362" s="7"/>
      <c r="Z362" s="7"/>
    </row>
    <row r="363" spans="1:26" ht="12.75" customHeight="1" x14ac:dyDescent="0.25">
      <c r="A363" s="1027" t="s">
        <v>1036</v>
      </c>
      <c r="B363" s="1035" t="s">
        <v>1037</v>
      </c>
      <c r="C363" s="410"/>
      <c r="D363" s="411"/>
      <c r="E363" s="1027" t="s">
        <v>475</v>
      </c>
      <c r="F363" s="1025">
        <f>I363</f>
        <v>1</v>
      </c>
      <c r="G363" s="479" t="s">
        <v>261</v>
      </c>
      <c r="H363" s="416"/>
      <c r="I363" s="81">
        <f>+I364</f>
        <v>1</v>
      </c>
      <c r="J363" s="1124"/>
      <c r="K363" s="410"/>
      <c r="L363" s="411"/>
      <c r="M363" s="7"/>
      <c r="N363" s="7"/>
      <c r="O363" s="7"/>
      <c r="P363" s="7"/>
      <c r="Q363" s="7"/>
      <c r="R363" s="7"/>
      <c r="S363" s="7"/>
      <c r="T363" s="7"/>
      <c r="U363" s="7"/>
      <c r="V363" s="7"/>
      <c r="W363" s="7"/>
      <c r="X363" s="7"/>
      <c r="Y363" s="7"/>
      <c r="Z363" s="7"/>
    </row>
    <row r="364" spans="1:26" ht="12.75" customHeight="1" x14ac:dyDescent="0.25">
      <c r="A364" s="1024"/>
      <c r="B364" s="467"/>
      <c r="C364" s="468"/>
      <c r="D364" s="469"/>
      <c r="E364" s="1024"/>
      <c r="F364" s="1024"/>
      <c r="G364" s="479" t="s">
        <v>184</v>
      </c>
      <c r="H364" s="416"/>
      <c r="I364" s="81">
        <v>1</v>
      </c>
      <c r="J364" s="467"/>
      <c r="K364" s="468"/>
      <c r="L364" s="469"/>
      <c r="M364" s="7"/>
      <c r="N364" s="7"/>
      <c r="O364" s="7"/>
      <c r="P364" s="7"/>
      <c r="Q364" s="7"/>
      <c r="R364" s="7"/>
      <c r="S364" s="7"/>
      <c r="T364" s="7"/>
      <c r="U364" s="7"/>
      <c r="V364" s="7"/>
      <c r="W364" s="7"/>
      <c r="X364" s="7"/>
      <c r="Y364" s="7"/>
      <c r="Z364" s="7"/>
    </row>
    <row r="365" spans="1:26" ht="12.75" customHeight="1" x14ac:dyDescent="0.25">
      <c r="A365" s="1024"/>
      <c r="B365" s="467"/>
      <c r="C365" s="468"/>
      <c r="D365" s="469"/>
      <c r="E365" s="1024"/>
      <c r="F365" s="1024"/>
      <c r="G365" s="479" t="s">
        <v>927</v>
      </c>
      <c r="H365" s="416"/>
      <c r="I365" s="81"/>
      <c r="J365" s="467"/>
      <c r="K365" s="468"/>
      <c r="L365" s="469"/>
      <c r="M365" s="7"/>
      <c r="N365" s="7"/>
      <c r="O365" s="7"/>
      <c r="P365" s="7"/>
      <c r="Q365" s="7"/>
      <c r="R365" s="7"/>
      <c r="S365" s="7"/>
      <c r="T365" s="7"/>
      <c r="U365" s="7"/>
      <c r="V365" s="7"/>
      <c r="W365" s="7"/>
      <c r="X365" s="7"/>
      <c r="Y365" s="7"/>
      <c r="Z365" s="7"/>
    </row>
    <row r="366" spans="1:26" ht="12.75" customHeight="1" x14ac:dyDescent="0.25">
      <c r="A366" s="1024"/>
      <c r="B366" s="467"/>
      <c r="C366" s="468"/>
      <c r="D366" s="469"/>
      <c r="E366" s="1024"/>
      <c r="F366" s="1024"/>
      <c r="G366" s="479" t="s">
        <v>733</v>
      </c>
      <c r="H366" s="416"/>
      <c r="I366" s="81"/>
      <c r="J366" s="467"/>
      <c r="K366" s="468"/>
      <c r="L366" s="469"/>
      <c r="M366" s="7"/>
      <c r="N366" s="7"/>
      <c r="O366" s="7"/>
      <c r="P366" s="7"/>
      <c r="Q366" s="7"/>
      <c r="R366" s="7"/>
      <c r="S366" s="7"/>
      <c r="T366" s="7"/>
      <c r="U366" s="7"/>
      <c r="V366" s="7"/>
      <c r="W366" s="7"/>
      <c r="X366" s="7"/>
      <c r="Y366" s="7"/>
      <c r="Z366" s="7"/>
    </row>
    <row r="367" spans="1:26" ht="12.75" customHeight="1" x14ac:dyDescent="0.25">
      <c r="A367" s="1024"/>
      <c r="B367" s="467"/>
      <c r="C367" s="468"/>
      <c r="D367" s="469"/>
      <c r="E367" s="1024"/>
      <c r="F367" s="1024"/>
      <c r="G367" s="479" t="s">
        <v>731</v>
      </c>
      <c r="H367" s="416"/>
      <c r="I367" s="81"/>
      <c r="J367" s="467"/>
      <c r="K367" s="468"/>
      <c r="L367" s="469"/>
      <c r="M367" s="7"/>
      <c r="N367" s="7"/>
      <c r="O367" s="7"/>
      <c r="P367" s="7"/>
      <c r="Q367" s="7"/>
      <c r="R367" s="7"/>
      <c r="S367" s="7"/>
      <c r="T367" s="7"/>
      <c r="U367" s="7"/>
      <c r="V367" s="7"/>
      <c r="W367" s="7"/>
      <c r="X367" s="7"/>
      <c r="Y367" s="7"/>
      <c r="Z367" s="7"/>
    </row>
    <row r="368" spans="1:26" ht="12.75" customHeight="1" x14ac:dyDescent="0.25">
      <c r="A368" s="1024"/>
      <c r="B368" s="467"/>
      <c r="C368" s="468"/>
      <c r="D368" s="469"/>
      <c r="E368" s="1024"/>
      <c r="F368" s="1024"/>
      <c r="G368" s="479" t="s">
        <v>445</v>
      </c>
      <c r="H368" s="416"/>
      <c r="I368" s="81"/>
      <c r="J368" s="467"/>
      <c r="K368" s="468"/>
      <c r="L368" s="469"/>
      <c r="M368" s="7"/>
      <c r="N368" s="7"/>
      <c r="O368" s="7"/>
      <c r="P368" s="7"/>
      <c r="Q368" s="7"/>
      <c r="R368" s="7"/>
      <c r="S368" s="7"/>
      <c r="T368" s="7"/>
      <c r="U368" s="7"/>
      <c r="V368" s="7"/>
      <c r="W368" s="7"/>
      <c r="X368" s="7"/>
      <c r="Y368" s="7"/>
      <c r="Z368" s="7"/>
    </row>
    <row r="369" spans="1:26" ht="12.75" customHeight="1" x14ac:dyDescent="0.25">
      <c r="A369" s="1024"/>
      <c r="B369" s="467"/>
      <c r="C369" s="468"/>
      <c r="D369" s="469"/>
      <c r="E369" s="1024"/>
      <c r="F369" s="1024"/>
      <c r="G369" s="479" t="s">
        <v>735</v>
      </c>
      <c r="H369" s="416"/>
      <c r="I369" s="81"/>
      <c r="J369" s="467"/>
      <c r="K369" s="468"/>
      <c r="L369" s="469"/>
      <c r="M369" s="7"/>
      <c r="N369" s="7"/>
      <c r="O369" s="7"/>
      <c r="P369" s="7"/>
      <c r="Q369" s="7"/>
      <c r="R369" s="7"/>
      <c r="S369" s="7"/>
      <c r="T369" s="7"/>
      <c r="U369" s="7"/>
      <c r="V369" s="7"/>
      <c r="W369" s="7"/>
      <c r="X369" s="7"/>
      <c r="Y369" s="7"/>
      <c r="Z369" s="7"/>
    </row>
    <row r="370" spans="1:26" ht="12.75" customHeight="1" x14ac:dyDescent="0.25">
      <c r="A370" s="1024"/>
      <c r="B370" s="467"/>
      <c r="C370" s="468"/>
      <c r="D370" s="469"/>
      <c r="E370" s="1024"/>
      <c r="F370" s="1024"/>
      <c r="G370" s="479" t="s">
        <v>1038</v>
      </c>
      <c r="H370" s="416"/>
      <c r="I370" s="91"/>
      <c r="J370" s="467"/>
      <c r="K370" s="468"/>
      <c r="L370" s="469"/>
      <c r="M370" s="7"/>
      <c r="N370" s="7"/>
      <c r="O370" s="7"/>
      <c r="P370" s="7"/>
      <c r="Q370" s="7"/>
      <c r="R370" s="7"/>
      <c r="S370" s="7"/>
      <c r="T370" s="7"/>
      <c r="U370" s="7"/>
      <c r="V370" s="7"/>
      <c r="W370" s="7"/>
      <c r="X370" s="7"/>
      <c r="Y370" s="7"/>
      <c r="Z370" s="7"/>
    </row>
    <row r="371" spans="1:26" ht="12.75" customHeight="1" x14ac:dyDescent="0.25">
      <c r="A371" s="408"/>
      <c r="B371" s="412"/>
      <c r="C371" s="413"/>
      <c r="D371" s="414"/>
      <c r="E371" s="408"/>
      <c r="F371" s="408"/>
      <c r="G371" s="479" t="s">
        <v>1039</v>
      </c>
      <c r="H371" s="416"/>
      <c r="I371" s="81"/>
      <c r="J371" s="412"/>
      <c r="K371" s="413"/>
      <c r="L371" s="414"/>
      <c r="M371" s="7"/>
      <c r="N371" s="7"/>
      <c r="O371" s="7"/>
      <c r="P371" s="7"/>
      <c r="Q371" s="7"/>
      <c r="R371" s="7"/>
      <c r="S371" s="7"/>
      <c r="T371" s="7"/>
      <c r="U371" s="7"/>
      <c r="V371" s="7"/>
      <c r="W371" s="7"/>
      <c r="X371" s="7"/>
      <c r="Y371" s="7"/>
      <c r="Z371" s="7"/>
    </row>
    <row r="372" spans="1:26" ht="12.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x14ac:dyDescent="0.25">
      <c r="A373" s="470" t="s">
        <v>39</v>
      </c>
      <c r="B373" s="418"/>
      <c r="C373" s="418"/>
      <c r="D373" s="418"/>
      <c r="E373" s="6" t="s">
        <v>40</v>
      </c>
      <c r="F373" s="6" t="s">
        <v>41</v>
      </c>
      <c r="G373" s="1030" t="s">
        <v>730</v>
      </c>
      <c r="H373" s="459"/>
      <c r="I373" s="470" t="s">
        <v>1427</v>
      </c>
      <c r="J373" s="418"/>
      <c r="K373" s="418"/>
      <c r="L373" s="416"/>
      <c r="M373" s="7"/>
      <c r="N373" s="7"/>
      <c r="O373" s="7"/>
      <c r="P373" s="7"/>
      <c r="Q373" s="7"/>
      <c r="R373" s="7"/>
      <c r="S373" s="7"/>
      <c r="T373" s="7"/>
      <c r="U373" s="7"/>
      <c r="V373" s="7"/>
      <c r="W373" s="7"/>
      <c r="X373" s="7"/>
      <c r="Y373" s="7"/>
      <c r="Z373" s="7"/>
    </row>
    <row r="374" spans="1:26" ht="12.75" customHeight="1" x14ac:dyDescent="0.25">
      <c r="A374" s="1027" t="s">
        <v>1040</v>
      </c>
      <c r="B374" s="1035" t="s">
        <v>1041</v>
      </c>
      <c r="C374" s="410"/>
      <c r="D374" s="411"/>
      <c r="E374" s="1027" t="s">
        <v>475</v>
      </c>
      <c r="F374" s="1025">
        <f>I374</f>
        <v>1</v>
      </c>
      <c r="G374" s="479" t="s">
        <v>261</v>
      </c>
      <c r="H374" s="416"/>
      <c r="I374" s="81">
        <f>+I375</f>
        <v>1</v>
      </c>
      <c r="J374" s="1124"/>
      <c r="K374" s="410"/>
      <c r="L374" s="411"/>
      <c r="M374" s="7"/>
      <c r="N374" s="7"/>
      <c r="O374" s="7"/>
      <c r="P374" s="7"/>
      <c r="Q374" s="7"/>
      <c r="R374" s="7"/>
      <c r="S374" s="7"/>
      <c r="T374" s="7"/>
      <c r="U374" s="7"/>
      <c r="V374" s="7"/>
      <c r="W374" s="7"/>
      <c r="X374" s="7"/>
      <c r="Y374" s="7"/>
      <c r="Z374" s="7"/>
    </row>
    <row r="375" spans="1:26" ht="12.75" customHeight="1" x14ac:dyDescent="0.25">
      <c r="A375" s="1024"/>
      <c r="B375" s="467"/>
      <c r="C375" s="468"/>
      <c r="D375" s="469"/>
      <c r="E375" s="1024"/>
      <c r="F375" s="1024"/>
      <c r="G375" s="479" t="s">
        <v>184</v>
      </c>
      <c r="H375" s="416"/>
      <c r="I375" s="81">
        <v>1</v>
      </c>
      <c r="J375" s="467"/>
      <c r="K375" s="468"/>
      <c r="L375" s="469"/>
      <c r="M375" s="7"/>
      <c r="N375" s="7"/>
      <c r="O375" s="7"/>
      <c r="P375" s="7"/>
      <c r="Q375" s="7"/>
      <c r="R375" s="7"/>
      <c r="S375" s="7"/>
      <c r="T375" s="7"/>
      <c r="U375" s="7"/>
      <c r="V375" s="7"/>
      <c r="W375" s="7"/>
      <c r="X375" s="7"/>
      <c r="Y375" s="7"/>
      <c r="Z375" s="7"/>
    </row>
    <row r="376" spans="1:26" ht="12.75" customHeight="1" x14ac:dyDescent="0.25">
      <c r="A376" s="1024"/>
      <c r="B376" s="467"/>
      <c r="C376" s="468"/>
      <c r="D376" s="469"/>
      <c r="E376" s="1024"/>
      <c r="F376" s="1024"/>
      <c r="G376" s="479" t="s">
        <v>927</v>
      </c>
      <c r="H376" s="416"/>
      <c r="I376" s="81"/>
      <c r="J376" s="467"/>
      <c r="K376" s="468"/>
      <c r="L376" s="469"/>
      <c r="M376" s="7"/>
      <c r="N376" s="7"/>
      <c r="O376" s="7"/>
      <c r="P376" s="7"/>
      <c r="Q376" s="7"/>
      <c r="R376" s="7"/>
      <c r="S376" s="7"/>
      <c r="T376" s="7"/>
      <c r="U376" s="7"/>
      <c r="V376" s="7"/>
      <c r="W376" s="7"/>
      <c r="X376" s="7"/>
      <c r="Y376" s="7"/>
      <c r="Z376" s="7"/>
    </row>
    <row r="377" spans="1:26" ht="12.75" customHeight="1" x14ac:dyDescent="0.25">
      <c r="A377" s="1024"/>
      <c r="B377" s="467"/>
      <c r="C377" s="468"/>
      <c r="D377" s="469"/>
      <c r="E377" s="1024"/>
      <c r="F377" s="1024"/>
      <c r="G377" s="479" t="s">
        <v>733</v>
      </c>
      <c r="H377" s="416"/>
      <c r="I377" s="81"/>
      <c r="J377" s="467"/>
      <c r="K377" s="468"/>
      <c r="L377" s="469"/>
      <c r="M377" s="7"/>
      <c r="N377" s="7"/>
      <c r="O377" s="7"/>
      <c r="P377" s="7"/>
      <c r="Q377" s="7"/>
      <c r="R377" s="7"/>
      <c r="S377" s="7"/>
      <c r="T377" s="7"/>
      <c r="U377" s="7"/>
      <c r="V377" s="7"/>
      <c r="W377" s="7"/>
      <c r="X377" s="7"/>
      <c r="Y377" s="7"/>
      <c r="Z377" s="7"/>
    </row>
    <row r="378" spans="1:26" ht="12.75" customHeight="1" x14ac:dyDescent="0.25">
      <c r="A378" s="1024"/>
      <c r="B378" s="467"/>
      <c r="C378" s="468"/>
      <c r="D378" s="469"/>
      <c r="E378" s="1024"/>
      <c r="F378" s="1024"/>
      <c r="G378" s="479" t="s">
        <v>731</v>
      </c>
      <c r="H378" s="416"/>
      <c r="I378" s="81"/>
      <c r="J378" s="467"/>
      <c r="K378" s="468"/>
      <c r="L378" s="469"/>
      <c r="M378" s="7"/>
      <c r="N378" s="7"/>
      <c r="O378" s="7"/>
      <c r="P378" s="7"/>
      <c r="Q378" s="7"/>
      <c r="R378" s="7"/>
      <c r="S378" s="7"/>
      <c r="T378" s="7"/>
      <c r="U378" s="7"/>
      <c r="V378" s="7"/>
      <c r="W378" s="7"/>
      <c r="X378" s="7"/>
      <c r="Y378" s="7"/>
      <c r="Z378" s="7"/>
    </row>
    <row r="379" spans="1:26" ht="12.75" customHeight="1" x14ac:dyDescent="0.25">
      <c r="A379" s="1024"/>
      <c r="B379" s="467"/>
      <c r="C379" s="468"/>
      <c r="D379" s="469"/>
      <c r="E379" s="1024"/>
      <c r="F379" s="1024"/>
      <c r="G379" s="479" t="s">
        <v>445</v>
      </c>
      <c r="H379" s="416"/>
      <c r="I379" s="81"/>
      <c r="J379" s="467"/>
      <c r="K379" s="468"/>
      <c r="L379" s="469"/>
      <c r="M379" s="7"/>
      <c r="N379" s="7"/>
      <c r="O379" s="7"/>
      <c r="P379" s="7"/>
      <c r="Q379" s="7"/>
      <c r="R379" s="7"/>
      <c r="S379" s="7"/>
      <c r="T379" s="7"/>
      <c r="U379" s="7"/>
      <c r="V379" s="7"/>
      <c r="W379" s="7"/>
      <c r="X379" s="7"/>
      <c r="Y379" s="7"/>
      <c r="Z379" s="7"/>
    </row>
    <row r="380" spans="1:26" ht="12.75" customHeight="1" x14ac:dyDescent="0.25">
      <c r="A380" s="1024"/>
      <c r="B380" s="467"/>
      <c r="C380" s="468"/>
      <c r="D380" s="469"/>
      <c r="E380" s="1024"/>
      <c r="F380" s="1024"/>
      <c r="G380" s="479" t="s">
        <v>735</v>
      </c>
      <c r="H380" s="416"/>
      <c r="I380" s="81"/>
      <c r="J380" s="467"/>
      <c r="K380" s="468"/>
      <c r="L380" s="469"/>
      <c r="M380" s="7"/>
      <c r="N380" s="7"/>
      <c r="O380" s="7"/>
      <c r="P380" s="7"/>
      <c r="Q380" s="7"/>
      <c r="R380" s="7"/>
      <c r="S380" s="7"/>
      <c r="T380" s="7"/>
      <c r="U380" s="7"/>
      <c r="V380" s="7"/>
      <c r="W380" s="7"/>
      <c r="X380" s="7"/>
      <c r="Y380" s="7"/>
      <c r="Z380" s="7"/>
    </row>
    <row r="381" spans="1:26" ht="12.75" customHeight="1" x14ac:dyDescent="0.25">
      <c r="A381" s="1024"/>
      <c r="B381" s="467"/>
      <c r="C381" s="468"/>
      <c r="D381" s="469"/>
      <c r="E381" s="1024"/>
      <c r="F381" s="1024"/>
      <c r="G381" s="479" t="s">
        <v>1042</v>
      </c>
      <c r="H381" s="416"/>
      <c r="I381" s="91"/>
      <c r="J381" s="467"/>
      <c r="K381" s="468"/>
      <c r="L381" s="469"/>
      <c r="M381" s="7"/>
      <c r="N381" s="7"/>
      <c r="O381" s="7"/>
      <c r="P381" s="7"/>
      <c r="Q381" s="7"/>
      <c r="R381" s="7"/>
      <c r="S381" s="7"/>
      <c r="T381" s="7"/>
      <c r="U381" s="7"/>
      <c r="V381" s="7"/>
      <c r="W381" s="7"/>
      <c r="X381" s="7"/>
      <c r="Y381" s="7"/>
      <c r="Z381" s="7"/>
    </row>
    <row r="382" spans="1:26" ht="12.75" customHeight="1" x14ac:dyDescent="0.25">
      <c r="A382" s="408"/>
      <c r="B382" s="412"/>
      <c r="C382" s="413"/>
      <c r="D382" s="414"/>
      <c r="E382" s="408"/>
      <c r="F382" s="408"/>
      <c r="G382" s="479" t="s">
        <v>1043</v>
      </c>
      <c r="H382" s="416"/>
      <c r="I382" s="81"/>
      <c r="J382" s="412"/>
      <c r="K382" s="413"/>
      <c r="L382" s="414"/>
      <c r="M382" s="7"/>
      <c r="N382" s="7"/>
      <c r="O382" s="7"/>
      <c r="P382" s="7"/>
      <c r="Q382" s="7"/>
      <c r="R382" s="7"/>
      <c r="S382" s="7"/>
      <c r="T382" s="7"/>
      <c r="U382" s="7"/>
      <c r="V382" s="7"/>
      <c r="W382" s="7"/>
      <c r="X382" s="7"/>
      <c r="Y382" s="7"/>
      <c r="Z382" s="7"/>
    </row>
    <row r="383" spans="1:26" ht="12.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x14ac:dyDescent="0.25">
      <c r="A384" s="470" t="s">
        <v>39</v>
      </c>
      <c r="B384" s="418"/>
      <c r="C384" s="418"/>
      <c r="D384" s="418"/>
      <c r="E384" s="6" t="s">
        <v>40</v>
      </c>
      <c r="F384" s="6" t="s">
        <v>41</v>
      </c>
      <c r="G384" s="1030" t="s">
        <v>730</v>
      </c>
      <c r="H384" s="459"/>
      <c r="I384" s="470" t="s">
        <v>1427</v>
      </c>
      <c r="J384" s="418"/>
      <c r="K384" s="418"/>
      <c r="L384" s="416"/>
      <c r="M384" s="7"/>
      <c r="N384" s="7"/>
      <c r="O384" s="7"/>
      <c r="P384" s="7"/>
      <c r="Q384" s="7"/>
      <c r="R384" s="7"/>
      <c r="S384" s="7"/>
      <c r="T384" s="7"/>
      <c r="U384" s="7"/>
      <c r="V384" s="7"/>
      <c r="W384" s="7"/>
      <c r="X384" s="7"/>
      <c r="Y384" s="7"/>
      <c r="Z384" s="7"/>
    </row>
    <row r="385" spans="1:26" ht="12.75" customHeight="1" x14ac:dyDescent="0.25">
      <c r="A385" s="1027" t="s">
        <v>1044</v>
      </c>
      <c r="B385" s="1035" t="s">
        <v>1045</v>
      </c>
      <c r="C385" s="410"/>
      <c r="D385" s="411"/>
      <c r="E385" s="1027" t="s">
        <v>475</v>
      </c>
      <c r="F385" s="1025">
        <f>I385</f>
        <v>1</v>
      </c>
      <c r="G385" s="479" t="s">
        <v>261</v>
      </c>
      <c r="H385" s="416"/>
      <c r="I385" s="81">
        <f>+I386</f>
        <v>1</v>
      </c>
      <c r="J385" s="1124"/>
      <c r="K385" s="410"/>
      <c r="L385" s="411"/>
      <c r="M385" s="7"/>
      <c r="N385" s="7"/>
      <c r="O385" s="7"/>
      <c r="P385" s="7"/>
      <c r="Q385" s="7"/>
      <c r="R385" s="7"/>
      <c r="S385" s="7"/>
      <c r="T385" s="7"/>
      <c r="U385" s="7"/>
      <c r="V385" s="7"/>
      <c r="W385" s="7"/>
      <c r="X385" s="7"/>
      <c r="Y385" s="7"/>
      <c r="Z385" s="7"/>
    </row>
    <row r="386" spans="1:26" ht="12.75" customHeight="1" x14ac:dyDescent="0.25">
      <c r="A386" s="1024"/>
      <c r="B386" s="467"/>
      <c r="C386" s="468"/>
      <c r="D386" s="469"/>
      <c r="E386" s="1024"/>
      <c r="F386" s="1024"/>
      <c r="G386" s="479" t="s">
        <v>184</v>
      </c>
      <c r="H386" s="416"/>
      <c r="I386" s="81">
        <v>1</v>
      </c>
      <c r="J386" s="467"/>
      <c r="K386" s="468"/>
      <c r="L386" s="469"/>
      <c r="M386" s="7"/>
      <c r="N386" s="7"/>
      <c r="O386" s="7"/>
      <c r="P386" s="7"/>
      <c r="Q386" s="7"/>
      <c r="R386" s="7"/>
      <c r="S386" s="7"/>
      <c r="T386" s="7"/>
      <c r="U386" s="7"/>
      <c r="V386" s="7"/>
      <c r="W386" s="7"/>
      <c r="X386" s="7"/>
      <c r="Y386" s="7"/>
      <c r="Z386" s="7"/>
    </row>
    <row r="387" spans="1:26" ht="12.75" customHeight="1" x14ac:dyDescent="0.25">
      <c r="A387" s="1024"/>
      <c r="B387" s="467"/>
      <c r="C387" s="468"/>
      <c r="D387" s="469"/>
      <c r="E387" s="1024"/>
      <c r="F387" s="1024"/>
      <c r="G387" s="479" t="s">
        <v>927</v>
      </c>
      <c r="H387" s="416"/>
      <c r="I387" s="81"/>
      <c r="J387" s="467"/>
      <c r="K387" s="468"/>
      <c r="L387" s="469"/>
      <c r="M387" s="7"/>
      <c r="N387" s="7"/>
      <c r="O387" s="7"/>
      <c r="P387" s="7"/>
      <c r="Q387" s="7"/>
      <c r="R387" s="7"/>
      <c r="S387" s="7"/>
      <c r="T387" s="7"/>
      <c r="U387" s="7"/>
      <c r="V387" s="7"/>
      <c r="W387" s="7"/>
      <c r="X387" s="7"/>
      <c r="Y387" s="7"/>
      <c r="Z387" s="7"/>
    </row>
    <row r="388" spans="1:26" ht="12.75" customHeight="1" x14ac:dyDescent="0.25">
      <c r="A388" s="1024"/>
      <c r="B388" s="467"/>
      <c r="C388" s="468"/>
      <c r="D388" s="469"/>
      <c r="E388" s="1024"/>
      <c r="F388" s="1024"/>
      <c r="G388" s="479" t="s">
        <v>733</v>
      </c>
      <c r="H388" s="416"/>
      <c r="I388" s="81"/>
      <c r="J388" s="467"/>
      <c r="K388" s="468"/>
      <c r="L388" s="469"/>
      <c r="M388" s="7"/>
      <c r="N388" s="7"/>
      <c r="O388" s="7"/>
      <c r="P388" s="7"/>
      <c r="Q388" s="7"/>
      <c r="R388" s="7"/>
      <c r="S388" s="7"/>
      <c r="T388" s="7"/>
      <c r="U388" s="7"/>
      <c r="V388" s="7"/>
      <c r="W388" s="7"/>
      <c r="X388" s="7"/>
      <c r="Y388" s="7"/>
      <c r="Z388" s="7"/>
    </row>
    <row r="389" spans="1:26" ht="12.75" customHeight="1" x14ac:dyDescent="0.25">
      <c r="A389" s="1024"/>
      <c r="B389" s="467"/>
      <c r="C389" s="468"/>
      <c r="D389" s="469"/>
      <c r="E389" s="1024"/>
      <c r="F389" s="1024"/>
      <c r="G389" s="479" t="s">
        <v>731</v>
      </c>
      <c r="H389" s="416"/>
      <c r="I389" s="81"/>
      <c r="J389" s="467"/>
      <c r="K389" s="468"/>
      <c r="L389" s="469"/>
      <c r="M389" s="7"/>
      <c r="N389" s="7"/>
      <c r="O389" s="7"/>
      <c r="P389" s="7"/>
      <c r="Q389" s="7"/>
      <c r="R389" s="7"/>
      <c r="S389" s="7"/>
      <c r="T389" s="7"/>
      <c r="U389" s="7"/>
      <c r="V389" s="7"/>
      <c r="W389" s="7"/>
      <c r="X389" s="7"/>
      <c r="Y389" s="7"/>
      <c r="Z389" s="7"/>
    </row>
    <row r="390" spans="1:26" ht="12.75" customHeight="1" x14ac:dyDescent="0.25">
      <c r="A390" s="1024"/>
      <c r="B390" s="467"/>
      <c r="C390" s="468"/>
      <c r="D390" s="469"/>
      <c r="E390" s="1024"/>
      <c r="F390" s="1024"/>
      <c r="G390" s="479" t="s">
        <v>445</v>
      </c>
      <c r="H390" s="416"/>
      <c r="I390" s="81"/>
      <c r="J390" s="467"/>
      <c r="K390" s="468"/>
      <c r="L390" s="469"/>
      <c r="M390" s="7"/>
      <c r="N390" s="7"/>
      <c r="O390" s="7"/>
      <c r="P390" s="7"/>
      <c r="Q390" s="7"/>
      <c r="R390" s="7"/>
      <c r="S390" s="7"/>
      <c r="T390" s="7"/>
      <c r="U390" s="7"/>
      <c r="V390" s="7"/>
      <c r="W390" s="7"/>
      <c r="X390" s="7"/>
      <c r="Y390" s="7"/>
      <c r="Z390" s="7"/>
    </row>
    <row r="391" spans="1:26" ht="12.75" customHeight="1" x14ac:dyDescent="0.25">
      <c r="A391" s="1024"/>
      <c r="B391" s="467"/>
      <c r="C391" s="468"/>
      <c r="D391" s="469"/>
      <c r="E391" s="1024"/>
      <c r="F391" s="1024"/>
      <c r="G391" s="479" t="s">
        <v>735</v>
      </c>
      <c r="H391" s="416"/>
      <c r="I391" s="81"/>
      <c r="J391" s="467"/>
      <c r="K391" s="468"/>
      <c r="L391" s="469"/>
      <c r="M391" s="7"/>
      <c r="N391" s="7"/>
      <c r="O391" s="7"/>
      <c r="P391" s="7"/>
      <c r="Q391" s="7"/>
      <c r="R391" s="7"/>
      <c r="S391" s="7"/>
      <c r="T391" s="7"/>
      <c r="U391" s="7"/>
      <c r="V391" s="7"/>
      <c r="W391" s="7"/>
      <c r="X391" s="7"/>
      <c r="Y391" s="7"/>
      <c r="Z391" s="7"/>
    </row>
    <row r="392" spans="1:26" ht="12.75" customHeight="1" x14ac:dyDescent="0.25">
      <c r="A392" s="1024"/>
      <c r="B392" s="467"/>
      <c r="C392" s="468"/>
      <c r="D392" s="469"/>
      <c r="E392" s="1024"/>
      <c r="F392" s="1024"/>
      <c r="G392" s="479" t="s">
        <v>1046</v>
      </c>
      <c r="H392" s="416"/>
      <c r="I392" s="91"/>
      <c r="J392" s="467"/>
      <c r="K392" s="468"/>
      <c r="L392" s="469"/>
      <c r="M392" s="7"/>
      <c r="N392" s="7"/>
      <c r="O392" s="7"/>
      <c r="P392" s="7"/>
      <c r="Q392" s="7"/>
      <c r="R392" s="7"/>
      <c r="S392" s="7"/>
      <c r="T392" s="7"/>
      <c r="U392" s="7"/>
      <c r="V392" s="7"/>
      <c r="W392" s="7"/>
      <c r="X392" s="7"/>
      <c r="Y392" s="7"/>
      <c r="Z392" s="7"/>
    </row>
    <row r="393" spans="1:26" ht="12.75" customHeight="1" x14ac:dyDescent="0.25">
      <c r="A393" s="408"/>
      <c r="B393" s="412"/>
      <c r="C393" s="413"/>
      <c r="D393" s="414"/>
      <c r="E393" s="408"/>
      <c r="F393" s="408"/>
      <c r="G393" s="479" t="s">
        <v>1047</v>
      </c>
      <c r="H393" s="416"/>
      <c r="I393" s="81"/>
      <c r="J393" s="412"/>
      <c r="K393" s="413"/>
      <c r="L393" s="414"/>
      <c r="M393" s="7"/>
      <c r="N393" s="7"/>
      <c r="O393" s="7"/>
      <c r="P393" s="7"/>
      <c r="Q393" s="7"/>
      <c r="R393" s="7"/>
      <c r="S393" s="7"/>
      <c r="T393" s="7"/>
      <c r="U393" s="7"/>
      <c r="V393" s="7"/>
      <c r="W393" s="7"/>
      <c r="X393" s="7"/>
      <c r="Y393" s="7"/>
      <c r="Z393" s="7"/>
    </row>
    <row r="394" spans="1:26" ht="12.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x14ac:dyDescent="0.25">
      <c r="A395" s="470" t="s">
        <v>39</v>
      </c>
      <c r="B395" s="418"/>
      <c r="C395" s="418"/>
      <c r="D395" s="418"/>
      <c r="E395" s="6" t="s">
        <v>40</v>
      </c>
      <c r="F395" s="6" t="s">
        <v>41</v>
      </c>
      <c r="G395" s="1030" t="s">
        <v>730</v>
      </c>
      <c r="H395" s="459"/>
      <c r="I395" s="470" t="s">
        <v>1427</v>
      </c>
      <c r="J395" s="418"/>
      <c r="K395" s="418"/>
      <c r="L395" s="416"/>
      <c r="M395" s="7"/>
      <c r="N395" s="7"/>
      <c r="O395" s="7"/>
      <c r="P395" s="7"/>
      <c r="Q395" s="7"/>
      <c r="R395" s="7"/>
      <c r="S395" s="7"/>
      <c r="T395" s="7"/>
      <c r="U395" s="7"/>
      <c r="V395" s="7"/>
      <c r="W395" s="7"/>
      <c r="X395" s="7"/>
      <c r="Y395" s="7"/>
      <c r="Z395" s="7"/>
    </row>
    <row r="396" spans="1:26" ht="12.75" customHeight="1" x14ac:dyDescent="0.25">
      <c r="A396" s="1027" t="s">
        <v>1048</v>
      </c>
      <c r="B396" s="1035" t="s">
        <v>1049</v>
      </c>
      <c r="C396" s="410"/>
      <c r="D396" s="411"/>
      <c r="E396" s="1027" t="s">
        <v>450</v>
      </c>
      <c r="F396" s="1025">
        <f>I396</f>
        <v>5</v>
      </c>
      <c r="G396" s="479" t="s">
        <v>261</v>
      </c>
      <c r="H396" s="416"/>
      <c r="I396" s="81">
        <f>+I400*I397</f>
        <v>5</v>
      </c>
      <c r="J396" s="1124"/>
      <c r="K396" s="410"/>
      <c r="L396" s="411"/>
      <c r="M396" s="7"/>
      <c r="N396" s="7"/>
      <c r="O396" s="7"/>
      <c r="P396" s="7"/>
      <c r="Q396" s="7"/>
      <c r="R396" s="7"/>
      <c r="S396" s="7"/>
      <c r="T396" s="7"/>
      <c r="U396" s="7"/>
      <c r="V396" s="7"/>
      <c r="W396" s="7"/>
      <c r="X396" s="7"/>
      <c r="Y396" s="7"/>
      <c r="Z396" s="7"/>
    </row>
    <row r="397" spans="1:26" ht="12.75" customHeight="1" x14ac:dyDescent="0.25">
      <c r="A397" s="1024"/>
      <c r="B397" s="467"/>
      <c r="C397" s="468"/>
      <c r="D397" s="469"/>
      <c r="E397" s="1024"/>
      <c r="F397" s="1024"/>
      <c r="G397" s="479" t="s">
        <v>184</v>
      </c>
      <c r="H397" s="416"/>
      <c r="I397" s="81">
        <v>1</v>
      </c>
      <c r="J397" s="467"/>
      <c r="K397" s="468"/>
      <c r="L397" s="469"/>
      <c r="M397" s="7"/>
      <c r="N397" s="7"/>
      <c r="O397" s="7"/>
      <c r="P397" s="7"/>
      <c r="Q397" s="7"/>
      <c r="R397" s="7"/>
      <c r="S397" s="7"/>
      <c r="T397" s="7"/>
      <c r="U397" s="7"/>
      <c r="V397" s="7"/>
      <c r="W397" s="7"/>
      <c r="X397" s="7"/>
      <c r="Y397" s="7"/>
      <c r="Z397" s="7"/>
    </row>
    <row r="398" spans="1:26" ht="12.75" customHeight="1" x14ac:dyDescent="0.25">
      <c r="A398" s="1024"/>
      <c r="B398" s="467"/>
      <c r="C398" s="468"/>
      <c r="D398" s="469"/>
      <c r="E398" s="1024"/>
      <c r="F398" s="1024"/>
      <c r="G398" s="479" t="s">
        <v>927</v>
      </c>
      <c r="H398" s="416"/>
      <c r="I398" s="81"/>
      <c r="J398" s="467"/>
      <c r="K398" s="468"/>
      <c r="L398" s="469"/>
      <c r="M398" s="7"/>
      <c r="N398" s="7"/>
      <c r="O398" s="7"/>
      <c r="P398" s="7"/>
      <c r="Q398" s="7"/>
      <c r="R398" s="7"/>
      <c r="S398" s="7"/>
      <c r="T398" s="7"/>
      <c r="U398" s="7"/>
      <c r="V398" s="7"/>
      <c r="W398" s="7"/>
      <c r="X398" s="7"/>
      <c r="Y398" s="7"/>
      <c r="Z398" s="7"/>
    </row>
    <row r="399" spans="1:26" ht="12.75" customHeight="1" x14ac:dyDescent="0.25">
      <c r="A399" s="1024"/>
      <c r="B399" s="467"/>
      <c r="C399" s="468"/>
      <c r="D399" s="469"/>
      <c r="E399" s="1024"/>
      <c r="F399" s="1024"/>
      <c r="G399" s="479" t="s">
        <v>733</v>
      </c>
      <c r="H399" s="416"/>
      <c r="I399" s="81"/>
      <c r="J399" s="467"/>
      <c r="K399" s="468"/>
      <c r="L399" s="469"/>
      <c r="M399" s="7"/>
      <c r="N399" s="7"/>
      <c r="O399" s="7"/>
      <c r="P399" s="7"/>
      <c r="Q399" s="7"/>
      <c r="R399" s="7"/>
      <c r="S399" s="7"/>
      <c r="T399" s="7"/>
      <c r="U399" s="7"/>
      <c r="V399" s="7"/>
      <c r="W399" s="7"/>
      <c r="X399" s="7"/>
      <c r="Y399" s="7"/>
      <c r="Z399" s="7"/>
    </row>
    <row r="400" spans="1:26" ht="12.75" customHeight="1" x14ac:dyDescent="0.25">
      <c r="A400" s="1024"/>
      <c r="B400" s="467"/>
      <c r="C400" s="468"/>
      <c r="D400" s="469"/>
      <c r="E400" s="1024"/>
      <c r="F400" s="1024"/>
      <c r="G400" s="479" t="s">
        <v>731</v>
      </c>
      <c r="H400" s="416"/>
      <c r="I400" s="81">
        <v>5</v>
      </c>
      <c r="J400" s="467"/>
      <c r="K400" s="468"/>
      <c r="L400" s="469"/>
      <c r="M400" s="7"/>
      <c r="N400" s="7"/>
      <c r="O400" s="7"/>
      <c r="P400" s="7"/>
      <c r="Q400" s="7"/>
      <c r="R400" s="7"/>
      <c r="S400" s="7"/>
      <c r="T400" s="7"/>
      <c r="U400" s="7"/>
      <c r="V400" s="7"/>
      <c r="W400" s="7"/>
      <c r="X400" s="7"/>
      <c r="Y400" s="7"/>
      <c r="Z400" s="7"/>
    </row>
    <row r="401" spans="1:26" ht="12.75" customHeight="1" x14ac:dyDescent="0.25">
      <c r="A401" s="1024"/>
      <c r="B401" s="467"/>
      <c r="C401" s="468"/>
      <c r="D401" s="469"/>
      <c r="E401" s="1024"/>
      <c r="F401" s="1024"/>
      <c r="G401" s="479" t="s">
        <v>445</v>
      </c>
      <c r="H401" s="416"/>
      <c r="I401" s="81"/>
      <c r="J401" s="467"/>
      <c r="K401" s="468"/>
      <c r="L401" s="469"/>
      <c r="M401" s="7"/>
      <c r="N401" s="7"/>
      <c r="O401" s="7"/>
      <c r="P401" s="7"/>
      <c r="Q401" s="7"/>
      <c r="R401" s="7"/>
      <c r="S401" s="7"/>
      <c r="T401" s="7"/>
      <c r="U401" s="7"/>
      <c r="V401" s="7"/>
      <c r="W401" s="7"/>
      <c r="X401" s="7"/>
      <c r="Y401" s="7"/>
      <c r="Z401" s="7"/>
    </row>
    <row r="402" spans="1:26" ht="12.75" customHeight="1" x14ac:dyDescent="0.25">
      <c r="A402" s="1024"/>
      <c r="B402" s="467"/>
      <c r="C402" s="468"/>
      <c r="D402" s="469"/>
      <c r="E402" s="1024"/>
      <c r="F402" s="1024"/>
      <c r="G402" s="479" t="s">
        <v>735</v>
      </c>
      <c r="H402" s="416"/>
      <c r="I402" s="81"/>
      <c r="J402" s="467"/>
      <c r="K402" s="468"/>
      <c r="L402" s="469"/>
      <c r="M402" s="7"/>
      <c r="N402" s="7"/>
      <c r="O402" s="7"/>
      <c r="P402" s="7"/>
      <c r="Q402" s="7"/>
      <c r="R402" s="7"/>
      <c r="S402" s="7"/>
      <c r="T402" s="7"/>
      <c r="U402" s="7"/>
      <c r="V402" s="7"/>
      <c r="W402" s="7"/>
      <c r="X402" s="7"/>
      <c r="Y402" s="7"/>
      <c r="Z402" s="7"/>
    </row>
    <row r="403" spans="1:26" ht="12.75" customHeight="1" x14ac:dyDescent="0.25">
      <c r="A403" s="1024"/>
      <c r="B403" s="467"/>
      <c r="C403" s="468"/>
      <c r="D403" s="469"/>
      <c r="E403" s="1024"/>
      <c r="F403" s="1024"/>
      <c r="G403" s="479" t="s">
        <v>1050</v>
      </c>
      <c r="H403" s="416"/>
      <c r="I403" s="91"/>
      <c r="J403" s="467"/>
      <c r="K403" s="468"/>
      <c r="L403" s="469"/>
      <c r="M403" s="7"/>
      <c r="N403" s="7"/>
      <c r="O403" s="7"/>
      <c r="P403" s="7"/>
      <c r="Q403" s="7"/>
      <c r="R403" s="7"/>
      <c r="S403" s="7"/>
      <c r="T403" s="7"/>
      <c r="U403" s="7"/>
      <c r="V403" s="7"/>
      <c r="W403" s="7"/>
      <c r="X403" s="7"/>
      <c r="Y403" s="7"/>
      <c r="Z403" s="7"/>
    </row>
    <row r="404" spans="1:26" ht="12.75" customHeight="1" x14ac:dyDescent="0.25">
      <c r="A404" s="408"/>
      <c r="B404" s="412"/>
      <c r="C404" s="413"/>
      <c r="D404" s="414"/>
      <c r="E404" s="408"/>
      <c r="F404" s="408"/>
      <c r="G404" s="479" t="s">
        <v>1051</v>
      </c>
      <c r="H404" s="416"/>
      <c r="I404" s="81"/>
      <c r="J404" s="412"/>
      <c r="K404" s="413"/>
      <c r="L404" s="414"/>
      <c r="M404" s="7"/>
      <c r="N404" s="7"/>
      <c r="O404" s="7"/>
      <c r="P404" s="7"/>
      <c r="Q404" s="7"/>
      <c r="R404" s="7"/>
      <c r="S404" s="7"/>
      <c r="T404" s="7"/>
      <c r="U404" s="7"/>
      <c r="V404" s="7"/>
      <c r="W404" s="7"/>
      <c r="X404" s="7"/>
      <c r="Y404" s="7"/>
      <c r="Z404" s="7"/>
    </row>
    <row r="405" spans="1:26" ht="12.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x14ac:dyDescent="0.25">
      <c r="A407" s="1066" t="s">
        <v>1702</v>
      </c>
      <c r="B407" s="1067"/>
      <c r="C407" s="1067"/>
      <c r="D407" s="1067"/>
      <c r="E407" s="1067"/>
      <c r="F407" s="1067"/>
      <c r="G407" s="1067"/>
      <c r="H407" s="1067"/>
      <c r="I407" s="1067"/>
      <c r="J407" s="1067"/>
      <c r="K407" s="1067"/>
      <c r="L407" s="1067"/>
      <c r="M407" s="7"/>
      <c r="N407" s="7"/>
      <c r="O407" s="7"/>
      <c r="P407" s="7"/>
      <c r="Q407" s="7"/>
      <c r="R407" s="7"/>
      <c r="S407" s="7"/>
      <c r="T407" s="7"/>
      <c r="U407" s="7"/>
      <c r="V407" s="7"/>
      <c r="W407" s="7"/>
      <c r="X407" s="7"/>
      <c r="Y407" s="7"/>
      <c r="Z407" s="7"/>
    </row>
    <row r="408" spans="1:26" ht="15.75" customHeight="1" x14ac:dyDescent="0.25">
      <c r="A408" s="1067"/>
      <c r="B408" s="1067"/>
      <c r="C408" s="1067"/>
      <c r="D408" s="1067"/>
      <c r="E408" s="1067"/>
      <c r="F408" s="1067"/>
      <c r="G408" s="1067"/>
      <c r="H408" s="1067"/>
      <c r="I408" s="1067"/>
      <c r="J408" s="1067"/>
      <c r="K408" s="1067"/>
      <c r="L408" s="1067"/>
      <c r="M408" s="7"/>
      <c r="N408" s="7"/>
      <c r="O408" s="7"/>
      <c r="P408" s="7"/>
      <c r="Q408" s="7"/>
      <c r="R408" s="7"/>
      <c r="S408" s="7"/>
      <c r="T408" s="7"/>
      <c r="U408" s="7"/>
      <c r="V408" s="7"/>
      <c r="W408" s="7"/>
      <c r="X408" s="7"/>
      <c r="Y408" s="7"/>
      <c r="Z408" s="7"/>
    </row>
    <row r="409" spans="1:26" ht="15.75" customHeight="1" x14ac:dyDescent="0.25">
      <c r="A409" s="232"/>
      <c r="B409" s="232"/>
      <c r="C409" s="232"/>
      <c r="D409" s="232"/>
      <c r="E409" s="232"/>
      <c r="F409" s="232"/>
      <c r="G409" s="232"/>
      <c r="H409" s="232"/>
      <c r="I409" s="232"/>
      <c r="J409" s="232"/>
      <c r="K409" s="232"/>
      <c r="L409" s="232"/>
      <c r="M409" s="7"/>
      <c r="N409" s="7"/>
      <c r="O409" s="7"/>
      <c r="P409" s="7"/>
      <c r="Q409" s="7"/>
      <c r="R409" s="7"/>
      <c r="S409" s="7"/>
      <c r="T409" s="7"/>
      <c r="U409" s="7"/>
      <c r="V409" s="7"/>
      <c r="W409" s="7"/>
      <c r="X409" s="7"/>
      <c r="Y409" s="7"/>
      <c r="Z409" s="7"/>
    </row>
    <row r="410" spans="1:26" ht="15.75" customHeight="1" x14ac:dyDescent="0.25">
      <c r="A410" s="1068" t="s">
        <v>1753</v>
      </c>
      <c r="B410" s="1068"/>
      <c r="C410" s="1068"/>
      <c r="D410" s="1068"/>
      <c r="E410" s="1068"/>
      <c r="F410" s="1068"/>
      <c r="G410" s="232"/>
      <c r="H410" s="1068" t="s">
        <v>1753</v>
      </c>
      <c r="I410" s="1068"/>
      <c r="J410" s="1068"/>
      <c r="K410" s="232"/>
      <c r="L410" s="232"/>
      <c r="M410" s="7"/>
      <c r="N410" s="7"/>
      <c r="O410" s="7"/>
      <c r="P410" s="7"/>
      <c r="Q410" s="7"/>
      <c r="R410" s="7"/>
      <c r="S410" s="7"/>
      <c r="T410" s="7"/>
      <c r="U410" s="7"/>
      <c r="V410" s="7"/>
      <c r="W410" s="7"/>
      <c r="X410" s="7"/>
      <c r="Y410" s="7"/>
      <c r="Z410" s="7"/>
    </row>
    <row r="411" spans="1:26" ht="15.75" customHeight="1" x14ac:dyDescent="0.25">
      <c r="A411" s="233" t="s">
        <v>1091</v>
      </c>
      <c r="B411" s="233" t="s">
        <v>1754</v>
      </c>
      <c r="C411" s="233" t="s">
        <v>912</v>
      </c>
      <c r="D411" s="233" t="s">
        <v>1755</v>
      </c>
      <c r="E411" s="233" t="s">
        <v>1756</v>
      </c>
      <c r="F411" s="233" t="s">
        <v>1757</v>
      </c>
      <c r="G411" s="232"/>
      <c r="H411" s="234" t="s">
        <v>1091</v>
      </c>
      <c r="I411" s="234" t="s">
        <v>1754</v>
      </c>
      <c r="J411" s="233" t="s">
        <v>882</v>
      </c>
      <c r="K411" s="232"/>
      <c r="L411" s="232"/>
      <c r="M411" s="7"/>
      <c r="N411" s="7"/>
      <c r="O411" s="7"/>
      <c r="P411" s="7"/>
      <c r="Q411" s="7"/>
      <c r="R411" s="7"/>
      <c r="S411" s="7"/>
      <c r="T411" s="7"/>
      <c r="U411" s="7"/>
      <c r="V411" s="7"/>
      <c r="W411" s="7"/>
      <c r="X411" s="7"/>
      <c r="Y411" s="7"/>
      <c r="Z411" s="7"/>
    </row>
    <row r="412" spans="1:26" ht="15.75" customHeight="1" x14ac:dyDescent="0.25">
      <c r="A412" s="235" t="s">
        <v>1758</v>
      </c>
      <c r="B412" s="236">
        <v>6</v>
      </c>
      <c r="C412" s="237" t="s">
        <v>1759</v>
      </c>
      <c r="D412" s="236"/>
      <c r="E412" s="238"/>
      <c r="F412" s="238"/>
      <c r="G412" s="232"/>
      <c r="H412" s="239" t="s">
        <v>1760</v>
      </c>
      <c r="I412" s="239">
        <v>4</v>
      </c>
      <c r="J412" s="237">
        <f>+COUNTIF($B$412:$B$416,I412)</f>
        <v>1</v>
      </c>
      <c r="K412" s="232"/>
      <c r="L412" s="232"/>
      <c r="M412" s="7"/>
      <c r="N412" s="7"/>
      <c r="O412" s="7"/>
      <c r="P412" s="7"/>
      <c r="Q412" s="7"/>
      <c r="R412" s="7"/>
      <c r="S412" s="7"/>
      <c r="T412" s="7"/>
      <c r="U412" s="7"/>
      <c r="V412" s="7"/>
      <c r="W412" s="7"/>
      <c r="X412" s="7"/>
      <c r="Y412" s="7"/>
      <c r="Z412" s="7"/>
    </row>
    <row r="413" spans="1:26" ht="15.75" customHeight="1" x14ac:dyDescent="0.25">
      <c r="A413" s="235" t="s">
        <v>1789</v>
      </c>
      <c r="B413" s="236">
        <v>4</v>
      </c>
      <c r="C413" s="237" t="s">
        <v>1759</v>
      </c>
      <c r="D413" s="236"/>
      <c r="E413" s="238"/>
      <c r="F413" s="238"/>
      <c r="G413" s="232"/>
      <c r="H413" s="239" t="s">
        <v>1760</v>
      </c>
      <c r="I413" s="239">
        <v>6</v>
      </c>
      <c r="J413" s="237">
        <f>+COUNTIF($B$412:$B$416,I413)</f>
        <v>1</v>
      </c>
      <c r="K413" s="232"/>
      <c r="L413" s="232"/>
      <c r="M413" s="7"/>
      <c r="N413" s="7"/>
      <c r="O413" s="7"/>
      <c r="P413" s="7"/>
      <c r="Q413" s="7"/>
      <c r="R413" s="7"/>
      <c r="S413" s="7"/>
      <c r="T413" s="7"/>
      <c r="U413" s="7"/>
      <c r="V413" s="7"/>
      <c r="W413" s="7"/>
      <c r="X413" s="7"/>
      <c r="Y413" s="7"/>
      <c r="Z413" s="7"/>
    </row>
    <row r="414" spans="1:26" ht="15.75" customHeight="1" x14ac:dyDescent="0.25">
      <c r="A414" s="235" t="s">
        <v>1790</v>
      </c>
      <c r="B414" s="236"/>
      <c r="C414" s="237" t="s">
        <v>1759</v>
      </c>
      <c r="D414" s="236"/>
      <c r="E414" s="238"/>
      <c r="F414" s="238"/>
      <c r="G414" s="232"/>
      <c r="H414" s="239" t="s">
        <v>1760</v>
      </c>
      <c r="I414" s="239"/>
      <c r="J414" s="237">
        <f>+COUNTIF($B$412:$B$416,I414)</f>
        <v>0</v>
      </c>
      <c r="K414" s="232"/>
      <c r="L414" s="232"/>
      <c r="M414" s="7"/>
      <c r="N414" s="7"/>
      <c r="O414" s="7"/>
      <c r="P414" s="7"/>
      <c r="Q414" s="7"/>
      <c r="R414" s="7"/>
      <c r="S414" s="7"/>
      <c r="T414" s="7"/>
      <c r="U414" s="7"/>
      <c r="V414" s="7"/>
      <c r="W414" s="7"/>
      <c r="X414" s="7"/>
      <c r="Y414" s="7"/>
      <c r="Z414" s="7"/>
    </row>
    <row r="415" spans="1:26" ht="15.75" customHeight="1" x14ac:dyDescent="0.25">
      <c r="A415" s="235" t="s">
        <v>1761</v>
      </c>
      <c r="B415" s="236"/>
      <c r="C415" s="237" t="s">
        <v>1759</v>
      </c>
      <c r="D415" s="236"/>
      <c r="E415" s="238"/>
      <c r="F415" s="238"/>
      <c r="G415" s="232"/>
      <c r="H415" s="239" t="s">
        <v>1760</v>
      </c>
      <c r="I415" s="239"/>
      <c r="J415" s="237">
        <f>+COUNTIF($B$412:$B$416,I415)</f>
        <v>0</v>
      </c>
      <c r="K415" s="232"/>
      <c r="L415" s="232"/>
      <c r="M415" s="7"/>
      <c r="N415" s="7"/>
      <c r="O415" s="7"/>
      <c r="P415" s="7"/>
      <c r="Q415" s="7"/>
      <c r="R415" s="7"/>
      <c r="S415" s="7"/>
      <c r="T415" s="7"/>
      <c r="U415" s="7"/>
      <c r="V415" s="7"/>
      <c r="W415" s="7"/>
      <c r="X415" s="7"/>
      <c r="Y415" s="7"/>
      <c r="Z415" s="7"/>
    </row>
    <row r="416" spans="1:26" ht="15.75" customHeight="1" x14ac:dyDescent="0.25">
      <c r="A416" s="235" t="s">
        <v>1762</v>
      </c>
      <c r="B416" s="236"/>
      <c r="C416" s="237" t="s">
        <v>1759</v>
      </c>
      <c r="D416" s="236"/>
      <c r="E416" s="238"/>
      <c r="F416" s="238"/>
      <c r="G416" s="232"/>
      <c r="H416" s="232"/>
      <c r="I416" s="232"/>
      <c r="J416" s="232"/>
      <c r="K416" s="232"/>
      <c r="L416" s="232"/>
      <c r="M416" s="7"/>
      <c r="N416" s="7"/>
      <c r="O416" s="7"/>
      <c r="P416" s="7"/>
      <c r="Q416" s="7"/>
      <c r="R416" s="7"/>
      <c r="S416" s="7"/>
      <c r="T416" s="7"/>
      <c r="U416" s="7"/>
      <c r="V416" s="7"/>
      <c r="W416" s="7"/>
      <c r="X416" s="7"/>
      <c r="Y416" s="7"/>
      <c r="Z416" s="7"/>
    </row>
    <row r="417" spans="1:26" ht="15.75" customHeight="1" x14ac:dyDescent="0.25">
      <c r="A417" s="232"/>
      <c r="B417" s="232"/>
      <c r="C417" s="232"/>
      <c r="D417" s="232"/>
      <c r="E417" s="232"/>
      <c r="F417" s="232"/>
      <c r="G417" s="232"/>
      <c r="H417" s="232"/>
      <c r="I417" s="232"/>
      <c r="J417" s="232"/>
      <c r="K417" s="232"/>
      <c r="L417" s="232"/>
      <c r="M417" s="7"/>
      <c r="N417" s="7"/>
      <c r="O417" s="7"/>
      <c r="P417" s="7"/>
      <c r="Q417" s="7"/>
      <c r="R417" s="7"/>
      <c r="S417" s="7"/>
      <c r="T417" s="7"/>
      <c r="U417" s="7"/>
      <c r="V417" s="7"/>
      <c r="W417" s="7"/>
      <c r="X417" s="7"/>
      <c r="Y417" s="7"/>
      <c r="Z417" s="7"/>
    </row>
    <row r="418" spans="1:26" ht="15.75" customHeight="1" x14ac:dyDescent="0.25">
      <c r="A418" s="1069"/>
      <c r="B418" s="1070"/>
      <c r="C418" s="1070"/>
      <c r="D418" s="1070"/>
      <c r="E418" s="1071"/>
      <c r="F418" s="1069"/>
      <c r="G418" s="1071"/>
      <c r="H418" s="1078"/>
      <c r="I418" s="1079"/>
      <c r="J418" s="1079"/>
      <c r="K418" s="1079"/>
      <c r="L418" s="1080"/>
      <c r="M418" s="7"/>
      <c r="N418" s="7"/>
      <c r="O418" s="7"/>
      <c r="P418" s="7"/>
      <c r="Q418" s="7"/>
      <c r="R418" s="7"/>
      <c r="S418" s="7"/>
      <c r="T418" s="7"/>
      <c r="U418" s="7"/>
      <c r="V418" s="7"/>
      <c r="W418" s="7"/>
      <c r="X418" s="7"/>
      <c r="Y418" s="7"/>
      <c r="Z418" s="7"/>
    </row>
    <row r="419" spans="1:26" ht="15.75" customHeight="1" x14ac:dyDescent="0.25">
      <c r="A419" s="1072"/>
      <c r="B419" s="1073"/>
      <c r="C419" s="1073"/>
      <c r="D419" s="1073"/>
      <c r="E419" s="1074"/>
      <c r="F419" s="1072"/>
      <c r="G419" s="1074"/>
      <c r="H419" s="1081"/>
      <c r="I419" s="1082"/>
      <c r="J419" s="1082"/>
      <c r="K419" s="1082"/>
      <c r="L419" s="1083"/>
      <c r="M419" s="7"/>
      <c r="N419" s="7"/>
      <c r="O419" s="7"/>
      <c r="P419" s="7"/>
      <c r="Q419" s="7"/>
      <c r="R419" s="7"/>
      <c r="S419" s="7"/>
      <c r="T419" s="7"/>
      <c r="U419" s="7"/>
      <c r="V419" s="7"/>
      <c r="W419" s="7"/>
      <c r="X419" s="7"/>
      <c r="Y419" s="7"/>
      <c r="Z419" s="7"/>
    </row>
    <row r="420" spans="1:26" ht="15.75" customHeight="1" x14ac:dyDescent="0.25">
      <c r="A420" s="1072"/>
      <c r="B420" s="1073"/>
      <c r="C420" s="1073"/>
      <c r="D420" s="1073"/>
      <c r="E420" s="1074"/>
      <c r="F420" s="1072"/>
      <c r="G420" s="1074"/>
      <c r="H420" s="1081"/>
      <c r="I420" s="1082"/>
      <c r="J420" s="1082"/>
      <c r="K420" s="1082"/>
      <c r="L420" s="1083"/>
      <c r="M420" s="7"/>
      <c r="N420" s="7"/>
      <c r="O420" s="7"/>
      <c r="P420" s="7"/>
      <c r="Q420" s="7"/>
      <c r="R420" s="7"/>
      <c r="S420" s="7"/>
      <c r="T420" s="7"/>
      <c r="U420" s="7"/>
      <c r="V420" s="7"/>
      <c r="W420" s="7"/>
      <c r="X420" s="7"/>
      <c r="Y420" s="7"/>
      <c r="Z420" s="7"/>
    </row>
    <row r="421" spans="1:26" ht="15.75" customHeight="1" x14ac:dyDescent="0.25">
      <c r="A421" s="1072"/>
      <c r="B421" s="1073"/>
      <c r="C421" s="1073"/>
      <c r="D421" s="1073"/>
      <c r="E421" s="1074"/>
      <c r="F421" s="1072"/>
      <c r="G421" s="1074"/>
      <c r="H421" s="1081"/>
      <c r="I421" s="1082"/>
      <c r="J421" s="1082"/>
      <c r="K421" s="1082"/>
      <c r="L421" s="1083"/>
      <c r="M421" s="7"/>
      <c r="N421" s="7"/>
      <c r="O421" s="7"/>
      <c r="P421" s="7"/>
      <c r="Q421" s="7"/>
      <c r="R421" s="7"/>
      <c r="S421" s="7"/>
      <c r="T421" s="7"/>
      <c r="U421" s="7"/>
      <c r="V421" s="7"/>
      <c r="W421" s="7"/>
      <c r="X421" s="7"/>
      <c r="Y421" s="7"/>
      <c r="Z421" s="7"/>
    </row>
    <row r="422" spans="1:26" ht="15.75" customHeight="1" x14ac:dyDescent="0.25">
      <c r="A422" s="1072"/>
      <c r="B422" s="1073"/>
      <c r="C422" s="1073"/>
      <c r="D422" s="1073"/>
      <c r="E422" s="1074"/>
      <c r="F422" s="1072"/>
      <c r="G422" s="1074"/>
      <c r="H422" s="1081"/>
      <c r="I422" s="1082"/>
      <c r="J422" s="1082"/>
      <c r="K422" s="1082"/>
      <c r="L422" s="1083"/>
      <c r="M422" s="7"/>
      <c r="N422" s="7"/>
      <c r="O422" s="7"/>
      <c r="P422" s="7"/>
      <c r="Q422" s="7"/>
      <c r="R422" s="7"/>
      <c r="S422" s="7"/>
      <c r="T422" s="7"/>
      <c r="U422" s="7"/>
      <c r="V422" s="7"/>
      <c r="W422" s="7"/>
      <c r="X422" s="7"/>
      <c r="Y422" s="7"/>
      <c r="Z422" s="7"/>
    </row>
    <row r="423" spans="1:26" ht="15.75" customHeight="1" x14ac:dyDescent="0.25">
      <c r="A423" s="1072"/>
      <c r="B423" s="1073"/>
      <c r="C423" s="1073"/>
      <c r="D423" s="1073"/>
      <c r="E423" s="1074"/>
      <c r="F423" s="1072"/>
      <c r="G423" s="1074"/>
      <c r="H423" s="1081"/>
      <c r="I423" s="1082"/>
      <c r="J423" s="1082"/>
      <c r="K423" s="1082"/>
      <c r="L423" s="1083"/>
      <c r="M423" s="7"/>
      <c r="N423" s="7"/>
      <c r="O423" s="7"/>
      <c r="P423" s="7"/>
      <c r="Q423" s="7"/>
      <c r="R423" s="7"/>
      <c r="S423" s="7"/>
      <c r="T423" s="7"/>
      <c r="U423" s="7"/>
      <c r="V423" s="7"/>
      <c r="W423" s="7"/>
      <c r="X423" s="7"/>
      <c r="Y423" s="7"/>
      <c r="Z423" s="7"/>
    </row>
    <row r="424" spans="1:26" ht="15.75" customHeight="1" x14ac:dyDescent="0.25">
      <c r="A424" s="1072"/>
      <c r="B424" s="1073"/>
      <c r="C424" s="1073"/>
      <c r="D424" s="1073"/>
      <c r="E424" s="1074"/>
      <c r="F424" s="1072"/>
      <c r="G424" s="1074"/>
      <c r="H424" s="1081"/>
      <c r="I424" s="1082"/>
      <c r="J424" s="1082"/>
      <c r="K424" s="1082"/>
      <c r="L424" s="1083"/>
      <c r="M424" s="7"/>
      <c r="N424" s="7"/>
      <c r="O424" s="7"/>
      <c r="P424" s="7"/>
      <c r="Q424" s="7"/>
      <c r="R424" s="7"/>
      <c r="S424" s="7"/>
      <c r="T424" s="7"/>
      <c r="U424" s="7"/>
      <c r="V424" s="7"/>
      <c r="W424" s="7"/>
      <c r="X424" s="7"/>
      <c r="Y424" s="7"/>
      <c r="Z424" s="7"/>
    </row>
    <row r="425" spans="1:26" ht="15.75" customHeight="1" x14ac:dyDescent="0.25">
      <c r="A425" s="1072"/>
      <c r="B425" s="1073"/>
      <c r="C425" s="1073"/>
      <c r="D425" s="1073"/>
      <c r="E425" s="1074"/>
      <c r="F425" s="1072"/>
      <c r="G425" s="1074"/>
      <c r="H425" s="1081"/>
      <c r="I425" s="1082"/>
      <c r="J425" s="1082"/>
      <c r="K425" s="1082"/>
      <c r="L425" s="1083"/>
      <c r="M425" s="7"/>
      <c r="N425" s="7"/>
      <c r="O425" s="7"/>
      <c r="P425" s="7"/>
      <c r="Q425" s="7"/>
      <c r="R425" s="7"/>
      <c r="S425" s="7"/>
      <c r="T425" s="7"/>
      <c r="U425" s="7"/>
      <c r="V425" s="7"/>
      <c r="W425" s="7"/>
      <c r="X425" s="7"/>
      <c r="Y425" s="7"/>
      <c r="Z425" s="7"/>
    </row>
    <row r="426" spans="1:26" ht="15.75" customHeight="1" x14ac:dyDescent="0.25">
      <c r="A426" s="1072"/>
      <c r="B426" s="1073"/>
      <c r="C426" s="1073"/>
      <c r="D426" s="1073"/>
      <c r="E426" s="1074"/>
      <c r="F426" s="1072"/>
      <c r="G426" s="1074"/>
      <c r="H426" s="1081"/>
      <c r="I426" s="1082"/>
      <c r="J426" s="1082"/>
      <c r="K426" s="1082"/>
      <c r="L426" s="1083"/>
      <c r="M426" s="7"/>
      <c r="N426" s="7"/>
      <c r="O426" s="7"/>
      <c r="P426" s="7"/>
      <c r="Q426" s="7"/>
      <c r="R426" s="7"/>
      <c r="S426" s="7"/>
      <c r="T426" s="7"/>
      <c r="U426" s="7"/>
      <c r="V426" s="7"/>
      <c r="W426" s="7"/>
      <c r="X426" s="7"/>
      <c r="Y426" s="7"/>
      <c r="Z426" s="7"/>
    </row>
    <row r="427" spans="1:26" ht="15.75" customHeight="1" x14ac:dyDescent="0.25">
      <c r="A427" s="1075"/>
      <c r="B427" s="1076"/>
      <c r="C427" s="1076"/>
      <c r="D427" s="1076"/>
      <c r="E427" s="1077"/>
      <c r="F427" s="1075"/>
      <c r="G427" s="1077"/>
      <c r="H427" s="1084"/>
      <c r="I427" s="1085"/>
      <c r="J427" s="1085"/>
      <c r="K427" s="1085"/>
      <c r="L427" s="1086"/>
      <c r="M427" s="7"/>
      <c r="N427" s="7"/>
      <c r="O427" s="7"/>
      <c r="P427" s="7"/>
      <c r="Q427" s="7"/>
      <c r="R427" s="7"/>
      <c r="S427" s="7"/>
      <c r="T427" s="7"/>
      <c r="U427" s="7"/>
      <c r="V427" s="7"/>
      <c r="W427" s="7"/>
      <c r="X427" s="7"/>
      <c r="Y427" s="7"/>
      <c r="Z427" s="7"/>
    </row>
    <row r="428" spans="1:26" ht="15.75" customHeight="1" x14ac:dyDescent="0.25">
      <c r="A428" s="232"/>
      <c r="B428" s="240"/>
      <c r="C428" s="240"/>
      <c r="D428" s="240"/>
      <c r="E428" s="240"/>
      <c r="F428" s="240"/>
      <c r="G428" s="240"/>
      <c r="H428" s="232"/>
      <c r="I428" s="232"/>
      <c r="J428" s="232"/>
      <c r="K428" s="232"/>
      <c r="L428" s="232"/>
      <c r="M428" s="7"/>
      <c r="N428" s="7"/>
      <c r="O428" s="7"/>
      <c r="P428" s="7"/>
      <c r="Q428" s="7"/>
      <c r="R428" s="7"/>
      <c r="S428" s="7"/>
      <c r="T428" s="7"/>
      <c r="U428" s="7"/>
      <c r="V428" s="7"/>
      <c r="W428" s="7"/>
      <c r="X428" s="7"/>
      <c r="Y428" s="7"/>
      <c r="Z428" s="7"/>
    </row>
    <row r="429" spans="1:26" ht="15.75" customHeight="1" x14ac:dyDescent="0.3">
      <c r="A429" s="1090" t="s">
        <v>1763</v>
      </c>
      <c r="B429" s="1088"/>
      <c r="C429" s="1088"/>
      <c r="D429" s="1088"/>
      <c r="E429" s="1088"/>
      <c r="F429" s="1088"/>
      <c r="G429" s="1088"/>
      <c r="H429" s="1088"/>
      <c r="I429" s="1091" t="s">
        <v>157</v>
      </c>
      <c r="J429" s="1091"/>
      <c r="K429" s="1091"/>
      <c r="L429" s="1091"/>
      <c r="M429" s="7"/>
      <c r="N429" s="7"/>
      <c r="O429" s="7"/>
      <c r="P429" s="7"/>
      <c r="Q429" s="7"/>
      <c r="R429" s="7"/>
      <c r="S429" s="7"/>
      <c r="T429" s="7"/>
      <c r="U429" s="7"/>
      <c r="V429" s="7"/>
      <c r="W429" s="7"/>
      <c r="X429" s="7"/>
      <c r="Y429" s="7"/>
      <c r="Z429" s="7"/>
    </row>
    <row r="430" spans="1:26" ht="15.75" customHeight="1" x14ac:dyDescent="0.3">
      <c r="A430" s="1090" t="s">
        <v>726</v>
      </c>
      <c r="B430" s="1088"/>
      <c r="C430" s="1090" t="s">
        <v>184</v>
      </c>
      <c r="D430" s="1090" t="s">
        <v>40</v>
      </c>
      <c r="E430" s="1090" t="s">
        <v>1764</v>
      </c>
      <c r="F430" s="1088"/>
      <c r="G430" s="1088"/>
      <c r="H430" s="1088"/>
      <c r="I430" s="1091" t="s">
        <v>1765</v>
      </c>
      <c r="J430" s="1088"/>
      <c r="K430" s="241" t="s">
        <v>240</v>
      </c>
      <c r="L430" s="241" t="s">
        <v>882</v>
      </c>
      <c r="M430" s="7"/>
      <c r="N430" s="7"/>
      <c r="O430" s="7"/>
      <c r="P430" s="7"/>
      <c r="Q430" s="7"/>
      <c r="R430" s="7"/>
      <c r="S430" s="7"/>
      <c r="T430" s="7"/>
      <c r="U430" s="7"/>
      <c r="V430" s="7"/>
      <c r="W430" s="7"/>
      <c r="X430" s="7"/>
      <c r="Y430" s="7"/>
      <c r="Z430" s="7"/>
    </row>
    <row r="431" spans="1:26" ht="15.75" customHeight="1" x14ac:dyDescent="0.3">
      <c r="A431" s="1088"/>
      <c r="B431" s="1088"/>
      <c r="C431" s="1088"/>
      <c r="D431" s="1088"/>
      <c r="E431" s="242" t="s">
        <v>1766</v>
      </c>
      <c r="F431" s="242" t="s">
        <v>1767</v>
      </c>
      <c r="G431" s="242" t="s">
        <v>1768</v>
      </c>
      <c r="H431" s="242" t="s">
        <v>1769</v>
      </c>
      <c r="I431" s="1089" t="s">
        <v>1770</v>
      </c>
      <c r="J431" s="1088"/>
      <c r="K431" s="243" t="s">
        <v>1771</v>
      </c>
      <c r="L431" s="243">
        <v>2</v>
      </c>
      <c r="M431" s="7"/>
      <c r="N431" s="7"/>
      <c r="O431" s="7"/>
      <c r="P431" s="7"/>
      <c r="Q431" s="7"/>
      <c r="R431" s="7"/>
      <c r="S431" s="7"/>
      <c r="T431" s="7"/>
      <c r="U431" s="7"/>
      <c r="V431" s="7"/>
      <c r="W431" s="7"/>
      <c r="X431" s="7"/>
      <c r="Y431" s="7"/>
      <c r="Z431" s="7"/>
    </row>
    <row r="432" spans="1:26" ht="15.75" customHeight="1" x14ac:dyDescent="0.3">
      <c r="A432" s="1087" t="s">
        <v>1772</v>
      </c>
      <c r="B432" s="1088"/>
      <c r="C432" s="244">
        <f>+E432*F432</f>
        <v>3.04</v>
      </c>
      <c r="D432" s="244" t="s">
        <v>636</v>
      </c>
      <c r="E432" s="244">
        <v>1.9</v>
      </c>
      <c r="F432" s="244">
        <v>1.6</v>
      </c>
      <c r="G432" s="244"/>
      <c r="H432" s="244"/>
      <c r="I432" s="1089" t="s">
        <v>1773</v>
      </c>
      <c r="J432" s="1088"/>
      <c r="K432" s="243" t="s">
        <v>1771</v>
      </c>
      <c r="L432" s="243">
        <v>2</v>
      </c>
      <c r="M432" s="7"/>
      <c r="N432" s="7"/>
      <c r="O432" s="7"/>
      <c r="P432" s="7"/>
      <c r="Q432" s="7"/>
      <c r="R432" s="7"/>
      <c r="S432" s="7"/>
      <c r="T432" s="7"/>
      <c r="U432" s="7"/>
      <c r="V432" s="7"/>
      <c r="W432" s="7"/>
      <c r="X432" s="7"/>
      <c r="Y432" s="7"/>
      <c r="Z432" s="7"/>
    </row>
    <row r="433" spans="1:26" ht="15.75" customHeight="1" x14ac:dyDescent="0.3">
      <c r="A433" s="1087" t="s">
        <v>1774</v>
      </c>
      <c r="B433" s="1088"/>
      <c r="C433" s="244">
        <f>+E433*F433*G433</f>
        <v>5.4720000000000004</v>
      </c>
      <c r="D433" s="244" t="s">
        <v>531</v>
      </c>
      <c r="E433" s="244">
        <v>1.9</v>
      </c>
      <c r="F433" s="244">
        <v>1.6</v>
      </c>
      <c r="G433" s="244">
        <v>1.8</v>
      </c>
      <c r="H433" s="244"/>
      <c r="I433" s="1089" t="s">
        <v>1775</v>
      </c>
      <c r="J433" s="1088"/>
      <c r="K433" s="243" t="s">
        <v>1771</v>
      </c>
      <c r="L433" s="243">
        <v>3</v>
      </c>
      <c r="M433" s="7"/>
      <c r="N433" s="7"/>
      <c r="O433" s="7"/>
      <c r="P433" s="7"/>
      <c r="Q433" s="7"/>
      <c r="R433" s="7"/>
      <c r="S433" s="7"/>
      <c r="T433" s="7"/>
      <c r="U433" s="7"/>
      <c r="V433" s="7"/>
      <c r="W433" s="7"/>
      <c r="X433" s="7"/>
      <c r="Y433" s="7"/>
      <c r="Z433" s="7"/>
    </row>
    <row r="434" spans="1:26" ht="15.75" customHeight="1" x14ac:dyDescent="0.3">
      <c r="A434" s="1087" t="s">
        <v>895</v>
      </c>
      <c r="B434" s="1088"/>
      <c r="C434" s="244">
        <f>+E434*F434*G434</f>
        <v>0.6080000000000001</v>
      </c>
      <c r="D434" s="244" t="s">
        <v>531</v>
      </c>
      <c r="E434" s="244">
        <v>1.9</v>
      </c>
      <c r="F434" s="244">
        <v>1.6</v>
      </c>
      <c r="G434" s="244">
        <v>0.2</v>
      </c>
      <c r="H434" s="244"/>
      <c r="I434" s="1089" t="s">
        <v>1776</v>
      </c>
      <c r="J434" s="1088"/>
      <c r="K434" s="243" t="s">
        <v>625</v>
      </c>
      <c r="L434" s="243">
        <v>11.6</v>
      </c>
      <c r="M434" s="7"/>
      <c r="N434" s="7"/>
      <c r="O434" s="7"/>
      <c r="P434" s="7"/>
      <c r="Q434" s="7"/>
      <c r="R434" s="7"/>
      <c r="S434" s="7"/>
      <c r="T434" s="7"/>
      <c r="U434" s="7"/>
      <c r="V434" s="7"/>
      <c r="W434" s="7"/>
      <c r="X434" s="7"/>
      <c r="Y434" s="7"/>
      <c r="Z434" s="7"/>
    </row>
    <row r="435" spans="1:26" ht="15.75" customHeight="1" x14ac:dyDescent="0.3">
      <c r="A435" s="1087" t="s">
        <v>1777</v>
      </c>
      <c r="B435" s="1088"/>
      <c r="C435" s="244">
        <f>+C433-(E435*F435*G435)-C436-C434</f>
        <v>0</v>
      </c>
      <c r="D435" s="244" t="s">
        <v>531</v>
      </c>
      <c r="E435" s="244">
        <v>1.9</v>
      </c>
      <c r="F435" s="244">
        <v>1.6</v>
      </c>
      <c r="G435" s="244">
        <v>1.55</v>
      </c>
      <c r="H435" s="244"/>
      <c r="I435" s="1089" t="s">
        <v>1778</v>
      </c>
      <c r="J435" s="1088"/>
      <c r="K435" s="243" t="s">
        <v>1771</v>
      </c>
      <c r="L435" s="243">
        <v>2</v>
      </c>
      <c r="M435" s="7"/>
      <c r="N435" s="7"/>
      <c r="O435" s="7"/>
      <c r="P435" s="7"/>
      <c r="Q435" s="7"/>
      <c r="R435" s="7"/>
      <c r="S435" s="7"/>
      <c r="T435" s="7"/>
      <c r="U435" s="7"/>
      <c r="V435" s="7"/>
      <c r="W435" s="7"/>
      <c r="X435" s="7"/>
      <c r="Y435" s="7"/>
      <c r="Z435" s="7"/>
    </row>
    <row r="436" spans="1:26" ht="15.75" customHeight="1" x14ac:dyDescent="0.3">
      <c r="A436" s="1087" t="s">
        <v>1779</v>
      </c>
      <c r="B436" s="1088"/>
      <c r="C436" s="244">
        <f>+E436*F436*G436</f>
        <v>0.15200000000000002</v>
      </c>
      <c r="D436" s="244" t="s">
        <v>531</v>
      </c>
      <c r="E436" s="244">
        <v>1.9</v>
      </c>
      <c r="F436" s="244">
        <v>1.6</v>
      </c>
      <c r="G436" s="244">
        <v>0.05</v>
      </c>
      <c r="H436" s="244"/>
      <c r="I436" s="1089" t="s">
        <v>1780</v>
      </c>
      <c r="J436" s="1088"/>
      <c r="K436" s="243" t="s">
        <v>1771</v>
      </c>
      <c r="L436" s="243">
        <v>1</v>
      </c>
      <c r="M436" s="7"/>
      <c r="N436" s="7"/>
      <c r="O436" s="7"/>
      <c r="P436" s="7"/>
      <c r="Q436" s="7"/>
      <c r="R436" s="7"/>
      <c r="S436" s="7"/>
      <c r="T436" s="7"/>
      <c r="U436" s="7"/>
      <c r="V436" s="7"/>
      <c r="W436" s="7"/>
      <c r="X436" s="7"/>
      <c r="Y436" s="7"/>
      <c r="Z436" s="7"/>
    </row>
    <row r="437" spans="1:26" ht="15.75" customHeight="1" x14ac:dyDescent="0.3">
      <c r="A437" s="1087" t="s">
        <v>1781</v>
      </c>
      <c r="B437" s="1088"/>
      <c r="C437" s="244">
        <v>225.92</v>
      </c>
      <c r="D437" s="244" t="s">
        <v>24</v>
      </c>
      <c r="E437" s="244"/>
      <c r="F437" s="244"/>
      <c r="G437" s="244"/>
      <c r="H437" s="244"/>
      <c r="I437" s="1089" t="s">
        <v>1782</v>
      </c>
      <c r="J437" s="1088"/>
      <c r="K437" s="243" t="s">
        <v>1771</v>
      </c>
      <c r="L437" s="243">
        <v>1</v>
      </c>
      <c r="M437" s="7"/>
      <c r="N437" s="7"/>
      <c r="O437" s="7"/>
      <c r="P437" s="7"/>
      <c r="Q437" s="7"/>
      <c r="R437" s="7"/>
      <c r="S437" s="7"/>
      <c r="T437" s="7"/>
      <c r="U437" s="7"/>
      <c r="V437" s="7"/>
      <c r="W437" s="7"/>
      <c r="X437" s="7"/>
      <c r="Y437" s="7"/>
      <c r="Z437" s="7"/>
    </row>
    <row r="438" spans="1:26" ht="15.75" customHeight="1" x14ac:dyDescent="0.3">
      <c r="A438" s="1087" t="s">
        <v>1783</v>
      </c>
      <c r="B438" s="1088"/>
      <c r="C438" s="244">
        <f>+E438*F438*G438</f>
        <v>0.6080000000000001</v>
      </c>
      <c r="D438" s="244" t="s">
        <v>531</v>
      </c>
      <c r="E438" s="244">
        <v>1.9</v>
      </c>
      <c r="F438" s="244">
        <v>1.6</v>
      </c>
      <c r="G438" s="244">
        <v>0.2</v>
      </c>
      <c r="H438" s="244"/>
      <c r="I438" s="1089" t="s">
        <v>1784</v>
      </c>
      <c r="J438" s="1088"/>
      <c r="K438" s="243" t="s">
        <v>1771</v>
      </c>
      <c r="L438" s="243">
        <v>2</v>
      </c>
      <c r="M438" s="7"/>
      <c r="N438" s="7"/>
      <c r="O438" s="7"/>
      <c r="P438" s="7"/>
      <c r="Q438" s="7"/>
      <c r="R438" s="7"/>
      <c r="S438" s="7"/>
      <c r="T438" s="7"/>
      <c r="U438" s="7"/>
      <c r="V438" s="7"/>
      <c r="W438" s="7"/>
      <c r="X438" s="7"/>
      <c r="Y438" s="7"/>
      <c r="Z438" s="7"/>
    </row>
    <row r="439" spans="1:26" ht="15.75" customHeight="1" x14ac:dyDescent="0.3">
      <c r="A439" s="1087" t="s">
        <v>1785</v>
      </c>
      <c r="B439" s="1088"/>
      <c r="C439" s="244">
        <f>+(E439+E439+F439+F439)*G439*H439</f>
        <v>1.2960000000000003</v>
      </c>
      <c r="D439" s="244" t="s">
        <v>531</v>
      </c>
      <c r="E439" s="244">
        <v>1.5</v>
      </c>
      <c r="F439" s="244">
        <v>1.2</v>
      </c>
      <c r="G439" s="244">
        <v>1.2</v>
      </c>
      <c r="H439" s="244">
        <v>0.2</v>
      </c>
      <c r="I439" s="1089" t="s">
        <v>1786</v>
      </c>
      <c r="J439" s="1088"/>
      <c r="K439" s="243" t="s">
        <v>1771</v>
      </c>
      <c r="L439" s="243">
        <v>1</v>
      </c>
      <c r="M439" s="7"/>
      <c r="N439" s="7"/>
      <c r="O439" s="7"/>
      <c r="P439" s="7"/>
      <c r="Q439" s="7"/>
      <c r="R439" s="7"/>
      <c r="S439" s="7"/>
      <c r="T439" s="7"/>
      <c r="U439" s="7"/>
      <c r="V439" s="7"/>
      <c r="W439" s="7"/>
      <c r="X439" s="7"/>
      <c r="Y439" s="7"/>
      <c r="Z439" s="7"/>
    </row>
    <row r="440" spans="1:26" ht="15.75" customHeight="1" x14ac:dyDescent="0.3">
      <c r="A440" s="1087" t="s">
        <v>1787</v>
      </c>
      <c r="B440" s="1088"/>
      <c r="C440" s="244">
        <f>+E440*F440*G440</f>
        <v>0.45599999999999996</v>
      </c>
      <c r="D440" s="244" t="s">
        <v>531</v>
      </c>
      <c r="E440" s="244">
        <v>1.9</v>
      </c>
      <c r="F440" s="244">
        <v>1.6</v>
      </c>
      <c r="G440" s="244">
        <v>0.15</v>
      </c>
      <c r="H440" s="244"/>
      <c r="I440" s="245"/>
      <c r="J440" s="245"/>
      <c r="K440" s="245"/>
      <c r="L440" s="245"/>
      <c r="M440" s="7"/>
      <c r="N440" s="7"/>
      <c r="O440" s="7"/>
      <c r="P440" s="7"/>
      <c r="Q440" s="7"/>
      <c r="R440" s="7"/>
      <c r="S440" s="7"/>
      <c r="T440" s="7"/>
      <c r="U440" s="7"/>
      <c r="V440" s="7"/>
      <c r="W440" s="7"/>
      <c r="X440" s="7"/>
      <c r="Y440" s="7"/>
      <c r="Z440" s="7"/>
    </row>
    <row r="441" spans="1:26" ht="15.75" customHeight="1" x14ac:dyDescent="0.3">
      <c r="A441" s="1087" t="s">
        <v>1788</v>
      </c>
      <c r="B441" s="1088"/>
      <c r="C441" s="244">
        <f>+ROUND(G441/0.3,0)</f>
        <v>4</v>
      </c>
      <c r="D441" s="244" t="s">
        <v>1771</v>
      </c>
      <c r="E441" s="244"/>
      <c r="F441" s="244"/>
      <c r="G441" s="244">
        <v>1.2</v>
      </c>
      <c r="H441" s="244"/>
      <c r="I441" s="245"/>
      <c r="J441" s="245"/>
      <c r="K441" s="245"/>
      <c r="L441" s="245"/>
      <c r="M441" s="7"/>
      <c r="N441" s="7"/>
      <c r="O441" s="7"/>
      <c r="P441" s="7"/>
      <c r="Q441" s="7"/>
      <c r="R441" s="7"/>
      <c r="S441" s="7"/>
      <c r="T441" s="7"/>
      <c r="U441" s="7"/>
      <c r="V441" s="7"/>
      <c r="W441" s="7"/>
      <c r="X441" s="7"/>
      <c r="Y441" s="7"/>
      <c r="Z441" s="7"/>
    </row>
    <row r="442" spans="1:26" ht="15.75" customHeight="1" x14ac:dyDescent="0.3">
      <c r="A442" s="1087" t="s">
        <v>982</v>
      </c>
      <c r="B442" s="1088"/>
      <c r="C442" s="244">
        <v>1</v>
      </c>
      <c r="D442" s="244" t="s">
        <v>1771</v>
      </c>
      <c r="E442" s="244"/>
      <c r="F442" s="244"/>
      <c r="G442" s="244"/>
      <c r="H442" s="244"/>
      <c r="I442" s="245"/>
      <c r="J442" s="245"/>
      <c r="K442" s="245"/>
      <c r="L442" s="245"/>
      <c r="M442" s="7"/>
      <c r="N442" s="7"/>
      <c r="O442" s="7"/>
      <c r="P442" s="7"/>
      <c r="Q442" s="7"/>
      <c r="R442" s="7"/>
      <c r="S442" s="7"/>
      <c r="T442" s="7"/>
      <c r="U442" s="7"/>
      <c r="V442" s="7"/>
      <c r="W442" s="7"/>
      <c r="X442" s="7"/>
      <c r="Y442" s="7"/>
      <c r="Z442" s="7"/>
    </row>
    <row r="443" spans="1:26"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 customHeight="1" x14ac:dyDescent="0.25">
      <c r="A444" s="7"/>
      <c r="B444" s="116"/>
      <c r="C444" s="116"/>
      <c r="K444" s="7"/>
      <c r="L444" s="7"/>
    </row>
    <row r="445" spans="1:26" ht="15" customHeight="1" x14ac:dyDescent="0.25">
      <c r="A445" s="1134" t="s">
        <v>1807</v>
      </c>
      <c r="B445" s="736"/>
      <c r="C445" s="736"/>
      <c r="D445" s="736"/>
      <c r="E445" s="736"/>
      <c r="F445" s="736"/>
      <c r="G445" s="736"/>
      <c r="H445" s="736"/>
      <c r="I445" s="736"/>
      <c r="J445" s="736"/>
      <c r="K445" s="736"/>
      <c r="L445" s="736"/>
      <c r="M445" s="132"/>
      <c r="N445" s="132"/>
      <c r="O445" s="132"/>
      <c r="P445" s="132"/>
      <c r="Q445" s="132"/>
      <c r="R445" s="132"/>
      <c r="S445" s="132"/>
      <c r="T445" s="132"/>
      <c r="U445" s="132"/>
      <c r="V445" s="132"/>
      <c r="W445" s="132"/>
      <c r="X445" s="132"/>
      <c r="Y445" s="132"/>
      <c r="Z445" s="132"/>
    </row>
    <row r="446" spans="1:26" ht="15" customHeight="1" x14ac:dyDescent="0.25">
      <c r="A446" s="738"/>
      <c r="B446" s="739"/>
      <c r="C446" s="739"/>
      <c r="D446" s="739"/>
      <c r="E446" s="739"/>
      <c r="F446" s="739"/>
      <c r="G446" s="739"/>
      <c r="H446" s="739"/>
      <c r="I446" s="739"/>
      <c r="J446" s="739"/>
      <c r="K446" s="739"/>
      <c r="L446" s="739"/>
      <c r="M446" s="132"/>
      <c r="N446" s="132"/>
      <c r="O446" s="132"/>
      <c r="P446" s="132"/>
      <c r="Q446" s="132"/>
      <c r="R446" s="132"/>
      <c r="S446" s="132"/>
      <c r="T446" s="132"/>
      <c r="U446" s="132"/>
      <c r="V446" s="132"/>
      <c r="W446" s="132"/>
      <c r="X446" s="132"/>
      <c r="Y446" s="132"/>
      <c r="Z446" s="132"/>
    </row>
    <row r="447" spans="1:26" ht="15" customHeight="1" x14ac:dyDescent="0.25">
      <c r="A447" s="132"/>
      <c r="B447" s="132"/>
      <c r="C447" s="132"/>
      <c r="D447" s="132"/>
      <c r="E447" s="132"/>
      <c r="F447" s="132"/>
      <c r="G447" s="132"/>
      <c r="H447" s="132"/>
      <c r="I447" s="132"/>
      <c r="J447" s="132"/>
      <c r="K447" s="132"/>
      <c r="L447" s="132"/>
      <c r="M447" s="132"/>
      <c r="N447" s="132"/>
      <c r="O447" s="132"/>
      <c r="P447" s="132"/>
      <c r="Q447" s="132"/>
      <c r="R447" s="132"/>
      <c r="S447" s="132"/>
      <c r="T447" s="132"/>
      <c r="U447" s="132"/>
      <c r="V447" s="132"/>
      <c r="W447" s="132"/>
      <c r="X447" s="132"/>
      <c r="Y447" s="132"/>
      <c r="Z447" s="132"/>
    </row>
    <row r="448" spans="1:26" ht="15" customHeight="1" x14ac:dyDescent="0.25">
      <c r="A448" s="1068" t="s">
        <v>1831</v>
      </c>
      <c r="B448" s="1068"/>
      <c r="C448" s="1068"/>
      <c r="D448" s="132"/>
      <c r="E448" s="132"/>
      <c r="F448" s="132"/>
      <c r="G448" s="132"/>
      <c r="H448" s="132"/>
      <c r="I448" s="132"/>
      <c r="J448" s="132"/>
      <c r="K448" s="132"/>
      <c r="L448" s="132"/>
      <c r="M448" s="132"/>
      <c r="N448" s="132"/>
      <c r="O448" s="132"/>
      <c r="P448" s="132"/>
      <c r="Q448" s="132"/>
      <c r="R448" s="132"/>
      <c r="S448" s="132"/>
      <c r="T448" s="132"/>
      <c r="U448" s="132"/>
      <c r="V448" s="132"/>
      <c r="W448" s="132"/>
      <c r="X448" s="132"/>
      <c r="Y448" s="132"/>
      <c r="Z448" s="132"/>
    </row>
    <row r="449" spans="1:26" ht="15" customHeight="1" x14ac:dyDescent="0.25">
      <c r="A449" s="234" t="s">
        <v>1091</v>
      </c>
      <c r="B449" s="234" t="s">
        <v>1754</v>
      </c>
      <c r="C449" s="233" t="s">
        <v>882</v>
      </c>
      <c r="D449" s="132"/>
      <c r="E449" s="132"/>
      <c r="F449" s="132"/>
      <c r="G449" s="132"/>
      <c r="H449" s="132"/>
      <c r="I449" s="132"/>
      <c r="J449" s="132"/>
      <c r="K449" s="132"/>
      <c r="L449" s="132"/>
      <c r="M449" s="132"/>
      <c r="N449" s="132"/>
      <c r="O449" s="132"/>
      <c r="P449" s="132"/>
      <c r="Q449" s="132"/>
      <c r="R449" s="132"/>
      <c r="S449" s="132"/>
      <c r="T449" s="132"/>
      <c r="U449" s="132"/>
      <c r="V449" s="132"/>
      <c r="W449" s="132"/>
      <c r="X449" s="132"/>
      <c r="Y449" s="132"/>
      <c r="Z449" s="132"/>
    </row>
    <row r="450" spans="1:26" ht="15" customHeight="1" x14ac:dyDescent="0.25">
      <c r="A450" s="239" t="s">
        <v>1832</v>
      </c>
      <c r="B450" s="239">
        <v>4</v>
      </c>
      <c r="C450" s="237">
        <v>3</v>
      </c>
      <c r="D450" s="132"/>
      <c r="E450" s="132"/>
      <c r="F450" s="132"/>
      <c r="G450" s="132"/>
      <c r="H450" s="132"/>
      <c r="I450" s="132"/>
      <c r="J450" s="132"/>
      <c r="K450" s="132"/>
      <c r="L450" s="132"/>
      <c r="M450" s="132"/>
      <c r="N450" s="132"/>
      <c r="O450" s="132"/>
      <c r="P450" s="132"/>
      <c r="Q450" s="132"/>
      <c r="R450" s="132"/>
      <c r="S450" s="132"/>
      <c r="T450" s="132"/>
      <c r="U450" s="132"/>
      <c r="V450" s="132"/>
      <c r="W450" s="132"/>
      <c r="X450" s="132"/>
      <c r="Y450" s="132"/>
      <c r="Z450" s="132"/>
    </row>
    <row r="451" spans="1:26" ht="15" customHeight="1" x14ac:dyDescent="0.25">
      <c r="A451" s="239" t="s">
        <v>1832</v>
      </c>
      <c r="B451" s="239">
        <v>6</v>
      </c>
      <c r="C451" s="237">
        <v>1</v>
      </c>
      <c r="D451" s="132"/>
      <c r="E451" s="132"/>
      <c r="F451" s="132"/>
      <c r="G451" s="132"/>
      <c r="H451" s="132"/>
      <c r="I451" s="132"/>
      <c r="J451" s="132"/>
      <c r="K451" s="132"/>
      <c r="L451" s="132"/>
      <c r="M451" s="132"/>
      <c r="N451" s="132"/>
      <c r="O451" s="132"/>
      <c r="P451" s="132"/>
      <c r="Q451" s="132"/>
      <c r="R451" s="132"/>
      <c r="S451" s="132"/>
      <c r="T451" s="132"/>
      <c r="U451" s="132"/>
      <c r="V451" s="132"/>
      <c r="W451" s="132"/>
      <c r="X451" s="132"/>
      <c r="Y451" s="132"/>
      <c r="Z451" s="132"/>
    </row>
    <row r="452" spans="1:26" ht="15" customHeight="1" x14ac:dyDescent="0.25">
      <c r="A452" s="132"/>
      <c r="B452" s="132"/>
      <c r="C452" s="132"/>
      <c r="D452" s="132"/>
      <c r="E452" s="132"/>
      <c r="F452" s="132"/>
      <c r="G452" s="132"/>
      <c r="H452" s="132"/>
      <c r="I452" s="132"/>
      <c r="J452" s="132"/>
      <c r="K452" s="132"/>
      <c r="L452" s="132"/>
      <c r="M452" s="132"/>
      <c r="N452" s="132"/>
      <c r="O452" s="132"/>
      <c r="P452" s="132"/>
      <c r="Q452" s="132"/>
      <c r="R452" s="132"/>
      <c r="S452" s="132"/>
      <c r="T452" s="132"/>
      <c r="U452" s="132"/>
      <c r="V452" s="132"/>
      <c r="W452" s="132"/>
      <c r="X452" s="132"/>
      <c r="Y452" s="132"/>
      <c r="Z452" s="132"/>
    </row>
    <row r="453" spans="1:26" ht="15" customHeight="1" x14ac:dyDescent="0.25">
      <c r="A453" s="896" t="s">
        <v>39</v>
      </c>
      <c r="B453" s="725"/>
      <c r="C453" s="725"/>
      <c r="D453" s="725"/>
      <c r="E453" s="106" t="s">
        <v>40</v>
      </c>
      <c r="F453" s="106" t="s">
        <v>41</v>
      </c>
      <c r="G453" s="519" t="s">
        <v>730</v>
      </c>
      <c r="H453" s="740"/>
      <c r="I453" s="896" t="s">
        <v>1427</v>
      </c>
      <c r="J453" s="725"/>
      <c r="K453" s="725"/>
      <c r="L453" s="726"/>
      <c r="M453" s="132"/>
      <c r="N453" s="132"/>
      <c r="O453" s="132"/>
      <c r="P453" s="132"/>
      <c r="Q453" s="132"/>
      <c r="R453" s="132"/>
      <c r="S453" s="132"/>
      <c r="T453" s="132"/>
      <c r="U453" s="132"/>
      <c r="V453" s="132"/>
      <c r="W453" s="132"/>
      <c r="X453" s="132"/>
      <c r="Y453" s="132"/>
      <c r="Z453" s="132"/>
    </row>
    <row r="454" spans="1:26" ht="15" customHeight="1" x14ac:dyDescent="0.25">
      <c r="A454" s="1129" t="s">
        <v>1808</v>
      </c>
      <c r="B454" s="1128" t="s">
        <v>985</v>
      </c>
      <c r="C454" s="736"/>
      <c r="D454" s="737"/>
      <c r="E454" s="1129" t="s">
        <v>418</v>
      </c>
      <c r="F454" s="1131">
        <f>I454</f>
        <v>5.3654999999999999</v>
      </c>
      <c r="G454" s="1047" t="s">
        <v>261</v>
      </c>
      <c r="H454" s="726"/>
      <c r="I454" s="254">
        <f>+I458*I456*I455</f>
        <v>5.3654999999999999</v>
      </c>
      <c r="J454" s="1133"/>
      <c r="K454" s="736"/>
      <c r="L454" s="737"/>
      <c r="M454" s="132"/>
      <c r="N454" s="132"/>
      <c r="O454" s="132"/>
      <c r="P454" s="132"/>
      <c r="Q454" s="132"/>
      <c r="R454" s="132"/>
      <c r="S454" s="132"/>
      <c r="T454" s="132"/>
      <c r="U454" s="132"/>
      <c r="V454" s="132"/>
      <c r="W454" s="132"/>
      <c r="X454" s="132"/>
      <c r="Y454" s="132"/>
      <c r="Z454" s="132"/>
    </row>
    <row r="455" spans="1:26" ht="15" customHeight="1" x14ac:dyDescent="0.25">
      <c r="A455" s="1130"/>
      <c r="B455" s="931"/>
      <c r="C455" s="468"/>
      <c r="D455" s="932"/>
      <c r="E455" s="1130"/>
      <c r="F455" s="1130"/>
      <c r="G455" s="1047" t="s">
        <v>184</v>
      </c>
      <c r="H455" s="726"/>
      <c r="I455" s="254">
        <v>1</v>
      </c>
      <c r="J455" s="931"/>
      <c r="K455" s="468"/>
      <c r="L455" s="932"/>
      <c r="M455" s="132"/>
      <c r="N455" s="132"/>
      <c r="O455" s="132"/>
      <c r="P455" s="132"/>
      <c r="Q455" s="132"/>
      <c r="R455" s="132"/>
      <c r="S455" s="132"/>
      <c r="T455" s="132"/>
      <c r="U455" s="132"/>
      <c r="V455" s="132"/>
      <c r="W455" s="132"/>
      <c r="X455" s="132"/>
      <c r="Y455" s="132"/>
      <c r="Z455" s="132"/>
    </row>
    <row r="456" spans="1:26" ht="15" customHeight="1" x14ac:dyDescent="0.25">
      <c r="A456" s="1130"/>
      <c r="B456" s="931"/>
      <c r="C456" s="468"/>
      <c r="D456" s="932"/>
      <c r="E456" s="1130"/>
      <c r="F456" s="1130"/>
      <c r="G456" s="1047" t="s">
        <v>927</v>
      </c>
      <c r="H456" s="726"/>
      <c r="I456" s="254">
        <v>2.19</v>
      </c>
      <c r="J456" s="931"/>
      <c r="K456" s="468"/>
      <c r="L456" s="932"/>
      <c r="M456" s="132"/>
      <c r="N456" s="132"/>
      <c r="O456" s="132"/>
      <c r="P456" s="132"/>
      <c r="Q456" s="132"/>
      <c r="R456" s="132"/>
      <c r="S456" s="132"/>
      <c r="T456" s="132"/>
      <c r="U456" s="132"/>
      <c r="V456" s="132"/>
      <c r="W456" s="132"/>
      <c r="X456" s="132"/>
      <c r="Y456" s="132"/>
      <c r="Z456" s="132"/>
    </row>
    <row r="457" spans="1:26" ht="15" customHeight="1" x14ac:dyDescent="0.25">
      <c r="A457" s="1130"/>
      <c r="B457" s="931"/>
      <c r="C457" s="468"/>
      <c r="D457" s="932"/>
      <c r="E457" s="1130"/>
      <c r="F457" s="1130"/>
      <c r="G457" s="1047" t="s">
        <v>733</v>
      </c>
      <c r="H457" s="726"/>
      <c r="I457" s="254"/>
      <c r="J457" s="931"/>
      <c r="K457" s="468"/>
      <c r="L457" s="932"/>
      <c r="M457" s="132"/>
      <c r="N457" s="132"/>
      <c r="O457" s="132"/>
      <c r="P457" s="132"/>
      <c r="Q457" s="132"/>
      <c r="R457" s="132"/>
      <c r="S457" s="132"/>
      <c r="T457" s="132"/>
      <c r="U457" s="132"/>
      <c r="V457" s="132"/>
      <c r="W457" s="132"/>
      <c r="X457" s="132"/>
      <c r="Y457" s="132"/>
      <c r="Z457" s="132"/>
    </row>
    <row r="458" spans="1:26" ht="15" customHeight="1" x14ac:dyDescent="0.25">
      <c r="A458" s="1130"/>
      <c r="B458" s="931"/>
      <c r="C458" s="468"/>
      <c r="D458" s="932"/>
      <c r="E458" s="1130"/>
      <c r="F458" s="1130"/>
      <c r="G458" s="1047" t="s">
        <v>731</v>
      </c>
      <c r="H458" s="726"/>
      <c r="I458" s="254">
        <v>2.4500000000000002</v>
      </c>
      <c r="J458" s="931"/>
      <c r="K458" s="468"/>
      <c r="L458" s="932"/>
      <c r="M458" s="132"/>
      <c r="N458" s="132"/>
      <c r="O458" s="132"/>
      <c r="P458" s="132"/>
      <c r="Q458" s="132"/>
      <c r="R458" s="132"/>
      <c r="S458" s="132"/>
      <c r="T458" s="132"/>
      <c r="U458" s="132"/>
      <c r="V458" s="132"/>
      <c r="W458" s="132"/>
      <c r="X458" s="132"/>
      <c r="Y458" s="132"/>
      <c r="Z458" s="132"/>
    </row>
    <row r="459" spans="1:26" ht="15" customHeight="1" x14ac:dyDescent="0.25">
      <c r="A459" s="1130"/>
      <c r="B459" s="931"/>
      <c r="C459" s="468"/>
      <c r="D459" s="932"/>
      <c r="E459" s="1130"/>
      <c r="F459" s="1130"/>
      <c r="G459" s="1047" t="s">
        <v>734</v>
      </c>
      <c r="H459" s="726"/>
      <c r="I459" s="254"/>
      <c r="J459" s="931"/>
      <c r="K459" s="468"/>
      <c r="L459" s="932"/>
      <c r="M459" s="132"/>
      <c r="N459" s="132"/>
      <c r="O459" s="132"/>
      <c r="P459" s="132"/>
      <c r="Q459" s="132"/>
      <c r="R459" s="132"/>
      <c r="S459" s="132"/>
      <c r="T459" s="132"/>
      <c r="U459" s="132"/>
      <c r="V459" s="132"/>
      <c r="W459" s="132"/>
      <c r="X459" s="132"/>
      <c r="Y459" s="132"/>
      <c r="Z459" s="132"/>
    </row>
    <row r="460" spans="1:26" ht="15" customHeight="1" x14ac:dyDescent="0.25">
      <c r="A460" s="1130"/>
      <c r="B460" s="931"/>
      <c r="C460" s="468"/>
      <c r="D460" s="932"/>
      <c r="E460" s="1130"/>
      <c r="F460" s="1130"/>
      <c r="G460" s="1047" t="s">
        <v>735</v>
      </c>
      <c r="H460" s="726"/>
      <c r="I460" s="254"/>
      <c r="J460" s="931"/>
      <c r="K460" s="468"/>
      <c r="L460" s="932"/>
      <c r="M460" s="132"/>
      <c r="N460" s="132"/>
      <c r="O460" s="132"/>
      <c r="P460" s="132"/>
      <c r="Q460" s="132"/>
      <c r="R460" s="132"/>
      <c r="S460" s="132"/>
      <c r="T460" s="132"/>
      <c r="U460" s="132"/>
      <c r="V460" s="132"/>
      <c r="W460" s="132"/>
      <c r="X460" s="132"/>
      <c r="Y460" s="132"/>
      <c r="Z460" s="132"/>
    </row>
    <row r="461" spans="1:26" ht="15" customHeight="1" x14ac:dyDescent="0.25">
      <c r="A461" s="1130"/>
      <c r="B461" s="931"/>
      <c r="C461" s="468"/>
      <c r="D461" s="932"/>
      <c r="E461" s="1130"/>
      <c r="F461" s="1130"/>
      <c r="G461" s="1047" t="s">
        <v>1809</v>
      </c>
      <c r="H461" s="726"/>
      <c r="I461" s="255"/>
      <c r="J461" s="931"/>
      <c r="K461" s="468"/>
      <c r="L461" s="932"/>
      <c r="M461" s="132"/>
      <c r="N461" s="132"/>
      <c r="O461" s="132"/>
      <c r="P461" s="132"/>
      <c r="Q461" s="132"/>
      <c r="R461" s="132"/>
      <c r="S461" s="132"/>
      <c r="T461" s="132"/>
      <c r="U461" s="132"/>
      <c r="V461" s="132"/>
      <c r="W461" s="132"/>
      <c r="X461" s="132"/>
      <c r="Y461" s="132"/>
      <c r="Z461" s="132"/>
    </row>
    <row r="462" spans="1:26" ht="15" customHeight="1" x14ac:dyDescent="0.25">
      <c r="A462" s="904"/>
      <c r="B462" s="738"/>
      <c r="C462" s="739"/>
      <c r="D462" s="740"/>
      <c r="E462" s="904"/>
      <c r="F462" s="904"/>
      <c r="G462" s="1047" t="s">
        <v>1810</v>
      </c>
      <c r="H462" s="726"/>
      <c r="I462" s="254"/>
      <c r="J462" s="738"/>
      <c r="K462" s="739"/>
      <c r="L462" s="740"/>
      <c r="M462" s="132"/>
      <c r="N462" s="132"/>
      <c r="O462" s="132"/>
      <c r="P462" s="132"/>
      <c r="Q462" s="132"/>
      <c r="R462" s="132"/>
      <c r="S462" s="132"/>
      <c r="T462" s="132"/>
      <c r="U462" s="132"/>
      <c r="V462" s="132"/>
      <c r="W462" s="132"/>
      <c r="X462" s="132"/>
      <c r="Y462" s="132"/>
      <c r="Z462" s="132"/>
    </row>
    <row r="463" spans="1:26" ht="15" customHeight="1" x14ac:dyDescent="0.25">
      <c r="A463" s="132"/>
      <c r="B463" s="132"/>
      <c r="C463" s="132"/>
      <c r="D463" s="132"/>
      <c r="E463" s="132"/>
      <c r="F463" s="132"/>
      <c r="G463" s="132"/>
      <c r="H463" s="132"/>
      <c r="I463" s="132"/>
      <c r="J463" s="132"/>
      <c r="K463" s="132"/>
      <c r="L463" s="132"/>
      <c r="M463" s="132"/>
      <c r="N463" s="132"/>
      <c r="O463" s="132"/>
      <c r="P463" s="132"/>
      <c r="Q463" s="132"/>
      <c r="R463" s="132"/>
      <c r="S463" s="132"/>
      <c r="T463" s="132"/>
      <c r="U463" s="132"/>
      <c r="V463" s="132"/>
      <c r="W463" s="132"/>
      <c r="X463" s="132"/>
      <c r="Y463" s="132"/>
      <c r="Z463" s="132"/>
    </row>
    <row r="464" spans="1:26" ht="15" customHeight="1" x14ac:dyDescent="0.25">
      <c r="A464" s="896" t="s">
        <v>39</v>
      </c>
      <c r="B464" s="725"/>
      <c r="C464" s="725"/>
      <c r="D464" s="725"/>
      <c r="E464" s="106" t="s">
        <v>40</v>
      </c>
      <c r="F464" s="106" t="s">
        <v>41</v>
      </c>
      <c r="G464" s="519" t="s">
        <v>730</v>
      </c>
      <c r="H464" s="740"/>
      <c r="I464" s="896" t="s">
        <v>1427</v>
      </c>
      <c r="J464" s="725"/>
      <c r="K464" s="725"/>
      <c r="L464" s="726"/>
      <c r="M464" s="132"/>
      <c r="N464" s="132"/>
      <c r="O464" s="132"/>
      <c r="P464" s="132"/>
      <c r="Q464" s="132"/>
      <c r="R464" s="132"/>
      <c r="S464" s="132"/>
      <c r="T464" s="132"/>
      <c r="U464" s="132"/>
      <c r="V464" s="132"/>
      <c r="W464" s="132"/>
      <c r="X464" s="132"/>
      <c r="Y464" s="132"/>
      <c r="Z464" s="132"/>
    </row>
    <row r="465" spans="1:26" ht="15" customHeight="1" x14ac:dyDescent="0.25">
      <c r="A465" s="1129" t="s">
        <v>1811</v>
      </c>
      <c r="B465" s="1128" t="s">
        <v>954</v>
      </c>
      <c r="C465" s="736"/>
      <c r="D465" s="737"/>
      <c r="E465" s="1129" t="s">
        <v>420</v>
      </c>
      <c r="F465" s="1131">
        <f>I465</f>
        <v>9.2823150000000005</v>
      </c>
      <c r="G465" s="1047" t="s">
        <v>261</v>
      </c>
      <c r="H465" s="726"/>
      <c r="I465" s="254">
        <f>+I469*I467*I466*I468</f>
        <v>9.2823150000000005</v>
      </c>
      <c r="J465" s="1133"/>
      <c r="K465" s="736"/>
      <c r="L465" s="737"/>
      <c r="M465" s="132"/>
      <c r="N465" s="132"/>
      <c r="O465" s="132"/>
      <c r="P465" s="132"/>
      <c r="Q465" s="132"/>
      <c r="R465" s="132"/>
      <c r="S465" s="132"/>
      <c r="T465" s="132"/>
      <c r="U465" s="132"/>
      <c r="V465" s="132"/>
      <c r="W465" s="132"/>
      <c r="X465" s="132"/>
      <c r="Y465" s="132"/>
      <c r="Z465" s="132"/>
    </row>
    <row r="466" spans="1:26" ht="15" customHeight="1" x14ac:dyDescent="0.25">
      <c r="A466" s="1130"/>
      <c r="B466" s="931"/>
      <c r="C466" s="468"/>
      <c r="D466" s="932"/>
      <c r="E466" s="1130"/>
      <c r="F466" s="1130"/>
      <c r="G466" s="1047" t="s">
        <v>184</v>
      </c>
      <c r="H466" s="726"/>
      <c r="I466" s="254">
        <v>1</v>
      </c>
      <c r="J466" s="931"/>
      <c r="K466" s="468"/>
      <c r="L466" s="932"/>
      <c r="M466" s="132"/>
      <c r="N466" s="132"/>
      <c r="O466" s="132"/>
      <c r="P466" s="132"/>
      <c r="Q466" s="132"/>
      <c r="R466" s="132"/>
      <c r="S466" s="132"/>
      <c r="T466" s="132"/>
      <c r="U466" s="132"/>
      <c r="V466" s="132"/>
      <c r="W466" s="132"/>
      <c r="X466" s="132"/>
      <c r="Y466" s="132"/>
      <c r="Z466" s="132"/>
    </row>
    <row r="467" spans="1:26" ht="15" customHeight="1" x14ac:dyDescent="0.25">
      <c r="A467" s="1130"/>
      <c r="B467" s="931"/>
      <c r="C467" s="468"/>
      <c r="D467" s="932"/>
      <c r="E467" s="1130"/>
      <c r="F467" s="1130"/>
      <c r="G467" s="1047" t="s">
        <v>927</v>
      </c>
      <c r="H467" s="726"/>
      <c r="I467" s="254">
        <v>2.19</v>
      </c>
      <c r="J467" s="931"/>
      <c r="K467" s="468"/>
      <c r="L467" s="932"/>
      <c r="M467" s="132"/>
      <c r="N467" s="132"/>
      <c r="O467" s="132"/>
      <c r="P467" s="132"/>
      <c r="Q467" s="132"/>
      <c r="R467" s="132"/>
      <c r="S467" s="132"/>
      <c r="T467" s="132"/>
      <c r="U467" s="132"/>
      <c r="V467" s="132"/>
      <c r="W467" s="132"/>
      <c r="X467" s="132"/>
      <c r="Y467" s="132"/>
      <c r="Z467" s="132"/>
    </row>
    <row r="468" spans="1:26" ht="15" customHeight="1" x14ac:dyDescent="0.25">
      <c r="A468" s="1130"/>
      <c r="B468" s="931"/>
      <c r="C468" s="468"/>
      <c r="D468" s="932"/>
      <c r="E468" s="1130"/>
      <c r="F468" s="1130"/>
      <c r="G468" s="1047" t="s">
        <v>733</v>
      </c>
      <c r="H468" s="726"/>
      <c r="I468" s="254">
        <v>1.73</v>
      </c>
      <c r="J468" s="931"/>
      <c r="K468" s="468"/>
      <c r="L468" s="932"/>
      <c r="M468" s="132"/>
      <c r="N468" s="132"/>
      <c r="O468" s="132"/>
      <c r="P468" s="132"/>
      <c r="Q468" s="132"/>
      <c r="R468" s="132"/>
      <c r="S468" s="132"/>
      <c r="T468" s="132"/>
      <c r="U468" s="132"/>
      <c r="V468" s="132"/>
      <c r="W468" s="132"/>
      <c r="X468" s="132"/>
      <c r="Y468" s="132"/>
      <c r="Z468" s="132"/>
    </row>
    <row r="469" spans="1:26" ht="15" customHeight="1" x14ac:dyDescent="0.25">
      <c r="A469" s="1130"/>
      <c r="B469" s="931"/>
      <c r="C469" s="468"/>
      <c r="D469" s="932"/>
      <c r="E469" s="1130"/>
      <c r="F469" s="1130"/>
      <c r="G469" s="1047" t="s">
        <v>731</v>
      </c>
      <c r="H469" s="726"/>
      <c r="I469" s="254">
        <v>2.4500000000000002</v>
      </c>
      <c r="J469" s="931"/>
      <c r="K469" s="468"/>
      <c r="L469" s="932"/>
      <c r="M469" s="132"/>
      <c r="N469" s="132"/>
      <c r="O469" s="132"/>
      <c r="P469" s="132"/>
      <c r="Q469" s="132"/>
      <c r="R469" s="132"/>
      <c r="S469" s="132"/>
      <c r="T469" s="132"/>
      <c r="U469" s="132"/>
      <c r="V469" s="132"/>
      <c r="W469" s="132"/>
      <c r="X469" s="132"/>
      <c r="Y469" s="132"/>
      <c r="Z469" s="132"/>
    </row>
    <row r="470" spans="1:26" ht="15" customHeight="1" x14ac:dyDescent="0.25">
      <c r="A470" s="1130"/>
      <c r="B470" s="931"/>
      <c r="C470" s="468"/>
      <c r="D470" s="932"/>
      <c r="E470" s="1130"/>
      <c r="F470" s="1130"/>
      <c r="G470" s="1047" t="s">
        <v>734</v>
      </c>
      <c r="H470" s="726"/>
      <c r="I470" s="254"/>
      <c r="J470" s="931"/>
      <c r="K470" s="468"/>
      <c r="L470" s="932"/>
      <c r="M470" s="132"/>
      <c r="N470" s="132"/>
      <c r="O470" s="132"/>
      <c r="P470" s="132"/>
      <c r="Q470" s="132"/>
      <c r="R470" s="132"/>
      <c r="S470" s="132"/>
      <c r="T470" s="132"/>
      <c r="U470" s="132"/>
      <c r="V470" s="132"/>
      <c r="W470" s="132"/>
      <c r="X470" s="132"/>
      <c r="Y470" s="132"/>
      <c r="Z470" s="132"/>
    </row>
    <row r="471" spans="1:26" ht="15" customHeight="1" x14ac:dyDescent="0.25">
      <c r="A471" s="1130"/>
      <c r="B471" s="931"/>
      <c r="C471" s="468"/>
      <c r="D471" s="932"/>
      <c r="E471" s="1130"/>
      <c r="F471" s="1130"/>
      <c r="G471" s="1047" t="s">
        <v>735</v>
      </c>
      <c r="H471" s="726"/>
      <c r="I471" s="254"/>
      <c r="J471" s="931"/>
      <c r="K471" s="468"/>
      <c r="L471" s="932"/>
      <c r="M471" s="132"/>
      <c r="N471" s="132"/>
      <c r="O471" s="132"/>
      <c r="P471" s="132"/>
      <c r="Q471" s="132"/>
      <c r="R471" s="132"/>
      <c r="S471" s="132"/>
      <c r="T471" s="132"/>
      <c r="U471" s="132"/>
      <c r="V471" s="132"/>
      <c r="W471" s="132"/>
      <c r="X471" s="132"/>
      <c r="Y471" s="132"/>
      <c r="Z471" s="132"/>
    </row>
    <row r="472" spans="1:26" ht="15" customHeight="1" x14ac:dyDescent="0.25">
      <c r="A472" s="1130"/>
      <c r="B472" s="931"/>
      <c r="C472" s="468"/>
      <c r="D472" s="932"/>
      <c r="E472" s="1130"/>
      <c r="F472" s="1130"/>
      <c r="G472" s="1047" t="s">
        <v>1809</v>
      </c>
      <c r="H472" s="726"/>
      <c r="I472" s="255"/>
      <c r="J472" s="931"/>
      <c r="K472" s="468"/>
      <c r="L472" s="932"/>
      <c r="M472" s="132"/>
      <c r="N472" s="132"/>
      <c r="O472" s="132"/>
      <c r="P472" s="132"/>
      <c r="Q472" s="132"/>
      <c r="R472" s="132"/>
      <c r="S472" s="132"/>
      <c r="T472" s="132"/>
      <c r="U472" s="132"/>
      <c r="V472" s="132"/>
      <c r="W472" s="132"/>
      <c r="X472" s="132"/>
      <c r="Y472" s="132"/>
      <c r="Z472" s="132"/>
    </row>
    <row r="473" spans="1:26" ht="15" customHeight="1" x14ac:dyDescent="0.25">
      <c r="A473" s="904"/>
      <c r="B473" s="738"/>
      <c r="C473" s="739"/>
      <c r="D473" s="740"/>
      <c r="E473" s="904"/>
      <c r="F473" s="904"/>
      <c r="G473" s="1047" t="s">
        <v>1810</v>
      </c>
      <c r="H473" s="726"/>
      <c r="I473" s="254"/>
      <c r="J473" s="738"/>
      <c r="K473" s="739"/>
      <c r="L473" s="740"/>
      <c r="M473" s="132"/>
      <c r="N473" s="132"/>
      <c r="O473" s="132"/>
      <c r="P473" s="132"/>
      <c r="Q473" s="132"/>
      <c r="R473" s="132"/>
      <c r="S473" s="132"/>
      <c r="T473" s="132"/>
      <c r="U473" s="132"/>
      <c r="V473" s="132"/>
      <c r="W473" s="132"/>
      <c r="X473" s="132"/>
      <c r="Y473" s="132"/>
      <c r="Z473" s="132"/>
    </row>
    <row r="474" spans="1:26" ht="15" customHeight="1" x14ac:dyDescent="0.25">
      <c r="A474" s="132"/>
      <c r="B474" s="132"/>
      <c r="C474" s="132"/>
      <c r="D474" s="132"/>
      <c r="E474" s="132"/>
      <c r="F474" s="132"/>
      <c r="G474" s="132"/>
      <c r="H474" s="132"/>
      <c r="I474" s="132"/>
      <c r="J474" s="132"/>
      <c r="K474" s="132"/>
      <c r="L474" s="132"/>
      <c r="M474" s="132"/>
      <c r="N474" s="132"/>
      <c r="O474" s="132"/>
      <c r="P474" s="132"/>
      <c r="Q474" s="132"/>
      <c r="R474" s="132"/>
      <c r="S474" s="132"/>
      <c r="T474" s="132"/>
      <c r="U474" s="132"/>
      <c r="V474" s="132"/>
      <c r="W474" s="132"/>
      <c r="X474" s="132"/>
      <c r="Y474" s="132"/>
      <c r="Z474" s="132"/>
    </row>
    <row r="475" spans="1:26" ht="15" customHeight="1" x14ac:dyDescent="0.25">
      <c r="A475" s="896" t="s">
        <v>39</v>
      </c>
      <c r="B475" s="725"/>
      <c r="C475" s="725"/>
      <c r="D475" s="725"/>
      <c r="E475" s="106" t="s">
        <v>40</v>
      </c>
      <c r="F475" s="106" t="s">
        <v>41</v>
      </c>
      <c r="G475" s="519" t="s">
        <v>730</v>
      </c>
      <c r="H475" s="740"/>
      <c r="I475" s="896" t="s">
        <v>1427</v>
      </c>
      <c r="J475" s="725"/>
      <c r="K475" s="725"/>
      <c r="L475" s="726"/>
      <c r="M475" s="132"/>
      <c r="N475" s="132"/>
      <c r="O475" s="132"/>
      <c r="P475" s="132"/>
      <c r="Q475" s="132"/>
      <c r="R475" s="132"/>
      <c r="S475" s="132"/>
      <c r="T475" s="132"/>
      <c r="U475" s="132"/>
      <c r="V475" s="132"/>
      <c r="W475" s="132"/>
      <c r="X475" s="132"/>
      <c r="Y475" s="132"/>
      <c r="Z475" s="132"/>
    </row>
    <row r="476" spans="1:26" ht="15" customHeight="1" x14ac:dyDescent="0.25">
      <c r="A476" s="1129" t="s">
        <v>1812</v>
      </c>
      <c r="B476" s="1128" t="s">
        <v>986</v>
      </c>
      <c r="C476" s="736"/>
      <c r="D476" s="737"/>
      <c r="E476" s="1129" t="s">
        <v>420</v>
      </c>
      <c r="F476" s="1131">
        <f>I476</f>
        <v>1.0730999999999999</v>
      </c>
      <c r="G476" s="1047" t="s">
        <v>261</v>
      </c>
      <c r="H476" s="726"/>
      <c r="I476" s="254">
        <f>+I480*I478*I477*I479</f>
        <v>1.0730999999999999</v>
      </c>
      <c r="J476" s="1133"/>
      <c r="K476" s="736"/>
      <c r="L476" s="737"/>
      <c r="M476" s="132"/>
      <c r="N476" s="132"/>
      <c r="O476" s="132"/>
      <c r="P476" s="132"/>
      <c r="Q476" s="132"/>
      <c r="R476" s="132"/>
      <c r="S476" s="132"/>
      <c r="T476" s="132"/>
      <c r="U476" s="132"/>
      <c r="V476" s="132"/>
      <c r="W476" s="132"/>
      <c r="X476" s="132"/>
      <c r="Y476" s="132"/>
      <c r="Z476" s="132"/>
    </row>
    <row r="477" spans="1:26" ht="15" customHeight="1" x14ac:dyDescent="0.25">
      <c r="A477" s="1130"/>
      <c r="B477" s="931"/>
      <c r="C477" s="468"/>
      <c r="D477" s="932"/>
      <c r="E477" s="1130"/>
      <c r="F477" s="1130"/>
      <c r="G477" s="1047" t="s">
        <v>184</v>
      </c>
      <c r="H477" s="726"/>
      <c r="I477" s="254">
        <v>1</v>
      </c>
      <c r="J477" s="931"/>
      <c r="K477" s="468"/>
      <c r="L477" s="932"/>
      <c r="M477" s="132"/>
      <c r="N477" s="132"/>
      <c r="O477" s="132"/>
      <c r="P477" s="132"/>
      <c r="Q477" s="132"/>
      <c r="R477" s="132"/>
      <c r="S477" s="132"/>
      <c r="T477" s="132"/>
      <c r="U477" s="132"/>
      <c r="V477" s="132"/>
      <c r="W477" s="132"/>
      <c r="X477" s="132"/>
      <c r="Y477" s="132"/>
      <c r="Z477" s="132"/>
    </row>
    <row r="478" spans="1:26" ht="15" customHeight="1" x14ac:dyDescent="0.25">
      <c r="A478" s="1130"/>
      <c r="B478" s="931"/>
      <c r="C478" s="468"/>
      <c r="D478" s="932"/>
      <c r="E478" s="1130"/>
      <c r="F478" s="1130"/>
      <c r="G478" s="1047" t="s">
        <v>927</v>
      </c>
      <c r="H478" s="726"/>
      <c r="I478" s="254">
        <v>2.19</v>
      </c>
      <c r="J478" s="931"/>
      <c r="K478" s="468"/>
      <c r="L478" s="932"/>
      <c r="M478" s="132"/>
      <c r="N478" s="132"/>
      <c r="O478" s="132"/>
      <c r="P478" s="132"/>
      <c r="Q478" s="132"/>
      <c r="R478" s="132"/>
      <c r="S478" s="132"/>
      <c r="T478" s="132"/>
      <c r="U478" s="132"/>
      <c r="V478" s="132"/>
      <c r="W478" s="132"/>
      <c r="X478" s="132"/>
      <c r="Y478" s="132"/>
      <c r="Z478" s="132"/>
    </row>
    <row r="479" spans="1:26" ht="15" customHeight="1" x14ac:dyDescent="0.25">
      <c r="A479" s="1130"/>
      <c r="B479" s="931"/>
      <c r="C479" s="468"/>
      <c r="D479" s="932"/>
      <c r="E479" s="1130"/>
      <c r="F479" s="1130"/>
      <c r="G479" s="1047" t="s">
        <v>733</v>
      </c>
      <c r="H479" s="726"/>
      <c r="I479" s="254">
        <v>0.2</v>
      </c>
      <c r="J479" s="931"/>
      <c r="K479" s="468"/>
      <c r="L479" s="932"/>
      <c r="M479" s="132"/>
      <c r="N479" s="132"/>
      <c r="O479" s="132"/>
      <c r="P479" s="132"/>
      <c r="Q479" s="132"/>
      <c r="R479" s="132"/>
      <c r="S479" s="132"/>
      <c r="T479" s="132"/>
      <c r="U479" s="132"/>
      <c r="V479" s="132"/>
      <c r="W479" s="132"/>
      <c r="X479" s="132"/>
      <c r="Y479" s="132"/>
      <c r="Z479" s="132"/>
    </row>
    <row r="480" spans="1:26" ht="15" customHeight="1" x14ac:dyDescent="0.25">
      <c r="A480" s="1130"/>
      <c r="B480" s="931"/>
      <c r="C480" s="468"/>
      <c r="D480" s="932"/>
      <c r="E480" s="1130"/>
      <c r="F480" s="1130"/>
      <c r="G480" s="1047" t="s">
        <v>731</v>
      </c>
      <c r="H480" s="726"/>
      <c r="I480" s="254">
        <v>2.4500000000000002</v>
      </c>
      <c r="J480" s="931"/>
      <c r="K480" s="468"/>
      <c r="L480" s="932"/>
      <c r="M480" s="132"/>
      <c r="N480" s="132"/>
      <c r="O480" s="132"/>
      <c r="P480" s="132"/>
      <c r="Q480" s="132"/>
      <c r="R480" s="132"/>
      <c r="S480" s="132"/>
      <c r="T480" s="132"/>
      <c r="U480" s="132"/>
      <c r="V480" s="132"/>
      <c r="W480" s="132"/>
      <c r="X480" s="132"/>
      <c r="Y480" s="132"/>
      <c r="Z480" s="132"/>
    </row>
    <row r="481" spans="1:26" ht="15" customHeight="1" x14ac:dyDescent="0.25">
      <c r="A481" s="1130"/>
      <c r="B481" s="931"/>
      <c r="C481" s="468"/>
      <c r="D481" s="932"/>
      <c r="E481" s="1130"/>
      <c r="F481" s="1130"/>
      <c r="G481" s="1047" t="s">
        <v>734</v>
      </c>
      <c r="H481" s="726"/>
      <c r="I481" s="254"/>
      <c r="J481" s="931"/>
      <c r="K481" s="468"/>
      <c r="L481" s="932"/>
      <c r="M481" s="132"/>
      <c r="N481" s="132"/>
      <c r="O481" s="132"/>
      <c r="P481" s="132"/>
      <c r="Q481" s="132"/>
      <c r="R481" s="132"/>
      <c r="S481" s="132"/>
      <c r="T481" s="132"/>
      <c r="U481" s="132"/>
      <c r="V481" s="132"/>
      <c r="W481" s="132"/>
      <c r="X481" s="132"/>
      <c r="Y481" s="132"/>
      <c r="Z481" s="132"/>
    </row>
    <row r="482" spans="1:26" ht="15" customHeight="1" x14ac:dyDescent="0.25">
      <c r="A482" s="1130"/>
      <c r="B482" s="931"/>
      <c r="C482" s="468"/>
      <c r="D482" s="932"/>
      <c r="E482" s="1130"/>
      <c r="F482" s="1130"/>
      <c r="G482" s="1047" t="s">
        <v>735</v>
      </c>
      <c r="H482" s="726"/>
      <c r="I482" s="254"/>
      <c r="J482" s="931"/>
      <c r="K482" s="468"/>
      <c r="L482" s="932"/>
      <c r="M482" s="132"/>
      <c r="N482" s="132"/>
      <c r="O482" s="132"/>
      <c r="P482" s="132"/>
      <c r="Q482" s="132"/>
      <c r="R482" s="132"/>
      <c r="S482" s="132"/>
      <c r="T482" s="132"/>
      <c r="U482" s="132"/>
      <c r="V482" s="132"/>
      <c r="W482" s="132"/>
      <c r="X482" s="132"/>
      <c r="Y482" s="132"/>
      <c r="Z482" s="132"/>
    </row>
    <row r="483" spans="1:26" ht="15" customHeight="1" x14ac:dyDescent="0.25">
      <c r="A483" s="1130"/>
      <c r="B483" s="931"/>
      <c r="C483" s="468"/>
      <c r="D483" s="932"/>
      <c r="E483" s="1130"/>
      <c r="F483" s="1130"/>
      <c r="G483" s="1047" t="s">
        <v>1809</v>
      </c>
      <c r="H483" s="726"/>
      <c r="I483" s="255"/>
      <c r="J483" s="931"/>
      <c r="K483" s="468"/>
      <c r="L483" s="932"/>
      <c r="M483" s="132"/>
      <c r="N483" s="132"/>
      <c r="O483" s="132"/>
      <c r="P483" s="132"/>
      <c r="Q483" s="132"/>
      <c r="R483" s="132"/>
      <c r="S483" s="132"/>
      <c r="T483" s="132"/>
      <c r="U483" s="132"/>
      <c r="V483" s="132"/>
      <c r="W483" s="132"/>
      <c r="X483" s="132"/>
      <c r="Y483" s="132"/>
      <c r="Z483" s="132"/>
    </row>
    <row r="484" spans="1:26" ht="15" customHeight="1" x14ac:dyDescent="0.25">
      <c r="A484" s="904"/>
      <c r="B484" s="738"/>
      <c r="C484" s="739"/>
      <c r="D484" s="740"/>
      <c r="E484" s="904"/>
      <c r="F484" s="904"/>
      <c r="G484" s="1047" t="s">
        <v>1810</v>
      </c>
      <c r="H484" s="726"/>
      <c r="I484" s="254"/>
      <c r="J484" s="738"/>
      <c r="K484" s="739"/>
      <c r="L484" s="740"/>
      <c r="M484" s="132"/>
      <c r="N484" s="132"/>
      <c r="O484" s="132"/>
      <c r="P484" s="132"/>
      <c r="Q484" s="132"/>
      <c r="R484" s="132"/>
      <c r="S484" s="132"/>
      <c r="T484" s="132"/>
      <c r="U484" s="132"/>
      <c r="V484" s="132"/>
      <c r="W484" s="132"/>
      <c r="X484" s="132"/>
      <c r="Y484" s="132"/>
      <c r="Z484" s="132"/>
    </row>
    <row r="485" spans="1:26" ht="15" customHeight="1" x14ac:dyDescent="0.25">
      <c r="A485" s="132"/>
      <c r="B485" s="132"/>
      <c r="C485" s="132"/>
      <c r="D485" s="132"/>
      <c r="E485" s="132"/>
      <c r="F485" s="132"/>
      <c r="G485" s="132"/>
      <c r="H485" s="132"/>
      <c r="I485" s="132"/>
      <c r="J485" s="132"/>
      <c r="K485" s="132"/>
      <c r="L485" s="132"/>
      <c r="M485" s="132"/>
      <c r="N485" s="132"/>
      <c r="O485" s="132"/>
      <c r="P485" s="132"/>
      <c r="Q485" s="132"/>
      <c r="R485" s="132"/>
      <c r="S485" s="132"/>
      <c r="T485" s="132"/>
      <c r="U485" s="132"/>
      <c r="V485" s="132"/>
      <c r="W485" s="132"/>
      <c r="X485" s="132"/>
      <c r="Y485" s="132"/>
      <c r="Z485" s="132"/>
    </row>
    <row r="486" spans="1:26" ht="15" customHeight="1" x14ac:dyDescent="0.25">
      <c r="A486" s="896" t="s">
        <v>39</v>
      </c>
      <c r="B486" s="725"/>
      <c r="C486" s="725"/>
      <c r="D486" s="725"/>
      <c r="E486" s="106" t="s">
        <v>40</v>
      </c>
      <c r="F486" s="106" t="s">
        <v>41</v>
      </c>
      <c r="G486" s="519" t="s">
        <v>730</v>
      </c>
      <c r="H486" s="740"/>
      <c r="I486" s="896" t="s">
        <v>1427</v>
      </c>
      <c r="J486" s="725"/>
      <c r="K486" s="725"/>
      <c r="L486" s="726"/>
      <c r="M486" s="132"/>
      <c r="N486" s="132"/>
      <c r="O486" s="132"/>
      <c r="P486" s="132"/>
      <c r="Q486" s="132"/>
      <c r="R486" s="132"/>
      <c r="S486" s="132"/>
      <c r="T486" s="132"/>
      <c r="U486" s="132"/>
      <c r="V486" s="132"/>
      <c r="W486" s="132"/>
      <c r="X486" s="132"/>
      <c r="Y486" s="132"/>
      <c r="Z486" s="132"/>
    </row>
    <row r="487" spans="1:26" ht="15" customHeight="1" x14ac:dyDescent="0.25">
      <c r="A487" s="1129" t="s">
        <v>1813</v>
      </c>
      <c r="B487" s="1128" t="s">
        <v>1814</v>
      </c>
      <c r="C487" s="736"/>
      <c r="D487" s="737"/>
      <c r="E487" s="1129" t="s">
        <v>420</v>
      </c>
      <c r="F487" s="1131">
        <f>I487</f>
        <v>3.1957650000000002</v>
      </c>
      <c r="G487" s="1047" t="s">
        <v>261</v>
      </c>
      <c r="H487" s="726"/>
      <c r="I487" s="254">
        <f>+I495*I488</f>
        <v>3.1957650000000002</v>
      </c>
      <c r="J487" s="1132" t="s">
        <v>748</v>
      </c>
      <c r="K487" s="736"/>
      <c r="L487" s="737"/>
      <c r="M487" s="132"/>
      <c r="N487" s="132"/>
      <c r="O487" s="132"/>
      <c r="P487" s="132"/>
      <c r="Q487" s="132"/>
      <c r="R487" s="132"/>
      <c r="S487" s="132"/>
      <c r="T487" s="132"/>
      <c r="U487" s="132"/>
      <c r="V487" s="132"/>
      <c r="W487" s="132"/>
      <c r="X487" s="132"/>
      <c r="Y487" s="132"/>
      <c r="Z487" s="132"/>
    </row>
    <row r="488" spans="1:26" ht="15" customHeight="1" x14ac:dyDescent="0.25">
      <c r="A488" s="1130"/>
      <c r="B488" s="931"/>
      <c r="C488" s="468"/>
      <c r="D488" s="932"/>
      <c r="E488" s="1130"/>
      <c r="F488" s="1130"/>
      <c r="G488" s="1047" t="s">
        <v>184</v>
      </c>
      <c r="H488" s="726"/>
      <c r="I488" s="254">
        <v>1</v>
      </c>
      <c r="J488" s="931"/>
      <c r="K488" s="468"/>
      <c r="L488" s="932"/>
      <c r="M488" s="132"/>
      <c r="N488" s="132"/>
      <c r="O488" s="132"/>
      <c r="P488" s="132"/>
      <c r="Q488" s="132"/>
      <c r="R488" s="132"/>
      <c r="S488" s="132"/>
      <c r="T488" s="132"/>
      <c r="U488" s="132"/>
      <c r="V488" s="132"/>
      <c r="W488" s="132"/>
      <c r="X488" s="132"/>
      <c r="Y488" s="132"/>
      <c r="Z488" s="132"/>
    </row>
    <row r="489" spans="1:26" ht="15" customHeight="1" x14ac:dyDescent="0.25">
      <c r="A489" s="1130"/>
      <c r="B489" s="931"/>
      <c r="C489" s="468"/>
      <c r="D489" s="932"/>
      <c r="E489" s="1130"/>
      <c r="F489" s="1130"/>
      <c r="G489" s="1047" t="s">
        <v>927</v>
      </c>
      <c r="H489" s="726"/>
      <c r="I489" s="254"/>
      <c r="J489" s="931"/>
      <c r="K489" s="468"/>
      <c r="L489" s="932"/>
      <c r="M489" s="132"/>
      <c r="N489" s="132"/>
      <c r="O489" s="132"/>
      <c r="P489" s="132"/>
      <c r="Q489" s="132"/>
      <c r="R489" s="132"/>
      <c r="S489" s="132"/>
      <c r="T489" s="132"/>
      <c r="U489" s="132"/>
      <c r="V489" s="132"/>
      <c r="W489" s="132"/>
      <c r="X489" s="132"/>
      <c r="Y489" s="132"/>
      <c r="Z489" s="132"/>
    </row>
    <row r="490" spans="1:26" ht="15" customHeight="1" x14ac:dyDescent="0.25">
      <c r="A490" s="1130"/>
      <c r="B490" s="931"/>
      <c r="C490" s="468"/>
      <c r="D490" s="932"/>
      <c r="E490" s="1130"/>
      <c r="F490" s="1130"/>
      <c r="G490" s="1047" t="s">
        <v>733</v>
      </c>
      <c r="H490" s="726"/>
      <c r="I490" s="254"/>
      <c r="J490" s="931"/>
      <c r="K490" s="468"/>
      <c r="L490" s="932"/>
      <c r="M490" s="132"/>
      <c r="N490" s="132"/>
      <c r="O490" s="132"/>
      <c r="P490" s="132"/>
      <c r="Q490" s="132"/>
      <c r="R490" s="132"/>
      <c r="S490" s="132"/>
      <c r="T490" s="132"/>
      <c r="U490" s="132"/>
      <c r="V490" s="132"/>
      <c r="W490" s="132"/>
      <c r="X490" s="132"/>
      <c r="Y490" s="132"/>
      <c r="Z490" s="132"/>
    </row>
    <row r="491" spans="1:26" ht="15" customHeight="1" x14ac:dyDescent="0.25">
      <c r="A491" s="1130"/>
      <c r="B491" s="931"/>
      <c r="C491" s="468"/>
      <c r="D491" s="932"/>
      <c r="E491" s="1130"/>
      <c r="F491" s="1130"/>
      <c r="G491" s="1047" t="s">
        <v>731</v>
      </c>
      <c r="H491" s="726"/>
      <c r="I491" s="254"/>
      <c r="J491" s="931"/>
      <c r="K491" s="468"/>
      <c r="L491" s="932"/>
      <c r="M491" s="132"/>
      <c r="N491" s="132"/>
      <c r="O491" s="132"/>
      <c r="P491" s="132"/>
      <c r="Q491" s="132"/>
      <c r="R491" s="132"/>
      <c r="S491" s="132"/>
      <c r="T491" s="132"/>
      <c r="U491" s="132"/>
      <c r="V491" s="132"/>
      <c r="W491" s="132"/>
      <c r="X491" s="132"/>
      <c r="Y491" s="132"/>
      <c r="Z491" s="132"/>
    </row>
    <row r="492" spans="1:26" ht="15" customHeight="1" x14ac:dyDescent="0.25">
      <c r="A492" s="1130"/>
      <c r="B492" s="931"/>
      <c r="C492" s="468"/>
      <c r="D492" s="932"/>
      <c r="E492" s="1130"/>
      <c r="F492" s="1130"/>
      <c r="G492" s="1047" t="s">
        <v>734</v>
      </c>
      <c r="H492" s="726"/>
      <c r="I492" s="254"/>
      <c r="J492" s="931"/>
      <c r="K492" s="468"/>
      <c r="L492" s="932"/>
      <c r="M492" s="132"/>
      <c r="N492" s="132"/>
      <c r="O492" s="132"/>
      <c r="P492" s="132"/>
      <c r="Q492" s="132"/>
      <c r="R492" s="132"/>
      <c r="S492" s="132"/>
      <c r="T492" s="132"/>
      <c r="U492" s="132"/>
      <c r="V492" s="132"/>
      <c r="W492" s="132"/>
      <c r="X492" s="132"/>
      <c r="Y492" s="132"/>
      <c r="Z492" s="132"/>
    </row>
    <row r="493" spans="1:26" ht="15" customHeight="1" x14ac:dyDescent="0.25">
      <c r="A493" s="1130"/>
      <c r="B493" s="931"/>
      <c r="C493" s="468"/>
      <c r="D493" s="932"/>
      <c r="E493" s="1130"/>
      <c r="F493" s="1130"/>
      <c r="G493" s="1047" t="s">
        <v>735</v>
      </c>
      <c r="H493" s="726"/>
      <c r="I493" s="254"/>
      <c r="J493" s="931"/>
      <c r="K493" s="468"/>
      <c r="L493" s="932"/>
      <c r="M493" s="132"/>
      <c r="N493" s="132"/>
      <c r="O493" s="132"/>
      <c r="P493" s="132"/>
      <c r="Q493" s="132"/>
      <c r="R493" s="132"/>
      <c r="S493" s="132"/>
      <c r="T493" s="132"/>
      <c r="U493" s="132"/>
      <c r="V493" s="132"/>
      <c r="W493" s="132"/>
      <c r="X493" s="132"/>
      <c r="Y493" s="132"/>
      <c r="Z493" s="132"/>
    </row>
    <row r="494" spans="1:26" ht="15" customHeight="1" x14ac:dyDescent="0.25">
      <c r="A494" s="1130"/>
      <c r="B494" s="931"/>
      <c r="C494" s="468"/>
      <c r="D494" s="932"/>
      <c r="E494" s="1130"/>
      <c r="F494" s="1130"/>
      <c r="G494" s="1047" t="s">
        <v>1809</v>
      </c>
      <c r="H494" s="726"/>
      <c r="I494" s="255"/>
      <c r="J494" s="931"/>
      <c r="K494" s="468"/>
      <c r="L494" s="932"/>
      <c r="M494" s="132"/>
      <c r="N494" s="132"/>
      <c r="O494" s="132"/>
      <c r="P494" s="132"/>
      <c r="Q494" s="132"/>
      <c r="R494" s="132"/>
      <c r="S494" s="132"/>
      <c r="T494" s="132"/>
      <c r="U494" s="132"/>
      <c r="V494" s="132"/>
      <c r="W494" s="132"/>
      <c r="X494" s="132"/>
      <c r="Y494" s="132"/>
      <c r="Z494" s="132"/>
    </row>
    <row r="495" spans="1:26" ht="15" customHeight="1" x14ac:dyDescent="0.25">
      <c r="A495" s="904"/>
      <c r="B495" s="738"/>
      <c r="C495" s="739"/>
      <c r="D495" s="740"/>
      <c r="E495" s="904"/>
      <c r="F495" s="904"/>
      <c r="G495" s="1047" t="s">
        <v>1810</v>
      </c>
      <c r="H495" s="726"/>
      <c r="I495" s="254">
        <f>+F465-F476-F509-F520-(1.22*1.55*1.8)</f>
        <v>3.1957650000000002</v>
      </c>
      <c r="J495" s="738"/>
      <c r="K495" s="739"/>
      <c r="L495" s="740"/>
      <c r="M495" s="132"/>
      <c r="N495" s="132"/>
      <c r="O495" s="132"/>
      <c r="P495" s="132"/>
      <c r="Q495" s="132"/>
      <c r="R495" s="132"/>
      <c r="S495" s="132"/>
      <c r="T495" s="132"/>
      <c r="U495" s="132"/>
      <c r="V495" s="132"/>
      <c r="W495" s="132"/>
      <c r="X495" s="132"/>
      <c r="Y495" s="132"/>
      <c r="Z495" s="132"/>
    </row>
    <row r="496" spans="1:26" ht="15" customHeight="1" x14ac:dyDescent="0.25">
      <c r="A496" s="132"/>
      <c r="B496" s="132"/>
      <c r="C496" s="132"/>
      <c r="D496" s="132"/>
      <c r="E496" s="132"/>
      <c r="F496" s="132"/>
      <c r="G496" s="132"/>
      <c r="H496" s="132"/>
      <c r="I496" s="132"/>
      <c r="J496" s="132"/>
      <c r="K496" s="132"/>
      <c r="L496" s="132"/>
      <c r="M496" s="132"/>
      <c r="N496" s="132"/>
      <c r="O496" s="132"/>
      <c r="P496" s="132"/>
      <c r="Q496" s="132"/>
      <c r="R496" s="132"/>
      <c r="S496" s="132"/>
      <c r="T496" s="132"/>
      <c r="U496" s="132"/>
      <c r="V496" s="132"/>
      <c r="W496" s="132"/>
      <c r="X496" s="132"/>
      <c r="Y496" s="132"/>
      <c r="Z496" s="132"/>
    </row>
    <row r="497" spans="1:26" ht="15" customHeight="1" x14ac:dyDescent="0.25">
      <c r="A497" s="896" t="s">
        <v>39</v>
      </c>
      <c r="B497" s="725"/>
      <c r="C497" s="725"/>
      <c r="D497" s="725"/>
      <c r="E497" s="106" t="s">
        <v>40</v>
      </c>
      <c r="F497" s="106" t="s">
        <v>41</v>
      </c>
      <c r="G497" s="519" t="s">
        <v>730</v>
      </c>
      <c r="H497" s="740"/>
      <c r="I497" s="896" t="s">
        <v>1427</v>
      </c>
      <c r="J497" s="725"/>
      <c r="K497" s="725"/>
      <c r="L497" s="726"/>
      <c r="M497" s="132"/>
      <c r="N497" s="132"/>
      <c r="O497" s="132"/>
      <c r="P497" s="132"/>
      <c r="Q497" s="132"/>
      <c r="R497" s="132"/>
      <c r="S497" s="132"/>
      <c r="T497" s="132"/>
      <c r="U497" s="132"/>
      <c r="V497" s="132"/>
      <c r="W497" s="132"/>
      <c r="X497" s="132"/>
      <c r="Y497" s="132"/>
      <c r="Z497" s="132"/>
    </row>
    <row r="498" spans="1:26" ht="15" customHeight="1" x14ac:dyDescent="0.25">
      <c r="A498" s="1129" t="s">
        <v>1815</v>
      </c>
      <c r="B498" s="1128" t="s">
        <v>1816</v>
      </c>
      <c r="C498" s="736"/>
      <c r="D498" s="737"/>
      <c r="E498" s="1129" t="s">
        <v>420</v>
      </c>
      <c r="F498" s="1131">
        <f>I498</f>
        <v>6.0865500000000008</v>
      </c>
      <c r="G498" s="1047" t="s">
        <v>261</v>
      </c>
      <c r="H498" s="726"/>
      <c r="I498" s="254">
        <f>+I506*I499</f>
        <v>6.0865500000000008</v>
      </c>
      <c r="J498" s="1132" t="s">
        <v>748</v>
      </c>
      <c r="K498" s="736"/>
      <c r="L498" s="737"/>
      <c r="M498" s="132"/>
      <c r="N498" s="132"/>
      <c r="O498" s="132"/>
      <c r="P498" s="132"/>
      <c r="Q498" s="132"/>
      <c r="R498" s="132"/>
      <c r="S498" s="132"/>
      <c r="T498" s="132"/>
      <c r="U498" s="132"/>
      <c r="V498" s="132"/>
      <c r="W498" s="132"/>
      <c r="X498" s="132"/>
      <c r="Y498" s="132"/>
      <c r="Z498" s="132"/>
    </row>
    <row r="499" spans="1:26" ht="15" customHeight="1" x14ac:dyDescent="0.25">
      <c r="A499" s="1130"/>
      <c r="B499" s="931"/>
      <c r="C499" s="468"/>
      <c r="D499" s="932"/>
      <c r="E499" s="1130"/>
      <c r="F499" s="1130"/>
      <c r="G499" s="1047" t="s">
        <v>184</v>
      </c>
      <c r="H499" s="726"/>
      <c r="I499" s="254">
        <v>1</v>
      </c>
      <c r="J499" s="931"/>
      <c r="K499" s="468"/>
      <c r="L499" s="932"/>
      <c r="M499" s="132"/>
      <c r="N499" s="132"/>
      <c r="O499" s="132"/>
      <c r="P499" s="132"/>
      <c r="Q499" s="132"/>
      <c r="R499" s="132"/>
      <c r="S499" s="132"/>
      <c r="T499" s="132"/>
      <c r="U499" s="132"/>
      <c r="V499" s="132"/>
      <c r="W499" s="132"/>
      <c r="X499" s="132"/>
      <c r="Y499" s="132"/>
      <c r="Z499" s="132"/>
    </row>
    <row r="500" spans="1:26" ht="15" customHeight="1" x14ac:dyDescent="0.25">
      <c r="A500" s="1130"/>
      <c r="B500" s="931"/>
      <c r="C500" s="468"/>
      <c r="D500" s="932"/>
      <c r="E500" s="1130"/>
      <c r="F500" s="1130"/>
      <c r="G500" s="1047" t="s">
        <v>927</v>
      </c>
      <c r="H500" s="726"/>
      <c r="I500" s="254"/>
      <c r="J500" s="931"/>
      <c r="K500" s="468"/>
      <c r="L500" s="932"/>
      <c r="M500" s="132"/>
      <c r="N500" s="132"/>
      <c r="O500" s="132"/>
      <c r="P500" s="132"/>
      <c r="Q500" s="132"/>
      <c r="R500" s="132"/>
      <c r="S500" s="132"/>
      <c r="T500" s="132"/>
      <c r="U500" s="132"/>
      <c r="V500" s="132"/>
      <c r="W500" s="132"/>
      <c r="X500" s="132"/>
      <c r="Y500" s="132"/>
      <c r="Z500" s="132"/>
    </row>
    <row r="501" spans="1:26" ht="15" customHeight="1" x14ac:dyDescent="0.25">
      <c r="A501" s="1130"/>
      <c r="B501" s="931"/>
      <c r="C501" s="468"/>
      <c r="D501" s="932"/>
      <c r="E501" s="1130"/>
      <c r="F501" s="1130"/>
      <c r="G501" s="1047" t="s">
        <v>733</v>
      </c>
      <c r="H501" s="726"/>
      <c r="I501" s="254"/>
      <c r="J501" s="931"/>
      <c r="K501" s="468"/>
      <c r="L501" s="932"/>
      <c r="M501" s="132"/>
      <c r="N501" s="132"/>
      <c r="O501" s="132"/>
      <c r="P501" s="132"/>
      <c r="Q501" s="132"/>
      <c r="R501" s="132"/>
      <c r="S501" s="132"/>
      <c r="T501" s="132"/>
      <c r="U501" s="132"/>
      <c r="V501" s="132"/>
      <c r="W501" s="132"/>
      <c r="X501" s="132"/>
      <c r="Y501" s="132"/>
      <c r="Z501" s="132"/>
    </row>
    <row r="502" spans="1:26" ht="15" customHeight="1" x14ac:dyDescent="0.25">
      <c r="A502" s="1130"/>
      <c r="B502" s="931"/>
      <c r="C502" s="468"/>
      <c r="D502" s="932"/>
      <c r="E502" s="1130"/>
      <c r="F502" s="1130"/>
      <c r="G502" s="1047" t="s">
        <v>731</v>
      </c>
      <c r="H502" s="726"/>
      <c r="I502" s="254"/>
      <c r="J502" s="931"/>
      <c r="K502" s="468"/>
      <c r="L502" s="932"/>
      <c r="M502" s="132"/>
      <c r="N502" s="132"/>
      <c r="O502" s="132"/>
      <c r="P502" s="132"/>
      <c r="Q502" s="132"/>
      <c r="R502" s="132"/>
      <c r="S502" s="132"/>
      <c r="T502" s="132"/>
      <c r="U502" s="132"/>
      <c r="V502" s="132"/>
      <c r="W502" s="132"/>
      <c r="X502" s="132"/>
      <c r="Y502" s="132"/>
      <c r="Z502" s="132"/>
    </row>
    <row r="503" spans="1:26" ht="15" customHeight="1" x14ac:dyDescent="0.25">
      <c r="A503" s="1130"/>
      <c r="B503" s="931"/>
      <c r="C503" s="468"/>
      <c r="D503" s="932"/>
      <c r="E503" s="1130"/>
      <c r="F503" s="1130"/>
      <c r="G503" s="1047" t="s">
        <v>734</v>
      </c>
      <c r="H503" s="726"/>
      <c r="I503" s="254"/>
      <c r="J503" s="931"/>
      <c r="K503" s="468"/>
      <c r="L503" s="932"/>
      <c r="M503" s="132"/>
      <c r="N503" s="132"/>
      <c r="O503" s="132"/>
      <c r="P503" s="132"/>
      <c r="Q503" s="132"/>
      <c r="R503" s="132"/>
      <c r="S503" s="132"/>
      <c r="T503" s="132"/>
      <c r="U503" s="132"/>
      <c r="V503" s="132"/>
      <c r="W503" s="132"/>
      <c r="X503" s="132"/>
      <c r="Y503" s="132"/>
      <c r="Z503" s="132"/>
    </row>
    <row r="504" spans="1:26" ht="15" customHeight="1" x14ac:dyDescent="0.25">
      <c r="A504" s="1130"/>
      <c r="B504" s="931"/>
      <c r="C504" s="468"/>
      <c r="D504" s="932"/>
      <c r="E504" s="1130"/>
      <c r="F504" s="1130"/>
      <c r="G504" s="1047" t="s">
        <v>735</v>
      </c>
      <c r="H504" s="726"/>
      <c r="I504" s="254"/>
      <c r="J504" s="931"/>
      <c r="K504" s="468"/>
      <c r="L504" s="932"/>
      <c r="M504" s="132"/>
      <c r="N504" s="132"/>
      <c r="O504" s="132"/>
      <c r="P504" s="132"/>
      <c r="Q504" s="132"/>
      <c r="R504" s="132"/>
      <c r="S504" s="132"/>
      <c r="T504" s="132"/>
      <c r="U504" s="132"/>
      <c r="V504" s="132"/>
      <c r="W504" s="132"/>
      <c r="X504" s="132"/>
      <c r="Y504" s="132"/>
      <c r="Z504" s="132"/>
    </row>
    <row r="505" spans="1:26" ht="15" customHeight="1" x14ac:dyDescent="0.25">
      <c r="A505" s="1130"/>
      <c r="B505" s="931"/>
      <c r="C505" s="468"/>
      <c r="D505" s="932"/>
      <c r="E505" s="1130"/>
      <c r="F505" s="1130"/>
      <c r="G505" s="1047" t="s">
        <v>1809</v>
      </c>
      <c r="H505" s="726"/>
      <c r="I505" s="255"/>
      <c r="J505" s="931"/>
      <c r="K505" s="468"/>
      <c r="L505" s="932"/>
      <c r="M505" s="132"/>
      <c r="N505" s="132"/>
      <c r="O505" s="132"/>
      <c r="P505" s="132"/>
      <c r="Q505" s="132"/>
      <c r="R505" s="132"/>
      <c r="S505" s="132"/>
      <c r="T505" s="132"/>
      <c r="U505" s="132"/>
      <c r="V505" s="132"/>
      <c r="W505" s="132"/>
      <c r="X505" s="132"/>
      <c r="Y505" s="132"/>
      <c r="Z505" s="132"/>
    </row>
    <row r="506" spans="1:26" ht="15" customHeight="1" x14ac:dyDescent="0.25">
      <c r="A506" s="904"/>
      <c r="B506" s="738"/>
      <c r="C506" s="739"/>
      <c r="D506" s="740"/>
      <c r="E506" s="904"/>
      <c r="F506" s="904"/>
      <c r="G506" s="1047" t="s">
        <v>1810</v>
      </c>
      <c r="H506" s="726"/>
      <c r="I506" s="254">
        <f>+F465-F487</f>
        <v>6.0865500000000008</v>
      </c>
      <c r="J506" s="738"/>
      <c r="K506" s="739"/>
      <c r="L506" s="740"/>
      <c r="M506" s="132"/>
      <c r="N506" s="132"/>
      <c r="O506" s="132"/>
      <c r="P506" s="132"/>
      <c r="Q506" s="132"/>
      <c r="R506" s="132"/>
      <c r="S506" s="132"/>
      <c r="T506" s="132"/>
      <c r="U506" s="132"/>
      <c r="V506" s="132"/>
      <c r="W506" s="132"/>
      <c r="X506" s="132"/>
      <c r="Y506" s="132"/>
      <c r="Z506" s="132"/>
    </row>
    <row r="507" spans="1:26" ht="15" customHeight="1" x14ac:dyDescent="0.25">
      <c r="A507" s="132"/>
      <c r="B507" s="132"/>
      <c r="C507" s="132"/>
      <c r="D507" s="132"/>
      <c r="E507" s="132"/>
      <c r="F507" s="132"/>
      <c r="G507" s="132"/>
      <c r="H507" s="132"/>
      <c r="I507" s="132"/>
      <c r="J507" s="132"/>
      <c r="K507" s="132"/>
      <c r="L507" s="132"/>
      <c r="M507" s="132"/>
      <c r="N507" s="132"/>
      <c r="O507" s="132"/>
      <c r="P507" s="132"/>
      <c r="Q507" s="132"/>
      <c r="R507" s="132"/>
      <c r="S507" s="132"/>
      <c r="T507" s="132"/>
      <c r="U507" s="132"/>
      <c r="V507" s="132"/>
      <c r="W507" s="132"/>
      <c r="X507" s="132"/>
      <c r="Y507" s="132"/>
      <c r="Z507" s="132"/>
    </row>
    <row r="508" spans="1:26" ht="15" customHeight="1" x14ac:dyDescent="0.25">
      <c r="A508" s="896" t="s">
        <v>39</v>
      </c>
      <c r="B508" s="725"/>
      <c r="C508" s="725"/>
      <c r="D508" s="725"/>
      <c r="E508" s="106" t="s">
        <v>40</v>
      </c>
      <c r="F508" s="106" t="s">
        <v>41</v>
      </c>
      <c r="G508" s="519" t="s">
        <v>730</v>
      </c>
      <c r="H508" s="740"/>
      <c r="I508" s="896" t="s">
        <v>1427</v>
      </c>
      <c r="J508" s="725"/>
      <c r="K508" s="725"/>
      <c r="L508" s="726"/>
      <c r="M508" s="132"/>
      <c r="N508" s="132"/>
      <c r="O508" s="132"/>
      <c r="P508" s="132"/>
      <c r="Q508" s="132"/>
      <c r="R508" s="132"/>
      <c r="S508" s="132"/>
      <c r="T508" s="132"/>
      <c r="U508" s="132"/>
      <c r="V508" s="132"/>
      <c r="W508" s="132"/>
      <c r="X508" s="132"/>
      <c r="Y508" s="132"/>
      <c r="Z508" s="132"/>
    </row>
    <row r="509" spans="1:26" ht="15" customHeight="1" x14ac:dyDescent="0.25">
      <c r="A509" s="1129" t="s">
        <v>1817</v>
      </c>
      <c r="B509" s="1128" t="s">
        <v>962</v>
      </c>
      <c r="C509" s="736"/>
      <c r="D509" s="737"/>
      <c r="E509" s="1129" t="s">
        <v>420</v>
      </c>
      <c r="F509" s="1131">
        <f>I509</f>
        <v>0.26827499999999999</v>
      </c>
      <c r="G509" s="1047" t="s">
        <v>261</v>
      </c>
      <c r="H509" s="726"/>
      <c r="I509" s="254">
        <f>+I513*I511*I510*I512</f>
        <v>0.26827499999999999</v>
      </c>
      <c r="J509" s="1133"/>
      <c r="K509" s="736"/>
      <c r="L509" s="737"/>
      <c r="M509" s="132"/>
      <c r="N509" s="132"/>
      <c r="O509" s="132"/>
      <c r="P509" s="132"/>
      <c r="Q509" s="132"/>
      <c r="R509" s="132"/>
      <c r="S509" s="132"/>
      <c r="T509" s="132"/>
      <c r="U509" s="132"/>
      <c r="V509" s="132"/>
      <c r="W509" s="132"/>
      <c r="X509" s="132"/>
      <c r="Y509" s="132"/>
      <c r="Z509" s="132"/>
    </row>
    <row r="510" spans="1:26" ht="15" customHeight="1" x14ac:dyDescent="0.25">
      <c r="A510" s="1130"/>
      <c r="B510" s="931"/>
      <c r="C510" s="468"/>
      <c r="D510" s="932"/>
      <c r="E510" s="1130"/>
      <c r="F510" s="1130"/>
      <c r="G510" s="1047" t="s">
        <v>184</v>
      </c>
      <c r="H510" s="726"/>
      <c r="I510" s="254">
        <v>1</v>
      </c>
      <c r="J510" s="931"/>
      <c r="K510" s="468"/>
      <c r="L510" s="932"/>
      <c r="M510" s="132"/>
      <c r="N510" s="132"/>
      <c r="O510" s="132"/>
      <c r="P510" s="132"/>
      <c r="Q510" s="132"/>
      <c r="R510" s="132"/>
      <c r="S510" s="132"/>
      <c r="T510" s="132"/>
      <c r="U510" s="132"/>
      <c r="V510" s="132"/>
      <c r="W510" s="132"/>
      <c r="X510" s="132"/>
      <c r="Y510" s="132"/>
      <c r="Z510" s="132"/>
    </row>
    <row r="511" spans="1:26" ht="15" customHeight="1" x14ac:dyDescent="0.25">
      <c r="A511" s="1130"/>
      <c r="B511" s="931"/>
      <c r="C511" s="468"/>
      <c r="D511" s="932"/>
      <c r="E511" s="1130"/>
      <c r="F511" s="1130"/>
      <c r="G511" s="1047" t="s">
        <v>927</v>
      </c>
      <c r="H511" s="726"/>
      <c r="I511" s="254">
        <v>2.19</v>
      </c>
      <c r="J511" s="931"/>
      <c r="K511" s="468"/>
      <c r="L511" s="932"/>
      <c r="M511" s="132"/>
      <c r="N511" s="132"/>
      <c r="O511" s="132"/>
      <c r="P511" s="132"/>
      <c r="Q511" s="132"/>
      <c r="R511" s="132"/>
      <c r="S511" s="132"/>
      <c r="T511" s="132"/>
      <c r="U511" s="132"/>
      <c r="V511" s="132"/>
      <c r="W511" s="132"/>
      <c r="X511" s="132"/>
      <c r="Y511" s="132"/>
      <c r="Z511" s="132"/>
    </row>
    <row r="512" spans="1:26" ht="15" customHeight="1" x14ac:dyDescent="0.25">
      <c r="A512" s="1130"/>
      <c r="B512" s="931"/>
      <c r="C512" s="468"/>
      <c r="D512" s="932"/>
      <c r="E512" s="1130"/>
      <c r="F512" s="1130"/>
      <c r="G512" s="1047" t="s">
        <v>733</v>
      </c>
      <c r="H512" s="726"/>
      <c r="I512" s="254">
        <v>0.05</v>
      </c>
      <c r="J512" s="931"/>
      <c r="K512" s="468"/>
      <c r="L512" s="932"/>
      <c r="M512" s="132"/>
      <c r="N512" s="132"/>
      <c r="O512" s="132"/>
      <c r="P512" s="132"/>
      <c r="Q512" s="132"/>
      <c r="R512" s="132"/>
      <c r="S512" s="132"/>
      <c r="T512" s="132"/>
      <c r="U512" s="132"/>
      <c r="V512" s="132"/>
      <c r="W512" s="132"/>
      <c r="X512" s="132"/>
      <c r="Y512" s="132"/>
      <c r="Z512" s="132"/>
    </row>
    <row r="513" spans="1:26" ht="15" customHeight="1" x14ac:dyDescent="0.25">
      <c r="A513" s="1130"/>
      <c r="B513" s="931"/>
      <c r="C513" s="468"/>
      <c r="D513" s="932"/>
      <c r="E513" s="1130"/>
      <c r="F513" s="1130"/>
      <c r="G513" s="1047" t="s">
        <v>731</v>
      </c>
      <c r="H513" s="726"/>
      <c r="I513" s="254">
        <v>2.4500000000000002</v>
      </c>
      <c r="J513" s="931"/>
      <c r="K513" s="468"/>
      <c r="L513" s="932"/>
      <c r="M513" s="132"/>
      <c r="N513" s="132"/>
      <c r="O513" s="132"/>
      <c r="P513" s="132"/>
      <c r="Q513" s="132"/>
      <c r="R513" s="132"/>
      <c r="S513" s="132"/>
      <c r="T513" s="132"/>
      <c r="U513" s="132"/>
      <c r="V513" s="132"/>
      <c r="W513" s="132"/>
      <c r="X513" s="132"/>
      <c r="Y513" s="132"/>
      <c r="Z513" s="132"/>
    </row>
    <row r="514" spans="1:26" ht="15" customHeight="1" x14ac:dyDescent="0.25">
      <c r="A514" s="1130"/>
      <c r="B514" s="931"/>
      <c r="C514" s="468"/>
      <c r="D514" s="932"/>
      <c r="E514" s="1130"/>
      <c r="F514" s="1130"/>
      <c r="G514" s="1047" t="s">
        <v>734</v>
      </c>
      <c r="H514" s="726"/>
      <c r="I514" s="254"/>
      <c r="J514" s="931"/>
      <c r="K514" s="468"/>
      <c r="L514" s="932"/>
      <c r="M514" s="132"/>
      <c r="N514" s="132"/>
      <c r="O514" s="132"/>
      <c r="P514" s="132"/>
      <c r="Q514" s="132"/>
      <c r="R514" s="132"/>
      <c r="S514" s="132"/>
      <c r="T514" s="132"/>
      <c r="U514" s="132"/>
      <c r="V514" s="132"/>
      <c r="W514" s="132"/>
      <c r="X514" s="132"/>
      <c r="Y514" s="132"/>
      <c r="Z514" s="132"/>
    </row>
    <row r="515" spans="1:26" ht="15" customHeight="1" x14ac:dyDescent="0.25">
      <c r="A515" s="1130"/>
      <c r="B515" s="931"/>
      <c r="C515" s="468"/>
      <c r="D515" s="932"/>
      <c r="E515" s="1130"/>
      <c r="F515" s="1130"/>
      <c r="G515" s="1047" t="s">
        <v>735</v>
      </c>
      <c r="H515" s="726"/>
      <c r="I515" s="254"/>
      <c r="J515" s="931"/>
      <c r="K515" s="468"/>
      <c r="L515" s="932"/>
      <c r="M515" s="132"/>
      <c r="N515" s="132"/>
      <c r="O515" s="132"/>
      <c r="P515" s="132"/>
      <c r="Q515" s="132"/>
      <c r="R515" s="132"/>
      <c r="S515" s="132"/>
      <c r="T515" s="132"/>
      <c r="U515" s="132"/>
      <c r="V515" s="132"/>
      <c r="W515" s="132"/>
      <c r="X515" s="132"/>
      <c r="Y515" s="132"/>
      <c r="Z515" s="132"/>
    </row>
    <row r="516" spans="1:26" ht="15" customHeight="1" x14ac:dyDescent="0.25">
      <c r="A516" s="1130"/>
      <c r="B516" s="931"/>
      <c r="C516" s="468"/>
      <c r="D516" s="932"/>
      <c r="E516" s="1130"/>
      <c r="F516" s="1130"/>
      <c r="G516" s="1047" t="s">
        <v>1809</v>
      </c>
      <c r="H516" s="726"/>
      <c r="I516" s="255"/>
      <c r="J516" s="931"/>
      <c r="K516" s="468"/>
      <c r="L516" s="932"/>
      <c r="M516" s="132"/>
      <c r="N516" s="132"/>
      <c r="O516" s="132"/>
      <c r="P516" s="132"/>
      <c r="Q516" s="132"/>
      <c r="R516" s="132"/>
      <c r="S516" s="132"/>
      <c r="T516" s="132"/>
      <c r="U516" s="132"/>
      <c r="V516" s="132"/>
      <c r="W516" s="132"/>
      <c r="X516" s="132"/>
      <c r="Y516" s="132"/>
      <c r="Z516" s="132"/>
    </row>
    <row r="517" spans="1:26" ht="15" customHeight="1" x14ac:dyDescent="0.25">
      <c r="A517" s="904"/>
      <c r="B517" s="738"/>
      <c r="C517" s="739"/>
      <c r="D517" s="740"/>
      <c r="E517" s="904"/>
      <c r="F517" s="904"/>
      <c r="G517" s="1047" t="s">
        <v>1810</v>
      </c>
      <c r="H517" s="726"/>
      <c r="I517" s="254"/>
      <c r="J517" s="738"/>
      <c r="K517" s="739"/>
      <c r="L517" s="740"/>
      <c r="M517" s="132"/>
      <c r="N517" s="132"/>
      <c r="O517" s="132"/>
      <c r="P517" s="132"/>
      <c r="Q517" s="132"/>
      <c r="R517" s="132"/>
      <c r="S517" s="132"/>
      <c r="T517" s="132"/>
      <c r="U517" s="132"/>
      <c r="V517" s="132"/>
      <c r="W517" s="132"/>
      <c r="X517" s="132"/>
      <c r="Y517" s="132"/>
      <c r="Z517" s="132"/>
    </row>
    <row r="518" spans="1:26" ht="15" customHeight="1" x14ac:dyDescent="0.25">
      <c r="A518" s="132"/>
      <c r="B518" s="132"/>
      <c r="C518" s="132"/>
      <c r="D518" s="132"/>
      <c r="E518" s="132"/>
      <c r="F518" s="132"/>
      <c r="G518" s="132"/>
      <c r="H518" s="132"/>
      <c r="I518" s="132"/>
      <c r="J518" s="132"/>
      <c r="K518" s="132"/>
      <c r="L518" s="132"/>
      <c r="M518" s="132"/>
      <c r="N518" s="132"/>
      <c r="O518" s="132"/>
      <c r="P518" s="132"/>
      <c r="Q518" s="132"/>
      <c r="R518" s="132"/>
      <c r="S518" s="132"/>
      <c r="T518" s="132"/>
      <c r="U518" s="132"/>
      <c r="V518" s="132"/>
      <c r="W518" s="132"/>
      <c r="X518" s="132"/>
      <c r="Y518" s="132"/>
      <c r="Z518" s="132"/>
    </row>
    <row r="519" spans="1:26" ht="15" customHeight="1" x14ac:dyDescent="0.25">
      <c r="A519" s="896" t="s">
        <v>39</v>
      </c>
      <c r="B519" s="725"/>
      <c r="C519" s="725"/>
      <c r="D519" s="725"/>
      <c r="E519" s="106" t="s">
        <v>40</v>
      </c>
      <c r="F519" s="106" t="s">
        <v>41</v>
      </c>
      <c r="G519" s="519" t="s">
        <v>730</v>
      </c>
      <c r="H519" s="740"/>
      <c r="I519" s="896" t="s">
        <v>1427</v>
      </c>
      <c r="J519" s="725"/>
      <c r="K519" s="725"/>
      <c r="L519" s="726"/>
      <c r="M519" s="132"/>
      <c r="N519" s="132"/>
      <c r="O519" s="132"/>
      <c r="P519" s="132"/>
      <c r="Q519" s="132"/>
      <c r="R519" s="132"/>
      <c r="S519" s="132"/>
      <c r="T519" s="132"/>
      <c r="U519" s="132"/>
      <c r="V519" s="132"/>
      <c r="W519" s="132"/>
      <c r="X519" s="132"/>
      <c r="Y519" s="132"/>
      <c r="Z519" s="132"/>
    </row>
    <row r="520" spans="1:26" ht="15" customHeight="1" x14ac:dyDescent="0.25">
      <c r="A520" s="1129" t="s">
        <v>1818</v>
      </c>
      <c r="B520" s="1128" t="s">
        <v>987</v>
      </c>
      <c r="C520" s="736"/>
      <c r="D520" s="737"/>
      <c r="E520" s="1129" t="s">
        <v>420</v>
      </c>
      <c r="F520" s="1131">
        <f>I520</f>
        <v>1.341375</v>
      </c>
      <c r="G520" s="1047" t="s">
        <v>261</v>
      </c>
      <c r="H520" s="726"/>
      <c r="I520" s="254">
        <f>+I524*I522*I521*I523</f>
        <v>1.341375</v>
      </c>
      <c r="J520" s="1133"/>
      <c r="K520" s="736"/>
      <c r="L520" s="737"/>
      <c r="M520" s="132"/>
      <c r="N520" s="132"/>
      <c r="O520" s="132"/>
      <c r="P520" s="132"/>
      <c r="Q520" s="132"/>
      <c r="R520" s="132"/>
      <c r="S520" s="132"/>
      <c r="T520" s="132"/>
      <c r="U520" s="132"/>
      <c r="V520" s="132"/>
      <c r="W520" s="132"/>
      <c r="X520" s="132"/>
      <c r="Y520" s="132"/>
      <c r="Z520" s="132"/>
    </row>
    <row r="521" spans="1:26" ht="15" customHeight="1" x14ac:dyDescent="0.25">
      <c r="A521" s="1130"/>
      <c r="B521" s="931"/>
      <c r="C521" s="468"/>
      <c r="D521" s="932"/>
      <c r="E521" s="1130"/>
      <c r="F521" s="1130"/>
      <c r="G521" s="1047" t="s">
        <v>184</v>
      </c>
      <c r="H521" s="726"/>
      <c r="I521" s="254">
        <v>1</v>
      </c>
      <c r="J521" s="931"/>
      <c r="K521" s="468"/>
      <c r="L521" s="932"/>
      <c r="M521" s="132"/>
      <c r="N521" s="132"/>
      <c r="O521" s="132"/>
      <c r="P521" s="132"/>
      <c r="Q521" s="132"/>
      <c r="R521" s="132"/>
      <c r="S521" s="132"/>
      <c r="T521" s="132"/>
      <c r="U521" s="132"/>
      <c r="V521" s="132"/>
      <c r="W521" s="132"/>
      <c r="X521" s="132"/>
      <c r="Y521" s="132"/>
      <c r="Z521" s="132"/>
    </row>
    <row r="522" spans="1:26" ht="15" customHeight="1" x14ac:dyDescent="0.25">
      <c r="A522" s="1130"/>
      <c r="B522" s="931"/>
      <c r="C522" s="468"/>
      <c r="D522" s="932"/>
      <c r="E522" s="1130"/>
      <c r="F522" s="1130"/>
      <c r="G522" s="1047" t="s">
        <v>927</v>
      </c>
      <c r="H522" s="726"/>
      <c r="I522" s="254">
        <v>2.19</v>
      </c>
      <c r="J522" s="931"/>
      <c r="K522" s="468"/>
      <c r="L522" s="932"/>
      <c r="M522" s="132"/>
      <c r="N522" s="132"/>
      <c r="O522" s="132"/>
      <c r="P522" s="132"/>
      <c r="Q522" s="132"/>
      <c r="R522" s="132"/>
      <c r="S522" s="132"/>
      <c r="T522" s="132"/>
      <c r="U522" s="132"/>
      <c r="V522" s="132"/>
      <c r="W522" s="132"/>
      <c r="X522" s="132"/>
      <c r="Y522" s="132"/>
      <c r="Z522" s="132"/>
    </row>
    <row r="523" spans="1:26" ht="15" customHeight="1" x14ac:dyDescent="0.25">
      <c r="A523" s="1130"/>
      <c r="B523" s="931"/>
      <c r="C523" s="468"/>
      <c r="D523" s="932"/>
      <c r="E523" s="1130"/>
      <c r="F523" s="1130"/>
      <c r="G523" s="1047" t="s">
        <v>733</v>
      </c>
      <c r="H523" s="726"/>
      <c r="I523" s="254">
        <v>0.25</v>
      </c>
      <c r="J523" s="931"/>
      <c r="K523" s="468"/>
      <c r="L523" s="932"/>
      <c r="M523" s="132"/>
      <c r="N523" s="132"/>
      <c r="O523" s="132"/>
      <c r="P523" s="132"/>
      <c r="Q523" s="132"/>
      <c r="R523" s="132"/>
      <c r="S523" s="132"/>
      <c r="T523" s="132"/>
      <c r="U523" s="132"/>
      <c r="V523" s="132"/>
      <c r="W523" s="132"/>
      <c r="X523" s="132"/>
      <c r="Y523" s="132"/>
      <c r="Z523" s="132"/>
    </row>
    <row r="524" spans="1:26" ht="15" customHeight="1" x14ac:dyDescent="0.25">
      <c r="A524" s="1130"/>
      <c r="B524" s="931"/>
      <c r="C524" s="468"/>
      <c r="D524" s="932"/>
      <c r="E524" s="1130"/>
      <c r="F524" s="1130"/>
      <c r="G524" s="1047" t="s">
        <v>731</v>
      </c>
      <c r="H524" s="726"/>
      <c r="I524" s="254">
        <v>2.4500000000000002</v>
      </c>
      <c r="J524" s="931"/>
      <c r="K524" s="468"/>
      <c r="L524" s="932"/>
      <c r="M524" s="132"/>
      <c r="N524" s="132"/>
      <c r="O524" s="132"/>
      <c r="P524" s="132"/>
      <c r="Q524" s="132"/>
      <c r="R524" s="132"/>
      <c r="S524" s="132"/>
      <c r="T524" s="132"/>
      <c r="U524" s="132"/>
      <c r="V524" s="132"/>
      <c r="W524" s="132"/>
      <c r="X524" s="132"/>
      <c r="Y524" s="132"/>
      <c r="Z524" s="132"/>
    </row>
    <row r="525" spans="1:26" ht="15" customHeight="1" x14ac:dyDescent="0.25">
      <c r="A525" s="1130"/>
      <c r="B525" s="931"/>
      <c r="C525" s="468"/>
      <c r="D525" s="932"/>
      <c r="E525" s="1130"/>
      <c r="F525" s="1130"/>
      <c r="G525" s="1047" t="s">
        <v>734</v>
      </c>
      <c r="H525" s="726"/>
      <c r="I525" s="254"/>
      <c r="J525" s="931"/>
      <c r="K525" s="468"/>
      <c r="L525" s="932"/>
      <c r="M525" s="132"/>
      <c r="N525" s="132"/>
      <c r="O525" s="132"/>
      <c r="P525" s="132"/>
      <c r="Q525" s="132"/>
      <c r="R525" s="132"/>
      <c r="S525" s="132"/>
      <c r="T525" s="132"/>
      <c r="U525" s="132"/>
      <c r="V525" s="132"/>
      <c r="W525" s="132"/>
      <c r="X525" s="132"/>
      <c r="Y525" s="132"/>
      <c r="Z525" s="132"/>
    </row>
    <row r="526" spans="1:26" ht="15" customHeight="1" x14ac:dyDescent="0.25">
      <c r="A526" s="1130"/>
      <c r="B526" s="931"/>
      <c r="C526" s="468"/>
      <c r="D526" s="932"/>
      <c r="E526" s="1130"/>
      <c r="F526" s="1130"/>
      <c r="G526" s="1047" t="s">
        <v>735</v>
      </c>
      <c r="H526" s="726"/>
      <c r="I526" s="254"/>
      <c r="J526" s="931"/>
      <c r="K526" s="468"/>
      <c r="L526" s="932"/>
      <c r="M526" s="132"/>
      <c r="N526" s="132"/>
      <c r="O526" s="132"/>
      <c r="P526" s="132"/>
      <c r="Q526" s="132"/>
      <c r="R526" s="132"/>
      <c r="S526" s="132"/>
      <c r="T526" s="132"/>
      <c r="U526" s="132"/>
      <c r="V526" s="132"/>
      <c r="W526" s="132"/>
      <c r="X526" s="132"/>
      <c r="Y526" s="132"/>
      <c r="Z526" s="132"/>
    </row>
    <row r="527" spans="1:26" ht="15" customHeight="1" x14ac:dyDescent="0.25">
      <c r="A527" s="1130"/>
      <c r="B527" s="931"/>
      <c r="C527" s="468"/>
      <c r="D527" s="932"/>
      <c r="E527" s="1130"/>
      <c r="F527" s="1130"/>
      <c r="G527" s="1047" t="s">
        <v>1809</v>
      </c>
      <c r="H527" s="726"/>
      <c r="I527" s="255"/>
      <c r="J527" s="931"/>
      <c r="K527" s="468"/>
      <c r="L527" s="932"/>
      <c r="M527" s="132"/>
      <c r="N527" s="132"/>
      <c r="O527" s="132"/>
      <c r="P527" s="132"/>
      <c r="Q527" s="132"/>
      <c r="R527" s="132"/>
      <c r="S527" s="132"/>
      <c r="T527" s="132"/>
      <c r="U527" s="132"/>
      <c r="V527" s="132"/>
      <c r="W527" s="132"/>
      <c r="X527" s="132"/>
      <c r="Y527" s="132"/>
      <c r="Z527" s="132"/>
    </row>
    <row r="528" spans="1:26" ht="15" customHeight="1" x14ac:dyDescent="0.25">
      <c r="A528" s="904"/>
      <c r="B528" s="738"/>
      <c r="C528" s="739"/>
      <c r="D528" s="740"/>
      <c r="E528" s="904"/>
      <c r="F528" s="904"/>
      <c r="G528" s="1047" t="s">
        <v>1810</v>
      </c>
      <c r="H528" s="726"/>
      <c r="I528" s="254"/>
      <c r="J528" s="738"/>
      <c r="K528" s="739"/>
      <c r="L528" s="740"/>
      <c r="M528" s="132"/>
      <c r="N528" s="132"/>
      <c r="O528" s="132"/>
      <c r="P528" s="132"/>
      <c r="Q528" s="132"/>
      <c r="R528" s="132"/>
      <c r="S528" s="132"/>
      <c r="T528" s="132"/>
      <c r="U528" s="132"/>
      <c r="V528" s="132"/>
      <c r="W528" s="132"/>
      <c r="X528" s="132"/>
      <c r="Y528" s="132"/>
      <c r="Z528" s="132"/>
    </row>
    <row r="529" spans="1:26" ht="15" customHeight="1" x14ac:dyDescent="0.25">
      <c r="A529" s="132"/>
      <c r="B529" s="132"/>
      <c r="C529" s="132"/>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row>
    <row r="530" spans="1:26" ht="15" customHeight="1" x14ac:dyDescent="0.25">
      <c r="A530" s="896" t="s">
        <v>39</v>
      </c>
      <c r="B530" s="725"/>
      <c r="C530" s="725"/>
      <c r="D530" s="725"/>
      <c r="E530" s="106" t="s">
        <v>40</v>
      </c>
      <c r="F530" s="106" t="s">
        <v>41</v>
      </c>
      <c r="G530" s="519" t="s">
        <v>730</v>
      </c>
      <c r="H530" s="740"/>
      <c r="I530" s="896" t="s">
        <v>1427</v>
      </c>
      <c r="J530" s="725"/>
      <c r="K530" s="725"/>
      <c r="L530" s="726"/>
      <c r="M530" s="132"/>
      <c r="N530" s="132"/>
      <c r="O530" s="132"/>
      <c r="P530" s="132"/>
      <c r="Q530" s="132"/>
      <c r="R530" s="132"/>
      <c r="S530" s="132"/>
      <c r="T530" s="132"/>
      <c r="U530" s="132"/>
      <c r="V530" s="132"/>
      <c r="W530" s="132"/>
      <c r="X530" s="132"/>
      <c r="Y530" s="132"/>
      <c r="Z530" s="132"/>
    </row>
    <row r="531" spans="1:26" ht="15" customHeight="1" x14ac:dyDescent="0.25">
      <c r="A531" s="1129" t="s">
        <v>1819</v>
      </c>
      <c r="B531" s="1128" t="s">
        <v>1820</v>
      </c>
      <c r="C531" s="736"/>
      <c r="D531" s="737"/>
      <c r="E531" s="1129" t="s">
        <v>420</v>
      </c>
      <c r="F531" s="1131">
        <f>I531</f>
        <v>2.0434999999999999</v>
      </c>
      <c r="G531" s="1047" t="s">
        <v>261</v>
      </c>
      <c r="H531" s="726"/>
      <c r="I531" s="254">
        <f>+I539*I532</f>
        <v>2.0434999999999999</v>
      </c>
      <c r="J531" s="1133"/>
      <c r="K531" s="736"/>
      <c r="L531" s="737"/>
      <c r="M531" s="132"/>
      <c r="N531" s="132"/>
      <c r="O531" s="132"/>
      <c r="P531" s="132"/>
      <c r="Q531" s="132"/>
      <c r="R531" s="132"/>
      <c r="S531" s="132"/>
      <c r="T531" s="132"/>
      <c r="U531" s="132"/>
      <c r="V531" s="132"/>
      <c r="W531" s="132"/>
      <c r="X531" s="132"/>
      <c r="Y531" s="132"/>
      <c r="Z531" s="132"/>
    </row>
    <row r="532" spans="1:26" ht="15" customHeight="1" x14ac:dyDescent="0.25">
      <c r="A532" s="1130"/>
      <c r="B532" s="931"/>
      <c r="C532" s="468"/>
      <c r="D532" s="932"/>
      <c r="E532" s="1130"/>
      <c r="F532" s="1130"/>
      <c r="G532" s="1047" t="s">
        <v>184</v>
      </c>
      <c r="H532" s="726"/>
      <c r="I532" s="254">
        <v>1</v>
      </c>
      <c r="J532" s="931"/>
      <c r="K532" s="468"/>
      <c r="L532" s="932"/>
      <c r="M532" s="132"/>
      <c r="N532" s="132"/>
      <c r="O532" s="132"/>
      <c r="P532" s="132"/>
      <c r="Q532" s="132"/>
      <c r="R532" s="132"/>
      <c r="S532" s="132"/>
      <c r="T532" s="132"/>
      <c r="U532" s="132"/>
      <c r="V532" s="132"/>
      <c r="W532" s="132"/>
      <c r="X532" s="132"/>
      <c r="Y532" s="132"/>
      <c r="Z532" s="132"/>
    </row>
    <row r="533" spans="1:26" ht="15" customHeight="1" x14ac:dyDescent="0.25">
      <c r="A533" s="1130"/>
      <c r="B533" s="931"/>
      <c r="C533" s="468"/>
      <c r="D533" s="932"/>
      <c r="E533" s="1130"/>
      <c r="F533" s="1130"/>
      <c r="G533" s="1047" t="s">
        <v>927</v>
      </c>
      <c r="H533" s="726"/>
      <c r="I533" s="254">
        <v>1.55</v>
      </c>
      <c r="J533" s="931"/>
      <c r="K533" s="468"/>
      <c r="L533" s="932"/>
      <c r="M533" s="132"/>
      <c r="N533" s="132"/>
      <c r="O533" s="132"/>
      <c r="P533" s="132"/>
      <c r="Q533" s="132"/>
      <c r="R533" s="132"/>
      <c r="S533" s="132"/>
      <c r="T533" s="132"/>
      <c r="U533" s="132"/>
      <c r="V533" s="132"/>
      <c r="W533" s="132"/>
      <c r="X533" s="132"/>
      <c r="Y533" s="132"/>
      <c r="Z533" s="132"/>
    </row>
    <row r="534" spans="1:26" ht="15" customHeight="1" x14ac:dyDescent="0.25">
      <c r="A534" s="1130"/>
      <c r="B534" s="931"/>
      <c r="C534" s="468"/>
      <c r="D534" s="932"/>
      <c r="E534" s="1130"/>
      <c r="F534" s="1130"/>
      <c r="G534" s="1047" t="s">
        <v>733</v>
      </c>
      <c r="H534" s="726"/>
      <c r="I534" s="254">
        <v>1.22</v>
      </c>
      <c r="J534" s="931"/>
      <c r="K534" s="468"/>
      <c r="L534" s="932"/>
      <c r="M534" s="132"/>
      <c r="N534" s="132"/>
      <c r="O534" s="132"/>
      <c r="P534" s="132"/>
      <c r="Q534" s="132"/>
      <c r="R534" s="132"/>
      <c r="S534" s="132"/>
      <c r="T534" s="132"/>
      <c r="U534" s="132"/>
      <c r="V534" s="132"/>
      <c r="W534" s="132"/>
      <c r="X534" s="132"/>
      <c r="Y534" s="132"/>
      <c r="Z534" s="132"/>
    </row>
    <row r="535" spans="1:26" ht="15" customHeight="1" x14ac:dyDescent="0.25">
      <c r="A535" s="1130"/>
      <c r="B535" s="931"/>
      <c r="C535" s="468"/>
      <c r="D535" s="932"/>
      <c r="E535" s="1130"/>
      <c r="F535" s="1130"/>
      <c r="G535" s="1047" t="s">
        <v>731</v>
      </c>
      <c r="H535" s="726"/>
      <c r="I535" s="254">
        <v>1.8</v>
      </c>
      <c r="J535" s="931"/>
      <c r="K535" s="468"/>
      <c r="L535" s="932"/>
      <c r="M535" s="132"/>
      <c r="N535" s="132"/>
      <c r="O535" s="132"/>
      <c r="P535" s="132"/>
      <c r="Q535" s="132"/>
      <c r="R535" s="132"/>
      <c r="S535" s="132"/>
      <c r="T535" s="132"/>
      <c r="U535" s="132"/>
      <c r="V535" s="132"/>
      <c r="W535" s="132"/>
      <c r="X535" s="132"/>
      <c r="Y535" s="132"/>
      <c r="Z535" s="132"/>
    </row>
    <row r="536" spans="1:26" ht="15" customHeight="1" x14ac:dyDescent="0.25">
      <c r="A536" s="1130"/>
      <c r="B536" s="931"/>
      <c r="C536" s="468"/>
      <c r="D536" s="932"/>
      <c r="E536" s="1130"/>
      <c r="F536" s="1130"/>
      <c r="G536" s="1047" t="s">
        <v>747</v>
      </c>
      <c r="H536" s="726"/>
      <c r="I536" s="254">
        <v>0.25</v>
      </c>
      <c r="J536" s="931"/>
      <c r="K536" s="468"/>
      <c r="L536" s="932"/>
      <c r="M536" s="132"/>
      <c r="N536" s="132"/>
      <c r="O536" s="132"/>
      <c r="P536" s="132"/>
      <c r="Q536" s="132"/>
      <c r="R536" s="132"/>
      <c r="S536" s="132"/>
      <c r="T536" s="132"/>
      <c r="U536" s="132"/>
      <c r="V536" s="132"/>
      <c r="W536" s="132"/>
      <c r="X536" s="132"/>
      <c r="Y536" s="132"/>
      <c r="Z536" s="132"/>
    </row>
    <row r="537" spans="1:26" ht="15" customHeight="1" x14ac:dyDescent="0.25">
      <c r="A537" s="1130"/>
      <c r="B537" s="931"/>
      <c r="C537" s="468"/>
      <c r="D537" s="932"/>
      <c r="E537" s="1130"/>
      <c r="F537" s="1130"/>
      <c r="G537" s="1047" t="s">
        <v>735</v>
      </c>
      <c r="H537" s="726"/>
      <c r="I537" s="254">
        <f>+I533+I535+I533+I535</f>
        <v>6.7</v>
      </c>
      <c r="J537" s="931"/>
      <c r="K537" s="468"/>
      <c r="L537" s="932"/>
      <c r="M537" s="132"/>
      <c r="N537" s="132"/>
      <c r="O537" s="132"/>
      <c r="P537" s="132"/>
      <c r="Q537" s="132"/>
      <c r="R537" s="132"/>
      <c r="S537" s="132"/>
      <c r="T537" s="132"/>
      <c r="U537" s="132"/>
      <c r="V537" s="132"/>
      <c r="W537" s="132"/>
      <c r="X537" s="132"/>
      <c r="Y537" s="132"/>
      <c r="Z537" s="132"/>
    </row>
    <row r="538" spans="1:26" ht="15" customHeight="1" x14ac:dyDescent="0.25">
      <c r="A538" s="1130"/>
      <c r="B538" s="931"/>
      <c r="C538" s="468"/>
      <c r="D538" s="932"/>
      <c r="E538" s="1130"/>
      <c r="F538" s="1130"/>
      <c r="G538" s="1047" t="s">
        <v>1809</v>
      </c>
      <c r="H538" s="726"/>
      <c r="I538" s="254">
        <f>+I537*I534</f>
        <v>8.1739999999999995</v>
      </c>
      <c r="J538" s="931"/>
      <c r="K538" s="468"/>
      <c r="L538" s="932"/>
      <c r="M538" s="132"/>
      <c r="N538" s="132"/>
      <c r="O538" s="132"/>
      <c r="P538" s="132"/>
      <c r="Q538" s="132"/>
      <c r="R538" s="132"/>
      <c r="S538" s="132"/>
      <c r="T538" s="132"/>
      <c r="U538" s="132"/>
      <c r="V538" s="132"/>
      <c r="W538" s="132"/>
      <c r="X538" s="132"/>
      <c r="Y538" s="132"/>
      <c r="Z538" s="132"/>
    </row>
    <row r="539" spans="1:26" ht="15" customHeight="1" x14ac:dyDescent="0.25">
      <c r="A539" s="904"/>
      <c r="B539" s="738"/>
      <c r="C539" s="739"/>
      <c r="D539" s="740"/>
      <c r="E539" s="904"/>
      <c r="F539" s="904"/>
      <c r="G539" s="1047" t="s">
        <v>1810</v>
      </c>
      <c r="H539" s="726"/>
      <c r="I539" s="254">
        <f>+I538*I536</f>
        <v>2.0434999999999999</v>
      </c>
      <c r="J539" s="738"/>
      <c r="K539" s="739"/>
      <c r="L539" s="740"/>
      <c r="M539" s="132"/>
      <c r="N539" s="132"/>
      <c r="O539" s="132"/>
      <c r="P539" s="132"/>
      <c r="Q539" s="132"/>
      <c r="R539" s="132"/>
      <c r="S539" s="132"/>
      <c r="T539" s="132"/>
      <c r="U539" s="132"/>
      <c r="V539" s="132"/>
      <c r="W539" s="132"/>
      <c r="X539" s="132"/>
      <c r="Y539" s="132"/>
      <c r="Z539" s="132"/>
    </row>
    <row r="540" spans="1:26" ht="15" customHeight="1" x14ac:dyDescent="0.25">
      <c r="A540" s="132"/>
      <c r="B540" s="132"/>
      <c r="C540" s="132"/>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row>
    <row r="541" spans="1:26" ht="15" customHeight="1" x14ac:dyDescent="0.25">
      <c r="A541" s="896" t="s">
        <v>39</v>
      </c>
      <c r="B541" s="725"/>
      <c r="C541" s="725"/>
      <c r="D541" s="725"/>
      <c r="E541" s="106" t="s">
        <v>40</v>
      </c>
      <c r="F541" s="106" t="s">
        <v>41</v>
      </c>
      <c r="G541" s="519" t="s">
        <v>730</v>
      </c>
      <c r="H541" s="740"/>
      <c r="I541" s="896" t="s">
        <v>1427</v>
      </c>
      <c r="J541" s="725"/>
      <c r="K541" s="725"/>
      <c r="L541" s="726"/>
      <c r="M541" s="132"/>
      <c r="N541" s="132"/>
      <c r="O541" s="132"/>
      <c r="P541" s="132"/>
      <c r="Q541" s="132"/>
      <c r="R541" s="132"/>
      <c r="S541" s="132"/>
      <c r="T541" s="132"/>
      <c r="U541" s="132"/>
      <c r="V541" s="132"/>
      <c r="W541" s="132"/>
      <c r="X541" s="132"/>
      <c r="Y541" s="132"/>
      <c r="Z541" s="132"/>
    </row>
    <row r="542" spans="1:26" ht="15" customHeight="1" x14ac:dyDescent="0.25">
      <c r="A542" s="1129" t="s">
        <v>1821</v>
      </c>
      <c r="B542" s="1128" t="s">
        <v>1822</v>
      </c>
      <c r="C542" s="736"/>
      <c r="D542" s="737"/>
      <c r="E542" s="1129" t="s">
        <v>420</v>
      </c>
      <c r="F542" s="1131">
        <f>I542</f>
        <v>0.25109999999999999</v>
      </c>
      <c r="G542" s="1047" t="s">
        <v>261</v>
      </c>
      <c r="H542" s="726"/>
      <c r="I542" s="254">
        <f>+I550*I543</f>
        <v>0.25109999999999999</v>
      </c>
      <c r="J542" s="1133"/>
      <c r="K542" s="736"/>
      <c r="L542" s="737"/>
      <c r="M542" s="132"/>
      <c r="N542" s="132"/>
      <c r="O542" s="132"/>
      <c r="P542" s="132"/>
      <c r="Q542" s="132"/>
      <c r="R542" s="132"/>
      <c r="S542" s="132"/>
      <c r="T542" s="132"/>
      <c r="U542" s="132"/>
      <c r="V542" s="132"/>
      <c r="W542" s="132"/>
      <c r="X542" s="132"/>
      <c r="Y542" s="132"/>
      <c r="Z542" s="132"/>
    </row>
    <row r="543" spans="1:26" ht="15" customHeight="1" x14ac:dyDescent="0.25">
      <c r="A543" s="1130"/>
      <c r="B543" s="931"/>
      <c r="C543" s="468"/>
      <c r="D543" s="932"/>
      <c r="E543" s="1130"/>
      <c r="F543" s="1130"/>
      <c r="G543" s="1047" t="s">
        <v>184</v>
      </c>
      <c r="H543" s="726"/>
      <c r="I543" s="254">
        <v>1</v>
      </c>
      <c r="J543" s="931"/>
      <c r="K543" s="468"/>
      <c r="L543" s="932"/>
      <c r="M543" s="132"/>
      <c r="N543" s="132"/>
      <c r="O543" s="132"/>
      <c r="P543" s="132"/>
      <c r="Q543" s="132"/>
      <c r="R543" s="132"/>
      <c r="S543" s="132"/>
      <c r="T543" s="132"/>
      <c r="U543" s="132"/>
      <c r="V543" s="132"/>
      <c r="W543" s="132"/>
      <c r="X543" s="132"/>
      <c r="Y543" s="132"/>
      <c r="Z543" s="132"/>
    </row>
    <row r="544" spans="1:26" ht="15" customHeight="1" x14ac:dyDescent="0.25">
      <c r="A544" s="1130"/>
      <c r="B544" s="931"/>
      <c r="C544" s="468"/>
      <c r="D544" s="932"/>
      <c r="E544" s="1130"/>
      <c r="F544" s="1130"/>
      <c r="G544" s="1047" t="s">
        <v>927</v>
      </c>
      <c r="H544" s="726"/>
      <c r="I544" s="254">
        <v>1.55</v>
      </c>
      <c r="J544" s="931"/>
      <c r="K544" s="468"/>
      <c r="L544" s="932"/>
      <c r="M544" s="132"/>
      <c r="N544" s="132"/>
      <c r="O544" s="132"/>
      <c r="P544" s="132"/>
      <c r="Q544" s="132"/>
      <c r="R544" s="132"/>
      <c r="S544" s="132"/>
      <c r="T544" s="132"/>
      <c r="U544" s="132"/>
      <c r="V544" s="132"/>
      <c r="W544" s="132"/>
      <c r="X544" s="132"/>
      <c r="Y544" s="132"/>
      <c r="Z544" s="132"/>
    </row>
    <row r="545" spans="1:26" ht="15" customHeight="1" x14ac:dyDescent="0.25">
      <c r="A545" s="1130"/>
      <c r="B545" s="931"/>
      <c r="C545" s="468"/>
      <c r="D545" s="932"/>
      <c r="E545" s="1130"/>
      <c r="F545" s="1130"/>
      <c r="G545" s="1047" t="s">
        <v>733</v>
      </c>
      <c r="H545" s="726"/>
      <c r="I545" s="254">
        <v>0.09</v>
      </c>
      <c r="J545" s="931"/>
      <c r="K545" s="468"/>
      <c r="L545" s="932"/>
      <c r="M545" s="132"/>
      <c r="N545" s="132"/>
      <c r="O545" s="132"/>
      <c r="P545" s="132"/>
      <c r="Q545" s="132"/>
      <c r="R545" s="132"/>
      <c r="S545" s="132"/>
      <c r="T545" s="132"/>
      <c r="U545" s="132"/>
      <c r="V545" s="132"/>
      <c r="W545" s="132"/>
      <c r="X545" s="132"/>
      <c r="Y545" s="132"/>
      <c r="Z545" s="132"/>
    </row>
    <row r="546" spans="1:26" ht="15" customHeight="1" x14ac:dyDescent="0.25">
      <c r="A546" s="1130"/>
      <c r="B546" s="931"/>
      <c r="C546" s="468"/>
      <c r="D546" s="932"/>
      <c r="E546" s="1130"/>
      <c r="F546" s="1130"/>
      <c r="G546" s="1047" t="s">
        <v>731</v>
      </c>
      <c r="H546" s="726"/>
      <c r="I546" s="254">
        <v>1.8</v>
      </c>
      <c r="J546" s="931"/>
      <c r="K546" s="468"/>
      <c r="L546" s="932"/>
      <c r="M546" s="132"/>
      <c r="N546" s="132"/>
      <c r="O546" s="132"/>
      <c r="P546" s="132"/>
      <c r="Q546" s="132"/>
      <c r="R546" s="132"/>
      <c r="S546" s="132"/>
      <c r="T546" s="132"/>
      <c r="U546" s="132"/>
      <c r="V546" s="132"/>
      <c r="W546" s="132"/>
      <c r="X546" s="132"/>
      <c r="Y546" s="132"/>
      <c r="Z546" s="132"/>
    </row>
    <row r="547" spans="1:26" ht="15" customHeight="1" x14ac:dyDescent="0.25">
      <c r="A547" s="1130"/>
      <c r="B547" s="931"/>
      <c r="C547" s="468"/>
      <c r="D547" s="932"/>
      <c r="E547" s="1130"/>
      <c r="F547" s="1130"/>
      <c r="G547" s="1047" t="s">
        <v>734</v>
      </c>
      <c r="H547" s="726"/>
      <c r="I547" s="254"/>
      <c r="J547" s="931"/>
      <c r="K547" s="468"/>
      <c r="L547" s="932"/>
      <c r="M547" s="132"/>
      <c r="N547" s="132"/>
      <c r="O547" s="132"/>
      <c r="P547" s="132"/>
      <c r="Q547" s="132"/>
      <c r="R547" s="132"/>
      <c r="S547" s="132"/>
      <c r="T547" s="132"/>
      <c r="U547" s="132"/>
      <c r="V547" s="132"/>
      <c r="W547" s="132"/>
      <c r="X547" s="132"/>
      <c r="Y547" s="132"/>
      <c r="Z547" s="132"/>
    </row>
    <row r="548" spans="1:26" ht="15" customHeight="1" x14ac:dyDescent="0.25">
      <c r="A548" s="1130"/>
      <c r="B548" s="931"/>
      <c r="C548" s="468"/>
      <c r="D548" s="932"/>
      <c r="E548" s="1130"/>
      <c r="F548" s="1130"/>
      <c r="G548" s="1047" t="s">
        <v>735</v>
      </c>
      <c r="H548" s="726"/>
      <c r="I548" s="254"/>
      <c r="J548" s="931"/>
      <c r="K548" s="468"/>
      <c r="L548" s="932"/>
      <c r="M548" s="132"/>
      <c r="N548" s="132"/>
      <c r="O548" s="132"/>
      <c r="P548" s="132"/>
      <c r="Q548" s="132"/>
      <c r="R548" s="132"/>
      <c r="S548" s="132"/>
      <c r="T548" s="132"/>
      <c r="U548" s="132"/>
      <c r="V548" s="132"/>
      <c r="W548" s="132"/>
      <c r="X548" s="132"/>
      <c r="Y548" s="132"/>
      <c r="Z548" s="132"/>
    </row>
    <row r="549" spans="1:26" ht="15" customHeight="1" x14ac:dyDescent="0.25">
      <c r="A549" s="1130"/>
      <c r="B549" s="931"/>
      <c r="C549" s="468"/>
      <c r="D549" s="932"/>
      <c r="E549" s="1130"/>
      <c r="F549" s="1130"/>
      <c r="G549" s="1047" t="s">
        <v>1809</v>
      </c>
      <c r="H549" s="726"/>
      <c r="I549" s="255"/>
      <c r="J549" s="931"/>
      <c r="K549" s="468"/>
      <c r="L549" s="932"/>
      <c r="M549" s="132"/>
      <c r="N549" s="132"/>
      <c r="O549" s="132"/>
      <c r="P549" s="132"/>
      <c r="Q549" s="132"/>
      <c r="R549" s="132"/>
      <c r="S549" s="132"/>
      <c r="T549" s="132"/>
      <c r="U549" s="132"/>
      <c r="V549" s="132"/>
      <c r="W549" s="132"/>
      <c r="X549" s="132"/>
      <c r="Y549" s="132"/>
      <c r="Z549" s="132"/>
    </row>
    <row r="550" spans="1:26" ht="15" customHeight="1" x14ac:dyDescent="0.25">
      <c r="A550" s="904"/>
      <c r="B550" s="738"/>
      <c r="C550" s="739"/>
      <c r="D550" s="740"/>
      <c r="E550" s="904"/>
      <c r="F550" s="904"/>
      <c r="G550" s="1047" t="s">
        <v>1810</v>
      </c>
      <c r="H550" s="726"/>
      <c r="I550" s="254">
        <f>+I544*I545*I546</f>
        <v>0.25109999999999999</v>
      </c>
      <c r="J550" s="738"/>
      <c r="K550" s="739"/>
      <c r="L550" s="740"/>
      <c r="M550" s="132"/>
      <c r="N550" s="132"/>
      <c r="O550" s="132"/>
      <c r="P550" s="132"/>
      <c r="Q550" s="132"/>
      <c r="R550" s="132"/>
      <c r="S550" s="132"/>
      <c r="T550" s="132"/>
      <c r="U550" s="132"/>
      <c r="V550" s="132"/>
      <c r="W550" s="132"/>
      <c r="X550" s="132"/>
      <c r="Y550" s="132"/>
      <c r="Z550" s="132"/>
    </row>
    <row r="551" spans="1:26" ht="15" customHeight="1" x14ac:dyDescent="0.25">
      <c r="A551" s="132"/>
      <c r="B551" s="132"/>
      <c r="C551" s="132"/>
      <c r="D551" s="132"/>
      <c r="E551" s="132"/>
      <c r="F551" s="132"/>
      <c r="G551" s="132"/>
      <c r="H551" s="132"/>
      <c r="I551" s="132"/>
      <c r="J551" s="132"/>
      <c r="K551" s="132"/>
      <c r="L551" s="132"/>
      <c r="M551" s="132"/>
      <c r="N551" s="132"/>
      <c r="O551" s="132"/>
      <c r="P551" s="132"/>
      <c r="Q551" s="132"/>
      <c r="R551" s="132"/>
      <c r="S551" s="132"/>
      <c r="T551" s="132"/>
      <c r="U551" s="132"/>
      <c r="V551" s="132"/>
      <c r="W551" s="132"/>
      <c r="X551" s="132"/>
      <c r="Y551" s="132"/>
      <c r="Z551" s="132"/>
    </row>
    <row r="552" spans="1:26" ht="15" customHeight="1" x14ac:dyDescent="0.25">
      <c r="A552" s="896" t="s">
        <v>39</v>
      </c>
      <c r="B552" s="725"/>
      <c r="C552" s="725"/>
      <c r="D552" s="725"/>
      <c r="E552" s="106" t="s">
        <v>40</v>
      </c>
      <c r="F552" s="106" t="s">
        <v>41</v>
      </c>
      <c r="G552" s="519" t="s">
        <v>730</v>
      </c>
      <c r="H552" s="740"/>
      <c r="I552" s="896" t="s">
        <v>1427</v>
      </c>
      <c r="J552" s="725"/>
      <c r="K552" s="725"/>
      <c r="L552" s="726"/>
      <c r="M552" s="132"/>
      <c r="N552" s="132"/>
      <c r="O552" s="132"/>
      <c r="P552" s="132"/>
      <c r="Q552" s="132"/>
      <c r="R552" s="132"/>
      <c r="S552" s="132"/>
      <c r="T552" s="132"/>
      <c r="U552" s="132"/>
      <c r="V552" s="132"/>
      <c r="W552" s="132"/>
      <c r="X552" s="132"/>
      <c r="Y552" s="132"/>
      <c r="Z552" s="132"/>
    </row>
    <row r="553" spans="1:26" ht="15" customHeight="1" x14ac:dyDescent="0.25">
      <c r="A553" s="1129" t="s">
        <v>1823</v>
      </c>
      <c r="B553" s="1128" t="s">
        <v>1824</v>
      </c>
      <c r="C553" s="736"/>
      <c r="D553" s="737"/>
      <c r="E553" s="1129" t="s">
        <v>420</v>
      </c>
      <c r="F553" s="1131">
        <f>I553</f>
        <v>176.62</v>
      </c>
      <c r="G553" s="1047" t="s">
        <v>261</v>
      </c>
      <c r="H553" s="726"/>
      <c r="I553" s="254">
        <f>+I558*I554</f>
        <v>176.62</v>
      </c>
      <c r="J553" s="1133"/>
      <c r="K553" s="736"/>
      <c r="L553" s="737"/>
      <c r="M553" s="132"/>
      <c r="N553" s="132"/>
      <c r="O553" s="132"/>
      <c r="P553" s="132"/>
      <c r="Q553" s="132"/>
      <c r="R553" s="132"/>
      <c r="S553" s="132"/>
      <c r="T553" s="132"/>
      <c r="U553" s="132"/>
      <c r="V553" s="132"/>
      <c r="W553" s="132"/>
      <c r="X553" s="132"/>
      <c r="Y553" s="132"/>
      <c r="Z553" s="132"/>
    </row>
    <row r="554" spans="1:26" ht="15" customHeight="1" x14ac:dyDescent="0.25">
      <c r="A554" s="1130"/>
      <c r="B554" s="931"/>
      <c r="C554" s="468"/>
      <c r="D554" s="932"/>
      <c r="E554" s="1130"/>
      <c r="F554" s="1130"/>
      <c r="G554" s="1047" t="s">
        <v>184</v>
      </c>
      <c r="H554" s="726"/>
      <c r="I554" s="254">
        <v>1</v>
      </c>
      <c r="J554" s="931"/>
      <c r="K554" s="468"/>
      <c r="L554" s="932"/>
      <c r="M554" s="132"/>
      <c r="N554" s="132"/>
      <c r="O554" s="132"/>
      <c r="P554" s="132"/>
      <c r="Q554" s="132"/>
      <c r="R554" s="132"/>
      <c r="S554" s="132"/>
      <c r="T554" s="132"/>
      <c r="U554" s="132"/>
      <c r="V554" s="132"/>
      <c r="W554" s="132"/>
      <c r="X554" s="132"/>
      <c r="Y554" s="132"/>
      <c r="Z554" s="132"/>
    </row>
    <row r="555" spans="1:26" ht="15" customHeight="1" x14ac:dyDescent="0.25">
      <c r="A555" s="1130"/>
      <c r="B555" s="931"/>
      <c r="C555" s="468"/>
      <c r="D555" s="932"/>
      <c r="E555" s="1130"/>
      <c r="F555" s="1130"/>
      <c r="G555" s="1047" t="s">
        <v>927</v>
      </c>
      <c r="H555" s="726"/>
      <c r="I555" s="254"/>
      <c r="J555" s="931"/>
      <c r="K555" s="468"/>
      <c r="L555" s="932"/>
      <c r="M555" s="132"/>
      <c r="N555" s="132"/>
      <c r="O555" s="132"/>
      <c r="P555" s="132"/>
      <c r="Q555" s="132"/>
      <c r="R555" s="132"/>
      <c r="S555" s="132"/>
      <c r="T555" s="132"/>
      <c r="U555" s="132"/>
      <c r="V555" s="132"/>
      <c r="W555" s="132"/>
      <c r="X555" s="132"/>
      <c r="Y555" s="132"/>
      <c r="Z555" s="132"/>
    </row>
    <row r="556" spans="1:26" ht="15" customHeight="1" x14ac:dyDescent="0.25">
      <c r="A556" s="1130"/>
      <c r="B556" s="931"/>
      <c r="C556" s="468"/>
      <c r="D556" s="932"/>
      <c r="E556" s="1130"/>
      <c r="F556" s="1130"/>
      <c r="G556" s="1047" t="s">
        <v>733</v>
      </c>
      <c r="H556" s="726"/>
      <c r="I556" s="254"/>
      <c r="J556" s="931"/>
      <c r="K556" s="468"/>
      <c r="L556" s="932"/>
      <c r="M556" s="132"/>
      <c r="N556" s="132"/>
      <c r="O556" s="132"/>
      <c r="P556" s="132"/>
      <c r="Q556" s="132"/>
      <c r="R556" s="132"/>
      <c r="S556" s="132"/>
      <c r="T556" s="132"/>
      <c r="U556" s="132"/>
      <c r="V556" s="132"/>
      <c r="W556" s="132"/>
      <c r="X556" s="132"/>
      <c r="Y556" s="132"/>
      <c r="Z556" s="132"/>
    </row>
    <row r="557" spans="1:26" ht="15" customHeight="1" x14ac:dyDescent="0.25">
      <c r="A557" s="1130"/>
      <c r="B557" s="931"/>
      <c r="C557" s="468"/>
      <c r="D557" s="932"/>
      <c r="E557" s="1130"/>
      <c r="F557" s="1130"/>
      <c r="G557" s="1047" t="s">
        <v>731</v>
      </c>
      <c r="H557" s="726"/>
      <c r="I557" s="254"/>
      <c r="J557" s="931"/>
      <c r="K557" s="468"/>
      <c r="L557" s="932"/>
      <c r="M557" s="132"/>
      <c r="N557" s="132"/>
      <c r="O557" s="132"/>
      <c r="P557" s="132"/>
      <c r="Q557" s="132"/>
      <c r="R557" s="132"/>
      <c r="S557" s="132"/>
      <c r="T557" s="132"/>
      <c r="U557" s="132"/>
      <c r="V557" s="132"/>
      <c r="W557" s="132"/>
      <c r="X557" s="132"/>
      <c r="Y557" s="132"/>
      <c r="Z557" s="132"/>
    </row>
    <row r="558" spans="1:26" ht="15" customHeight="1" x14ac:dyDescent="0.25">
      <c r="A558" s="1130"/>
      <c r="B558" s="931"/>
      <c r="C558" s="468"/>
      <c r="D558" s="932"/>
      <c r="E558" s="1130"/>
      <c r="F558" s="1130"/>
      <c r="G558" s="1047" t="s">
        <v>734</v>
      </c>
      <c r="H558" s="726"/>
      <c r="I558" s="254">
        <v>176.62</v>
      </c>
      <c r="J558" s="931"/>
      <c r="K558" s="468"/>
      <c r="L558" s="932"/>
      <c r="M558" s="132"/>
      <c r="N558" s="132"/>
      <c r="O558" s="132"/>
      <c r="P558" s="132"/>
      <c r="Q558" s="132"/>
      <c r="R558" s="132"/>
      <c r="S558" s="132"/>
      <c r="T558" s="132"/>
      <c r="U558" s="132"/>
      <c r="V558" s="132"/>
      <c r="W558" s="132"/>
      <c r="X558" s="132"/>
      <c r="Y558" s="132"/>
      <c r="Z558" s="132"/>
    </row>
    <row r="559" spans="1:26" ht="15" customHeight="1" x14ac:dyDescent="0.25">
      <c r="A559" s="1130"/>
      <c r="B559" s="931"/>
      <c r="C559" s="468"/>
      <c r="D559" s="932"/>
      <c r="E559" s="1130"/>
      <c r="F559" s="1130"/>
      <c r="G559" s="1047" t="s">
        <v>735</v>
      </c>
      <c r="H559" s="726"/>
      <c r="I559" s="254"/>
      <c r="J559" s="931"/>
      <c r="K559" s="468"/>
      <c r="L559" s="932"/>
      <c r="M559" s="132"/>
      <c r="N559" s="132"/>
      <c r="O559" s="132"/>
      <c r="P559" s="132"/>
      <c r="Q559" s="132"/>
      <c r="R559" s="132"/>
      <c r="S559" s="132"/>
      <c r="T559" s="132"/>
      <c r="U559" s="132"/>
      <c r="V559" s="132"/>
      <c r="W559" s="132"/>
      <c r="X559" s="132"/>
      <c r="Y559" s="132"/>
      <c r="Z559" s="132"/>
    </row>
    <row r="560" spans="1:26" ht="15" customHeight="1" x14ac:dyDescent="0.25">
      <c r="A560" s="1130"/>
      <c r="B560" s="931"/>
      <c r="C560" s="468"/>
      <c r="D560" s="932"/>
      <c r="E560" s="1130"/>
      <c r="F560" s="1130"/>
      <c r="G560" s="1047" t="s">
        <v>1809</v>
      </c>
      <c r="H560" s="726"/>
      <c r="I560" s="255"/>
      <c r="J560" s="931"/>
      <c r="K560" s="468"/>
      <c r="L560" s="932"/>
      <c r="M560" s="132"/>
      <c r="N560" s="132"/>
      <c r="O560" s="132"/>
      <c r="P560" s="132"/>
      <c r="Q560" s="132"/>
      <c r="R560" s="132"/>
      <c r="S560" s="132"/>
      <c r="T560" s="132"/>
      <c r="U560" s="132"/>
      <c r="V560" s="132"/>
      <c r="W560" s="132"/>
      <c r="X560" s="132"/>
      <c r="Y560" s="132"/>
      <c r="Z560" s="132"/>
    </row>
    <row r="561" spans="1:26" ht="15" customHeight="1" x14ac:dyDescent="0.25">
      <c r="A561" s="904"/>
      <c r="B561" s="738"/>
      <c r="C561" s="739"/>
      <c r="D561" s="740"/>
      <c r="E561" s="904"/>
      <c r="F561" s="904"/>
      <c r="G561" s="1047" t="s">
        <v>1810</v>
      </c>
      <c r="H561" s="726"/>
      <c r="I561" s="254"/>
      <c r="J561" s="738"/>
      <c r="K561" s="739"/>
      <c r="L561" s="740"/>
      <c r="M561" s="132"/>
      <c r="N561" s="132"/>
      <c r="O561" s="132"/>
      <c r="P561" s="132"/>
      <c r="Q561" s="132"/>
      <c r="R561" s="132"/>
      <c r="S561" s="132"/>
      <c r="T561" s="132"/>
      <c r="U561" s="132"/>
      <c r="V561" s="132"/>
      <c r="W561" s="132"/>
      <c r="X561" s="132"/>
      <c r="Y561" s="132"/>
      <c r="Z561" s="132"/>
    </row>
    <row r="562" spans="1:26" ht="15" customHeight="1" x14ac:dyDescent="0.25">
      <c r="A562" s="132"/>
      <c r="B562" s="132"/>
      <c r="C562" s="132"/>
      <c r="D562" s="132"/>
      <c r="E562" s="132"/>
      <c r="F562" s="132"/>
      <c r="G562" s="132"/>
      <c r="H562" s="132"/>
      <c r="I562" s="132"/>
      <c r="J562" s="132"/>
      <c r="K562" s="132"/>
      <c r="L562" s="132"/>
      <c r="M562" s="132"/>
      <c r="N562" s="132"/>
      <c r="O562" s="132"/>
      <c r="P562" s="132"/>
      <c r="Q562" s="132"/>
      <c r="R562" s="132"/>
      <c r="S562" s="132"/>
      <c r="T562" s="132"/>
      <c r="U562" s="132"/>
      <c r="V562" s="132"/>
      <c r="W562" s="132"/>
      <c r="X562" s="132"/>
      <c r="Y562" s="132"/>
      <c r="Z562" s="132"/>
    </row>
    <row r="563" spans="1:26" ht="15" customHeight="1" x14ac:dyDescent="0.25">
      <c r="A563" s="896" t="s">
        <v>39</v>
      </c>
      <c r="B563" s="725"/>
      <c r="C563" s="725"/>
      <c r="D563" s="725"/>
      <c r="E563" s="106" t="s">
        <v>40</v>
      </c>
      <c r="F563" s="106" t="s">
        <v>41</v>
      </c>
      <c r="G563" s="519" t="s">
        <v>730</v>
      </c>
      <c r="H563" s="740"/>
      <c r="I563" s="896" t="s">
        <v>1427</v>
      </c>
      <c r="J563" s="725"/>
      <c r="K563" s="725"/>
      <c r="L563" s="726"/>
      <c r="M563" s="132"/>
      <c r="N563" s="132"/>
      <c r="O563" s="132"/>
      <c r="P563" s="132"/>
      <c r="Q563" s="132"/>
      <c r="R563" s="132"/>
      <c r="S563" s="132"/>
      <c r="T563" s="132"/>
      <c r="U563" s="132"/>
      <c r="V563" s="132"/>
      <c r="W563" s="132"/>
      <c r="X563" s="132"/>
      <c r="Y563" s="132"/>
      <c r="Z563" s="132"/>
    </row>
    <row r="564" spans="1:26" ht="15" customHeight="1" x14ac:dyDescent="0.25">
      <c r="A564" s="1129" t="s">
        <v>1825</v>
      </c>
      <c r="B564" s="1128" t="s">
        <v>1826</v>
      </c>
      <c r="C564" s="736"/>
      <c r="D564" s="737"/>
      <c r="E564" s="1129" t="s">
        <v>420</v>
      </c>
      <c r="F564" s="1131">
        <f>I564</f>
        <v>2</v>
      </c>
      <c r="G564" s="1047" t="s">
        <v>261</v>
      </c>
      <c r="H564" s="726"/>
      <c r="I564" s="254">
        <f>+I565</f>
        <v>2</v>
      </c>
      <c r="J564" s="1133"/>
      <c r="K564" s="736"/>
      <c r="L564" s="737"/>
      <c r="M564" s="132"/>
      <c r="N564" s="132"/>
      <c r="O564" s="132"/>
      <c r="P564" s="132"/>
      <c r="Q564" s="132"/>
      <c r="R564" s="132"/>
      <c r="S564" s="132"/>
      <c r="T564" s="132"/>
      <c r="U564" s="132"/>
      <c r="V564" s="132"/>
      <c r="W564" s="132"/>
      <c r="X564" s="132"/>
      <c r="Y564" s="132"/>
      <c r="Z564" s="132"/>
    </row>
    <row r="565" spans="1:26" ht="15" customHeight="1" x14ac:dyDescent="0.25">
      <c r="A565" s="1130"/>
      <c r="B565" s="931"/>
      <c r="C565" s="468"/>
      <c r="D565" s="932"/>
      <c r="E565" s="1130"/>
      <c r="F565" s="1130"/>
      <c r="G565" s="1047" t="s">
        <v>184</v>
      </c>
      <c r="H565" s="726"/>
      <c r="I565" s="254">
        <v>2</v>
      </c>
      <c r="J565" s="931"/>
      <c r="K565" s="468"/>
      <c r="L565" s="932"/>
      <c r="M565" s="132"/>
      <c r="N565" s="132"/>
      <c r="O565" s="132"/>
      <c r="P565" s="132"/>
      <c r="Q565" s="132"/>
      <c r="R565" s="132"/>
      <c r="S565" s="132"/>
      <c r="T565" s="132"/>
      <c r="U565" s="132"/>
      <c r="V565" s="132"/>
      <c r="W565" s="132"/>
      <c r="X565" s="132"/>
      <c r="Y565" s="132"/>
      <c r="Z565" s="132"/>
    </row>
    <row r="566" spans="1:26" ht="15" customHeight="1" x14ac:dyDescent="0.25">
      <c r="A566" s="1130"/>
      <c r="B566" s="931"/>
      <c r="C566" s="468"/>
      <c r="D566" s="932"/>
      <c r="E566" s="1130"/>
      <c r="F566" s="1130"/>
      <c r="G566" s="1047" t="s">
        <v>927</v>
      </c>
      <c r="H566" s="726"/>
      <c r="I566" s="254"/>
      <c r="J566" s="931"/>
      <c r="K566" s="468"/>
      <c r="L566" s="932"/>
      <c r="M566" s="132"/>
      <c r="N566" s="132"/>
      <c r="O566" s="132"/>
      <c r="P566" s="132"/>
      <c r="Q566" s="132"/>
      <c r="R566" s="132"/>
      <c r="S566" s="132"/>
      <c r="T566" s="132"/>
      <c r="U566" s="132"/>
      <c r="V566" s="132"/>
      <c r="W566" s="132"/>
      <c r="X566" s="132"/>
      <c r="Y566" s="132"/>
      <c r="Z566" s="132"/>
    </row>
    <row r="567" spans="1:26" ht="15" customHeight="1" x14ac:dyDescent="0.25">
      <c r="A567" s="1130"/>
      <c r="B567" s="931"/>
      <c r="C567" s="468"/>
      <c r="D567" s="932"/>
      <c r="E567" s="1130"/>
      <c r="F567" s="1130"/>
      <c r="G567" s="1047" t="s">
        <v>733</v>
      </c>
      <c r="H567" s="726"/>
      <c r="I567" s="254"/>
      <c r="J567" s="931"/>
      <c r="K567" s="468"/>
      <c r="L567" s="932"/>
      <c r="M567" s="132"/>
      <c r="N567" s="132"/>
      <c r="O567" s="132"/>
      <c r="P567" s="132"/>
      <c r="Q567" s="132"/>
      <c r="R567" s="132"/>
      <c r="S567" s="132"/>
      <c r="T567" s="132"/>
      <c r="U567" s="132"/>
      <c r="V567" s="132"/>
      <c r="W567" s="132"/>
      <c r="X567" s="132"/>
      <c r="Y567" s="132"/>
      <c r="Z567" s="132"/>
    </row>
    <row r="568" spans="1:26" ht="15" customHeight="1" x14ac:dyDescent="0.25">
      <c r="A568" s="1130"/>
      <c r="B568" s="931"/>
      <c r="C568" s="468"/>
      <c r="D568" s="932"/>
      <c r="E568" s="1130"/>
      <c r="F568" s="1130"/>
      <c r="G568" s="1047" t="s">
        <v>731</v>
      </c>
      <c r="H568" s="726"/>
      <c r="I568" s="254"/>
      <c r="J568" s="931"/>
      <c r="K568" s="468"/>
      <c r="L568" s="932"/>
      <c r="M568" s="132"/>
      <c r="N568" s="132"/>
      <c r="O568" s="132"/>
      <c r="P568" s="132"/>
      <c r="Q568" s="132"/>
      <c r="R568" s="132"/>
      <c r="S568" s="132"/>
      <c r="T568" s="132"/>
      <c r="U568" s="132"/>
      <c r="V568" s="132"/>
      <c r="W568" s="132"/>
      <c r="X568" s="132"/>
      <c r="Y568" s="132"/>
      <c r="Z568" s="132"/>
    </row>
    <row r="569" spans="1:26" ht="15" customHeight="1" x14ac:dyDescent="0.25">
      <c r="A569" s="1130"/>
      <c r="B569" s="931"/>
      <c r="C569" s="468"/>
      <c r="D569" s="932"/>
      <c r="E569" s="1130"/>
      <c r="F569" s="1130"/>
      <c r="G569" s="1047" t="s">
        <v>734</v>
      </c>
      <c r="H569" s="726"/>
      <c r="I569" s="254"/>
      <c r="J569" s="931"/>
      <c r="K569" s="468"/>
      <c r="L569" s="932"/>
      <c r="M569" s="132"/>
      <c r="N569" s="132"/>
      <c r="O569" s="132"/>
      <c r="P569" s="132"/>
      <c r="Q569" s="132"/>
      <c r="R569" s="132"/>
      <c r="S569" s="132"/>
      <c r="T569" s="132"/>
      <c r="U569" s="132"/>
      <c r="V569" s="132"/>
      <c r="W569" s="132"/>
      <c r="X569" s="132"/>
      <c r="Y569" s="132"/>
      <c r="Z569" s="132"/>
    </row>
    <row r="570" spans="1:26" ht="15" customHeight="1" x14ac:dyDescent="0.25">
      <c r="A570" s="1130"/>
      <c r="B570" s="931"/>
      <c r="C570" s="468"/>
      <c r="D570" s="932"/>
      <c r="E570" s="1130"/>
      <c r="F570" s="1130"/>
      <c r="G570" s="1047" t="s">
        <v>735</v>
      </c>
      <c r="H570" s="726"/>
      <c r="I570" s="254"/>
      <c r="J570" s="931"/>
      <c r="K570" s="468"/>
      <c r="L570" s="932"/>
      <c r="M570" s="132"/>
      <c r="N570" s="132"/>
      <c r="O570" s="132"/>
      <c r="P570" s="132"/>
      <c r="Q570" s="132"/>
      <c r="R570" s="132"/>
      <c r="S570" s="132"/>
      <c r="T570" s="132"/>
      <c r="U570" s="132"/>
      <c r="V570" s="132"/>
      <c r="W570" s="132"/>
      <c r="X570" s="132"/>
      <c r="Y570" s="132"/>
      <c r="Z570" s="132"/>
    </row>
    <row r="571" spans="1:26" ht="15" customHeight="1" x14ac:dyDescent="0.25">
      <c r="A571" s="1130"/>
      <c r="B571" s="931"/>
      <c r="C571" s="468"/>
      <c r="D571" s="932"/>
      <c r="E571" s="1130"/>
      <c r="F571" s="1130"/>
      <c r="G571" s="1047" t="s">
        <v>1809</v>
      </c>
      <c r="H571" s="726"/>
      <c r="I571" s="255"/>
      <c r="J571" s="931"/>
      <c r="K571" s="468"/>
      <c r="L571" s="932"/>
      <c r="M571" s="132"/>
      <c r="N571" s="132"/>
      <c r="O571" s="132"/>
      <c r="P571" s="132"/>
      <c r="Q571" s="132"/>
      <c r="R571" s="132"/>
      <c r="S571" s="132"/>
      <c r="T571" s="132"/>
      <c r="U571" s="132"/>
      <c r="V571" s="132"/>
      <c r="W571" s="132"/>
      <c r="X571" s="132"/>
      <c r="Y571" s="132"/>
      <c r="Z571" s="132"/>
    </row>
    <row r="572" spans="1:26" ht="15" customHeight="1" x14ac:dyDescent="0.25">
      <c r="A572" s="904"/>
      <c r="B572" s="738"/>
      <c r="C572" s="739"/>
      <c r="D572" s="740"/>
      <c r="E572" s="904"/>
      <c r="F572" s="904"/>
      <c r="G572" s="1047" t="s">
        <v>1810</v>
      </c>
      <c r="H572" s="726"/>
      <c r="I572" s="254"/>
      <c r="J572" s="738"/>
      <c r="K572" s="739"/>
      <c r="L572" s="740"/>
      <c r="M572" s="132"/>
      <c r="N572" s="132"/>
      <c r="O572" s="132"/>
      <c r="P572" s="132"/>
      <c r="Q572" s="132"/>
      <c r="R572" s="132"/>
      <c r="S572" s="132"/>
      <c r="T572" s="132"/>
      <c r="U572" s="132"/>
      <c r="V572" s="132"/>
      <c r="W572" s="132"/>
      <c r="X572" s="132"/>
      <c r="Y572" s="132"/>
      <c r="Z572" s="132"/>
    </row>
    <row r="573" spans="1:26" ht="15" customHeight="1" x14ac:dyDescent="0.25">
      <c r="A573" s="132"/>
      <c r="B573" s="132"/>
      <c r="C573" s="132"/>
      <c r="D573" s="132"/>
      <c r="E573" s="132"/>
      <c r="F573" s="132"/>
      <c r="G573" s="132"/>
      <c r="H573" s="132"/>
      <c r="I573" s="132"/>
      <c r="J573" s="132"/>
      <c r="K573" s="132"/>
      <c r="L573" s="132"/>
      <c r="M573" s="132"/>
      <c r="N573" s="132"/>
      <c r="O573" s="132"/>
      <c r="P573" s="132"/>
      <c r="Q573" s="132"/>
      <c r="R573" s="132"/>
      <c r="S573" s="132"/>
      <c r="T573" s="132"/>
      <c r="U573" s="132"/>
      <c r="V573" s="132"/>
      <c r="W573" s="132"/>
      <c r="X573" s="132"/>
      <c r="Y573" s="132"/>
      <c r="Z573" s="132"/>
    </row>
    <row r="574" spans="1:26" ht="15" customHeight="1" x14ac:dyDescent="0.25">
      <c r="A574" s="896" t="s">
        <v>39</v>
      </c>
      <c r="B574" s="725"/>
      <c r="C574" s="725"/>
      <c r="D574" s="725"/>
      <c r="E574" s="106" t="s">
        <v>40</v>
      </c>
      <c r="F574" s="106" t="s">
        <v>41</v>
      </c>
      <c r="G574" s="519" t="s">
        <v>730</v>
      </c>
      <c r="H574" s="740"/>
      <c r="I574" s="896" t="s">
        <v>1427</v>
      </c>
      <c r="J574" s="725"/>
      <c r="K574" s="725"/>
      <c r="L574" s="726"/>
      <c r="M574" s="132"/>
      <c r="N574" s="132"/>
      <c r="O574" s="132"/>
      <c r="P574" s="132"/>
      <c r="Q574" s="132"/>
      <c r="R574" s="132"/>
      <c r="S574" s="132"/>
      <c r="T574" s="132"/>
      <c r="U574" s="132"/>
      <c r="V574" s="132"/>
      <c r="W574" s="132"/>
      <c r="X574" s="132"/>
      <c r="Y574" s="132"/>
      <c r="Z574" s="132"/>
    </row>
    <row r="575" spans="1:26" ht="15" customHeight="1" x14ac:dyDescent="0.25">
      <c r="A575" s="1129" t="s">
        <v>1827</v>
      </c>
      <c r="B575" s="1128" t="s">
        <v>1828</v>
      </c>
      <c r="C575" s="736"/>
      <c r="D575" s="737"/>
      <c r="E575" s="1129" t="s">
        <v>475</v>
      </c>
      <c r="F575" s="1131">
        <f>I575</f>
        <v>1</v>
      </c>
      <c r="G575" s="1047" t="s">
        <v>261</v>
      </c>
      <c r="H575" s="726"/>
      <c r="I575" s="254">
        <f>+I576</f>
        <v>1</v>
      </c>
      <c r="J575" s="1133"/>
      <c r="K575" s="736"/>
      <c r="L575" s="737"/>
      <c r="M575" s="132"/>
      <c r="N575" s="132"/>
      <c r="O575" s="132"/>
      <c r="P575" s="132"/>
      <c r="Q575" s="132"/>
      <c r="R575" s="132"/>
      <c r="S575" s="132"/>
      <c r="T575" s="132"/>
      <c r="U575" s="132"/>
      <c r="V575" s="132"/>
      <c r="W575" s="132"/>
      <c r="X575" s="132"/>
      <c r="Y575" s="132"/>
      <c r="Z575" s="132"/>
    </row>
    <row r="576" spans="1:26" ht="15" customHeight="1" x14ac:dyDescent="0.25">
      <c r="A576" s="1130"/>
      <c r="B576" s="931"/>
      <c r="C576" s="468"/>
      <c r="D576" s="932"/>
      <c r="E576" s="1130"/>
      <c r="F576" s="1130"/>
      <c r="G576" s="1047" t="s">
        <v>184</v>
      </c>
      <c r="H576" s="726"/>
      <c r="I576" s="254">
        <v>1</v>
      </c>
      <c r="J576" s="931"/>
      <c r="K576" s="468"/>
      <c r="L576" s="932"/>
      <c r="M576" s="132"/>
      <c r="N576" s="132"/>
      <c r="O576" s="132"/>
      <c r="P576" s="132"/>
      <c r="Q576" s="132"/>
      <c r="R576" s="132"/>
      <c r="S576" s="132"/>
      <c r="T576" s="132"/>
      <c r="U576" s="132"/>
      <c r="V576" s="132"/>
      <c r="W576" s="132"/>
      <c r="X576" s="132"/>
      <c r="Y576" s="132"/>
      <c r="Z576" s="132"/>
    </row>
    <row r="577" spans="1:26" ht="15" customHeight="1" x14ac:dyDescent="0.25">
      <c r="A577" s="1130"/>
      <c r="B577" s="931"/>
      <c r="C577" s="468"/>
      <c r="D577" s="932"/>
      <c r="E577" s="1130"/>
      <c r="F577" s="1130"/>
      <c r="G577" s="1047" t="s">
        <v>927</v>
      </c>
      <c r="H577" s="726"/>
      <c r="I577" s="254"/>
      <c r="J577" s="931"/>
      <c r="K577" s="468"/>
      <c r="L577" s="932"/>
      <c r="M577" s="132"/>
      <c r="N577" s="132"/>
      <c r="O577" s="132"/>
      <c r="P577" s="132"/>
      <c r="Q577" s="132"/>
      <c r="R577" s="132"/>
      <c r="S577" s="132"/>
      <c r="T577" s="132"/>
      <c r="U577" s="132"/>
      <c r="V577" s="132"/>
      <c r="W577" s="132"/>
      <c r="X577" s="132"/>
      <c r="Y577" s="132"/>
      <c r="Z577" s="132"/>
    </row>
    <row r="578" spans="1:26" ht="15" customHeight="1" x14ac:dyDescent="0.25">
      <c r="A578" s="1130"/>
      <c r="B578" s="931"/>
      <c r="C578" s="468"/>
      <c r="D578" s="932"/>
      <c r="E578" s="1130"/>
      <c r="F578" s="1130"/>
      <c r="G578" s="1047" t="s">
        <v>733</v>
      </c>
      <c r="H578" s="726"/>
      <c r="I578" s="254"/>
      <c r="J578" s="931"/>
      <c r="K578" s="468"/>
      <c r="L578" s="932"/>
      <c r="M578" s="132"/>
      <c r="N578" s="132"/>
      <c r="O578" s="132"/>
      <c r="P578" s="132"/>
      <c r="Q578" s="132"/>
      <c r="R578" s="132"/>
      <c r="S578" s="132"/>
      <c r="T578" s="132"/>
      <c r="U578" s="132"/>
      <c r="V578" s="132"/>
      <c r="W578" s="132"/>
      <c r="X578" s="132"/>
      <c r="Y578" s="132"/>
      <c r="Z578" s="132"/>
    </row>
    <row r="579" spans="1:26" ht="15" customHeight="1" x14ac:dyDescent="0.25">
      <c r="A579" s="1130"/>
      <c r="B579" s="931"/>
      <c r="C579" s="468"/>
      <c r="D579" s="932"/>
      <c r="E579" s="1130"/>
      <c r="F579" s="1130"/>
      <c r="G579" s="1047" t="s">
        <v>731</v>
      </c>
      <c r="H579" s="726"/>
      <c r="I579" s="254"/>
      <c r="J579" s="931"/>
      <c r="K579" s="468"/>
      <c r="L579" s="932"/>
      <c r="M579" s="132"/>
      <c r="N579" s="132"/>
      <c r="O579" s="132"/>
      <c r="P579" s="132"/>
      <c r="Q579" s="132"/>
      <c r="R579" s="132"/>
      <c r="S579" s="132"/>
      <c r="T579" s="132"/>
      <c r="U579" s="132"/>
      <c r="V579" s="132"/>
      <c r="W579" s="132"/>
      <c r="X579" s="132"/>
      <c r="Y579" s="132"/>
      <c r="Z579" s="132"/>
    </row>
    <row r="580" spans="1:26" ht="15" customHeight="1" x14ac:dyDescent="0.25">
      <c r="A580" s="1130"/>
      <c r="B580" s="931"/>
      <c r="C580" s="468"/>
      <c r="D580" s="932"/>
      <c r="E580" s="1130"/>
      <c r="F580" s="1130"/>
      <c r="G580" s="1047" t="s">
        <v>734</v>
      </c>
      <c r="H580" s="726"/>
      <c r="I580" s="254"/>
      <c r="J580" s="931"/>
      <c r="K580" s="468"/>
      <c r="L580" s="932"/>
      <c r="M580" s="132"/>
      <c r="N580" s="132"/>
      <c r="O580" s="132"/>
      <c r="P580" s="132"/>
      <c r="Q580" s="132"/>
      <c r="R580" s="132"/>
      <c r="S580" s="132"/>
      <c r="T580" s="132"/>
      <c r="U580" s="132"/>
      <c r="V580" s="132"/>
      <c r="W580" s="132"/>
      <c r="X580" s="132"/>
      <c r="Y580" s="132"/>
      <c r="Z580" s="132"/>
    </row>
    <row r="581" spans="1:26" ht="15" customHeight="1" x14ac:dyDescent="0.25">
      <c r="A581" s="1130"/>
      <c r="B581" s="931"/>
      <c r="C581" s="468"/>
      <c r="D581" s="932"/>
      <c r="E581" s="1130"/>
      <c r="F581" s="1130"/>
      <c r="G581" s="1047" t="s">
        <v>735</v>
      </c>
      <c r="H581" s="726"/>
      <c r="I581" s="254"/>
      <c r="J581" s="931"/>
      <c r="K581" s="468"/>
      <c r="L581" s="932"/>
      <c r="M581" s="132"/>
      <c r="N581" s="132"/>
      <c r="O581" s="132"/>
      <c r="P581" s="132"/>
      <c r="Q581" s="132"/>
      <c r="R581" s="132"/>
      <c r="S581" s="132"/>
      <c r="T581" s="132"/>
      <c r="U581" s="132"/>
      <c r="V581" s="132"/>
      <c r="W581" s="132"/>
      <c r="X581" s="132"/>
      <c r="Y581" s="132"/>
      <c r="Z581" s="132"/>
    </row>
    <row r="582" spans="1:26" ht="15" customHeight="1" x14ac:dyDescent="0.25">
      <c r="A582" s="1130"/>
      <c r="B582" s="931"/>
      <c r="C582" s="468"/>
      <c r="D582" s="932"/>
      <c r="E582" s="1130"/>
      <c r="F582" s="1130"/>
      <c r="G582" s="1047" t="s">
        <v>1809</v>
      </c>
      <c r="H582" s="726"/>
      <c r="I582" s="255"/>
      <c r="J582" s="931"/>
      <c r="K582" s="468"/>
      <c r="L582" s="932"/>
      <c r="M582" s="132"/>
      <c r="N582" s="132"/>
      <c r="O582" s="132"/>
      <c r="P582" s="132"/>
      <c r="Q582" s="132"/>
      <c r="R582" s="132"/>
      <c r="S582" s="132"/>
      <c r="T582" s="132"/>
      <c r="U582" s="132"/>
      <c r="V582" s="132"/>
      <c r="W582" s="132"/>
      <c r="X582" s="132"/>
      <c r="Y582" s="132"/>
      <c r="Z582" s="132"/>
    </row>
    <row r="583" spans="1:26" ht="15" customHeight="1" x14ac:dyDescent="0.25">
      <c r="A583" s="904"/>
      <c r="B583" s="738"/>
      <c r="C583" s="739"/>
      <c r="D583" s="740"/>
      <c r="E583" s="904"/>
      <c r="F583" s="904"/>
      <c r="G583" s="1047" t="s">
        <v>1810</v>
      </c>
      <c r="H583" s="726"/>
      <c r="I583" s="254"/>
      <c r="J583" s="738"/>
      <c r="K583" s="739"/>
      <c r="L583" s="740"/>
      <c r="M583" s="132"/>
      <c r="N583" s="132"/>
      <c r="O583" s="132"/>
      <c r="P583" s="132"/>
      <c r="Q583" s="132"/>
      <c r="R583" s="132"/>
      <c r="S583" s="132"/>
      <c r="T583" s="132"/>
      <c r="U583" s="132"/>
      <c r="V583" s="132"/>
      <c r="W583" s="132"/>
      <c r="X583" s="132"/>
      <c r="Y583" s="132"/>
      <c r="Z583" s="132"/>
    </row>
    <row r="584" spans="1:26" ht="15" customHeight="1" x14ac:dyDescent="0.25">
      <c r="A584" s="132"/>
      <c r="B584" s="132"/>
      <c r="C584" s="132"/>
      <c r="D584" s="132"/>
      <c r="E584" s="132"/>
      <c r="F584" s="132"/>
      <c r="G584" s="132"/>
      <c r="H584" s="132"/>
      <c r="I584" s="132"/>
      <c r="J584" s="132"/>
      <c r="K584" s="132"/>
      <c r="L584" s="132"/>
      <c r="M584" s="132"/>
      <c r="N584" s="132"/>
      <c r="O584" s="132"/>
      <c r="P584" s="132"/>
      <c r="Q584" s="132"/>
      <c r="R584" s="132"/>
      <c r="S584" s="132"/>
      <c r="T584" s="132"/>
      <c r="U584" s="132"/>
      <c r="V584" s="132"/>
      <c r="W584" s="132"/>
      <c r="X584" s="132"/>
      <c r="Y584" s="132"/>
      <c r="Z584" s="132"/>
    </row>
    <row r="585" spans="1:26" ht="15" customHeight="1" x14ac:dyDescent="0.25">
      <c r="A585" s="896" t="s">
        <v>39</v>
      </c>
      <c r="B585" s="725"/>
      <c r="C585" s="725"/>
      <c r="D585" s="725"/>
      <c r="E585" s="106" t="s">
        <v>40</v>
      </c>
      <c r="F585" s="106" t="s">
        <v>41</v>
      </c>
      <c r="G585" s="519" t="s">
        <v>730</v>
      </c>
      <c r="H585" s="740"/>
      <c r="I585" s="896" t="s">
        <v>1427</v>
      </c>
      <c r="J585" s="725"/>
      <c r="K585" s="725"/>
      <c r="L585" s="726"/>
      <c r="M585" s="132"/>
      <c r="N585" s="132"/>
      <c r="O585" s="132"/>
      <c r="P585" s="132"/>
      <c r="Q585" s="132"/>
      <c r="R585" s="132"/>
      <c r="S585" s="132"/>
      <c r="T585" s="132"/>
      <c r="U585" s="132"/>
      <c r="V585" s="132"/>
      <c r="W585" s="132"/>
      <c r="X585" s="132"/>
      <c r="Y585" s="132"/>
      <c r="Z585" s="132"/>
    </row>
    <row r="586" spans="1:26" ht="15" customHeight="1" x14ac:dyDescent="0.25">
      <c r="A586" s="1129" t="s">
        <v>1829</v>
      </c>
      <c r="B586" s="1128" t="s">
        <v>1830</v>
      </c>
      <c r="C586" s="736"/>
      <c r="D586" s="737"/>
      <c r="E586" s="1129" t="s">
        <v>450</v>
      </c>
      <c r="F586" s="1131">
        <f>I586</f>
        <v>1.05</v>
      </c>
      <c r="G586" s="1047" t="s">
        <v>261</v>
      </c>
      <c r="H586" s="726"/>
      <c r="I586" s="254">
        <f>+I587</f>
        <v>1.05</v>
      </c>
      <c r="J586" s="1133"/>
      <c r="K586" s="736"/>
      <c r="L586" s="737"/>
      <c r="M586" s="132"/>
      <c r="N586" s="132"/>
      <c r="O586" s="132"/>
      <c r="P586" s="132"/>
      <c r="Q586" s="132"/>
      <c r="R586" s="132"/>
      <c r="S586" s="132"/>
      <c r="T586" s="132"/>
      <c r="U586" s="132"/>
      <c r="V586" s="132"/>
      <c r="W586" s="132"/>
      <c r="X586" s="132"/>
      <c r="Y586" s="132"/>
      <c r="Z586" s="132"/>
    </row>
    <row r="587" spans="1:26" ht="15" customHeight="1" x14ac:dyDescent="0.25">
      <c r="A587" s="1130"/>
      <c r="B587" s="931"/>
      <c r="C587" s="468"/>
      <c r="D587" s="932"/>
      <c r="E587" s="1130"/>
      <c r="F587" s="1130"/>
      <c r="G587" s="1047" t="s">
        <v>184</v>
      </c>
      <c r="H587" s="726"/>
      <c r="I587" s="254">
        <v>1.05</v>
      </c>
      <c r="J587" s="931"/>
      <c r="K587" s="468"/>
      <c r="L587" s="932"/>
      <c r="M587" s="132"/>
      <c r="N587" s="132"/>
      <c r="O587" s="132"/>
      <c r="P587" s="132"/>
      <c r="Q587" s="132"/>
      <c r="R587" s="132"/>
      <c r="S587" s="132"/>
      <c r="T587" s="132"/>
      <c r="U587" s="132"/>
      <c r="V587" s="132"/>
      <c r="W587" s="132"/>
      <c r="X587" s="132"/>
      <c r="Y587" s="132"/>
      <c r="Z587" s="132"/>
    </row>
    <row r="588" spans="1:26" ht="15" customHeight="1" x14ac:dyDescent="0.25">
      <c r="A588" s="1130"/>
      <c r="B588" s="931"/>
      <c r="C588" s="468"/>
      <c r="D588" s="932"/>
      <c r="E588" s="1130"/>
      <c r="F588" s="1130"/>
      <c r="G588" s="1047" t="s">
        <v>927</v>
      </c>
      <c r="H588" s="726"/>
      <c r="I588" s="254"/>
      <c r="J588" s="931"/>
      <c r="K588" s="468"/>
      <c r="L588" s="932"/>
      <c r="M588" s="132"/>
      <c r="N588" s="132"/>
      <c r="O588" s="132"/>
      <c r="P588" s="132"/>
      <c r="Q588" s="132"/>
      <c r="R588" s="132"/>
      <c r="S588" s="132"/>
      <c r="T588" s="132"/>
      <c r="U588" s="132"/>
      <c r="V588" s="132"/>
      <c r="W588" s="132"/>
      <c r="X588" s="132"/>
      <c r="Y588" s="132"/>
      <c r="Z588" s="132"/>
    </row>
    <row r="589" spans="1:26" ht="15" customHeight="1" x14ac:dyDescent="0.25">
      <c r="A589" s="1130"/>
      <c r="B589" s="931"/>
      <c r="C589" s="468"/>
      <c r="D589" s="932"/>
      <c r="E589" s="1130"/>
      <c r="F589" s="1130"/>
      <c r="G589" s="1047" t="s">
        <v>733</v>
      </c>
      <c r="H589" s="726"/>
      <c r="I589" s="254"/>
      <c r="J589" s="931"/>
      <c r="K589" s="468"/>
      <c r="L589" s="932"/>
      <c r="M589" s="132"/>
      <c r="N589" s="132"/>
      <c r="O589" s="132"/>
      <c r="P589" s="132"/>
      <c r="Q589" s="132"/>
      <c r="R589" s="132"/>
      <c r="S589" s="132"/>
      <c r="T589" s="132"/>
      <c r="U589" s="132"/>
      <c r="V589" s="132"/>
      <c r="W589" s="132"/>
      <c r="X589" s="132"/>
      <c r="Y589" s="132"/>
      <c r="Z589" s="132"/>
    </row>
    <row r="590" spans="1:26" ht="15" customHeight="1" x14ac:dyDescent="0.25">
      <c r="A590" s="1130"/>
      <c r="B590" s="931"/>
      <c r="C590" s="468"/>
      <c r="D590" s="932"/>
      <c r="E590" s="1130"/>
      <c r="F590" s="1130"/>
      <c r="G590" s="1047" t="s">
        <v>731</v>
      </c>
      <c r="H590" s="726"/>
      <c r="I590" s="254"/>
      <c r="J590" s="931"/>
      <c r="K590" s="468"/>
      <c r="L590" s="932"/>
      <c r="M590" s="132"/>
      <c r="N590" s="132"/>
      <c r="O590" s="132"/>
      <c r="P590" s="132"/>
      <c r="Q590" s="132"/>
      <c r="R590" s="132"/>
      <c r="S590" s="132"/>
      <c r="T590" s="132"/>
      <c r="U590" s="132"/>
      <c r="V590" s="132"/>
      <c r="W590" s="132"/>
      <c r="X590" s="132"/>
      <c r="Y590" s="132"/>
      <c r="Z590" s="132"/>
    </row>
    <row r="591" spans="1:26" ht="15" customHeight="1" x14ac:dyDescent="0.25">
      <c r="A591" s="1130"/>
      <c r="B591" s="931"/>
      <c r="C591" s="468"/>
      <c r="D591" s="932"/>
      <c r="E591" s="1130"/>
      <c r="F591" s="1130"/>
      <c r="G591" s="1047" t="s">
        <v>734</v>
      </c>
      <c r="H591" s="726"/>
      <c r="I591" s="254"/>
      <c r="J591" s="931"/>
      <c r="K591" s="468"/>
      <c r="L591" s="932"/>
      <c r="M591" s="132"/>
      <c r="N591" s="132"/>
      <c r="O591" s="132"/>
      <c r="P591" s="132"/>
      <c r="Q591" s="132"/>
      <c r="R591" s="132"/>
      <c r="S591" s="132"/>
      <c r="T591" s="132"/>
      <c r="U591" s="132"/>
      <c r="V591" s="132"/>
      <c r="W591" s="132"/>
      <c r="X591" s="132"/>
      <c r="Y591" s="132"/>
      <c r="Z591" s="132"/>
    </row>
    <row r="592" spans="1:26" ht="15" customHeight="1" x14ac:dyDescent="0.25">
      <c r="A592" s="1130"/>
      <c r="B592" s="931"/>
      <c r="C592" s="468"/>
      <c r="D592" s="932"/>
      <c r="E592" s="1130"/>
      <c r="F592" s="1130"/>
      <c r="G592" s="1047" t="s">
        <v>735</v>
      </c>
      <c r="H592" s="726"/>
      <c r="I592" s="254"/>
      <c r="J592" s="931"/>
      <c r="K592" s="468"/>
      <c r="L592" s="932"/>
      <c r="M592" s="132"/>
      <c r="N592" s="132"/>
      <c r="O592" s="132"/>
      <c r="P592" s="132"/>
      <c r="Q592" s="132"/>
      <c r="R592" s="132"/>
      <c r="S592" s="132"/>
      <c r="T592" s="132"/>
      <c r="U592" s="132"/>
      <c r="V592" s="132"/>
      <c r="W592" s="132"/>
      <c r="X592" s="132"/>
      <c r="Y592" s="132"/>
      <c r="Z592" s="132"/>
    </row>
    <row r="593" spans="1:26" ht="15" customHeight="1" x14ac:dyDescent="0.25">
      <c r="A593" s="1130"/>
      <c r="B593" s="931"/>
      <c r="C593" s="468"/>
      <c r="D593" s="932"/>
      <c r="E593" s="1130"/>
      <c r="F593" s="1130"/>
      <c r="G593" s="1047" t="s">
        <v>1809</v>
      </c>
      <c r="H593" s="726"/>
      <c r="I593" s="255"/>
      <c r="J593" s="931"/>
      <c r="K593" s="468"/>
      <c r="L593" s="932"/>
      <c r="M593" s="132"/>
      <c r="N593" s="132"/>
      <c r="O593" s="132"/>
      <c r="P593" s="132"/>
      <c r="Q593" s="132"/>
      <c r="R593" s="132"/>
      <c r="S593" s="132"/>
      <c r="T593" s="132"/>
      <c r="U593" s="132"/>
      <c r="V593" s="132"/>
      <c r="W593" s="132"/>
      <c r="X593" s="132"/>
      <c r="Y593" s="132"/>
      <c r="Z593" s="132"/>
    </row>
    <row r="594" spans="1:26" ht="15" customHeight="1" x14ac:dyDescent="0.25">
      <c r="A594" s="904"/>
      <c r="B594" s="738"/>
      <c r="C594" s="739"/>
      <c r="D594" s="740"/>
      <c r="E594" s="904"/>
      <c r="F594" s="904"/>
      <c r="G594" s="1047" t="s">
        <v>1810</v>
      </c>
      <c r="H594" s="726"/>
      <c r="I594" s="254"/>
      <c r="J594" s="738"/>
      <c r="K594" s="739"/>
      <c r="L594" s="740"/>
      <c r="M594" s="132"/>
      <c r="N594" s="132"/>
      <c r="O594" s="132"/>
      <c r="P594" s="132"/>
      <c r="Q594" s="132"/>
      <c r="R594" s="132"/>
      <c r="S594" s="132"/>
      <c r="T594" s="132"/>
      <c r="U594" s="132"/>
      <c r="V594" s="132"/>
      <c r="W594" s="132"/>
      <c r="X594" s="132"/>
      <c r="Y594" s="132"/>
      <c r="Z594" s="132"/>
    </row>
    <row r="595" spans="1:26" ht="15" customHeight="1" x14ac:dyDescent="0.25">
      <c r="A595" s="7"/>
      <c r="B595" s="116"/>
      <c r="K595" s="7"/>
      <c r="L595" s="7"/>
    </row>
    <row r="596" spans="1:26" ht="15" customHeight="1" x14ac:dyDescent="0.25">
      <c r="A596" s="7"/>
      <c r="B596" s="116"/>
      <c r="K596" s="7"/>
      <c r="L596" s="7"/>
    </row>
    <row r="597" spans="1:26" ht="15" customHeight="1" thickBot="1" x14ac:dyDescent="0.3">
      <c r="A597" s="7"/>
      <c r="B597" s="7"/>
      <c r="C597" s="7"/>
      <c r="D597" s="7"/>
      <c r="E597" s="7"/>
      <c r="F597" s="7"/>
      <c r="G597" s="7"/>
      <c r="H597" s="190"/>
      <c r="I597" s="190"/>
      <c r="J597" s="132"/>
      <c r="K597" s="132"/>
      <c r="L597" s="132"/>
    </row>
    <row r="598" spans="1:26" ht="15" customHeight="1" thickTop="1" x14ac:dyDescent="0.25">
      <c r="A598" s="7"/>
      <c r="B598" s="7"/>
      <c r="C598" s="7"/>
      <c r="H598" s="429" t="s">
        <v>1126</v>
      </c>
      <c r="I598" s="429"/>
      <c r="J598" s="429"/>
      <c r="K598" s="429"/>
      <c r="L598" s="429"/>
    </row>
    <row r="599" spans="1:26" ht="15" customHeight="1" x14ac:dyDescent="0.25">
      <c r="A599" s="7"/>
      <c r="B599" s="7"/>
      <c r="C599" s="7"/>
      <c r="H599" s="406" t="s">
        <v>1127</v>
      </c>
      <c r="I599" s="406"/>
      <c r="J599" s="406"/>
      <c r="K599" s="406"/>
      <c r="L599" s="406"/>
    </row>
    <row r="600" spans="1:26" ht="15" customHeight="1" x14ac:dyDescent="0.25">
      <c r="A600" s="7"/>
      <c r="B600" s="7"/>
      <c r="C600" s="7"/>
      <c r="H600" s="406" t="s">
        <v>1123</v>
      </c>
      <c r="I600" s="406"/>
      <c r="J600" s="406"/>
      <c r="K600" s="406"/>
      <c r="L600" s="406"/>
    </row>
    <row r="601" spans="1:26" ht="15" customHeight="1" x14ac:dyDescent="0.25">
      <c r="A601" s="7"/>
      <c r="B601" s="7"/>
      <c r="C601" s="7"/>
      <c r="H601" s="7"/>
      <c r="I601" s="7"/>
      <c r="J601" s="7"/>
      <c r="K601" s="7"/>
      <c r="L601" s="7"/>
    </row>
    <row r="602" spans="1:26" ht="15" customHeight="1" x14ac:dyDescent="0.25">
      <c r="A602" s="7"/>
      <c r="B602" s="7"/>
      <c r="C602" s="7"/>
      <c r="D602" s="7"/>
      <c r="E602" s="7"/>
      <c r="F602" s="7"/>
      <c r="G602" s="7"/>
      <c r="H602" s="7"/>
      <c r="I602" s="7"/>
      <c r="J602" s="7"/>
      <c r="K602" s="7"/>
      <c r="L602" s="7"/>
    </row>
    <row r="603" spans="1:26" ht="15" customHeight="1" x14ac:dyDescent="0.25">
      <c r="A603" s="7"/>
      <c r="B603" s="7"/>
      <c r="C603" s="7"/>
      <c r="D603" s="7"/>
      <c r="E603" s="7"/>
      <c r="F603" s="7"/>
      <c r="G603" s="7"/>
      <c r="H603" s="7"/>
      <c r="I603" s="7"/>
      <c r="J603" s="7"/>
      <c r="K603" s="7"/>
      <c r="L603" s="7"/>
    </row>
  </sheetData>
  <mergeCells count="838">
    <mergeCell ref="A445:L446"/>
    <mergeCell ref="A453:D453"/>
    <mergeCell ref="G453:H453"/>
    <mergeCell ref="I453:L453"/>
    <mergeCell ref="G454:H454"/>
    <mergeCell ref="A454:A462"/>
    <mergeCell ref="F454:F462"/>
    <mergeCell ref="G459:H459"/>
    <mergeCell ref="G460:H460"/>
    <mergeCell ref="B454:D462"/>
    <mergeCell ref="E454:E462"/>
    <mergeCell ref="J454:L462"/>
    <mergeCell ref="G455:H455"/>
    <mergeCell ref="G456:H456"/>
    <mergeCell ref="G457:H457"/>
    <mergeCell ref="A448:C448"/>
    <mergeCell ref="G458:H458"/>
    <mergeCell ref="G461:H461"/>
    <mergeCell ref="G462:H462"/>
    <mergeCell ref="I486:L486"/>
    <mergeCell ref="G491:H491"/>
    <mergeCell ref="G492:H492"/>
    <mergeCell ref="G478:H478"/>
    <mergeCell ref="J487:L495"/>
    <mergeCell ref="G466:H466"/>
    <mergeCell ref="G467:H467"/>
    <mergeCell ref="G468:H468"/>
    <mergeCell ref="G469:H469"/>
    <mergeCell ref="G470:H470"/>
    <mergeCell ref="G471:H471"/>
    <mergeCell ref="G472:H472"/>
    <mergeCell ref="G473:H473"/>
    <mergeCell ref="G475:H475"/>
    <mergeCell ref="I475:L475"/>
    <mergeCell ref="A486:D486"/>
    <mergeCell ref="A487:A495"/>
    <mergeCell ref="B487:D495"/>
    <mergeCell ref="E487:E495"/>
    <mergeCell ref="F487:F495"/>
    <mergeCell ref="A476:A484"/>
    <mergeCell ref="E476:E484"/>
    <mergeCell ref="F476:F484"/>
    <mergeCell ref="G476:H476"/>
    <mergeCell ref="G477:H477"/>
    <mergeCell ref="G484:H484"/>
    <mergeCell ref="G489:H489"/>
    <mergeCell ref="G490:H490"/>
    <mergeCell ref="G493:H493"/>
    <mergeCell ref="G494:H494"/>
    <mergeCell ref="G495:H495"/>
    <mergeCell ref="G487:H487"/>
    <mergeCell ref="G488:H488"/>
    <mergeCell ref="G486:H486"/>
    <mergeCell ref="G482:H482"/>
    <mergeCell ref="G483:H483"/>
    <mergeCell ref="I464:L464"/>
    <mergeCell ref="J465:L473"/>
    <mergeCell ref="G479:H479"/>
    <mergeCell ref="G480:H480"/>
    <mergeCell ref="G481:H481"/>
    <mergeCell ref="B476:D484"/>
    <mergeCell ref="J476:L484"/>
    <mergeCell ref="A475:D475"/>
    <mergeCell ref="E465:E473"/>
    <mergeCell ref="F465:F473"/>
    <mergeCell ref="A464:D464"/>
    <mergeCell ref="G464:H464"/>
    <mergeCell ref="A465:A473"/>
    <mergeCell ref="B465:D473"/>
    <mergeCell ref="G465:H465"/>
    <mergeCell ref="G592:H592"/>
    <mergeCell ref="G593:H593"/>
    <mergeCell ref="G594:H594"/>
    <mergeCell ref="G585:H585"/>
    <mergeCell ref="G586:H586"/>
    <mergeCell ref="G587:H587"/>
    <mergeCell ref="I497:L497"/>
    <mergeCell ref="G499:H499"/>
    <mergeCell ref="G500:H500"/>
    <mergeCell ref="G501:H501"/>
    <mergeCell ref="G502:H502"/>
    <mergeCell ref="G558:H558"/>
    <mergeCell ref="G559:H559"/>
    <mergeCell ref="G514:H514"/>
    <mergeCell ref="G515:H515"/>
    <mergeCell ref="G516:H516"/>
    <mergeCell ref="G517:H517"/>
    <mergeCell ref="G519:H519"/>
    <mergeCell ref="G520:H520"/>
    <mergeCell ref="G521:H521"/>
    <mergeCell ref="G522:H522"/>
    <mergeCell ref="G523:H523"/>
    <mergeCell ref="G524:H524"/>
    <mergeCell ref="I585:L585"/>
    <mergeCell ref="J586:L594"/>
    <mergeCell ref="J531:L539"/>
    <mergeCell ref="J542:L550"/>
    <mergeCell ref="I552:L552"/>
    <mergeCell ref="J553:L561"/>
    <mergeCell ref="I563:L563"/>
    <mergeCell ref="J564:L572"/>
    <mergeCell ref="I574:L574"/>
    <mergeCell ref="A553:A561"/>
    <mergeCell ref="B531:D539"/>
    <mergeCell ref="E564:E572"/>
    <mergeCell ref="F564:F572"/>
    <mergeCell ref="B553:D561"/>
    <mergeCell ref="E553:E561"/>
    <mergeCell ref="G557:H557"/>
    <mergeCell ref="G544:H544"/>
    <mergeCell ref="G545:H545"/>
    <mergeCell ref="G546:H546"/>
    <mergeCell ref="A574:D574"/>
    <mergeCell ref="G565:H565"/>
    <mergeCell ref="G566:H566"/>
    <mergeCell ref="G567:H567"/>
    <mergeCell ref="G568:H568"/>
    <mergeCell ref="G569:H569"/>
    <mergeCell ref="J498:L506"/>
    <mergeCell ref="J509:L517"/>
    <mergeCell ref="I519:L519"/>
    <mergeCell ref="J520:L528"/>
    <mergeCell ref="I530:L530"/>
    <mergeCell ref="I541:L541"/>
    <mergeCell ref="J575:L583"/>
    <mergeCell ref="G503:H503"/>
    <mergeCell ref="G504:H504"/>
    <mergeCell ref="G579:H579"/>
    <mergeCell ref="G580:H580"/>
    <mergeCell ref="G581:H581"/>
    <mergeCell ref="G582:H582"/>
    <mergeCell ref="G583:H583"/>
    <mergeCell ref="G563:H563"/>
    <mergeCell ref="G564:H564"/>
    <mergeCell ref="G532:H532"/>
    <mergeCell ref="G533:H533"/>
    <mergeCell ref="G534:H534"/>
    <mergeCell ref="G535:H535"/>
    <mergeCell ref="G536:H536"/>
    <mergeCell ref="G554:H554"/>
    <mergeCell ref="G555:H555"/>
    <mergeCell ref="G556:H556"/>
    <mergeCell ref="I508:L508"/>
    <mergeCell ref="G537:H537"/>
    <mergeCell ref="G538:H538"/>
    <mergeCell ref="G539:H539"/>
    <mergeCell ref="F553:F561"/>
    <mergeCell ref="A563:D563"/>
    <mergeCell ref="B564:D572"/>
    <mergeCell ref="F542:F550"/>
    <mergeCell ref="A552:D552"/>
    <mergeCell ref="G525:H525"/>
    <mergeCell ref="G526:H526"/>
    <mergeCell ref="G527:H527"/>
    <mergeCell ref="G528:H528"/>
    <mergeCell ref="G547:H547"/>
    <mergeCell ref="G548:H548"/>
    <mergeCell ref="G549:H549"/>
    <mergeCell ref="G550:H550"/>
    <mergeCell ref="G552:H552"/>
    <mergeCell ref="G553:H553"/>
    <mergeCell ref="G560:H560"/>
    <mergeCell ref="G561:H561"/>
    <mergeCell ref="B542:D550"/>
    <mergeCell ref="G511:H511"/>
    <mergeCell ref="G512:H512"/>
    <mergeCell ref="G513:H513"/>
    <mergeCell ref="E520:E528"/>
    <mergeCell ref="F520:F528"/>
    <mergeCell ref="A520:A528"/>
    <mergeCell ref="A531:A539"/>
    <mergeCell ref="A542:A550"/>
    <mergeCell ref="A509:A517"/>
    <mergeCell ref="B509:D517"/>
    <mergeCell ref="E509:E517"/>
    <mergeCell ref="F509:F517"/>
    <mergeCell ref="A519:D519"/>
    <mergeCell ref="B520:D528"/>
    <mergeCell ref="A530:D530"/>
    <mergeCell ref="G530:H530"/>
    <mergeCell ref="E531:E539"/>
    <mergeCell ref="F531:F539"/>
    <mergeCell ref="A541:D541"/>
    <mergeCell ref="E542:E550"/>
    <mergeCell ref="G531:H531"/>
    <mergeCell ref="G541:H541"/>
    <mergeCell ref="G542:H542"/>
    <mergeCell ref="G543:H543"/>
    <mergeCell ref="A497:D497"/>
    <mergeCell ref="A498:A506"/>
    <mergeCell ref="B498:D506"/>
    <mergeCell ref="E498:E506"/>
    <mergeCell ref="F498:F506"/>
    <mergeCell ref="G505:H505"/>
    <mergeCell ref="G506:H506"/>
    <mergeCell ref="G509:H509"/>
    <mergeCell ref="G510:H510"/>
    <mergeCell ref="G497:H497"/>
    <mergeCell ref="G498:H498"/>
    <mergeCell ref="A508:D508"/>
    <mergeCell ref="G508:H508"/>
    <mergeCell ref="G588:H588"/>
    <mergeCell ref="G589:H589"/>
    <mergeCell ref="G590:H590"/>
    <mergeCell ref="G591:H591"/>
    <mergeCell ref="G570:H570"/>
    <mergeCell ref="G571:H571"/>
    <mergeCell ref="G572:H572"/>
    <mergeCell ref="G574:H574"/>
    <mergeCell ref="G575:H575"/>
    <mergeCell ref="G576:H576"/>
    <mergeCell ref="G577:H577"/>
    <mergeCell ref="G578:H578"/>
    <mergeCell ref="B575:D583"/>
    <mergeCell ref="E575:E583"/>
    <mergeCell ref="F575:F583"/>
    <mergeCell ref="A585:D585"/>
    <mergeCell ref="B586:D594"/>
    <mergeCell ref="E586:E594"/>
    <mergeCell ref="F586:F594"/>
    <mergeCell ref="A564:A572"/>
    <mergeCell ref="A575:A583"/>
    <mergeCell ref="A586:A594"/>
    <mergeCell ref="I135:L135"/>
    <mergeCell ref="G135:H135"/>
    <mergeCell ref="G136:H136"/>
    <mergeCell ref="G137:H137"/>
    <mergeCell ref="G144:H144"/>
    <mergeCell ref="J158:L166"/>
    <mergeCell ref="I157:L157"/>
    <mergeCell ref="G164:H164"/>
    <mergeCell ref="G163:H163"/>
    <mergeCell ref="G162:H162"/>
    <mergeCell ref="G161:H161"/>
    <mergeCell ref="G160:H160"/>
    <mergeCell ref="G159:H159"/>
    <mergeCell ref="G158:H158"/>
    <mergeCell ref="G157:H157"/>
    <mergeCell ref="J136:L144"/>
    <mergeCell ref="I146:L146"/>
    <mergeCell ref="G153:H153"/>
    <mergeCell ref="G152:H152"/>
    <mergeCell ref="G147:H147"/>
    <mergeCell ref="G146:H146"/>
    <mergeCell ref="G190:H190"/>
    <mergeCell ref="A146:D146"/>
    <mergeCell ref="G165:H165"/>
    <mergeCell ref="A147:A155"/>
    <mergeCell ref="B147:D155"/>
    <mergeCell ref="E147:E155"/>
    <mergeCell ref="F147:F155"/>
    <mergeCell ref="J147:L155"/>
    <mergeCell ref="G149:H149"/>
    <mergeCell ref="G148:H148"/>
    <mergeCell ref="G155:H155"/>
    <mergeCell ref="G154:H154"/>
    <mergeCell ref="A157:D157"/>
    <mergeCell ref="A179:D179"/>
    <mergeCell ref="G174:H174"/>
    <mergeCell ref="G173:H173"/>
    <mergeCell ref="F158:F166"/>
    <mergeCell ref="E158:E166"/>
    <mergeCell ref="A158:A166"/>
    <mergeCell ref="G166:H166"/>
    <mergeCell ref="G170:H170"/>
    <mergeCell ref="G171:H171"/>
    <mergeCell ref="G172:H172"/>
    <mergeCell ref="B158:D166"/>
    <mergeCell ref="A168:D168"/>
    <mergeCell ref="A169:A177"/>
    <mergeCell ref="B169:D177"/>
    <mergeCell ref="E169:E177"/>
    <mergeCell ref="F169:F177"/>
    <mergeCell ref="G175:H175"/>
    <mergeCell ref="G176:H176"/>
    <mergeCell ref="G177:H177"/>
    <mergeCell ref="G179:H179"/>
    <mergeCell ref="G191:H191"/>
    <mergeCell ref="G192:H192"/>
    <mergeCell ref="G193:H193"/>
    <mergeCell ref="G196:H196"/>
    <mergeCell ref="G104:H104"/>
    <mergeCell ref="G105:H105"/>
    <mergeCell ref="G106:H106"/>
    <mergeCell ref="G91:H91"/>
    <mergeCell ref="G92:H92"/>
    <mergeCell ref="G93:H93"/>
    <mergeCell ref="G94:H94"/>
    <mergeCell ref="G97:H97"/>
    <mergeCell ref="G95:H95"/>
    <mergeCell ref="G114:H114"/>
    <mergeCell ref="G119:H119"/>
    <mergeCell ref="G120:H120"/>
    <mergeCell ref="G151:H151"/>
    <mergeCell ref="G116:H116"/>
    <mergeCell ref="G117:H117"/>
    <mergeCell ref="G118:H118"/>
    <mergeCell ref="G121:H121"/>
    <mergeCell ref="G122:H122"/>
    <mergeCell ref="G188:H188"/>
    <mergeCell ref="G186:H186"/>
    <mergeCell ref="G187:H187"/>
    <mergeCell ref="G99:H99"/>
    <mergeCell ref="G100:H100"/>
    <mergeCell ref="G75:H75"/>
    <mergeCell ref="G77:H77"/>
    <mergeCell ref="G78:H78"/>
    <mergeCell ref="G79:H79"/>
    <mergeCell ref="G80:H80"/>
    <mergeCell ref="G81:H81"/>
    <mergeCell ref="G82:H82"/>
    <mergeCell ref="G83:H83"/>
    <mergeCell ref="G139:H139"/>
    <mergeCell ref="G150:H150"/>
    <mergeCell ref="G108:H108"/>
    <mergeCell ref="G113:H113"/>
    <mergeCell ref="G115:H115"/>
    <mergeCell ref="G132:H132"/>
    <mergeCell ref="G133:H133"/>
    <mergeCell ref="G140:H140"/>
    <mergeCell ref="G86:H86"/>
    <mergeCell ref="G72:H72"/>
    <mergeCell ref="G73:H73"/>
    <mergeCell ref="G84:H84"/>
    <mergeCell ref="G58:H58"/>
    <mergeCell ref="G59:H59"/>
    <mergeCell ref="G60:H60"/>
    <mergeCell ref="G61:H61"/>
    <mergeCell ref="G64:H64"/>
    <mergeCell ref="G74:H74"/>
    <mergeCell ref="G71:H71"/>
    <mergeCell ref="G62:H62"/>
    <mergeCell ref="G66:H66"/>
    <mergeCell ref="G67:H67"/>
    <mergeCell ref="A1:L2"/>
    <mergeCell ref="A4:L5"/>
    <mergeCell ref="H7:J7"/>
    <mergeCell ref="H8:J22"/>
    <mergeCell ref="G33:H33"/>
    <mergeCell ref="G34:H34"/>
    <mergeCell ref="G35:H35"/>
    <mergeCell ref="G36:H36"/>
    <mergeCell ref="G37:H37"/>
    <mergeCell ref="G38:H38"/>
    <mergeCell ref="G43:H43"/>
    <mergeCell ref="G44:H44"/>
    <mergeCell ref="G39:H39"/>
    <mergeCell ref="G40:H40"/>
    <mergeCell ref="G51:H51"/>
    <mergeCell ref="G32:H32"/>
    <mergeCell ref="G45:H45"/>
    <mergeCell ref="G46:H46"/>
    <mergeCell ref="A351:D351"/>
    <mergeCell ref="G351:H351"/>
    <mergeCell ref="E363:E371"/>
    <mergeCell ref="F363:F371"/>
    <mergeCell ref="A363:A371"/>
    <mergeCell ref="G180:H180"/>
    <mergeCell ref="G181:H181"/>
    <mergeCell ref="G182:H182"/>
    <mergeCell ref="G183:H183"/>
    <mergeCell ref="G203:H203"/>
    <mergeCell ref="G207:H207"/>
    <mergeCell ref="G208:H208"/>
    <mergeCell ref="G209:H209"/>
    <mergeCell ref="G210:H210"/>
    <mergeCell ref="G198:H198"/>
    <mergeCell ref="G199:H199"/>
    <mergeCell ref="G204:H204"/>
    <mergeCell ref="G205:H205"/>
    <mergeCell ref="G206:H206"/>
    <mergeCell ref="G201:H201"/>
    <mergeCell ref="G202:H202"/>
    <mergeCell ref="G197:H197"/>
    <mergeCell ref="G194:H194"/>
    <mergeCell ref="G185:H185"/>
    <mergeCell ref="G363:H363"/>
    <mergeCell ref="G364:H364"/>
    <mergeCell ref="G365:H365"/>
    <mergeCell ref="E341:E349"/>
    <mergeCell ref="F341:F349"/>
    <mergeCell ref="G348:H348"/>
    <mergeCell ref="G349:H349"/>
    <mergeCell ref="G352:H352"/>
    <mergeCell ref="G353:H353"/>
    <mergeCell ref="G354:H354"/>
    <mergeCell ref="G355:H355"/>
    <mergeCell ref="G356:H356"/>
    <mergeCell ref="G285:H285"/>
    <mergeCell ref="G367:H367"/>
    <mergeCell ref="G368:H368"/>
    <mergeCell ref="G369:H369"/>
    <mergeCell ref="G370:H370"/>
    <mergeCell ref="G371:H371"/>
    <mergeCell ref="A249:A257"/>
    <mergeCell ref="G272:H272"/>
    <mergeCell ref="G273:H273"/>
    <mergeCell ref="G288:H288"/>
    <mergeCell ref="G289:H289"/>
    <mergeCell ref="G278:H278"/>
    <mergeCell ref="G279:H279"/>
    <mergeCell ref="G281:H281"/>
    <mergeCell ref="A292:D292"/>
    <mergeCell ref="A293:A301"/>
    <mergeCell ref="B293:D301"/>
    <mergeCell ref="E293:E301"/>
    <mergeCell ref="F293:F301"/>
    <mergeCell ref="B260:D268"/>
    <mergeCell ref="E260:E268"/>
    <mergeCell ref="F260:F268"/>
    <mergeCell ref="A340:D340"/>
    <mergeCell ref="A341:A349"/>
    <mergeCell ref="A212:L213"/>
    <mergeCell ref="A215:D215"/>
    <mergeCell ref="G215:H215"/>
    <mergeCell ref="I215:L215"/>
    <mergeCell ref="G216:H216"/>
    <mergeCell ref="A216:A224"/>
    <mergeCell ref="J216:L224"/>
    <mergeCell ref="G217:H217"/>
    <mergeCell ref="G218:H218"/>
    <mergeCell ref="G219:H219"/>
    <mergeCell ref="G224:H224"/>
    <mergeCell ref="G261:H261"/>
    <mergeCell ref="G262:H262"/>
    <mergeCell ref="G263:H263"/>
    <mergeCell ref="G264:H264"/>
    <mergeCell ref="G265:H265"/>
    <mergeCell ref="G266:H266"/>
    <mergeCell ref="G267:H267"/>
    <mergeCell ref="J260:L268"/>
    <mergeCell ref="G373:H373"/>
    <mergeCell ref="I281:L281"/>
    <mergeCell ref="G282:H282"/>
    <mergeCell ref="J282:L290"/>
    <mergeCell ref="G283:H283"/>
    <mergeCell ref="G290:H290"/>
    <mergeCell ref="G295:H295"/>
    <mergeCell ref="G296:H296"/>
    <mergeCell ref="G297:H297"/>
    <mergeCell ref="G298:H298"/>
    <mergeCell ref="G286:H286"/>
    <mergeCell ref="G287:H287"/>
    <mergeCell ref="G292:H292"/>
    <mergeCell ref="I292:L292"/>
    <mergeCell ref="G293:H293"/>
    <mergeCell ref="J293:L301"/>
    <mergeCell ref="I237:L237"/>
    <mergeCell ref="G239:H239"/>
    <mergeCell ref="G240:H240"/>
    <mergeCell ref="G241:H241"/>
    <mergeCell ref="G242:H242"/>
    <mergeCell ref="G243:H243"/>
    <mergeCell ref="G244:H244"/>
    <mergeCell ref="G245:H245"/>
    <mergeCell ref="A237:D237"/>
    <mergeCell ref="B238:D246"/>
    <mergeCell ref="E238:E246"/>
    <mergeCell ref="F238:F246"/>
    <mergeCell ref="J238:L246"/>
    <mergeCell ref="G246:H246"/>
    <mergeCell ref="F249:F257"/>
    <mergeCell ref="J249:L257"/>
    <mergeCell ref="G257:H257"/>
    <mergeCell ref="I259:L259"/>
    <mergeCell ref="G248:H248"/>
    <mergeCell ref="G249:H249"/>
    <mergeCell ref="A259:D259"/>
    <mergeCell ref="I248:L248"/>
    <mergeCell ref="G250:H250"/>
    <mergeCell ref="G251:H251"/>
    <mergeCell ref="G252:H252"/>
    <mergeCell ref="G253:H253"/>
    <mergeCell ref="G254:H254"/>
    <mergeCell ref="G255:H255"/>
    <mergeCell ref="G256:H256"/>
    <mergeCell ref="A374:A382"/>
    <mergeCell ref="A352:A360"/>
    <mergeCell ref="B352:D360"/>
    <mergeCell ref="E352:E360"/>
    <mergeCell ref="F352:F360"/>
    <mergeCell ref="A362:D362"/>
    <mergeCell ref="B363:D371"/>
    <mergeCell ref="A373:D373"/>
    <mergeCell ref="B396:D404"/>
    <mergeCell ref="E396:E404"/>
    <mergeCell ref="F396:F404"/>
    <mergeCell ref="B374:D382"/>
    <mergeCell ref="E374:E382"/>
    <mergeCell ref="F374:F382"/>
    <mergeCell ref="A384:D384"/>
    <mergeCell ref="E385:E393"/>
    <mergeCell ref="F385:F393"/>
    <mergeCell ref="A395:D395"/>
    <mergeCell ref="A396:A404"/>
    <mergeCell ref="B385:D393"/>
    <mergeCell ref="A385:A393"/>
    <mergeCell ref="G402:H402"/>
    <mergeCell ref="G403:H403"/>
    <mergeCell ref="J374:L382"/>
    <mergeCell ref="J385:L393"/>
    <mergeCell ref="I395:L395"/>
    <mergeCell ref="J396:L404"/>
    <mergeCell ref="G404:H404"/>
    <mergeCell ref="G390:H390"/>
    <mergeCell ref="G391:H391"/>
    <mergeCell ref="G392:H392"/>
    <mergeCell ref="G393:H393"/>
    <mergeCell ref="G395:H395"/>
    <mergeCell ref="G389:H389"/>
    <mergeCell ref="G396:H396"/>
    <mergeCell ref="G374:H374"/>
    <mergeCell ref="G384:H384"/>
    <mergeCell ref="G385:H385"/>
    <mergeCell ref="G386:H386"/>
    <mergeCell ref="G387:H387"/>
    <mergeCell ref="G388:H388"/>
    <mergeCell ref="I384:L384"/>
    <mergeCell ref="G380:H380"/>
    <mergeCell ref="G381:H381"/>
    <mergeCell ref="G382:H382"/>
    <mergeCell ref="G397:H397"/>
    <mergeCell ref="G398:H398"/>
    <mergeCell ref="G366:H366"/>
    <mergeCell ref="I340:L340"/>
    <mergeCell ref="G342:H342"/>
    <mergeCell ref="G343:H343"/>
    <mergeCell ref="G399:H399"/>
    <mergeCell ref="G400:H400"/>
    <mergeCell ref="G401:H401"/>
    <mergeCell ref="I351:L351"/>
    <mergeCell ref="G346:H346"/>
    <mergeCell ref="G347:H347"/>
    <mergeCell ref="G375:H375"/>
    <mergeCell ref="G376:H376"/>
    <mergeCell ref="G377:H377"/>
    <mergeCell ref="G378:H378"/>
    <mergeCell ref="G379:H379"/>
    <mergeCell ref="J363:L371"/>
    <mergeCell ref="I373:L373"/>
    <mergeCell ref="G357:H357"/>
    <mergeCell ref="G358:H358"/>
    <mergeCell ref="G359:H359"/>
    <mergeCell ref="G360:H360"/>
    <mergeCell ref="G362:H362"/>
    <mergeCell ref="J352:L360"/>
    <mergeCell ref="I362:L362"/>
    <mergeCell ref="G321:H321"/>
    <mergeCell ref="G322:H322"/>
    <mergeCell ref="G323:H323"/>
    <mergeCell ref="G340:H340"/>
    <mergeCell ref="G341:H341"/>
    <mergeCell ref="G344:H344"/>
    <mergeCell ref="G345:H345"/>
    <mergeCell ref="J315:L323"/>
    <mergeCell ref="G316:H316"/>
    <mergeCell ref="G317:H317"/>
    <mergeCell ref="G334:H334"/>
    <mergeCell ref="G335:H335"/>
    <mergeCell ref="J330:L338"/>
    <mergeCell ref="J341:L349"/>
    <mergeCell ref="I325:L325"/>
    <mergeCell ref="J326:L327"/>
    <mergeCell ref="I326:I327"/>
    <mergeCell ref="I329:L329"/>
    <mergeCell ref="B341:D349"/>
    <mergeCell ref="A330:A338"/>
    <mergeCell ref="B330:D338"/>
    <mergeCell ref="E330:E338"/>
    <mergeCell ref="F330:F338"/>
    <mergeCell ref="G336:H336"/>
    <mergeCell ref="G337:H337"/>
    <mergeCell ref="G338:H338"/>
    <mergeCell ref="A325:D325"/>
    <mergeCell ref="G325:H325"/>
    <mergeCell ref="A326:A327"/>
    <mergeCell ref="E326:E327"/>
    <mergeCell ref="F326:F327"/>
    <mergeCell ref="G332:H332"/>
    <mergeCell ref="G333:H333"/>
    <mergeCell ref="G326:H327"/>
    <mergeCell ref="G329:H329"/>
    <mergeCell ref="G330:H330"/>
    <mergeCell ref="G331:H331"/>
    <mergeCell ref="B326:D327"/>
    <mergeCell ref="A329:D329"/>
    <mergeCell ref="A303:D303"/>
    <mergeCell ref="G318:H318"/>
    <mergeCell ref="G319:H319"/>
    <mergeCell ref="A304:A312"/>
    <mergeCell ref="B304:D312"/>
    <mergeCell ref="E304:E312"/>
    <mergeCell ref="F304:F312"/>
    <mergeCell ref="A314:D314"/>
    <mergeCell ref="G314:H314"/>
    <mergeCell ref="A315:A323"/>
    <mergeCell ref="B315:D323"/>
    <mergeCell ref="E315:E323"/>
    <mergeCell ref="F315:F323"/>
    <mergeCell ref="I270:L270"/>
    <mergeCell ref="G271:H271"/>
    <mergeCell ref="J271:L279"/>
    <mergeCell ref="G268:H268"/>
    <mergeCell ref="I314:L314"/>
    <mergeCell ref="G315:H315"/>
    <mergeCell ref="G320:H320"/>
    <mergeCell ref="G299:H299"/>
    <mergeCell ref="G300:H300"/>
    <mergeCell ref="G306:H306"/>
    <mergeCell ref="G307:H307"/>
    <mergeCell ref="G308:H308"/>
    <mergeCell ref="G309:H309"/>
    <mergeCell ref="G310:H310"/>
    <mergeCell ref="G311:H311"/>
    <mergeCell ref="G303:H303"/>
    <mergeCell ref="I303:L303"/>
    <mergeCell ref="G304:H304"/>
    <mergeCell ref="J304:L312"/>
    <mergeCell ref="G305:H305"/>
    <mergeCell ref="G312:H312"/>
    <mergeCell ref="G294:H294"/>
    <mergeCell ref="G301:H301"/>
    <mergeCell ref="G284:H284"/>
    <mergeCell ref="G227:H227"/>
    <mergeCell ref="B282:D290"/>
    <mergeCell ref="E282:E290"/>
    <mergeCell ref="A260:A268"/>
    <mergeCell ref="A271:A279"/>
    <mergeCell ref="B271:D279"/>
    <mergeCell ref="E271:E279"/>
    <mergeCell ref="F271:F279"/>
    <mergeCell ref="A281:D281"/>
    <mergeCell ref="F282:F290"/>
    <mergeCell ref="A282:A290"/>
    <mergeCell ref="G274:H274"/>
    <mergeCell ref="G275:H275"/>
    <mergeCell ref="G276:H276"/>
    <mergeCell ref="G277:H277"/>
    <mergeCell ref="G259:H259"/>
    <mergeCell ref="G260:H260"/>
    <mergeCell ref="A270:D270"/>
    <mergeCell ref="G270:H270"/>
    <mergeCell ref="G237:H237"/>
    <mergeCell ref="G238:H238"/>
    <mergeCell ref="A248:D248"/>
    <mergeCell ref="B249:D257"/>
    <mergeCell ref="E249:E257"/>
    <mergeCell ref="A227:A235"/>
    <mergeCell ref="A238:A246"/>
    <mergeCell ref="G222:H222"/>
    <mergeCell ref="G223:H223"/>
    <mergeCell ref="B216:D224"/>
    <mergeCell ref="E216:E224"/>
    <mergeCell ref="F216:F224"/>
    <mergeCell ref="I226:L226"/>
    <mergeCell ref="G228:H228"/>
    <mergeCell ref="G229:H229"/>
    <mergeCell ref="G230:H230"/>
    <mergeCell ref="G231:H231"/>
    <mergeCell ref="G232:H232"/>
    <mergeCell ref="G233:H233"/>
    <mergeCell ref="G234:H234"/>
    <mergeCell ref="G220:H220"/>
    <mergeCell ref="G221:H221"/>
    <mergeCell ref="A226:D226"/>
    <mergeCell ref="B227:D235"/>
    <mergeCell ref="E227:E235"/>
    <mergeCell ref="F227:F235"/>
    <mergeCell ref="J227:L235"/>
    <mergeCell ref="G235:H235"/>
    <mergeCell ref="G226:H226"/>
    <mergeCell ref="A77:D77"/>
    <mergeCell ref="I113:L113"/>
    <mergeCell ref="J114:L122"/>
    <mergeCell ref="A110:L111"/>
    <mergeCell ref="A113:D113"/>
    <mergeCell ref="A114:A122"/>
    <mergeCell ref="B114:D122"/>
    <mergeCell ref="J169:L177"/>
    <mergeCell ref="I77:L77"/>
    <mergeCell ref="J78:L86"/>
    <mergeCell ref="A78:A86"/>
    <mergeCell ref="B78:D86"/>
    <mergeCell ref="A124:D124"/>
    <mergeCell ref="G124:H124"/>
    <mergeCell ref="I124:L124"/>
    <mergeCell ref="E114:E122"/>
    <mergeCell ref="G141:H141"/>
    <mergeCell ref="G142:H142"/>
    <mergeCell ref="G143:H143"/>
    <mergeCell ref="G168:H168"/>
    <mergeCell ref="G169:H169"/>
    <mergeCell ref="G138:H138"/>
    <mergeCell ref="G88:H88"/>
    <mergeCell ref="G89:H89"/>
    <mergeCell ref="F191:F199"/>
    <mergeCell ref="J191:L199"/>
    <mergeCell ref="B191:D199"/>
    <mergeCell ref="A44:A53"/>
    <mergeCell ref="B44:D53"/>
    <mergeCell ref="E44:E53"/>
    <mergeCell ref="F44:F53"/>
    <mergeCell ref="J44:L53"/>
    <mergeCell ref="G52:H52"/>
    <mergeCell ref="A56:A64"/>
    <mergeCell ref="E56:E64"/>
    <mergeCell ref="F56:F64"/>
    <mergeCell ref="J56:L64"/>
    <mergeCell ref="A55:D55"/>
    <mergeCell ref="I55:L55"/>
    <mergeCell ref="G63:H63"/>
    <mergeCell ref="I179:L179"/>
    <mergeCell ref="I168:L168"/>
    <mergeCell ref="B56:D64"/>
    <mergeCell ref="A66:D66"/>
    <mergeCell ref="A67:A75"/>
    <mergeCell ref="B67:D75"/>
    <mergeCell ref="E67:E75"/>
    <mergeCell ref="F67:F75"/>
    <mergeCell ref="J125:L133"/>
    <mergeCell ref="G126:H126"/>
    <mergeCell ref="G127:H127"/>
    <mergeCell ref="G128:H128"/>
    <mergeCell ref="G129:H129"/>
    <mergeCell ref="G130:H130"/>
    <mergeCell ref="I201:L201"/>
    <mergeCell ref="J202:L210"/>
    <mergeCell ref="A201:D201"/>
    <mergeCell ref="A202:A210"/>
    <mergeCell ref="B202:D210"/>
    <mergeCell ref="E202:E210"/>
    <mergeCell ref="F202:F210"/>
    <mergeCell ref="G184:H184"/>
    <mergeCell ref="A190:D190"/>
    <mergeCell ref="I190:L190"/>
    <mergeCell ref="G195:H195"/>
    <mergeCell ref="A180:A188"/>
    <mergeCell ref="B180:D188"/>
    <mergeCell ref="E180:E188"/>
    <mergeCell ref="F180:F188"/>
    <mergeCell ref="J180:L188"/>
    <mergeCell ref="A191:A199"/>
    <mergeCell ref="E191:E199"/>
    <mergeCell ref="A136:A144"/>
    <mergeCell ref="B136:D144"/>
    <mergeCell ref="E136:E144"/>
    <mergeCell ref="F136:F144"/>
    <mergeCell ref="G107:H107"/>
    <mergeCell ref="A89:A97"/>
    <mergeCell ref="B89:D97"/>
    <mergeCell ref="E89:E97"/>
    <mergeCell ref="F89:F97"/>
    <mergeCell ref="F114:F122"/>
    <mergeCell ref="A125:A133"/>
    <mergeCell ref="B125:D133"/>
    <mergeCell ref="E125:E133"/>
    <mergeCell ref="F125:F133"/>
    <mergeCell ref="A135:D135"/>
    <mergeCell ref="G131:H131"/>
    <mergeCell ref="G125:H125"/>
    <mergeCell ref="G90:H90"/>
    <mergeCell ref="J89:L97"/>
    <mergeCell ref="G96:H96"/>
    <mergeCell ref="A100:A108"/>
    <mergeCell ref="B100:D108"/>
    <mergeCell ref="E100:E108"/>
    <mergeCell ref="F100:F108"/>
    <mergeCell ref="J100:L108"/>
    <mergeCell ref="E78:E86"/>
    <mergeCell ref="F78:F86"/>
    <mergeCell ref="A88:D88"/>
    <mergeCell ref="I88:L88"/>
    <mergeCell ref="A99:D99"/>
    <mergeCell ref="I99:L99"/>
    <mergeCell ref="G101:H101"/>
    <mergeCell ref="G102:H102"/>
    <mergeCell ref="G103:H103"/>
    <mergeCell ref="G85:H85"/>
    <mergeCell ref="I66:L66"/>
    <mergeCell ref="J67:L75"/>
    <mergeCell ref="A29:L30"/>
    <mergeCell ref="I32:L32"/>
    <mergeCell ref="J33:L41"/>
    <mergeCell ref="I43:L43"/>
    <mergeCell ref="G41:H41"/>
    <mergeCell ref="A32:D32"/>
    <mergeCell ref="A33:A41"/>
    <mergeCell ref="B33:D41"/>
    <mergeCell ref="E33:E41"/>
    <mergeCell ref="F33:F41"/>
    <mergeCell ref="A43:D43"/>
    <mergeCell ref="G49:H49"/>
    <mergeCell ref="G50:H50"/>
    <mergeCell ref="G53:H53"/>
    <mergeCell ref="G47:H47"/>
    <mergeCell ref="G48:H48"/>
    <mergeCell ref="G56:H56"/>
    <mergeCell ref="G57:H57"/>
    <mergeCell ref="G55:H55"/>
    <mergeCell ref="G68:H68"/>
    <mergeCell ref="G69:H69"/>
    <mergeCell ref="G70:H70"/>
    <mergeCell ref="A438:B438"/>
    <mergeCell ref="I438:J438"/>
    <mergeCell ref="A439:B439"/>
    <mergeCell ref="I439:J439"/>
    <mergeCell ref="A440:B440"/>
    <mergeCell ref="A441:B441"/>
    <mergeCell ref="A435:B435"/>
    <mergeCell ref="I435:J435"/>
    <mergeCell ref="A436:B436"/>
    <mergeCell ref="I436:J436"/>
    <mergeCell ref="A437:B437"/>
    <mergeCell ref="I437:J437"/>
    <mergeCell ref="H598:L598"/>
    <mergeCell ref="H599:L599"/>
    <mergeCell ref="H600:L600"/>
    <mergeCell ref="A407:L408"/>
    <mergeCell ref="A410:F410"/>
    <mergeCell ref="H410:J410"/>
    <mergeCell ref="A418:E427"/>
    <mergeCell ref="F418:G427"/>
    <mergeCell ref="H418:L427"/>
    <mergeCell ref="A432:B432"/>
    <mergeCell ref="I432:J432"/>
    <mergeCell ref="A433:B433"/>
    <mergeCell ref="I433:J433"/>
    <mergeCell ref="A434:B434"/>
    <mergeCell ref="I434:J434"/>
    <mergeCell ref="A429:H429"/>
    <mergeCell ref="I429:L429"/>
    <mergeCell ref="A430:B431"/>
    <mergeCell ref="C430:C431"/>
    <mergeCell ref="D430:D431"/>
    <mergeCell ref="E430:H430"/>
    <mergeCell ref="I430:J430"/>
    <mergeCell ref="I431:J431"/>
    <mergeCell ref="A442:B442"/>
  </mergeCells>
  <conditionalFormatting sqref="H104:H108 H206:H210 H400:H404 I34:I38 I40 I210 I404">
    <cfRule type="cellIs" dxfId="171" priority="55" operator="lessThan">
      <formula>0.1</formula>
    </cfRule>
  </conditionalFormatting>
  <conditionalFormatting sqref="H37:H41">
    <cfRule type="cellIs" dxfId="170" priority="56" operator="lessThan">
      <formula>0.1</formula>
    </cfRule>
  </conditionalFormatting>
  <conditionalFormatting sqref="H71:H75">
    <cfRule type="cellIs" dxfId="169" priority="57" operator="lessThan">
      <formula>0.1</formula>
    </cfRule>
  </conditionalFormatting>
  <conditionalFormatting sqref="I41">
    <cfRule type="cellIs" dxfId="168" priority="58" operator="lessThan">
      <formula>0.1</formula>
    </cfRule>
  </conditionalFormatting>
  <conditionalFormatting sqref="I53">
    <cfRule type="cellIs" dxfId="167" priority="59" operator="lessThan">
      <formula>0.1</formula>
    </cfRule>
  </conditionalFormatting>
  <conditionalFormatting sqref="I75">
    <cfRule type="cellIs" dxfId="166" priority="60" operator="lessThan">
      <formula>0.1</formula>
    </cfRule>
  </conditionalFormatting>
  <conditionalFormatting sqref="H82:H86">
    <cfRule type="cellIs" dxfId="165" priority="61" operator="lessThan">
      <formula>0.1</formula>
    </cfRule>
  </conditionalFormatting>
  <conditionalFormatting sqref="I85">
    <cfRule type="cellIs" dxfId="164" priority="62" operator="lessThan">
      <formula>0.1</formula>
    </cfRule>
  </conditionalFormatting>
  <conditionalFormatting sqref="H93:H97">
    <cfRule type="cellIs" dxfId="163" priority="63" operator="lessThan">
      <formula>0.1</formula>
    </cfRule>
  </conditionalFormatting>
  <conditionalFormatting sqref="I94:I96">
    <cfRule type="cellIs" dxfId="162" priority="64" operator="lessThan">
      <formula>0.1</formula>
    </cfRule>
  </conditionalFormatting>
  <conditionalFormatting sqref="I97">
    <cfRule type="cellIs" dxfId="161" priority="65" operator="lessThan">
      <formula>0.1</formula>
    </cfRule>
  </conditionalFormatting>
  <conditionalFormatting sqref="I84">
    <cfRule type="cellIs" dxfId="160" priority="66" operator="lessThan">
      <formula>0.1</formula>
    </cfRule>
  </conditionalFormatting>
  <conditionalFormatting sqref="I68:I74">
    <cfRule type="cellIs" dxfId="159" priority="67" operator="lessThan">
      <formula>0.1</formula>
    </cfRule>
  </conditionalFormatting>
  <conditionalFormatting sqref="I45:I48 I50 I52">
    <cfRule type="cellIs" dxfId="158" priority="68" operator="lessThan">
      <formula>0.1</formula>
    </cfRule>
  </conditionalFormatting>
  <conditionalFormatting sqref="I101:I108">
    <cfRule type="cellIs" dxfId="157" priority="69" operator="lessThan">
      <formula>0.1</formula>
    </cfRule>
  </conditionalFormatting>
  <conditionalFormatting sqref="I90:I93">
    <cfRule type="cellIs" dxfId="156" priority="70" operator="lessThan">
      <formula>0.1</formula>
    </cfRule>
  </conditionalFormatting>
  <conditionalFormatting sqref="I79:I83">
    <cfRule type="cellIs" dxfId="155" priority="71" operator="lessThan">
      <formula>0.1</formula>
    </cfRule>
  </conditionalFormatting>
  <conditionalFormatting sqref="H48 H50:H53">
    <cfRule type="cellIs" dxfId="154" priority="72" operator="lessThan">
      <formula>0.1</formula>
    </cfRule>
  </conditionalFormatting>
  <conditionalFormatting sqref="H49">
    <cfRule type="cellIs" dxfId="153" priority="73" operator="lessThan">
      <formula>0.1</formula>
    </cfRule>
  </conditionalFormatting>
  <conditionalFormatting sqref="I49">
    <cfRule type="cellIs" dxfId="152" priority="74" operator="lessThan">
      <formula>0.1</formula>
    </cfRule>
  </conditionalFormatting>
  <conditionalFormatting sqref="H60:H64">
    <cfRule type="cellIs" dxfId="151" priority="75" operator="lessThan">
      <formula>0.1</formula>
    </cfRule>
  </conditionalFormatting>
  <conditionalFormatting sqref="I64">
    <cfRule type="cellIs" dxfId="150" priority="76" operator="lessThan">
      <formula>0.1</formula>
    </cfRule>
  </conditionalFormatting>
  <conditionalFormatting sqref="I57:I63">
    <cfRule type="cellIs" dxfId="149" priority="77" operator="lessThan">
      <formula>0.1</formula>
    </cfRule>
  </conditionalFormatting>
  <conditionalFormatting sqref="I115:I119 I121">
    <cfRule type="cellIs" dxfId="148" priority="181" operator="lessThan">
      <formula>0.1</formula>
    </cfRule>
  </conditionalFormatting>
  <conditionalFormatting sqref="H118:H122">
    <cfRule type="cellIs" dxfId="147" priority="182" operator="lessThan">
      <formula>0.1</formula>
    </cfRule>
  </conditionalFormatting>
  <conditionalFormatting sqref="I122">
    <cfRule type="cellIs" dxfId="146" priority="183" operator="lessThan">
      <formula>0.1</formula>
    </cfRule>
  </conditionalFormatting>
  <conditionalFormatting sqref="I126:I130 I132">
    <cfRule type="cellIs" dxfId="145" priority="184" operator="lessThan">
      <formula>0.1</formula>
    </cfRule>
  </conditionalFormatting>
  <conditionalFormatting sqref="H129:H133">
    <cfRule type="cellIs" dxfId="144" priority="185" operator="lessThan">
      <formula>0.1</formula>
    </cfRule>
  </conditionalFormatting>
  <conditionalFormatting sqref="I133">
    <cfRule type="cellIs" dxfId="143" priority="186" operator="lessThan">
      <formula>0.1</formula>
    </cfRule>
  </conditionalFormatting>
  <conditionalFormatting sqref="I137:I141 I143">
    <cfRule type="cellIs" dxfId="142" priority="187" operator="lessThan">
      <formula>0.1</formula>
    </cfRule>
  </conditionalFormatting>
  <conditionalFormatting sqref="H140:H144">
    <cfRule type="cellIs" dxfId="141" priority="188" operator="lessThan">
      <formula>0.1</formula>
    </cfRule>
  </conditionalFormatting>
  <conditionalFormatting sqref="I144">
    <cfRule type="cellIs" dxfId="140" priority="189" operator="lessThan">
      <formula>0.1</formula>
    </cfRule>
  </conditionalFormatting>
  <conditionalFormatting sqref="I148:I152 I154">
    <cfRule type="cellIs" dxfId="139" priority="190" operator="lessThan">
      <formula>0.1</formula>
    </cfRule>
  </conditionalFormatting>
  <conditionalFormatting sqref="H151:H155">
    <cfRule type="cellIs" dxfId="138" priority="191" operator="lessThan">
      <formula>0.1</formula>
    </cfRule>
  </conditionalFormatting>
  <conditionalFormatting sqref="I155">
    <cfRule type="cellIs" dxfId="137" priority="192" operator="lessThan">
      <formula>0.1</formula>
    </cfRule>
  </conditionalFormatting>
  <conditionalFormatting sqref="I159:I163 I165">
    <cfRule type="cellIs" dxfId="136" priority="193" operator="lessThan">
      <formula>0.1</formula>
    </cfRule>
  </conditionalFormatting>
  <conditionalFormatting sqref="H162:H166">
    <cfRule type="cellIs" dxfId="135" priority="194" operator="lessThan">
      <formula>0.1</formula>
    </cfRule>
  </conditionalFormatting>
  <conditionalFormatting sqref="I166">
    <cfRule type="cellIs" dxfId="134" priority="195" operator="lessThan">
      <formula>0.1</formula>
    </cfRule>
  </conditionalFormatting>
  <conditionalFormatting sqref="I170:I174 I176">
    <cfRule type="cellIs" dxfId="133" priority="196" operator="lessThan">
      <formula>0.1</formula>
    </cfRule>
  </conditionalFormatting>
  <conditionalFormatting sqref="H173:H177">
    <cfRule type="cellIs" dxfId="132" priority="197" operator="lessThan">
      <formula>0.1</formula>
    </cfRule>
  </conditionalFormatting>
  <conditionalFormatting sqref="I177">
    <cfRule type="cellIs" dxfId="131" priority="198" operator="lessThan">
      <formula>0.1</formula>
    </cfRule>
  </conditionalFormatting>
  <conditionalFormatting sqref="I181:I185 I187">
    <cfRule type="cellIs" dxfId="130" priority="199" operator="lessThan">
      <formula>0.1</formula>
    </cfRule>
  </conditionalFormatting>
  <conditionalFormatting sqref="H184:H188">
    <cfRule type="cellIs" dxfId="129" priority="200" operator="lessThan">
      <formula>0.1</formula>
    </cfRule>
  </conditionalFormatting>
  <conditionalFormatting sqref="I188">
    <cfRule type="cellIs" dxfId="128" priority="201" operator="lessThan">
      <formula>0.1</formula>
    </cfRule>
  </conditionalFormatting>
  <conditionalFormatting sqref="I192:I196 I198">
    <cfRule type="cellIs" dxfId="127" priority="202" operator="lessThan">
      <formula>0.1</formula>
    </cfRule>
  </conditionalFormatting>
  <conditionalFormatting sqref="H195:H199">
    <cfRule type="cellIs" dxfId="126" priority="203" operator="lessThan">
      <formula>0.1</formula>
    </cfRule>
  </conditionalFormatting>
  <conditionalFormatting sqref="I199">
    <cfRule type="cellIs" dxfId="125" priority="204" operator="lessThan">
      <formula>0.1</formula>
    </cfRule>
  </conditionalFormatting>
  <conditionalFormatting sqref="I203:I207 I209">
    <cfRule type="cellIs" dxfId="124" priority="205" operator="lessThan">
      <formula>0.1</formula>
    </cfRule>
  </conditionalFormatting>
  <conditionalFormatting sqref="H220:H224 I224">
    <cfRule type="cellIs" dxfId="123" priority="246" operator="lessThan">
      <formula>0.1</formula>
    </cfRule>
  </conditionalFormatting>
  <conditionalFormatting sqref="I217">
    <cfRule type="cellIs" dxfId="122" priority="247" operator="lessThan">
      <formula>0.1</formula>
    </cfRule>
  </conditionalFormatting>
  <conditionalFormatting sqref="I218:I222">
    <cfRule type="cellIs" dxfId="121" priority="248" operator="lessThan">
      <formula>0.1</formula>
    </cfRule>
  </conditionalFormatting>
  <conditionalFormatting sqref="I216">
    <cfRule type="cellIs" dxfId="120" priority="249" operator="lessThan">
      <formula>0.1</formula>
    </cfRule>
  </conditionalFormatting>
  <conditionalFormatting sqref="H231:H235 I235">
    <cfRule type="cellIs" dxfId="119" priority="250" operator="lessThan">
      <formula>0.1</formula>
    </cfRule>
  </conditionalFormatting>
  <conditionalFormatting sqref="I228">
    <cfRule type="cellIs" dxfId="118" priority="251" operator="lessThan">
      <formula>0.1</formula>
    </cfRule>
  </conditionalFormatting>
  <conditionalFormatting sqref="I229:I233">
    <cfRule type="cellIs" dxfId="117" priority="252" operator="lessThan">
      <formula>0.1</formula>
    </cfRule>
  </conditionalFormatting>
  <conditionalFormatting sqref="I227">
    <cfRule type="cellIs" dxfId="116" priority="253" operator="lessThan">
      <formula>0.1</formula>
    </cfRule>
  </conditionalFormatting>
  <conditionalFormatting sqref="H242:H246 I246">
    <cfRule type="cellIs" dxfId="115" priority="254" operator="lessThan">
      <formula>0.1</formula>
    </cfRule>
  </conditionalFormatting>
  <conditionalFormatting sqref="I239 I245">
    <cfRule type="cellIs" dxfId="114" priority="255" operator="lessThan">
      <formula>0.1</formula>
    </cfRule>
  </conditionalFormatting>
  <conditionalFormatting sqref="I240:I244">
    <cfRule type="cellIs" dxfId="113" priority="256" operator="lessThan">
      <formula>0.1</formula>
    </cfRule>
  </conditionalFormatting>
  <conditionalFormatting sqref="I238">
    <cfRule type="cellIs" dxfId="112" priority="257" operator="lessThan">
      <formula>0.1</formula>
    </cfRule>
  </conditionalFormatting>
  <conditionalFormatting sqref="H253:H257 I257">
    <cfRule type="cellIs" dxfId="111" priority="258" operator="lessThan">
      <formula>0.1</formula>
    </cfRule>
  </conditionalFormatting>
  <conditionalFormatting sqref="I250 I256">
    <cfRule type="cellIs" dxfId="110" priority="259" operator="lessThan">
      <formula>0.1</formula>
    </cfRule>
  </conditionalFormatting>
  <conditionalFormatting sqref="I251:I255">
    <cfRule type="cellIs" dxfId="109" priority="260" operator="lessThan">
      <formula>0.1</formula>
    </cfRule>
  </conditionalFormatting>
  <conditionalFormatting sqref="I249">
    <cfRule type="cellIs" dxfId="108" priority="261" operator="lessThan">
      <formula>0.1</formula>
    </cfRule>
  </conditionalFormatting>
  <conditionalFormatting sqref="H264:H268 I268">
    <cfRule type="cellIs" dxfId="107" priority="262" operator="lessThan">
      <formula>0.1</formula>
    </cfRule>
  </conditionalFormatting>
  <conditionalFormatting sqref="I261 I267">
    <cfRule type="cellIs" dxfId="106" priority="263" operator="lessThan">
      <formula>0.1</formula>
    </cfRule>
  </conditionalFormatting>
  <conditionalFormatting sqref="I262:I266">
    <cfRule type="cellIs" dxfId="105" priority="264" operator="lessThan">
      <formula>0.1</formula>
    </cfRule>
  </conditionalFormatting>
  <conditionalFormatting sqref="I260">
    <cfRule type="cellIs" dxfId="104" priority="265" operator="lessThan">
      <formula>0.1</formula>
    </cfRule>
  </conditionalFormatting>
  <conditionalFormatting sqref="H275:H279 I279">
    <cfRule type="cellIs" dxfId="103" priority="266" operator="lessThan">
      <formula>0.1</formula>
    </cfRule>
  </conditionalFormatting>
  <conditionalFormatting sqref="I272 I278">
    <cfRule type="cellIs" dxfId="102" priority="267" operator="lessThan">
      <formula>0.1</formula>
    </cfRule>
  </conditionalFormatting>
  <conditionalFormatting sqref="I273:I277">
    <cfRule type="cellIs" dxfId="101" priority="268" operator="lessThan">
      <formula>0.1</formula>
    </cfRule>
  </conditionalFormatting>
  <conditionalFormatting sqref="I271">
    <cfRule type="cellIs" dxfId="100" priority="269" operator="lessThan">
      <formula>0.1</formula>
    </cfRule>
  </conditionalFormatting>
  <conditionalFormatting sqref="H286:H290 I290">
    <cfRule type="cellIs" dxfId="99" priority="270" operator="lessThan">
      <formula>0.1</formula>
    </cfRule>
  </conditionalFormatting>
  <conditionalFormatting sqref="I283 I289">
    <cfRule type="cellIs" dxfId="98" priority="271" operator="lessThan">
      <formula>0.1</formula>
    </cfRule>
  </conditionalFormatting>
  <conditionalFormatting sqref="I284:I288">
    <cfRule type="cellIs" dxfId="97" priority="272" operator="lessThan">
      <formula>0.1</formula>
    </cfRule>
  </conditionalFormatting>
  <conditionalFormatting sqref="I282">
    <cfRule type="cellIs" dxfId="96" priority="273" operator="lessThan">
      <formula>0.1</formula>
    </cfRule>
  </conditionalFormatting>
  <conditionalFormatting sqref="H297:H301 I301">
    <cfRule type="cellIs" dxfId="95" priority="274" operator="lessThan">
      <formula>0.1</formula>
    </cfRule>
  </conditionalFormatting>
  <conditionalFormatting sqref="I294 I300">
    <cfRule type="cellIs" dxfId="94" priority="275" operator="lessThan">
      <formula>0.1</formula>
    </cfRule>
  </conditionalFormatting>
  <conditionalFormatting sqref="I295:I299">
    <cfRule type="cellIs" dxfId="93" priority="276" operator="lessThan">
      <formula>0.1</formula>
    </cfRule>
  </conditionalFormatting>
  <conditionalFormatting sqref="I293">
    <cfRule type="cellIs" dxfId="92" priority="277" operator="lessThan">
      <formula>0.1</formula>
    </cfRule>
  </conditionalFormatting>
  <conditionalFormatting sqref="H308:H312 I312">
    <cfRule type="cellIs" dxfId="91" priority="278" operator="lessThan">
      <formula>0.1</formula>
    </cfRule>
  </conditionalFormatting>
  <conditionalFormatting sqref="I305 I311">
    <cfRule type="cellIs" dxfId="90" priority="279" operator="lessThan">
      <formula>0.1</formula>
    </cfRule>
  </conditionalFormatting>
  <conditionalFormatting sqref="I306:I310">
    <cfRule type="cellIs" dxfId="89" priority="280" operator="lessThan">
      <formula>0.1</formula>
    </cfRule>
  </conditionalFormatting>
  <conditionalFormatting sqref="I304">
    <cfRule type="cellIs" dxfId="88" priority="281" operator="lessThan">
      <formula>0.1</formula>
    </cfRule>
  </conditionalFormatting>
  <conditionalFormatting sqref="H319:H323 I323">
    <cfRule type="cellIs" dxfId="87" priority="282" operator="lessThan">
      <formula>0.1</formula>
    </cfRule>
  </conditionalFormatting>
  <conditionalFormatting sqref="I316 I322">
    <cfRule type="cellIs" dxfId="86" priority="283" operator="lessThan">
      <formula>0.1</formula>
    </cfRule>
  </conditionalFormatting>
  <conditionalFormatting sqref="I317:I321">
    <cfRule type="cellIs" dxfId="85" priority="284" operator="lessThan">
      <formula>0.1</formula>
    </cfRule>
  </conditionalFormatting>
  <conditionalFormatting sqref="I315">
    <cfRule type="cellIs" dxfId="84" priority="285" operator="lessThan">
      <formula>0.1</formula>
    </cfRule>
  </conditionalFormatting>
  <conditionalFormatting sqref="H356:H360 I360">
    <cfRule type="cellIs" dxfId="83" priority="286" operator="lessThan">
      <formula>0.1</formula>
    </cfRule>
  </conditionalFormatting>
  <conditionalFormatting sqref="I353 I359">
    <cfRule type="cellIs" dxfId="82" priority="287" operator="lessThan">
      <formula>0.1</formula>
    </cfRule>
  </conditionalFormatting>
  <conditionalFormatting sqref="I354:I358">
    <cfRule type="cellIs" dxfId="81" priority="288" operator="lessThan">
      <formula>0.1</formula>
    </cfRule>
  </conditionalFormatting>
  <conditionalFormatting sqref="I352">
    <cfRule type="cellIs" dxfId="80" priority="289" operator="lessThan">
      <formula>0.1</formula>
    </cfRule>
  </conditionalFormatting>
  <conditionalFormatting sqref="H367:H371 I371">
    <cfRule type="cellIs" dxfId="79" priority="290" operator="lessThan">
      <formula>0.1</formula>
    </cfRule>
  </conditionalFormatting>
  <conditionalFormatting sqref="I364 I370">
    <cfRule type="cellIs" dxfId="78" priority="291" operator="lessThan">
      <formula>0.1</formula>
    </cfRule>
  </conditionalFormatting>
  <conditionalFormatting sqref="I365:I369">
    <cfRule type="cellIs" dxfId="77" priority="292" operator="lessThan">
      <formula>0.1</formula>
    </cfRule>
  </conditionalFormatting>
  <conditionalFormatting sqref="I363">
    <cfRule type="cellIs" dxfId="76" priority="293" operator="lessThan">
      <formula>0.1</formula>
    </cfRule>
  </conditionalFormatting>
  <conditionalFormatting sqref="H378:H382 I382">
    <cfRule type="cellIs" dxfId="75" priority="294" operator="lessThan">
      <formula>0.1</formula>
    </cfRule>
  </conditionalFormatting>
  <conditionalFormatting sqref="I397 I403">
    <cfRule type="cellIs" dxfId="74" priority="295" operator="lessThan">
      <formula>0.1</formula>
    </cfRule>
  </conditionalFormatting>
  <conditionalFormatting sqref="I398:I402">
    <cfRule type="cellIs" dxfId="73" priority="296" operator="lessThan">
      <formula>0.1</formula>
    </cfRule>
  </conditionalFormatting>
  <conditionalFormatting sqref="I396">
    <cfRule type="cellIs" dxfId="72" priority="297" operator="lessThan">
      <formula>0.1</formula>
    </cfRule>
  </conditionalFormatting>
  <conditionalFormatting sqref="I223">
    <cfRule type="cellIs" dxfId="71" priority="298" operator="lessThan">
      <formula>0.1</formula>
    </cfRule>
  </conditionalFormatting>
  <conditionalFormatting sqref="I375 I381">
    <cfRule type="cellIs" dxfId="70" priority="299" operator="lessThan">
      <formula>0.1</formula>
    </cfRule>
  </conditionalFormatting>
  <conditionalFormatting sqref="I376:I380">
    <cfRule type="cellIs" dxfId="69" priority="300" operator="lessThan">
      <formula>0.1</formula>
    </cfRule>
  </conditionalFormatting>
  <conditionalFormatting sqref="I374">
    <cfRule type="cellIs" dxfId="68" priority="301" operator="lessThan">
      <formula>0.1</formula>
    </cfRule>
  </conditionalFormatting>
  <conditionalFormatting sqref="I234">
    <cfRule type="cellIs" dxfId="67" priority="302" operator="lessThan">
      <formula>0.1</formula>
    </cfRule>
  </conditionalFormatting>
  <conditionalFormatting sqref="H389:H393 I393">
    <cfRule type="cellIs" dxfId="66" priority="303" operator="lessThan">
      <formula>0.1</formula>
    </cfRule>
  </conditionalFormatting>
  <conditionalFormatting sqref="I386 I392">
    <cfRule type="cellIs" dxfId="65" priority="304" operator="lessThan">
      <formula>0.1</formula>
    </cfRule>
  </conditionalFormatting>
  <conditionalFormatting sqref="I387:I391">
    <cfRule type="cellIs" dxfId="64" priority="305" operator="lessThan">
      <formula>0.1</formula>
    </cfRule>
  </conditionalFormatting>
  <conditionalFormatting sqref="I385">
    <cfRule type="cellIs" dxfId="63" priority="306" operator="lessThan">
      <formula>0.1</formula>
    </cfRule>
  </conditionalFormatting>
  <conditionalFormatting sqref="H345:H349 I349">
    <cfRule type="cellIs" dxfId="62" priority="307" operator="lessThan">
      <formula>0.1</formula>
    </cfRule>
  </conditionalFormatting>
  <conditionalFormatting sqref="I342">
    <cfRule type="cellIs" dxfId="61" priority="308" operator="lessThan">
      <formula>0.1</formula>
    </cfRule>
  </conditionalFormatting>
  <conditionalFormatting sqref="I343:I347">
    <cfRule type="cellIs" dxfId="60" priority="309" operator="lessThan">
      <formula>0.1</formula>
    </cfRule>
  </conditionalFormatting>
  <conditionalFormatting sqref="I341">
    <cfRule type="cellIs" dxfId="59" priority="310" operator="lessThan">
      <formula>0.1</formula>
    </cfRule>
  </conditionalFormatting>
  <conditionalFormatting sqref="H334:H338 I338">
    <cfRule type="cellIs" dxfId="58" priority="311" operator="lessThan">
      <formula>0.1</formula>
    </cfRule>
  </conditionalFormatting>
  <conditionalFormatting sqref="I331 I337">
    <cfRule type="cellIs" dxfId="57" priority="312" operator="lessThan">
      <formula>0.1</formula>
    </cfRule>
  </conditionalFormatting>
  <conditionalFormatting sqref="I332:I336">
    <cfRule type="cellIs" dxfId="56" priority="313" operator="lessThan">
      <formula>0.1</formula>
    </cfRule>
  </conditionalFormatting>
  <conditionalFormatting sqref="I330">
    <cfRule type="cellIs" dxfId="55" priority="314" operator="lessThan">
      <formula>0.1</formula>
    </cfRule>
  </conditionalFormatting>
  <conditionalFormatting sqref="I348">
    <cfRule type="cellIs" dxfId="54" priority="315" operator="lessThan">
      <formula>0.1</formula>
    </cfRule>
  </conditionalFormatting>
  <conditionalFormatting sqref="C429:C442 E429:E442 G429:G442">
    <cfRule type="cellIs" dxfId="53" priority="54" operator="lessThan">
      <formula>0.1</formula>
    </cfRule>
  </conditionalFormatting>
  <conditionalFormatting sqref="H458:H462 I462">
    <cfRule type="cellIs" dxfId="52" priority="1" operator="lessThan">
      <formula>0.1</formula>
    </cfRule>
  </conditionalFormatting>
  <conditionalFormatting sqref="I455 I461">
    <cfRule type="cellIs" dxfId="51" priority="2" operator="lessThan">
      <formula>0.1</formula>
    </cfRule>
  </conditionalFormatting>
  <conditionalFormatting sqref="I456:I460">
    <cfRule type="cellIs" dxfId="50" priority="3" operator="lessThan">
      <formula>0.1</formula>
    </cfRule>
  </conditionalFormatting>
  <conditionalFormatting sqref="I454">
    <cfRule type="cellIs" dxfId="49" priority="4" operator="lessThan">
      <formula>0.1</formula>
    </cfRule>
  </conditionalFormatting>
  <conditionalFormatting sqref="H469:H473 I473">
    <cfRule type="cellIs" dxfId="48" priority="5" operator="lessThan">
      <formula>0.1</formula>
    </cfRule>
  </conditionalFormatting>
  <conditionalFormatting sqref="I466 I472">
    <cfRule type="cellIs" dxfId="47" priority="6" operator="lessThan">
      <formula>0.1</formula>
    </cfRule>
  </conditionalFormatting>
  <conditionalFormatting sqref="I467:I471">
    <cfRule type="cellIs" dxfId="46" priority="7" operator="lessThan">
      <formula>0.1</formula>
    </cfRule>
  </conditionalFormatting>
  <conditionalFormatting sqref="I465">
    <cfRule type="cellIs" dxfId="45" priority="8" operator="lessThan">
      <formula>0.1</formula>
    </cfRule>
  </conditionalFormatting>
  <conditionalFormatting sqref="H480:H484 I484">
    <cfRule type="cellIs" dxfId="44" priority="9" operator="lessThan">
      <formula>0.1</formula>
    </cfRule>
  </conditionalFormatting>
  <conditionalFormatting sqref="I477 I483">
    <cfRule type="cellIs" dxfId="43" priority="10" operator="lessThan">
      <formula>0.1</formula>
    </cfRule>
  </conditionalFormatting>
  <conditionalFormatting sqref="I478:I482">
    <cfRule type="cellIs" dxfId="42" priority="11" operator="lessThan">
      <formula>0.1</formula>
    </cfRule>
  </conditionalFormatting>
  <conditionalFormatting sqref="I476">
    <cfRule type="cellIs" dxfId="41" priority="12" operator="lessThan">
      <formula>0.1</formula>
    </cfRule>
  </conditionalFormatting>
  <conditionalFormatting sqref="H502:H506 I506">
    <cfRule type="cellIs" dxfId="40" priority="13" operator="lessThan">
      <formula>0.1</formula>
    </cfRule>
  </conditionalFormatting>
  <conditionalFormatting sqref="I499 I505">
    <cfRule type="cellIs" dxfId="39" priority="14" operator="lessThan">
      <formula>0.1</formula>
    </cfRule>
  </conditionalFormatting>
  <conditionalFormatting sqref="I500:I504">
    <cfRule type="cellIs" dxfId="38" priority="15" operator="lessThan">
      <formula>0.1</formula>
    </cfRule>
  </conditionalFormatting>
  <conditionalFormatting sqref="I498">
    <cfRule type="cellIs" dxfId="37" priority="16" operator="lessThan">
      <formula>0.1</formula>
    </cfRule>
  </conditionalFormatting>
  <conditionalFormatting sqref="H513:H517 I517">
    <cfRule type="cellIs" dxfId="36" priority="17" operator="lessThan">
      <formula>0.1</formula>
    </cfRule>
  </conditionalFormatting>
  <conditionalFormatting sqref="I510 I516">
    <cfRule type="cellIs" dxfId="35" priority="18" operator="lessThan">
      <formula>0.1</formula>
    </cfRule>
  </conditionalFormatting>
  <conditionalFormatting sqref="I511:I515">
    <cfRule type="cellIs" dxfId="34" priority="19" operator="lessThan">
      <formula>0.1</formula>
    </cfRule>
  </conditionalFormatting>
  <conditionalFormatting sqref="I509">
    <cfRule type="cellIs" dxfId="33" priority="20" operator="lessThan">
      <formula>0.1</formula>
    </cfRule>
  </conditionalFormatting>
  <conditionalFormatting sqref="H524:H528 I528">
    <cfRule type="cellIs" dxfId="32" priority="21" operator="lessThan">
      <formula>0.1</formula>
    </cfRule>
  </conditionalFormatting>
  <conditionalFormatting sqref="I521 I527">
    <cfRule type="cellIs" dxfId="31" priority="22" operator="lessThan">
      <formula>0.1</formula>
    </cfRule>
  </conditionalFormatting>
  <conditionalFormatting sqref="I522:I526">
    <cfRule type="cellIs" dxfId="30" priority="23" operator="lessThan">
      <formula>0.1</formula>
    </cfRule>
  </conditionalFormatting>
  <conditionalFormatting sqref="I520">
    <cfRule type="cellIs" dxfId="29" priority="24" operator="lessThan">
      <formula>0.1</formula>
    </cfRule>
  </conditionalFormatting>
  <conditionalFormatting sqref="H535:H539 I539">
    <cfRule type="cellIs" dxfId="28" priority="25" operator="lessThan">
      <formula>0.1</formula>
    </cfRule>
  </conditionalFormatting>
  <conditionalFormatting sqref="I532">
    <cfRule type="cellIs" dxfId="27" priority="26" operator="lessThan">
      <formula>0.1</formula>
    </cfRule>
  </conditionalFormatting>
  <conditionalFormatting sqref="I533:I537">
    <cfRule type="cellIs" dxfId="26" priority="27" operator="lessThan">
      <formula>0.1</formula>
    </cfRule>
  </conditionalFormatting>
  <conditionalFormatting sqref="I531">
    <cfRule type="cellIs" dxfId="25" priority="28" operator="lessThan">
      <formula>0.1</formula>
    </cfRule>
  </conditionalFormatting>
  <conditionalFormatting sqref="H546:H550 I550">
    <cfRule type="cellIs" dxfId="24" priority="29" operator="lessThan">
      <formula>0.1</formula>
    </cfRule>
  </conditionalFormatting>
  <conditionalFormatting sqref="I543 I549">
    <cfRule type="cellIs" dxfId="23" priority="30" operator="lessThan">
      <formula>0.1</formula>
    </cfRule>
  </conditionalFormatting>
  <conditionalFormatting sqref="I544:I548">
    <cfRule type="cellIs" dxfId="22" priority="31" operator="lessThan">
      <formula>0.1</formula>
    </cfRule>
  </conditionalFormatting>
  <conditionalFormatting sqref="I542">
    <cfRule type="cellIs" dxfId="21" priority="32" operator="lessThan">
      <formula>0.1</formula>
    </cfRule>
  </conditionalFormatting>
  <conditionalFormatting sqref="H568:H572 I572">
    <cfRule type="cellIs" dxfId="20" priority="33" operator="lessThan">
      <formula>0.1</formula>
    </cfRule>
  </conditionalFormatting>
  <conditionalFormatting sqref="I565 I571">
    <cfRule type="cellIs" dxfId="19" priority="34" operator="lessThan">
      <formula>0.1</formula>
    </cfRule>
  </conditionalFormatting>
  <conditionalFormatting sqref="I566:I570">
    <cfRule type="cellIs" dxfId="18" priority="35" operator="lessThan">
      <formula>0.1</formula>
    </cfRule>
  </conditionalFormatting>
  <conditionalFormatting sqref="I564">
    <cfRule type="cellIs" dxfId="17" priority="36" operator="lessThan">
      <formula>0.1</formula>
    </cfRule>
  </conditionalFormatting>
  <conditionalFormatting sqref="H557:H561 I561">
    <cfRule type="cellIs" dxfId="16" priority="37" operator="lessThan">
      <formula>0.1</formula>
    </cfRule>
  </conditionalFormatting>
  <conditionalFormatting sqref="I554 I560">
    <cfRule type="cellIs" dxfId="15" priority="38" operator="lessThan">
      <formula>0.1</formula>
    </cfRule>
  </conditionalFormatting>
  <conditionalFormatting sqref="I555:I559">
    <cfRule type="cellIs" dxfId="14" priority="39" operator="lessThan">
      <formula>0.1</formula>
    </cfRule>
  </conditionalFormatting>
  <conditionalFormatting sqref="I553">
    <cfRule type="cellIs" dxfId="13" priority="40" operator="lessThan">
      <formula>0.1</formula>
    </cfRule>
  </conditionalFormatting>
  <conditionalFormatting sqref="H579:H583 I583">
    <cfRule type="cellIs" dxfId="12" priority="41" operator="lessThan">
      <formula>0.1</formula>
    </cfRule>
  </conditionalFormatting>
  <conditionalFormatting sqref="I576 I582">
    <cfRule type="cellIs" dxfId="11" priority="42" operator="lessThan">
      <formula>0.1</formula>
    </cfRule>
  </conditionalFormatting>
  <conditionalFormatting sqref="I577:I581">
    <cfRule type="cellIs" dxfId="10" priority="43" operator="lessThan">
      <formula>0.1</formula>
    </cfRule>
  </conditionalFormatting>
  <conditionalFormatting sqref="I575">
    <cfRule type="cellIs" dxfId="9" priority="44" operator="lessThan">
      <formula>0.1</formula>
    </cfRule>
  </conditionalFormatting>
  <conditionalFormatting sqref="H590:H594 I594">
    <cfRule type="cellIs" dxfId="8" priority="45" operator="lessThan">
      <formula>0.1</formula>
    </cfRule>
  </conditionalFormatting>
  <conditionalFormatting sqref="I587 I593">
    <cfRule type="cellIs" dxfId="7" priority="46" operator="lessThan">
      <formula>0.1</formula>
    </cfRule>
  </conditionalFormatting>
  <conditionalFormatting sqref="I588:I592">
    <cfRule type="cellIs" dxfId="6" priority="47" operator="lessThan">
      <formula>0.1</formula>
    </cfRule>
  </conditionalFormatting>
  <conditionalFormatting sqref="I586">
    <cfRule type="cellIs" dxfId="5" priority="48" operator="lessThan">
      <formula>0.1</formula>
    </cfRule>
  </conditionalFormatting>
  <conditionalFormatting sqref="H491:H495 I495">
    <cfRule type="cellIs" dxfId="4" priority="49" operator="lessThan">
      <formula>0.1</formula>
    </cfRule>
  </conditionalFormatting>
  <conditionalFormatting sqref="I488 I494">
    <cfRule type="cellIs" dxfId="3" priority="50" operator="lessThan">
      <formula>0.1</formula>
    </cfRule>
  </conditionalFormatting>
  <conditionalFormatting sqref="I489:I493">
    <cfRule type="cellIs" dxfId="2" priority="51" operator="lessThan">
      <formula>0.1</formula>
    </cfRule>
  </conditionalFormatting>
  <conditionalFormatting sqref="I487">
    <cfRule type="cellIs" dxfId="1" priority="52" operator="lessThan">
      <formula>0.1</formula>
    </cfRule>
  </conditionalFormatting>
  <conditionalFormatting sqref="I538">
    <cfRule type="cellIs" dxfId="0" priority="53" operator="lessThan">
      <formula>0.1</formula>
    </cfRule>
  </conditionalFormatting>
  <pageMargins left="1.1811023622047245" right="1.1811023622047245" top="0.78740157480314965" bottom="0.78740157480314965" header="0" footer="0"/>
  <pageSetup paperSize="9" scale="8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173"/>
  <sheetViews>
    <sheetView view="pageBreakPreview" zoomScaleNormal="100" zoomScaleSheetLayoutView="100" workbookViewId="0">
      <selection activeCell="H10" sqref="H10"/>
    </sheetView>
  </sheetViews>
  <sheetFormatPr baseColWidth="10" defaultColWidth="11.5703125" defaultRowHeight="13.5" x14ac:dyDescent="0.25"/>
  <cols>
    <col min="1" max="6" width="11.5703125" style="132"/>
    <col min="7" max="7" width="10.85546875" style="132" bestFit="1" customWidth="1"/>
    <col min="8" max="8" width="11.42578125" style="132" bestFit="1" customWidth="1"/>
    <col min="9" max="16384" width="11.5703125" style="132"/>
  </cols>
  <sheetData>
    <row r="1" spans="1:12" x14ac:dyDescent="0.25">
      <c r="A1" s="1028" t="s">
        <v>1052</v>
      </c>
      <c r="B1" s="1148"/>
      <c r="C1" s="1148"/>
      <c r="D1" s="1148"/>
      <c r="E1" s="1148"/>
      <c r="F1" s="1148"/>
      <c r="G1" s="1148"/>
      <c r="H1" s="1148"/>
      <c r="I1" s="1148"/>
      <c r="J1" s="1148"/>
      <c r="K1" s="1148"/>
      <c r="L1" s="1148"/>
    </row>
    <row r="2" spans="1:12" x14ac:dyDescent="0.25">
      <c r="A2" s="1149"/>
      <c r="B2" s="501"/>
      <c r="C2" s="501"/>
      <c r="D2" s="501"/>
      <c r="E2" s="501"/>
      <c r="F2" s="501"/>
      <c r="G2" s="501"/>
      <c r="H2" s="501"/>
      <c r="I2" s="501"/>
      <c r="J2" s="501"/>
      <c r="K2" s="501"/>
      <c r="L2" s="501"/>
    </row>
    <row r="3" spans="1:12" x14ac:dyDescent="0.25">
      <c r="C3" s="136">
        <v>1</v>
      </c>
      <c r="D3" s="136">
        <v>2</v>
      </c>
      <c r="E3" s="136">
        <v>3</v>
      </c>
      <c r="F3" s="136">
        <v>4</v>
      </c>
      <c r="G3" s="136">
        <v>5</v>
      </c>
      <c r="H3" s="136">
        <v>6</v>
      </c>
      <c r="I3" s="136">
        <v>7</v>
      </c>
      <c r="J3" s="136">
        <v>8</v>
      </c>
      <c r="K3" s="136">
        <v>9</v>
      </c>
      <c r="L3" s="136">
        <v>10</v>
      </c>
    </row>
    <row r="4" spans="1:12" x14ac:dyDescent="0.25">
      <c r="C4" s="1150"/>
      <c r="D4" s="486"/>
      <c r="E4" s="492">
        <v>25</v>
      </c>
      <c r="F4" s="486"/>
      <c r="G4" s="492">
        <v>75</v>
      </c>
      <c r="H4" s="486"/>
      <c r="I4" s="492">
        <v>125</v>
      </c>
      <c r="J4" s="486"/>
      <c r="K4" s="492">
        <v>175</v>
      </c>
      <c r="L4" s="486"/>
    </row>
    <row r="5" spans="1:12" x14ac:dyDescent="0.25">
      <c r="C5" s="492" t="s">
        <v>1053</v>
      </c>
      <c r="D5" s="486"/>
      <c r="E5" s="191">
        <f t="shared" ref="E5:E14" si="0">+$E$27</f>
        <v>4.8000000000000001E-2</v>
      </c>
      <c r="F5" s="191">
        <f t="shared" ref="F5:F14" si="1">+$K$27</f>
        <v>4.2332000000000001</v>
      </c>
      <c r="G5" s="191">
        <f t="shared" ref="G5:G14" si="2">+$E$28</f>
        <v>0.08</v>
      </c>
      <c r="H5" s="191">
        <f t="shared" ref="H5:H14" si="3">+$K$28</f>
        <v>7.0739000000000001</v>
      </c>
      <c r="I5" s="191">
        <f t="shared" ref="I5:I14" si="4">+$E$29</f>
        <v>0.13800000000000001</v>
      </c>
      <c r="J5" s="191">
        <f t="shared" ref="J5:J14" si="5">+$K$29</f>
        <v>7.4638000000000009</v>
      </c>
      <c r="K5" s="97">
        <f t="shared" ref="K5:K14" si="6">+$E$30</f>
        <v>0.21</v>
      </c>
      <c r="L5" s="97">
        <f t="shared" ref="L5:L14" si="7">+$K$30</f>
        <v>9.2462000000000018</v>
      </c>
    </row>
    <row r="6" spans="1:12" x14ac:dyDescent="0.25">
      <c r="C6" s="492" t="s">
        <v>1054</v>
      </c>
      <c r="D6" s="486"/>
      <c r="E6" s="191">
        <f t="shared" si="0"/>
        <v>4.8000000000000001E-2</v>
      </c>
      <c r="F6" s="191">
        <f t="shared" si="1"/>
        <v>4.2332000000000001</v>
      </c>
      <c r="G6" s="191">
        <f t="shared" si="2"/>
        <v>0.08</v>
      </c>
      <c r="H6" s="191">
        <f t="shared" si="3"/>
        <v>7.0739000000000001</v>
      </c>
      <c r="I6" s="191">
        <f t="shared" si="4"/>
        <v>0.13800000000000001</v>
      </c>
      <c r="J6" s="191">
        <f t="shared" si="5"/>
        <v>7.4638000000000009</v>
      </c>
      <c r="K6" s="97">
        <f t="shared" si="6"/>
        <v>0.21</v>
      </c>
      <c r="L6" s="97">
        <f t="shared" si="7"/>
        <v>9.2462000000000018</v>
      </c>
    </row>
    <row r="7" spans="1:12" x14ac:dyDescent="0.25">
      <c r="C7" s="492" t="s">
        <v>1055</v>
      </c>
      <c r="D7" s="486"/>
      <c r="E7" s="191">
        <f t="shared" si="0"/>
        <v>4.8000000000000001E-2</v>
      </c>
      <c r="F7" s="191">
        <f t="shared" si="1"/>
        <v>4.2332000000000001</v>
      </c>
      <c r="G7" s="191">
        <f t="shared" si="2"/>
        <v>0.08</v>
      </c>
      <c r="H7" s="191">
        <f t="shared" si="3"/>
        <v>7.0739000000000001</v>
      </c>
      <c r="I7" s="191">
        <f t="shared" si="4"/>
        <v>0.13800000000000001</v>
      </c>
      <c r="J7" s="191">
        <f t="shared" si="5"/>
        <v>7.4638000000000009</v>
      </c>
      <c r="K7" s="97">
        <f t="shared" si="6"/>
        <v>0.21</v>
      </c>
      <c r="L7" s="97">
        <f t="shared" si="7"/>
        <v>9.2462000000000018</v>
      </c>
    </row>
    <row r="8" spans="1:12" x14ac:dyDescent="0.25">
      <c r="C8" s="492" t="s">
        <v>1056</v>
      </c>
      <c r="D8" s="486"/>
      <c r="E8" s="191">
        <f t="shared" si="0"/>
        <v>4.8000000000000001E-2</v>
      </c>
      <c r="F8" s="191">
        <f t="shared" si="1"/>
        <v>4.2332000000000001</v>
      </c>
      <c r="G8" s="191">
        <f t="shared" si="2"/>
        <v>0.08</v>
      </c>
      <c r="H8" s="191">
        <f t="shared" si="3"/>
        <v>7.0739000000000001</v>
      </c>
      <c r="I8" s="191">
        <f t="shared" si="4"/>
        <v>0.13800000000000001</v>
      </c>
      <c r="J8" s="191">
        <f t="shared" si="5"/>
        <v>7.4638000000000009</v>
      </c>
      <c r="K8" s="97">
        <f t="shared" si="6"/>
        <v>0.21</v>
      </c>
      <c r="L8" s="97">
        <f t="shared" si="7"/>
        <v>9.2462000000000018</v>
      </c>
    </row>
    <row r="9" spans="1:12" x14ac:dyDescent="0.25">
      <c r="C9" s="492" t="s">
        <v>1057</v>
      </c>
      <c r="D9" s="486"/>
      <c r="E9" s="191">
        <f t="shared" si="0"/>
        <v>4.8000000000000001E-2</v>
      </c>
      <c r="F9" s="191">
        <f t="shared" si="1"/>
        <v>4.2332000000000001</v>
      </c>
      <c r="G9" s="191">
        <f t="shared" si="2"/>
        <v>0.08</v>
      </c>
      <c r="H9" s="191">
        <f t="shared" si="3"/>
        <v>7.0739000000000001</v>
      </c>
      <c r="I9" s="191">
        <f t="shared" si="4"/>
        <v>0.13800000000000001</v>
      </c>
      <c r="J9" s="191">
        <f t="shared" si="5"/>
        <v>7.4638000000000009</v>
      </c>
      <c r="K9" s="97">
        <f t="shared" si="6"/>
        <v>0.21</v>
      </c>
      <c r="L9" s="97">
        <f t="shared" si="7"/>
        <v>9.2462000000000018</v>
      </c>
    </row>
    <row r="10" spans="1:12" x14ac:dyDescent="0.25">
      <c r="C10" s="492" t="s">
        <v>1058</v>
      </c>
      <c r="D10" s="486"/>
      <c r="E10" s="191">
        <f t="shared" si="0"/>
        <v>4.8000000000000001E-2</v>
      </c>
      <c r="F10" s="191">
        <f t="shared" si="1"/>
        <v>4.2332000000000001</v>
      </c>
      <c r="G10" s="191">
        <f t="shared" si="2"/>
        <v>0.08</v>
      </c>
      <c r="H10" s="191">
        <f t="shared" si="3"/>
        <v>7.0739000000000001</v>
      </c>
      <c r="I10" s="191">
        <f t="shared" si="4"/>
        <v>0.13800000000000001</v>
      </c>
      <c r="J10" s="191">
        <f t="shared" si="5"/>
        <v>7.4638000000000009</v>
      </c>
      <c r="K10" s="97">
        <f t="shared" si="6"/>
        <v>0.21</v>
      </c>
      <c r="L10" s="97">
        <f t="shared" si="7"/>
        <v>9.2462000000000018</v>
      </c>
    </row>
    <row r="11" spans="1:12" x14ac:dyDescent="0.25">
      <c r="C11" s="492" t="s">
        <v>1059</v>
      </c>
      <c r="D11" s="486"/>
      <c r="E11" s="191">
        <f t="shared" si="0"/>
        <v>4.8000000000000001E-2</v>
      </c>
      <c r="F11" s="191">
        <f t="shared" si="1"/>
        <v>4.2332000000000001</v>
      </c>
      <c r="G11" s="191">
        <f t="shared" si="2"/>
        <v>0.08</v>
      </c>
      <c r="H11" s="191">
        <f t="shared" si="3"/>
        <v>7.0739000000000001</v>
      </c>
      <c r="I11" s="191">
        <f t="shared" si="4"/>
        <v>0.13800000000000001</v>
      </c>
      <c r="J11" s="191">
        <f t="shared" si="5"/>
        <v>7.4638000000000009</v>
      </c>
      <c r="K11" s="97">
        <f t="shared" si="6"/>
        <v>0.21</v>
      </c>
      <c r="L11" s="97">
        <f t="shared" si="7"/>
        <v>9.2462000000000018</v>
      </c>
    </row>
    <row r="12" spans="1:12" x14ac:dyDescent="0.25">
      <c r="C12" s="492" t="s">
        <v>1060</v>
      </c>
      <c r="D12" s="486"/>
      <c r="E12" s="191">
        <f t="shared" si="0"/>
        <v>4.8000000000000001E-2</v>
      </c>
      <c r="F12" s="191">
        <f t="shared" si="1"/>
        <v>4.2332000000000001</v>
      </c>
      <c r="G12" s="191">
        <f t="shared" si="2"/>
        <v>0.08</v>
      </c>
      <c r="H12" s="191">
        <f t="shared" si="3"/>
        <v>7.0739000000000001</v>
      </c>
      <c r="I12" s="191">
        <f t="shared" si="4"/>
        <v>0.13800000000000001</v>
      </c>
      <c r="J12" s="191">
        <f t="shared" si="5"/>
        <v>7.4638000000000009</v>
      </c>
      <c r="K12" s="97">
        <f t="shared" si="6"/>
        <v>0.21</v>
      </c>
      <c r="L12" s="97">
        <f t="shared" si="7"/>
        <v>9.2462000000000018</v>
      </c>
    </row>
    <row r="13" spans="1:12" x14ac:dyDescent="0.25">
      <c r="C13" s="492" t="s">
        <v>1061</v>
      </c>
      <c r="D13" s="486"/>
      <c r="E13" s="191">
        <f t="shared" si="0"/>
        <v>4.8000000000000001E-2</v>
      </c>
      <c r="F13" s="191">
        <f t="shared" si="1"/>
        <v>4.2332000000000001</v>
      </c>
      <c r="G13" s="191">
        <f t="shared" si="2"/>
        <v>0.08</v>
      </c>
      <c r="H13" s="191">
        <f t="shared" si="3"/>
        <v>7.0739000000000001</v>
      </c>
      <c r="I13" s="191">
        <f t="shared" si="4"/>
        <v>0.13800000000000001</v>
      </c>
      <c r="J13" s="191">
        <f t="shared" si="5"/>
        <v>7.4638000000000009</v>
      </c>
      <c r="K13" s="97">
        <f t="shared" si="6"/>
        <v>0.21</v>
      </c>
      <c r="L13" s="97">
        <f t="shared" si="7"/>
        <v>9.2462000000000018</v>
      </c>
    </row>
    <row r="14" spans="1:12" x14ac:dyDescent="0.25">
      <c r="C14" s="492" t="s">
        <v>1062</v>
      </c>
      <c r="D14" s="486"/>
      <c r="E14" s="191">
        <f t="shared" si="0"/>
        <v>4.8000000000000001E-2</v>
      </c>
      <c r="F14" s="191">
        <f t="shared" si="1"/>
        <v>4.2332000000000001</v>
      </c>
      <c r="G14" s="191">
        <f t="shared" si="2"/>
        <v>0.08</v>
      </c>
      <c r="H14" s="191">
        <f t="shared" si="3"/>
        <v>7.0739000000000001</v>
      </c>
      <c r="I14" s="191">
        <f t="shared" si="4"/>
        <v>0.13800000000000001</v>
      </c>
      <c r="J14" s="191">
        <f t="shared" si="5"/>
        <v>7.4638000000000009</v>
      </c>
      <c r="K14" s="97">
        <f t="shared" si="6"/>
        <v>0.21</v>
      </c>
      <c r="L14" s="97">
        <f t="shared" si="7"/>
        <v>9.2462000000000018</v>
      </c>
    </row>
    <row r="15" spans="1:12" x14ac:dyDescent="0.25">
      <c r="C15" s="492" t="s">
        <v>1063</v>
      </c>
      <c r="D15" s="486"/>
      <c r="E15" s="191">
        <f>+$E$32</f>
        <v>6.4000000000000001E-2</v>
      </c>
      <c r="F15" s="191">
        <f>+$K$32</f>
        <v>5.4307500000000006</v>
      </c>
      <c r="G15" s="191">
        <f>+$E$33</f>
        <v>0.15</v>
      </c>
      <c r="H15" s="191">
        <f>+$K$33</f>
        <v>8.0208000000000013</v>
      </c>
      <c r="I15" s="191">
        <f>+$E$34</f>
        <v>0.29399999999999998</v>
      </c>
      <c r="J15" s="191">
        <f>+$K$34</f>
        <v>15.317500000000001</v>
      </c>
      <c r="K15" s="97">
        <f>+$E$35</f>
        <v>0.46800000000000003</v>
      </c>
      <c r="L15" s="97">
        <f>+$K$35</f>
        <v>20.107700000000001</v>
      </c>
    </row>
    <row r="16" spans="1:12" x14ac:dyDescent="0.25">
      <c r="C16" s="492" t="s">
        <v>1064</v>
      </c>
      <c r="D16" s="486"/>
      <c r="E16" s="191">
        <f>+$E$32</f>
        <v>6.4000000000000001E-2</v>
      </c>
      <c r="F16" s="191">
        <f>+$K$32</f>
        <v>5.4307500000000006</v>
      </c>
      <c r="G16" s="191">
        <f>+$E$33</f>
        <v>0.15</v>
      </c>
      <c r="H16" s="191">
        <f>+$K$33</f>
        <v>8.0208000000000013</v>
      </c>
      <c r="I16" s="191">
        <f>+$E$34</f>
        <v>0.29399999999999998</v>
      </c>
      <c r="J16" s="191">
        <f>+$K$34</f>
        <v>15.317500000000001</v>
      </c>
      <c r="K16" s="97">
        <f>+$E$35</f>
        <v>0.46800000000000003</v>
      </c>
      <c r="L16" s="97">
        <f>+$K$35</f>
        <v>20.107700000000001</v>
      </c>
    </row>
    <row r="17" spans="1:12" x14ac:dyDescent="0.25">
      <c r="C17" s="492" t="s">
        <v>1065</v>
      </c>
      <c r="D17" s="486"/>
      <c r="E17" s="191">
        <f>+$E$32</f>
        <v>6.4000000000000001E-2</v>
      </c>
      <c r="F17" s="191">
        <f>+$K$32</f>
        <v>5.4307500000000006</v>
      </c>
      <c r="G17" s="191">
        <f>+$E$33</f>
        <v>0.15</v>
      </c>
      <c r="H17" s="191">
        <f>+$K$33</f>
        <v>8.0208000000000013</v>
      </c>
      <c r="I17" s="191">
        <f>+$E$34</f>
        <v>0.29399999999999998</v>
      </c>
      <c r="J17" s="191">
        <f>+$K$34</f>
        <v>15.317500000000001</v>
      </c>
      <c r="K17" s="97">
        <f>+$E$35</f>
        <v>0.46800000000000003</v>
      </c>
      <c r="L17" s="97">
        <f>+$K$35</f>
        <v>20.107700000000001</v>
      </c>
    </row>
    <row r="18" spans="1:12" x14ac:dyDescent="0.25">
      <c r="C18" s="492" t="s">
        <v>1066</v>
      </c>
      <c r="D18" s="486"/>
      <c r="E18" s="191">
        <f>+$E$32</f>
        <v>6.4000000000000001E-2</v>
      </c>
      <c r="F18" s="191">
        <f>+$K$32</f>
        <v>5.4307500000000006</v>
      </c>
      <c r="G18" s="191">
        <f>+$E$33</f>
        <v>0.15</v>
      </c>
      <c r="H18" s="191">
        <f>+$K$33</f>
        <v>8.0208000000000013</v>
      </c>
      <c r="I18" s="191">
        <f>+$E$34</f>
        <v>0.29399999999999998</v>
      </c>
      <c r="J18" s="191">
        <f>+$K$34</f>
        <v>15.317500000000001</v>
      </c>
      <c r="K18" s="97">
        <f>+$E$35</f>
        <v>0.46800000000000003</v>
      </c>
      <c r="L18" s="97">
        <f>+$K$35</f>
        <v>20.107700000000001</v>
      </c>
    </row>
    <row r="19" spans="1:12" x14ac:dyDescent="0.25">
      <c r="C19" s="492" t="s">
        <v>1067</v>
      </c>
      <c r="D19" s="486"/>
      <c r="E19" s="191">
        <f>+$E$32</f>
        <v>6.4000000000000001E-2</v>
      </c>
      <c r="F19" s="191">
        <f>+$K$32</f>
        <v>5.4307500000000006</v>
      </c>
      <c r="G19" s="191">
        <f>+$E$33</f>
        <v>0.15</v>
      </c>
      <c r="H19" s="191">
        <f>+$K$33</f>
        <v>8.0208000000000013</v>
      </c>
      <c r="I19" s="191">
        <f>+$E$34</f>
        <v>0.29399999999999998</v>
      </c>
      <c r="J19" s="191">
        <f>+$K$34</f>
        <v>15.317500000000001</v>
      </c>
      <c r="K19" s="97">
        <f>+$E$35</f>
        <v>0.46800000000000003</v>
      </c>
      <c r="L19" s="97">
        <f>+$K$35</f>
        <v>20.107700000000001</v>
      </c>
    </row>
    <row r="20" spans="1:12" x14ac:dyDescent="0.25">
      <c r="C20" s="492" t="s">
        <v>1068</v>
      </c>
      <c r="D20" s="486"/>
      <c r="E20" s="191">
        <f>+$E$37</f>
        <v>6.4000000000000001E-2</v>
      </c>
      <c r="F20" s="191">
        <f>+$K$37</f>
        <v>5.4307500000000006</v>
      </c>
      <c r="G20" s="191">
        <f>+$E$38</f>
        <v>0.19600000000000001</v>
      </c>
      <c r="H20" s="191">
        <f>+$K$38</f>
        <v>11.808400000000001</v>
      </c>
      <c r="I20" s="191">
        <f>+$E$39</f>
        <v>0.40500000000000003</v>
      </c>
      <c r="J20" s="191">
        <f>+$K$39</f>
        <v>22.447099999999999</v>
      </c>
      <c r="K20" s="97">
        <f>+$E$40</f>
        <v>0.6</v>
      </c>
      <c r="L20" s="97">
        <f>+$K$40</f>
        <v>26.791700000000002</v>
      </c>
    </row>
    <row r="21" spans="1:12" x14ac:dyDescent="0.25">
      <c r="C21" s="492" t="s">
        <v>1436</v>
      </c>
      <c r="D21" s="486"/>
      <c r="E21" s="191">
        <f>+$E$37</f>
        <v>6.4000000000000001E-2</v>
      </c>
      <c r="F21" s="191">
        <f>+$K$37</f>
        <v>5.4307500000000006</v>
      </c>
      <c r="G21" s="191">
        <f>+$E$38</f>
        <v>0.19600000000000001</v>
      </c>
      <c r="H21" s="191">
        <f>+$K$38</f>
        <v>11.808400000000001</v>
      </c>
      <c r="I21" s="191">
        <f>+$E$39</f>
        <v>0.40500000000000003</v>
      </c>
      <c r="J21" s="191">
        <f>+$K$39</f>
        <v>22.447099999999999</v>
      </c>
      <c r="K21" s="97">
        <f>+$E$40</f>
        <v>0.6</v>
      </c>
      <c r="L21" s="97">
        <f>+$K$40</f>
        <v>26.791700000000002</v>
      </c>
    </row>
    <row r="22" spans="1:12" x14ac:dyDescent="0.25">
      <c r="C22" s="492" t="s">
        <v>1069</v>
      </c>
      <c r="D22" s="486"/>
      <c r="E22" s="191">
        <f>+$E$37</f>
        <v>6.4000000000000001E-2</v>
      </c>
      <c r="F22" s="191">
        <f>+$K$37</f>
        <v>5.4307500000000006</v>
      </c>
      <c r="G22" s="191">
        <f>+$E$38</f>
        <v>0.19600000000000001</v>
      </c>
      <c r="H22" s="191">
        <f>+$K$38</f>
        <v>11.808400000000001</v>
      </c>
      <c r="I22" s="191">
        <f>+$E$39</f>
        <v>0.40500000000000003</v>
      </c>
      <c r="J22" s="191">
        <f>+$K$39</f>
        <v>22.447099999999999</v>
      </c>
      <c r="K22" s="97">
        <f>+$E$40</f>
        <v>0.6</v>
      </c>
      <c r="L22" s="97">
        <f>+$K$40</f>
        <v>26.791700000000002</v>
      </c>
    </row>
    <row r="25" spans="1:12" x14ac:dyDescent="0.25">
      <c r="A25" s="1141" t="s">
        <v>1070</v>
      </c>
      <c r="B25" s="485"/>
      <c r="C25" s="485"/>
      <c r="D25" s="485"/>
      <c r="E25" s="486"/>
      <c r="G25" s="1141" t="s">
        <v>1071</v>
      </c>
      <c r="H25" s="485"/>
      <c r="I25" s="485"/>
      <c r="J25" s="485"/>
      <c r="K25" s="486"/>
    </row>
    <row r="26" spans="1:12" ht="25.5" x14ac:dyDescent="0.25">
      <c r="A26" s="192" t="s">
        <v>1072</v>
      </c>
      <c r="B26" s="192" t="s">
        <v>1073</v>
      </c>
      <c r="C26" s="192" t="s">
        <v>1074</v>
      </c>
      <c r="D26" s="192" t="s">
        <v>1075</v>
      </c>
      <c r="E26" s="192" t="s">
        <v>1076</v>
      </c>
      <c r="G26" s="192" t="s">
        <v>1072</v>
      </c>
      <c r="H26" s="192" t="s">
        <v>1073</v>
      </c>
      <c r="I26" s="192" t="s">
        <v>1077</v>
      </c>
      <c r="J26" s="192" t="s">
        <v>1078</v>
      </c>
      <c r="K26" s="192" t="s">
        <v>1079</v>
      </c>
    </row>
    <row r="27" spans="1:12" x14ac:dyDescent="0.25">
      <c r="A27" s="193" t="s">
        <v>1080</v>
      </c>
      <c r="B27" s="193">
        <v>25</v>
      </c>
      <c r="C27" s="193">
        <v>0.12</v>
      </c>
      <c r="D27" s="193">
        <v>0.4</v>
      </c>
      <c r="E27" s="193">
        <f>+C27*D27</f>
        <v>4.8000000000000001E-2</v>
      </c>
      <c r="G27" s="193" t="s">
        <v>1080</v>
      </c>
      <c r="H27" s="193">
        <v>25</v>
      </c>
      <c r="I27" s="193">
        <v>7.6</v>
      </c>
      <c r="J27" s="193">
        <v>0.55700000000000005</v>
      </c>
      <c r="K27" s="193">
        <f>+I27*J27</f>
        <v>4.2332000000000001</v>
      </c>
    </row>
    <row r="28" spans="1:12" x14ac:dyDescent="0.25">
      <c r="A28" s="193"/>
      <c r="B28" s="193">
        <v>75</v>
      </c>
      <c r="C28" s="193">
        <v>0.16</v>
      </c>
      <c r="D28" s="193">
        <v>0.5</v>
      </c>
      <c r="E28" s="193">
        <f>+C28*D28</f>
        <v>0.08</v>
      </c>
      <c r="G28" s="193"/>
      <c r="H28" s="193">
        <v>75</v>
      </c>
      <c r="I28" s="193">
        <v>12.7</v>
      </c>
      <c r="J28" s="193">
        <v>0.55700000000000005</v>
      </c>
      <c r="K28" s="193">
        <f>+I28*J28</f>
        <v>7.0739000000000001</v>
      </c>
    </row>
    <row r="29" spans="1:12" x14ac:dyDescent="0.25">
      <c r="A29" s="193"/>
      <c r="B29" s="193">
        <v>125</v>
      </c>
      <c r="C29" s="193">
        <v>0.23</v>
      </c>
      <c r="D29" s="193">
        <v>0.6</v>
      </c>
      <c r="E29" s="193">
        <f>+C29*D29</f>
        <v>0.13800000000000001</v>
      </c>
      <c r="G29" s="193"/>
      <c r="H29" s="193">
        <v>125</v>
      </c>
      <c r="I29" s="193">
        <v>13.4</v>
      </c>
      <c r="J29" s="193">
        <v>0.55700000000000005</v>
      </c>
      <c r="K29" s="193">
        <f>+I29*J29</f>
        <v>7.4638000000000009</v>
      </c>
    </row>
    <row r="30" spans="1:12" x14ac:dyDescent="0.25">
      <c r="A30" s="193"/>
      <c r="B30" s="193">
        <v>175</v>
      </c>
      <c r="C30" s="193">
        <v>0.3</v>
      </c>
      <c r="D30" s="193">
        <v>0.7</v>
      </c>
      <c r="E30" s="193">
        <f>+C30*D30</f>
        <v>0.21</v>
      </c>
      <c r="G30" s="193"/>
      <c r="H30" s="193">
        <v>175</v>
      </c>
      <c r="I30" s="193">
        <v>16.600000000000001</v>
      </c>
      <c r="J30" s="193">
        <v>0.55700000000000005</v>
      </c>
      <c r="K30" s="193">
        <f>+I30*J30</f>
        <v>9.2462000000000018</v>
      </c>
    </row>
    <row r="31" spans="1:12" x14ac:dyDescent="0.25">
      <c r="A31" s="192"/>
      <c r="B31" s="192"/>
      <c r="C31" s="192"/>
      <c r="D31" s="192"/>
      <c r="E31" s="192"/>
      <c r="G31" s="192"/>
      <c r="H31" s="192"/>
      <c r="I31" s="192"/>
      <c r="J31" s="192"/>
      <c r="K31" s="192"/>
    </row>
    <row r="32" spans="1:12" x14ac:dyDescent="0.25">
      <c r="A32" s="193">
        <v>45</v>
      </c>
      <c r="B32" s="193">
        <v>25</v>
      </c>
      <c r="C32" s="193">
        <v>0.16</v>
      </c>
      <c r="D32" s="193">
        <v>0.4</v>
      </c>
      <c r="E32" s="193">
        <f>+C32*D32</f>
        <v>6.4000000000000001E-2</v>
      </c>
      <c r="G32" s="193">
        <v>45</v>
      </c>
      <c r="H32" s="193">
        <v>25</v>
      </c>
      <c r="I32" s="193">
        <v>9.75</v>
      </c>
      <c r="J32" s="193">
        <v>0.55700000000000005</v>
      </c>
      <c r="K32" s="193">
        <f>+I32*J32</f>
        <v>5.4307500000000006</v>
      </c>
    </row>
    <row r="33" spans="1:11" x14ac:dyDescent="0.25">
      <c r="A33" s="193"/>
      <c r="B33" s="193">
        <v>75</v>
      </c>
      <c r="C33" s="193">
        <v>0.25</v>
      </c>
      <c r="D33" s="193">
        <v>0.6</v>
      </c>
      <c r="E33" s="193">
        <f>+C33*D33</f>
        <v>0.15</v>
      </c>
      <c r="G33" s="193"/>
      <c r="H33" s="193">
        <v>75</v>
      </c>
      <c r="I33" s="193">
        <v>14.4</v>
      </c>
      <c r="J33" s="193">
        <v>0.55700000000000005</v>
      </c>
      <c r="K33" s="193">
        <f>+I33*J33</f>
        <v>8.0208000000000013</v>
      </c>
    </row>
    <row r="34" spans="1:11" x14ac:dyDescent="0.25">
      <c r="A34" s="193"/>
      <c r="B34" s="193">
        <v>125</v>
      </c>
      <c r="C34" s="193">
        <v>0.42</v>
      </c>
      <c r="D34" s="193">
        <v>0.7</v>
      </c>
      <c r="E34" s="193">
        <f>+C34*D34</f>
        <v>0.29399999999999998</v>
      </c>
      <c r="G34" s="193"/>
      <c r="H34" s="193">
        <v>125</v>
      </c>
      <c r="I34" s="193">
        <v>27.5</v>
      </c>
      <c r="J34" s="193">
        <v>0.55700000000000005</v>
      </c>
      <c r="K34" s="193">
        <f>+I34*J34</f>
        <v>15.317500000000001</v>
      </c>
    </row>
    <row r="35" spans="1:11" x14ac:dyDescent="0.25">
      <c r="A35" s="193"/>
      <c r="B35" s="193">
        <v>175</v>
      </c>
      <c r="C35" s="193">
        <v>0.52</v>
      </c>
      <c r="D35" s="193">
        <v>0.9</v>
      </c>
      <c r="E35" s="193">
        <f>+C35*D35</f>
        <v>0.46800000000000003</v>
      </c>
      <c r="G35" s="193"/>
      <c r="H35" s="193">
        <v>175</v>
      </c>
      <c r="I35" s="193">
        <v>36.1</v>
      </c>
      <c r="J35" s="193">
        <v>0.55700000000000005</v>
      </c>
      <c r="K35" s="193">
        <f>+I35*J35</f>
        <v>20.107700000000001</v>
      </c>
    </row>
    <row r="36" spans="1:11" x14ac:dyDescent="0.25">
      <c r="A36" s="192"/>
      <c r="B36" s="192"/>
      <c r="C36" s="192"/>
      <c r="D36" s="192"/>
      <c r="E36" s="192"/>
      <c r="G36" s="192"/>
      <c r="H36" s="192"/>
      <c r="I36" s="192"/>
      <c r="J36" s="192"/>
      <c r="K36" s="192"/>
    </row>
    <row r="37" spans="1:11" x14ac:dyDescent="0.25">
      <c r="A37" s="193">
        <v>90</v>
      </c>
      <c r="B37" s="193">
        <v>25</v>
      </c>
      <c r="C37" s="193">
        <v>0.16</v>
      </c>
      <c r="D37" s="193">
        <v>0.4</v>
      </c>
      <c r="E37" s="193">
        <f>+C37*D37</f>
        <v>6.4000000000000001E-2</v>
      </c>
      <c r="G37" s="193">
        <v>90</v>
      </c>
      <c r="H37" s="193">
        <v>25</v>
      </c>
      <c r="I37" s="193">
        <v>9.75</v>
      </c>
      <c r="J37" s="193">
        <v>0.55700000000000005</v>
      </c>
      <c r="K37" s="193">
        <f>+I37*J37</f>
        <v>5.4307500000000006</v>
      </c>
    </row>
    <row r="38" spans="1:11" x14ac:dyDescent="0.25">
      <c r="A38" s="193"/>
      <c r="B38" s="193">
        <v>75</v>
      </c>
      <c r="C38" s="193">
        <v>0.28000000000000003</v>
      </c>
      <c r="D38" s="193">
        <v>0.7</v>
      </c>
      <c r="E38" s="193">
        <f>+C38*D38</f>
        <v>0.19600000000000001</v>
      </c>
      <c r="G38" s="193"/>
      <c r="H38" s="193">
        <v>75</v>
      </c>
      <c r="I38" s="193">
        <v>21.2</v>
      </c>
      <c r="J38" s="193">
        <v>0.55700000000000005</v>
      </c>
      <c r="K38" s="193">
        <f>+I38*J38</f>
        <v>11.808400000000001</v>
      </c>
    </row>
    <row r="39" spans="1:11" x14ac:dyDescent="0.25">
      <c r="A39" s="193"/>
      <c r="B39" s="193">
        <v>125</v>
      </c>
      <c r="C39" s="193">
        <v>0.45</v>
      </c>
      <c r="D39" s="193">
        <v>0.9</v>
      </c>
      <c r="E39" s="193">
        <f>+C39*D39</f>
        <v>0.40500000000000003</v>
      </c>
      <c r="G39" s="193"/>
      <c r="H39" s="193">
        <v>125</v>
      </c>
      <c r="I39" s="193">
        <v>40.299999999999997</v>
      </c>
      <c r="J39" s="193">
        <v>0.55700000000000005</v>
      </c>
      <c r="K39" s="193">
        <f>+I39*J39</f>
        <v>22.447099999999999</v>
      </c>
    </row>
    <row r="40" spans="1:11" x14ac:dyDescent="0.25">
      <c r="A40" s="193"/>
      <c r="B40" s="193">
        <v>175</v>
      </c>
      <c r="C40" s="193">
        <v>0.6</v>
      </c>
      <c r="D40" s="193">
        <v>1</v>
      </c>
      <c r="E40" s="193">
        <f>+C40*D40</f>
        <v>0.6</v>
      </c>
      <c r="G40" s="193"/>
      <c r="H40" s="193">
        <v>175</v>
      </c>
      <c r="I40" s="193">
        <v>48.1</v>
      </c>
      <c r="J40" s="193">
        <v>0.55700000000000005</v>
      </c>
      <c r="K40" s="193">
        <f>+I40*J40</f>
        <v>26.791700000000002</v>
      </c>
    </row>
    <row r="42" spans="1:11" x14ac:dyDescent="0.25">
      <c r="A42" s="1144"/>
      <c r="B42" s="1145"/>
      <c r="C42" s="194"/>
      <c r="G42" s="1142" t="s">
        <v>1434</v>
      </c>
      <c r="H42" s="1143"/>
      <c r="I42" s="192" t="s">
        <v>882</v>
      </c>
    </row>
    <row r="43" spans="1:11" x14ac:dyDescent="0.25">
      <c r="A43" s="1146"/>
      <c r="B43" s="986"/>
      <c r="C43" s="195"/>
      <c r="G43" s="1147" t="s">
        <v>1056</v>
      </c>
      <c r="H43" s="486"/>
      <c r="I43" s="177">
        <f>+COUNTIF($H$88:$H$167,G43)</f>
        <v>33</v>
      </c>
    </row>
    <row r="44" spans="1:11" x14ac:dyDescent="0.25">
      <c r="A44" s="1146"/>
      <c r="B44" s="986"/>
      <c r="C44" s="195"/>
      <c r="G44" s="1147" t="s">
        <v>1061</v>
      </c>
      <c r="H44" s="486"/>
      <c r="I44" s="177">
        <f>+COUNTIF($H$88:$H$167,G44)</f>
        <v>20</v>
      </c>
    </row>
    <row r="45" spans="1:11" x14ac:dyDescent="0.25">
      <c r="A45" s="1146"/>
      <c r="B45" s="986"/>
      <c r="C45" s="195"/>
      <c r="G45" s="1147" t="s">
        <v>1066</v>
      </c>
      <c r="H45" s="486"/>
      <c r="I45" s="177">
        <f>+COUNTIF($H$88:$H$167,G45)</f>
        <v>24</v>
      </c>
    </row>
    <row r="46" spans="1:11" x14ac:dyDescent="0.25">
      <c r="A46" s="1146"/>
      <c r="B46" s="986"/>
      <c r="C46" s="195"/>
      <c r="G46" s="1147" t="s">
        <v>1069</v>
      </c>
      <c r="H46" s="486"/>
      <c r="I46" s="177">
        <f>+COUNTIF($H$88:$H$167,G46)</f>
        <v>3</v>
      </c>
    </row>
    <row r="48" spans="1:11" x14ac:dyDescent="0.25">
      <c r="A48" s="1141" t="s">
        <v>1081</v>
      </c>
      <c r="B48" s="486"/>
      <c r="C48" s="192"/>
      <c r="D48" s="1141" t="s">
        <v>1081</v>
      </c>
      <c r="E48" s="486"/>
      <c r="F48" s="192"/>
      <c r="G48" s="1141" t="s">
        <v>1081</v>
      </c>
      <c r="H48" s="486"/>
      <c r="I48" s="192"/>
      <c r="J48" s="1141" t="s">
        <v>1081</v>
      </c>
      <c r="K48" s="486"/>
    </row>
    <row r="49" spans="1:11" x14ac:dyDescent="0.25">
      <c r="A49" s="1137" t="s">
        <v>1082</v>
      </c>
      <c r="B49" s="501"/>
      <c r="D49" s="1137" t="s">
        <v>1083</v>
      </c>
      <c r="E49" s="501"/>
      <c r="G49" s="1137" t="s">
        <v>1084</v>
      </c>
      <c r="H49" s="501"/>
      <c r="J49" s="1137" t="s">
        <v>1085</v>
      </c>
      <c r="K49" s="501"/>
    </row>
    <row r="60" spans="1:11" x14ac:dyDescent="0.25">
      <c r="A60" s="1141" t="s">
        <v>1086</v>
      </c>
      <c r="B60" s="486"/>
      <c r="C60" s="192"/>
      <c r="D60" s="1141" t="s">
        <v>1086</v>
      </c>
      <c r="E60" s="486"/>
      <c r="F60" s="192"/>
      <c r="G60" s="1141" t="s">
        <v>1086</v>
      </c>
      <c r="H60" s="486"/>
      <c r="I60" s="192"/>
      <c r="J60" s="1141" t="s">
        <v>1086</v>
      </c>
      <c r="K60" s="486"/>
    </row>
    <row r="61" spans="1:11" x14ac:dyDescent="0.25">
      <c r="A61" s="1137" t="s">
        <v>1082</v>
      </c>
      <c r="B61" s="501"/>
      <c r="D61" s="1137" t="s">
        <v>1083</v>
      </c>
      <c r="E61" s="501"/>
      <c r="G61" s="1137" t="s">
        <v>1084</v>
      </c>
      <c r="H61" s="501"/>
      <c r="J61" s="1137" t="s">
        <v>1085</v>
      </c>
      <c r="K61" s="501"/>
    </row>
    <row r="69" spans="1:11" x14ac:dyDescent="0.25">
      <c r="I69" s="196"/>
    </row>
    <row r="72" spans="1:11" x14ac:dyDescent="0.25">
      <c r="A72" s="1141" t="s">
        <v>1087</v>
      </c>
      <c r="B72" s="486"/>
      <c r="C72" s="192"/>
      <c r="D72" s="1141" t="s">
        <v>1087</v>
      </c>
      <c r="E72" s="486"/>
      <c r="F72" s="192"/>
      <c r="G72" s="1141" t="s">
        <v>1087</v>
      </c>
      <c r="H72" s="486"/>
      <c r="I72" s="192"/>
      <c r="J72" s="1141" t="s">
        <v>1087</v>
      </c>
      <c r="K72" s="486"/>
    </row>
    <row r="73" spans="1:11" x14ac:dyDescent="0.25">
      <c r="A73" s="1137" t="s">
        <v>1082</v>
      </c>
      <c r="B73" s="501"/>
      <c r="D73" s="1137" t="s">
        <v>1083</v>
      </c>
      <c r="E73" s="501"/>
      <c r="G73" s="1137" t="s">
        <v>1084</v>
      </c>
      <c r="H73" s="501"/>
      <c r="J73" s="1137" t="s">
        <v>1085</v>
      </c>
      <c r="K73" s="501"/>
    </row>
    <row r="85" spans="1:12" x14ac:dyDescent="0.25">
      <c r="A85" s="1138" t="s">
        <v>1437</v>
      </c>
      <c r="B85" s="1139"/>
      <c r="C85" s="1139"/>
      <c r="D85" s="1139"/>
      <c r="E85" s="1139"/>
      <c r="F85" s="1139"/>
      <c r="G85" s="1139"/>
      <c r="H85" s="1139"/>
      <c r="I85" s="1139"/>
      <c r="J85" s="1139"/>
      <c r="K85" s="1139"/>
      <c r="L85" s="1140"/>
    </row>
    <row r="86" spans="1:12" x14ac:dyDescent="0.25">
      <c r="A86" s="1135" t="s">
        <v>177</v>
      </c>
      <c r="B86" s="1136"/>
      <c r="C86" s="1136"/>
      <c r="D86" s="1136"/>
      <c r="E86" s="1136"/>
      <c r="F86" s="1136"/>
      <c r="G86" s="1136"/>
      <c r="H86" s="1136"/>
      <c r="I86" s="1136"/>
      <c r="J86" s="1136"/>
      <c r="K86" s="197">
        <f>SUM(K88:K167)</f>
        <v>4.2720000000000029</v>
      </c>
      <c r="L86" s="197">
        <f>SUM(L88:L167)</f>
        <v>370.98984999999988</v>
      </c>
    </row>
    <row r="87" spans="1:12" ht="27.75" x14ac:dyDescent="0.25">
      <c r="A87" s="192" t="s">
        <v>1090</v>
      </c>
      <c r="B87" s="192" t="s">
        <v>916</v>
      </c>
      <c r="C87" s="192" t="s">
        <v>917</v>
      </c>
      <c r="D87" s="192" t="s">
        <v>922</v>
      </c>
      <c r="E87" s="192" t="s">
        <v>1088</v>
      </c>
      <c r="F87" s="192" t="s">
        <v>1091</v>
      </c>
      <c r="G87" s="198" t="s">
        <v>734</v>
      </c>
      <c r="H87" s="198" t="s">
        <v>1089</v>
      </c>
      <c r="I87" s="198" t="s">
        <v>1092</v>
      </c>
      <c r="J87" s="192" t="s">
        <v>1093</v>
      </c>
      <c r="K87" s="198" t="s">
        <v>1588</v>
      </c>
      <c r="L87" s="198" t="s">
        <v>1094</v>
      </c>
    </row>
    <row r="88" spans="1:12" s="269" customFormat="1" ht="27" x14ac:dyDescent="0.2">
      <c r="A88" s="266" t="s">
        <v>1288</v>
      </c>
      <c r="B88" s="267">
        <v>1091021.9099999999</v>
      </c>
      <c r="C88" s="267">
        <v>707082.76</v>
      </c>
      <c r="D88" s="160">
        <v>1862.99</v>
      </c>
      <c r="E88" s="160" t="s">
        <v>1435</v>
      </c>
      <c r="F88" s="268" t="s">
        <v>1095</v>
      </c>
      <c r="G88" s="266">
        <v>6</v>
      </c>
      <c r="H88" s="158" t="str">
        <f t="shared" ref="H88:H119" si="8">F88&amp;" - Ø"&amp;G88</f>
        <v>Codo 11.25 - Ø6</v>
      </c>
      <c r="I88" s="266">
        <v>60.8</v>
      </c>
      <c r="J88" s="158">
        <f t="shared" ref="J88:J119" si="9">IF(I88&lt;25,25,IF(I88&lt;75,75,IF(I88&lt;125,125,IF(I88&lt;175,175,"Otro"))))</f>
        <v>75</v>
      </c>
      <c r="K88" s="160">
        <f t="shared" ref="K88:K119" si="10">VLOOKUP(H88,AA_Codos,3,FALSE)</f>
        <v>4.8000000000000001E-2</v>
      </c>
      <c r="L88" s="160">
        <f t="shared" ref="L88:L119" si="11">VLOOKUP(H88,AA_Codos,4,FALSE)</f>
        <v>4.2332000000000001</v>
      </c>
    </row>
    <row r="89" spans="1:12" s="269" customFormat="1" ht="27" x14ac:dyDescent="0.2">
      <c r="A89" s="266" t="s">
        <v>1291</v>
      </c>
      <c r="B89" s="267">
        <v>1091058.55</v>
      </c>
      <c r="C89" s="267">
        <v>707044.07</v>
      </c>
      <c r="D89" s="160">
        <v>1853.35</v>
      </c>
      <c r="E89" s="160" t="s">
        <v>1435</v>
      </c>
      <c r="F89" s="268" t="s">
        <v>1095</v>
      </c>
      <c r="G89" s="266">
        <v>6</v>
      </c>
      <c r="H89" s="158" t="str">
        <f t="shared" si="8"/>
        <v>Codo 11.25 - Ø6</v>
      </c>
      <c r="I89" s="266">
        <v>70.3</v>
      </c>
      <c r="J89" s="158">
        <f t="shared" si="9"/>
        <v>75</v>
      </c>
      <c r="K89" s="160">
        <f t="shared" si="10"/>
        <v>4.8000000000000001E-2</v>
      </c>
      <c r="L89" s="160">
        <f t="shared" si="11"/>
        <v>4.2332000000000001</v>
      </c>
    </row>
    <row r="90" spans="1:12" s="269" customFormat="1" ht="27" x14ac:dyDescent="0.2">
      <c r="A90" s="266" t="s">
        <v>1292</v>
      </c>
      <c r="B90" s="267">
        <v>1091072.94</v>
      </c>
      <c r="C90" s="267">
        <v>707025.48</v>
      </c>
      <c r="D90" s="160">
        <v>1842.97</v>
      </c>
      <c r="E90" s="160" t="s">
        <v>1435</v>
      </c>
      <c r="F90" s="268" t="s">
        <v>1095</v>
      </c>
      <c r="G90" s="266">
        <v>6</v>
      </c>
      <c r="H90" s="158" t="str">
        <f t="shared" si="8"/>
        <v>Codo 11.25 - Ø6</v>
      </c>
      <c r="I90" s="266">
        <v>80.7</v>
      </c>
      <c r="J90" s="158">
        <f t="shared" si="9"/>
        <v>125</v>
      </c>
      <c r="K90" s="160">
        <f t="shared" si="10"/>
        <v>4.8000000000000001E-2</v>
      </c>
      <c r="L90" s="160">
        <f t="shared" si="11"/>
        <v>4.2332000000000001</v>
      </c>
    </row>
    <row r="91" spans="1:12" s="269" customFormat="1" ht="27" x14ac:dyDescent="0.2">
      <c r="A91" s="266" t="s">
        <v>1294</v>
      </c>
      <c r="B91" s="267">
        <v>1091095.1100000001</v>
      </c>
      <c r="C91" s="267">
        <v>706995.57</v>
      </c>
      <c r="D91" s="160">
        <v>1838.84</v>
      </c>
      <c r="E91" s="160" t="s">
        <v>1435</v>
      </c>
      <c r="F91" s="268" t="s">
        <v>1095</v>
      </c>
      <c r="G91" s="266">
        <v>6</v>
      </c>
      <c r="H91" s="158" t="str">
        <f t="shared" si="8"/>
        <v>Codo 11.25 - Ø6</v>
      </c>
      <c r="I91" s="266">
        <v>84.7</v>
      </c>
      <c r="J91" s="158">
        <f t="shared" si="9"/>
        <v>125</v>
      </c>
      <c r="K91" s="160">
        <f t="shared" si="10"/>
        <v>4.8000000000000001E-2</v>
      </c>
      <c r="L91" s="160">
        <f t="shared" si="11"/>
        <v>4.2332000000000001</v>
      </c>
    </row>
    <row r="92" spans="1:12" s="269" customFormat="1" ht="27" x14ac:dyDescent="0.2">
      <c r="A92" s="266" t="s">
        <v>1300</v>
      </c>
      <c r="B92" s="267">
        <v>1091100.4099999999</v>
      </c>
      <c r="C92" s="267">
        <v>706756.94</v>
      </c>
      <c r="D92" s="160">
        <v>1853.59</v>
      </c>
      <c r="E92" s="160" t="s">
        <v>1435</v>
      </c>
      <c r="F92" s="268" t="s">
        <v>1095</v>
      </c>
      <c r="G92" s="266">
        <v>6</v>
      </c>
      <c r="H92" s="158" t="str">
        <f t="shared" si="8"/>
        <v>Codo 11.25 - Ø6</v>
      </c>
      <c r="I92" s="266">
        <v>69.8</v>
      </c>
      <c r="J92" s="158">
        <f t="shared" si="9"/>
        <v>75</v>
      </c>
      <c r="K92" s="160">
        <f t="shared" si="10"/>
        <v>4.8000000000000001E-2</v>
      </c>
      <c r="L92" s="160">
        <f t="shared" si="11"/>
        <v>4.2332000000000001</v>
      </c>
    </row>
    <row r="93" spans="1:12" s="269" customFormat="1" ht="27" x14ac:dyDescent="0.2">
      <c r="A93" s="266" t="s">
        <v>1306</v>
      </c>
      <c r="B93" s="267">
        <v>1091121.75</v>
      </c>
      <c r="C93" s="267">
        <v>706696.39</v>
      </c>
      <c r="D93" s="160">
        <v>1854.24</v>
      </c>
      <c r="E93" s="160" t="s">
        <v>1435</v>
      </c>
      <c r="F93" s="268" t="s">
        <v>1095</v>
      </c>
      <c r="G93" s="266">
        <v>6</v>
      </c>
      <c r="H93" s="158" t="str">
        <f t="shared" si="8"/>
        <v>Codo 11.25 - Ø6</v>
      </c>
      <c r="I93" s="266">
        <v>69.099999999999994</v>
      </c>
      <c r="J93" s="158">
        <f t="shared" si="9"/>
        <v>75</v>
      </c>
      <c r="K93" s="160">
        <f t="shared" si="10"/>
        <v>4.8000000000000001E-2</v>
      </c>
      <c r="L93" s="160">
        <f t="shared" si="11"/>
        <v>4.2332000000000001</v>
      </c>
    </row>
    <row r="94" spans="1:12" s="269" customFormat="1" ht="27" x14ac:dyDescent="0.2">
      <c r="A94" s="266" t="s">
        <v>1307</v>
      </c>
      <c r="B94" s="267">
        <v>1091123.49</v>
      </c>
      <c r="C94" s="267">
        <v>706689.03</v>
      </c>
      <c r="D94" s="160">
        <v>1854.05</v>
      </c>
      <c r="E94" s="160" t="s">
        <v>1435</v>
      </c>
      <c r="F94" s="268" t="s">
        <v>1095</v>
      </c>
      <c r="G94" s="266">
        <v>6</v>
      </c>
      <c r="H94" s="158" t="str">
        <f t="shared" si="8"/>
        <v>Codo 11.25 - Ø6</v>
      </c>
      <c r="I94" s="266">
        <v>69.3</v>
      </c>
      <c r="J94" s="158">
        <f t="shared" si="9"/>
        <v>75</v>
      </c>
      <c r="K94" s="160">
        <f t="shared" si="10"/>
        <v>4.8000000000000001E-2</v>
      </c>
      <c r="L94" s="160">
        <f t="shared" si="11"/>
        <v>4.2332000000000001</v>
      </c>
    </row>
    <row r="95" spans="1:12" s="269" customFormat="1" ht="27" x14ac:dyDescent="0.2">
      <c r="A95" s="266" t="s">
        <v>1316</v>
      </c>
      <c r="B95" s="267">
        <v>1091184.6399999999</v>
      </c>
      <c r="C95" s="267">
        <v>706491.1</v>
      </c>
      <c r="D95" s="160">
        <v>1840.12</v>
      </c>
      <c r="E95" s="160" t="s">
        <v>1435</v>
      </c>
      <c r="F95" s="268" t="s">
        <v>1095</v>
      </c>
      <c r="G95" s="266">
        <v>6</v>
      </c>
      <c r="H95" s="158" t="str">
        <f t="shared" si="8"/>
        <v>Codo 11.25 - Ø6</v>
      </c>
      <c r="I95" s="266">
        <v>82.9</v>
      </c>
      <c r="J95" s="158">
        <f t="shared" si="9"/>
        <v>125</v>
      </c>
      <c r="K95" s="160">
        <f t="shared" si="10"/>
        <v>4.8000000000000001E-2</v>
      </c>
      <c r="L95" s="160">
        <f t="shared" si="11"/>
        <v>4.2332000000000001</v>
      </c>
    </row>
    <row r="96" spans="1:12" s="269" customFormat="1" ht="27" x14ac:dyDescent="0.2">
      <c r="A96" s="266" t="s">
        <v>1317</v>
      </c>
      <c r="B96" s="267">
        <v>1091197.8799999999</v>
      </c>
      <c r="C96" s="267">
        <v>706461.15</v>
      </c>
      <c r="D96" s="160">
        <v>1836.71</v>
      </c>
      <c r="E96" s="160" t="s">
        <v>1435</v>
      </c>
      <c r="F96" s="268" t="s">
        <v>1095</v>
      </c>
      <c r="G96" s="266">
        <v>6</v>
      </c>
      <c r="H96" s="158" t="str">
        <f t="shared" si="8"/>
        <v>Codo 11.25 - Ø6</v>
      </c>
      <c r="I96" s="266">
        <v>86.3</v>
      </c>
      <c r="J96" s="158">
        <f t="shared" si="9"/>
        <v>125</v>
      </c>
      <c r="K96" s="160">
        <f t="shared" si="10"/>
        <v>4.8000000000000001E-2</v>
      </c>
      <c r="L96" s="160">
        <f t="shared" si="11"/>
        <v>4.2332000000000001</v>
      </c>
    </row>
    <row r="97" spans="1:12" s="269" customFormat="1" ht="27" x14ac:dyDescent="0.2">
      <c r="A97" s="266" t="s">
        <v>1318</v>
      </c>
      <c r="B97" s="267">
        <v>1091201.1599999999</v>
      </c>
      <c r="C97" s="267">
        <v>706444.4</v>
      </c>
      <c r="D97" s="160">
        <v>1834.21</v>
      </c>
      <c r="E97" s="160" t="s">
        <v>1435</v>
      </c>
      <c r="F97" s="268" t="s">
        <v>1095</v>
      </c>
      <c r="G97" s="266">
        <v>6</v>
      </c>
      <c r="H97" s="158" t="str">
        <f t="shared" si="8"/>
        <v>Codo 11.25 - Ø6</v>
      </c>
      <c r="I97" s="266">
        <v>88.8</v>
      </c>
      <c r="J97" s="158">
        <f t="shared" si="9"/>
        <v>125</v>
      </c>
      <c r="K97" s="160">
        <f t="shared" si="10"/>
        <v>4.8000000000000001E-2</v>
      </c>
      <c r="L97" s="160">
        <f t="shared" si="11"/>
        <v>4.2332000000000001</v>
      </c>
    </row>
    <row r="98" spans="1:12" s="269" customFormat="1" ht="27" x14ac:dyDescent="0.2">
      <c r="A98" s="266" t="s">
        <v>1323</v>
      </c>
      <c r="B98" s="267">
        <v>1091221.8899999999</v>
      </c>
      <c r="C98" s="267">
        <v>706314.85</v>
      </c>
      <c r="D98" s="160">
        <v>1832.09</v>
      </c>
      <c r="E98" s="160" t="s">
        <v>1435</v>
      </c>
      <c r="F98" s="268" t="s">
        <v>1095</v>
      </c>
      <c r="G98" s="266">
        <v>6</v>
      </c>
      <c r="H98" s="158" t="str">
        <f t="shared" si="8"/>
        <v>Codo 11.25 - Ø6</v>
      </c>
      <c r="I98" s="266">
        <v>90.8</v>
      </c>
      <c r="J98" s="158">
        <f t="shared" si="9"/>
        <v>125</v>
      </c>
      <c r="K98" s="160">
        <f t="shared" si="10"/>
        <v>4.8000000000000001E-2</v>
      </c>
      <c r="L98" s="160">
        <f t="shared" si="11"/>
        <v>4.2332000000000001</v>
      </c>
    </row>
    <row r="99" spans="1:12" s="269" customFormat="1" ht="27" x14ac:dyDescent="0.2">
      <c r="A99" s="266" t="s">
        <v>1324</v>
      </c>
      <c r="B99" s="267">
        <v>1091225.08</v>
      </c>
      <c r="C99" s="267">
        <v>706289.94</v>
      </c>
      <c r="D99" s="160">
        <v>1829.8</v>
      </c>
      <c r="E99" s="160" t="s">
        <v>1435</v>
      </c>
      <c r="F99" s="268" t="s">
        <v>1095</v>
      </c>
      <c r="G99" s="266">
        <v>6</v>
      </c>
      <c r="H99" s="158" t="str">
        <f t="shared" si="8"/>
        <v>Codo 11.25 - Ø6</v>
      </c>
      <c r="I99" s="266">
        <v>93</v>
      </c>
      <c r="J99" s="158">
        <f t="shared" si="9"/>
        <v>125</v>
      </c>
      <c r="K99" s="160">
        <f t="shared" si="10"/>
        <v>4.8000000000000001E-2</v>
      </c>
      <c r="L99" s="160">
        <f t="shared" si="11"/>
        <v>4.2332000000000001</v>
      </c>
    </row>
    <row r="100" spans="1:12" s="269" customFormat="1" ht="27" x14ac:dyDescent="0.2">
      <c r="A100" s="266" t="s">
        <v>1330</v>
      </c>
      <c r="B100" s="267">
        <v>1091261.7</v>
      </c>
      <c r="C100" s="267">
        <v>706167.91</v>
      </c>
      <c r="D100" s="160">
        <v>1834.21</v>
      </c>
      <c r="E100" s="160" t="s">
        <v>1435</v>
      </c>
      <c r="F100" s="268" t="s">
        <v>1095</v>
      </c>
      <c r="G100" s="266">
        <v>6</v>
      </c>
      <c r="H100" s="158" t="str">
        <f t="shared" si="8"/>
        <v>Codo 11.25 - Ø6</v>
      </c>
      <c r="I100" s="266">
        <v>88.5</v>
      </c>
      <c r="J100" s="158">
        <f t="shared" si="9"/>
        <v>125</v>
      </c>
      <c r="K100" s="160">
        <f t="shared" si="10"/>
        <v>4.8000000000000001E-2</v>
      </c>
      <c r="L100" s="160">
        <f t="shared" si="11"/>
        <v>4.2332000000000001</v>
      </c>
    </row>
    <row r="101" spans="1:12" s="269" customFormat="1" ht="27" x14ac:dyDescent="0.2">
      <c r="A101" s="266" t="s">
        <v>1338</v>
      </c>
      <c r="B101" s="267">
        <v>1091363.79</v>
      </c>
      <c r="C101" s="267">
        <v>706067.44</v>
      </c>
      <c r="D101" s="160">
        <v>1838.59</v>
      </c>
      <c r="E101" s="160" t="s">
        <v>1435</v>
      </c>
      <c r="F101" s="268" t="s">
        <v>1095</v>
      </c>
      <c r="G101" s="266">
        <v>6</v>
      </c>
      <c r="H101" s="158" t="str">
        <f t="shared" si="8"/>
        <v>Codo 11.25 - Ø6</v>
      </c>
      <c r="I101" s="266">
        <v>83.9</v>
      </c>
      <c r="J101" s="158">
        <f t="shared" si="9"/>
        <v>125</v>
      </c>
      <c r="K101" s="160">
        <f t="shared" si="10"/>
        <v>4.8000000000000001E-2</v>
      </c>
      <c r="L101" s="160">
        <f t="shared" si="11"/>
        <v>4.2332000000000001</v>
      </c>
    </row>
    <row r="102" spans="1:12" s="269" customFormat="1" ht="27" x14ac:dyDescent="0.2">
      <c r="A102" s="266" t="s">
        <v>1350</v>
      </c>
      <c r="B102" s="267">
        <v>1091473.33</v>
      </c>
      <c r="C102" s="267">
        <v>705884.11</v>
      </c>
      <c r="D102" s="160">
        <v>1847.5</v>
      </c>
      <c r="E102" s="160" t="s">
        <v>1435</v>
      </c>
      <c r="F102" s="268" t="s">
        <v>1095</v>
      </c>
      <c r="G102" s="266">
        <v>6</v>
      </c>
      <c r="H102" s="158" t="str">
        <f t="shared" si="8"/>
        <v>Codo 11.25 - Ø6</v>
      </c>
      <c r="I102" s="266">
        <v>74.8</v>
      </c>
      <c r="J102" s="158">
        <f t="shared" si="9"/>
        <v>75</v>
      </c>
      <c r="K102" s="160">
        <f t="shared" si="10"/>
        <v>4.8000000000000001E-2</v>
      </c>
      <c r="L102" s="160">
        <f t="shared" si="11"/>
        <v>4.2332000000000001</v>
      </c>
    </row>
    <row r="103" spans="1:12" s="269" customFormat="1" ht="27" x14ac:dyDescent="0.2">
      <c r="A103" s="266" t="s">
        <v>1355</v>
      </c>
      <c r="B103" s="267">
        <v>1091514.8500000001</v>
      </c>
      <c r="C103" s="267">
        <v>705820.35</v>
      </c>
      <c r="D103" s="160">
        <v>1843.84</v>
      </c>
      <c r="E103" s="160" t="s">
        <v>1435</v>
      </c>
      <c r="F103" s="268" t="s">
        <v>1095</v>
      </c>
      <c r="G103" s="266">
        <v>6</v>
      </c>
      <c r="H103" s="158" t="str">
        <f t="shared" si="8"/>
        <v>Codo 11.25 - Ø6</v>
      </c>
      <c r="I103" s="266">
        <v>78.400000000000006</v>
      </c>
      <c r="J103" s="158">
        <f t="shared" si="9"/>
        <v>125</v>
      </c>
      <c r="K103" s="160">
        <f t="shared" si="10"/>
        <v>4.8000000000000001E-2</v>
      </c>
      <c r="L103" s="160">
        <f t="shared" si="11"/>
        <v>4.2332000000000001</v>
      </c>
    </row>
    <row r="104" spans="1:12" s="269" customFormat="1" ht="27" x14ac:dyDescent="0.2">
      <c r="A104" s="266" t="s">
        <v>1356</v>
      </c>
      <c r="B104" s="267">
        <v>1091519.9099999999</v>
      </c>
      <c r="C104" s="267">
        <v>705791.64</v>
      </c>
      <c r="D104" s="160">
        <v>1848.77</v>
      </c>
      <c r="E104" s="160" t="s">
        <v>1435</v>
      </c>
      <c r="F104" s="268" t="s">
        <v>1095</v>
      </c>
      <c r="G104" s="266">
        <v>6</v>
      </c>
      <c r="H104" s="158" t="str">
        <f t="shared" si="8"/>
        <v>Codo 11.25 - Ø6</v>
      </c>
      <c r="I104" s="266">
        <v>73.400000000000006</v>
      </c>
      <c r="J104" s="158">
        <f t="shared" si="9"/>
        <v>75</v>
      </c>
      <c r="K104" s="160">
        <f t="shared" si="10"/>
        <v>4.8000000000000001E-2</v>
      </c>
      <c r="L104" s="160">
        <f t="shared" si="11"/>
        <v>4.2332000000000001</v>
      </c>
    </row>
    <row r="105" spans="1:12" s="269" customFormat="1" ht="27" x14ac:dyDescent="0.2">
      <c r="A105" s="266" t="s">
        <v>1358</v>
      </c>
      <c r="B105" s="267">
        <v>1091543.01</v>
      </c>
      <c r="C105" s="267">
        <v>705742.54</v>
      </c>
      <c r="D105" s="160">
        <v>1852.5</v>
      </c>
      <c r="E105" s="160" t="s">
        <v>1435</v>
      </c>
      <c r="F105" s="268" t="s">
        <v>1095</v>
      </c>
      <c r="G105" s="266">
        <v>6</v>
      </c>
      <c r="H105" s="158" t="str">
        <f t="shared" si="8"/>
        <v>Codo 11.25 - Ø6</v>
      </c>
      <c r="I105" s="266">
        <v>69.7</v>
      </c>
      <c r="J105" s="158">
        <f t="shared" si="9"/>
        <v>75</v>
      </c>
      <c r="K105" s="160">
        <f t="shared" si="10"/>
        <v>4.8000000000000001E-2</v>
      </c>
      <c r="L105" s="160">
        <f t="shared" si="11"/>
        <v>4.2332000000000001</v>
      </c>
    </row>
    <row r="106" spans="1:12" s="269" customFormat="1" ht="27" x14ac:dyDescent="0.2">
      <c r="A106" s="266" t="s">
        <v>1366</v>
      </c>
      <c r="B106" s="267">
        <v>1091616.83</v>
      </c>
      <c r="C106" s="267">
        <v>705539.35</v>
      </c>
      <c r="D106" s="160">
        <v>1852.5</v>
      </c>
      <c r="E106" s="160" t="s">
        <v>1435</v>
      </c>
      <c r="F106" s="268" t="s">
        <v>1095</v>
      </c>
      <c r="G106" s="266">
        <v>6</v>
      </c>
      <c r="H106" s="158" t="str">
        <f t="shared" si="8"/>
        <v>Codo 11.25 - Ø6</v>
      </c>
      <c r="I106" s="266">
        <v>69.5</v>
      </c>
      <c r="J106" s="158">
        <f t="shared" si="9"/>
        <v>75</v>
      </c>
      <c r="K106" s="160">
        <f t="shared" si="10"/>
        <v>4.8000000000000001E-2</v>
      </c>
      <c r="L106" s="160">
        <f t="shared" si="11"/>
        <v>4.2332000000000001</v>
      </c>
    </row>
    <row r="107" spans="1:12" s="269" customFormat="1" ht="27" x14ac:dyDescent="0.2">
      <c r="A107" s="266" t="s">
        <v>1368</v>
      </c>
      <c r="B107" s="267">
        <v>1091623.3600000001</v>
      </c>
      <c r="C107" s="267">
        <v>705488.24</v>
      </c>
      <c r="D107" s="160">
        <v>1852.2</v>
      </c>
      <c r="E107" s="160" t="s">
        <v>1435</v>
      </c>
      <c r="F107" s="268" t="s">
        <v>1095</v>
      </c>
      <c r="G107" s="266">
        <v>6</v>
      </c>
      <c r="H107" s="158" t="str">
        <f t="shared" si="8"/>
        <v>Codo 11.25 - Ø6</v>
      </c>
      <c r="I107" s="266">
        <v>69.7</v>
      </c>
      <c r="J107" s="158">
        <f t="shared" si="9"/>
        <v>75</v>
      </c>
      <c r="K107" s="160">
        <f t="shared" si="10"/>
        <v>4.8000000000000001E-2</v>
      </c>
      <c r="L107" s="160">
        <f t="shared" si="11"/>
        <v>4.2332000000000001</v>
      </c>
    </row>
    <row r="108" spans="1:12" s="269" customFormat="1" ht="27" x14ac:dyDescent="0.2">
      <c r="A108" s="266" t="s">
        <v>1369</v>
      </c>
      <c r="B108" s="267">
        <v>1091630.95</v>
      </c>
      <c r="C108" s="267">
        <v>705474.81</v>
      </c>
      <c r="D108" s="160">
        <v>1851.73</v>
      </c>
      <c r="E108" s="160" t="s">
        <v>1435</v>
      </c>
      <c r="F108" s="268" t="s">
        <v>1095</v>
      </c>
      <c r="G108" s="266">
        <v>6</v>
      </c>
      <c r="H108" s="158" t="str">
        <f t="shared" si="8"/>
        <v>Codo 11.25 - Ø6</v>
      </c>
      <c r="I108" s="266">
        <v>70.2</v>
      </c>
      <c r="J108" s="158">
        <f t="shared" si="9"/>
        <v>75</v>
      </c>
      <c r="K108" s="160">
        <f t="shared" si="10"/>
        <v>4.8000000000000001E-2</v>
      </c>
      <c r="L108" s="160">
        <f t="shared" si="11"/>
        <v>4.2332000000000001</v>
      </c>
    </row>
    <row r="109" spans="1:12" s="269" customFormat="1" ht="27" x14ac:dyDescent="0.2">
      <c r="A109" s="266" t="s">
        <v>1370</v>
      </c>
      <c r="B109" s="267">
        <v>1091650.24</v>
      </c>
      <c r="C109" s="267">
        <v>705450.73</v>
      </c>
      <c r="D109" s="160">
        <v>1849.46</v>
      </c>
      <c r="E109" s="160" t="s">
        <v>1435</v>
      </c>
      <c r="F109" s="268" t="s">
        <v>1095</v>
      </c>
      <c r="G109" s="266">
        <v>6</v>
      </c>
      <c r="H109" s="158" t="str">
        <f t="shared" si="8"/>
        <v>Codo 11.25 - Ø6</v>
      </c>
      <c r="I109" s="266">
        <v>72.400000000000006</v>
      </c>
      <c r="J109" s="158">
        <f t="shared" si="9"/>
        <v>75</v>
      </c>
      <c r="K109" s="160">
        <f t="shared" si="10"/>
        <v>4.8000000000000001E-2</v>
      </c>
      <c r="L109" s="160">
        <f t="shared" si="11"/>
        <v>4.2332000000000001</v>
      </c>
    </row>
    <row r="110" spans="1:12" s="269" customFormat="1" ht="27" x14ac:dyDescent="0.2">
      <c r="A110" s="266" t="s">
        <v>1375</v>
      </c>
      <c r="B110" s="267">
        <v>1091696.32</v>
      </c>
      <c r="C110" s="267">
        <v>705374.59</v>
      </c>
      <c r="D110" s="160">
        <v>1844.96</v>
      </c>
      <c r="E110" s="160" t="s">
        <v>1435</v>
      </c>
      <c r="F110" s="268" t="s">
        <v>1095</v>
      </c>
      <c r="G110" s="266">
        <v>6</v>
      </c>
      <c r="H110" s="158" t="str">
        <f t="shared" si="8"/>
        <v>Codo 11.25 - Ø6</v>
      </c>
      <c r="I110" s="266">
        <v>76.8</v>
      </c>
      <c r="J110" s="158">
        <f t="shared" si="9"/>
        <v>125</v>
      </c>
      <c r="K110" s="160">
        <f t="shared" si="10"/>
        <v>4.8000000000000001E-2</v>
      </c>
      <c r="L110" s="160">
        <f t="shared" si="11"/>
        <v>4.2332000000000001</v>
      </c>
    </row>
    <row r="111" spans="1:12" s="269" customFormat="1" ht="27" x14ac:dyDescent="0.2">
      <c r="A111" s="266" t="s">
        <v>1376</v>
      </c>
      <c r="B111" s="267">
        <v>1091724.31</v>
      </c>
      <c r="C111" s="267">
        <v>705344.36</v>
      </c>
      <c r="D111" s="160">
        <v>1850.29</v>
      </c>
      <c r="E111" s="160" t="s">
        <v>1435</v>
      </c>
      <c r="F111" s="268" t="s">
        <v>1095</v>
      </c>
      <c r="G111" s="266">
        <v>6</v>
      </c>
      <c r="H111" s="158" t="str">
        <f t="shared" si="8"/>
        <v>Codo 11.25 - Ø6</v>
      </c>
      <c r="I111" s="266">
        <v>71.400000000000006</v>
      </c>
      <c r="J111" s="158">
        <f t="shared" si="9"/>
        <v>75</v>
      </c>
      <c r="K111" s="160">
        <f t="shared" si="10"/>
        <v>4.8000000000000001E-2</v>
      </c>
      <c r="L111" s="160">
        <f t="shared" si="11"/>
        <v>4.2332000000000001</v>
      </c>
    </row>
    <row r="112" spans="1:12" s="269" customFormat="1" ht="27" x14ac:dyDescent="0.2">
      <c r="A112" s="266" t="s">
        <v>1377</v>
      </c>
      <c r="B112" s="267">
        <v>1091744.53</v>
      </c>
      <c r="C112" s="267">
        <v>705329.02</v>
      </c>
      <c r="D112" s="160">
        <v>1852.76</v>
      </c>
      <c r="E112" s="160" t="s">
        <v>1435</v>
      </c>
      <c r="F112" s="268" t="s">
        <v>1095</v>
      </c>
      <c r="G112" s="266">
        <v>6</v>
      </c>
      <c r="H112" s="158" t="str">
        <f t="shared" si="8"/>
        <v>Codo 11.25 - Ø6</v>
      </c>
      <c r="I112" s="266">
        <v>68.900000000000006</v>
      </c>
      <c r="J112" s="158">
        <f t="shared" si="9"/>
        <v>75</v>
      </c>
      <c r="K112" s="160">
        <f t="shared" si="10"/>
        <v>4.8000000000000001E-2</v>
      </c>
      <c r="L112" s="160">
        <f t="shared" si="11"/>
        <v>4.2332000000000001</v>
      </c>
    </row>
    <row r="113" spans="1:12" s="269" customFormat="1" ht="27" x14ac:dyDescent="0.2">
      <c r="A113" s="266" t="s">
        <v>1378</v>
      </c>
      <c r="B113" s="267">
        <v>1091762.46</v>
      </c>
      <c r="C113" s="267">
        <v>705309.31</v>
      </c>
      <c r="D113" s="160">
        <v>1855.62</v>
      </c>
      <c r="E113" s="160" t="s">
        <v>1435</v>
      </c>
      <c r="F113" s="268" t="s">
        <v>1095</v>
      </c>
      <c r="G113" s="266">
        <v>6</v>
      </c>
      <c r="H113" s="158" t="str">
        <f t="shared" si="8"/>
        <v>Codo 11.25 - Ø6</v>
      </c>
      <c r="I113" s="266">
        <v>66.099999999999994</v>
      </c>
      <c r="J113" s="158">
        <f t="shared" si="9"/>
        <v>75</v>
      </c>
      <c r="K113" s="160">
        <f t="shared" si="10"/>
        <v>4.8000000000000001E-2</v>
      </c>
      <c r="L113" s="160">
        <f t="shared" si="11"/>
        <v>4.2332000000000001</v>
      </c>
    </row>
    <row r="114" spans="1:12" s="269" customFormat="1" ht="27" x14ac:dyDescent="0.2">
      <c r="A114" s="266" t="s">
        <v>1380</v>
      </c>
      <c r="B114" s="267">
        <v>1091781.18</v>
      </c>
      <c r="C114" s="267">
        <v>705273.16</v>
      </c>
      <c r="D114" s="160">
        <v>1851.87</v>
      </c>
      <c r="E114" s="160" t="s">
        <v>1435</v>
      </c>
      <c r="F114" s="268" t="s">
        <v>1095</v>
      </c>
      <c r="G114" s="266">
        <v>6</v>
      </c>
      <c r="H114" s="158" t="str">
        <f t="shared" si="8"/>
        <v>Codo 11.25 - Ø6</v>
      </c>
      <c r="I114" s="266">
        <v>69.8</v>
      </c>
      <c r="J114" s="158">
        <f t="shared" si="9"/>
        <v>75</v>
      </c>
      <c r="K114" s="160">
        <f t="shared" si="10"/>
        <v>4.8000000000000001E-2</v>
      </c>
      <c r="L114" s="160">
        <f t="shared" si="11"/>
        <v>4.2332000000000001</v>
      </c>
    </row>
    <row r="115" spans="1:12" s="269" customFormat="1" ht="27" x14ac:dyDescent="0.2">
      <c r="A115" s="266" t="s">
        <v>1381</v>
      </c>
      <c r="B115" s="267">
        <v>1091794</v>
      </c>
      <c r="C115" s="267">
        <v>705249.44</v>
      </c>
      <c r="D115" s="160">
        <v>1840.02</v>
      </c>
      <c r="E115" s="160" t="s">
        <v>1435</v>
      </c>
      <c r="F115" s="268" t="s">
        <v>1095</v>
      </c>
      <c r="G115" s="266">
        <v>6</v>
      </c>
      <c r="H115" s="158" t="str">
        <f t="shared" si="8"/>
        <v>Codo 11.25 - Ø6</v>
      </c>
      <c r="I115" s="266">
        <v>81.599999999999994</v>
      </c>
      <c r="J115" s="158">
        <f t="shared" si="9"/>
        <v>125</v>
      </c>
      <c r="K115" s="160">
        <f t="shared" si="10"/>
        <v>4.8000000000000001E-2</v>
      </c>
      <c r="L115" s="160">
        <f t="shared" si="11"/>
        <v>4.2332000000000001</v>
      </c>
    </row>
    <row r="116" spans="1:12" s="269" customFormat="1" ht="27" x14ac:dyDescent="0.2">
      <c r="A116" s="266" t="s">
        <v>1390</v>
      </c>
      <c r="B116" s="267">
        <v>1091831.98</v>
      </c>
      <c r="C116" s="267">
        <v>705008.25</v>
      </c>
      <c r="D116" s="160">
        <v>1840.18</v>
      </c>
      <c r="E116" s="160" t="s">
        <v>1435</v>
      </c>
      <c r="F116" s="268" t="s">
        <v>1095</v>
      </c>
      <c r="G116" s="266">
        <v>6</v>
      </c>
      <c r="H116" s="158" t="str">
        <f t="shared" si="8"/>
        <v>Codo 11.25 - Ø6</v>
      </c>
      <c r="I116" s="266">
        <v>81.099999999999994</v>
      </c>
      <c r="J116" s="158">
        <f t="shared" si="9"/>
        <v>125</v>
      </c>
      <c r="K116" s="160">
        <f t="shared" si="10"/>
        <v>4.8000000000000001E-2</v>
      </c>
      <c r="L116" s="160">
        <f t="shared" si="11"/>
        <v>4.2332000000000001</v>
      </c>
    </row>
    <row r="117" spans="1:12" s="269" customFormat="1" ht="27" x14ac:dyDescent="0.2">
      <c r="A117" s="266" t="s">
        <v>1391</v>
      </c>
      <c r="B117" s="267">
        <v>1091888.92</v>
      </c>
      <c r="C117" s="267">
        <v>704985.18</v>
      </c>
      <c r="D117" s="160">
        <v>1838.21</v>
      </c>
      <c r="E117" s="160" t="s">
        <v>1435</v>
      </c>
      <c r="F117" s="268" t="s">
        <v>1095</v>
      </c>
      <c r="G117" s="266">
        <v>6</v>
      </c>
      <c r="H117" s="158" t="str">
        <f t="shared" si="8"/>
        <v>Codo 11.25 - Ø6</v>
      </c>
      <c r="I117" s="266">
        <v>83</v>
      </c>
      <c r="J117" s="158">
        <f t="shared" si="9"/>
        <v>125</v>
      </c>
      <c r="K117" s="160">
        <f t="shared" si="10"/>
        <v>4.8000000000000001E-2</v>
      </c>
      <c r="L117" s="160">
        <f t="shared" si="11"/>
        <v>4.2332000000000001</v>
      </c>
    </row>
    <row r="118" spans="1:12" s="269" customFormat="1" ht="27" x14ac:dyDescent="0.2">
      <c r="A118" s="266" t="s">
        <v>1404</v>
      </c>
      <c r="B118" s="267">
        <v>1092324.77</v>
      </c>
      <c r="C118" s="267">
        <v>705048.89</v>
      </c>
      <c r="D118" s="160">
        <v>1819.29</v>
      </c>
      <c r="E118" s="160" t="s">
        <v>1435</v>
      </c>
      <c r="F118" s="268" t="s">
        <v>1095</v>
      </c>
      <c r="G118" s="266">
        <v>6</v>
      </c>
      <c r="H118" s="158" t="str">
        <f t="shared" si="8"/>
        <v>Codo 11.25 - Ø6</v>
      </c>
      <c r="I118" s="266">
        <v>53.6</v>
      </c>
      <c r="J118" s="158">
        <f t="shared" si="9"/>
        <v>75</v>
      </c>
      <c r="K118" s="160">
        <f t="shared" si="10"/>
        <v>4.8000000000000001E-2</v>
      </c>
      <c r="L118" s="160">
        <f t="shared" si="11"/>
        <v>4.2332000000000001</v>
      </c>
    </row>
    <row r="119" spans="1:12" s="269" customFormat="1" ht="27" x14ac:dyDescent="0.2">
      <c r="A119" s="266" t="s">
        <v>1408</v>
      </c>
      <c r="B119" s="267">
        <v>1092877.47</v>
      </c>
      <c r="C119" s="267">
        <v>704869.83</v>
      </c>
      <c r="D119" s="160">
        <v>1778.01</v>
      </c>
      <c r="E119" s="160" t="s">
        <v>1435</v>
      </c>
      <c r="F119" s="268" t="s">
        <v>1095</v>
      </c>
      <c r="G119" s="266">
        <v>6</v>
      </c>
      <c r="H119" s="158" t="str">
        <f t="shared" si="8"/>
        <v>Codo 11.25 - Ø6</v>
      </c>
      <c r="I119" s="266">
        <v>94.2</v>
      </c>
      <c r="J119" s="158">
        <f t="shared" si="9"/>
        <v>125</v>
      </c>
      <c r="K119" s="160">
        <f t="shared" si="10"/>
        <v>4.8000000000000001E-2</v>
      </c>
      <c r="L119" s="160">
        <f t="shared" si="11"/>
        <v>4.2332000000000001</v>
      </c>
    </row>
    <row r="120" spans="1:12" s="269" customFormat="1" ht="27" x14ac:dyDescent="0.2">
      <c r="A120" s="266" t="s">
        <v>1418</v>
      </c>
      <c r="B120" s="267">
        <v>1092716.3400000001</v>
      </c>
      <c r="C120" s="267">
        <v>704270.06</v>
      </c>
      <c r="D120" s="160">
        <v>1817.47</v>
      </c>
      <c r="E120" s="160" t="s">
        <v>1435</v>
      </c>
      <c r="F120" s="268" t="s">
        <v>1095</v>
      </c>
      <c r="G120" s="266">
        <v>6</v>
      </c>
      <c r="H120" s="158" t="str">
        <f t="shared" ref="H120:H151" si="12">F120&amp;" - Ø"&amp;G120</f>
        <v>Codo 11.25 - Ø6</v>
      </c>
      <c r="I120" s="266">
        <v>54.2</v>
      </c>
      <c r="J120" s="158">
        <f t="shared" ref="J120:J151" si="13">IF(I120&lt;25,25,IF(I120&lt;75,75,IF(I120&lt;125,125,IF(I120&lt;175,175,"Otro"))))</f>
        <v>75</v>
      </c>
      <c r="K120" s="160">
        <f t="shared" ref="K120:K151" si="14">VLOOKUP(H120,AA_Codos,3,FALSE)</f>
        <v>4.8000000000000001E-2</v>
      </c>
      <c r="L120" s="160">
        <f t="shared" ref="L120:L151" si="15">VLOOKUP(H120,AA_Codos,4,FALSE)</f>
        <v>4.2332000000000001</v>
      </c>
    </row>
    <row r="121" spans="1:12" s="269" customFormat="1" ht="27" x14ac:dyDescent="0.2">
      <c r="A121" s="266" t="s">
        <v>1261</v>
      </c>
      <c r="B121" s="267">
        <v>1091389.8899999999</v>
      </c>
      <c r="C121" s="267">
        <v>708004.89</v>
      </c>
      <c r="D121" s="160">
        <v>1962.68</v>
      </c>
      <c r="E121" s="160" t="s">
        <v>1435</v>
      </c>
      <c r="F121" s="268" t="s">
        <v>1096</v>
      </c>
      <c r="G121" s="266">
        <v>6</v>
      </c>
      <c r="H121" s="158" t="str">
        <f t="shared" si="12"/>
        <v>Codo 22.5 - Ø6</v>
      </c>
      <c r="I121" s="266">
        <v>59.6</v>
      </c>
      <c r="J121" s="158">
        <f t="shared" si="13"/>
        <v>75</v>
      </c>
      <c r="K121" s="160">
        <f t="shared" si="14"/>
        <v>4.8000000000000001E-2</v>
      </c>
      <c r="L121" s="160">
        <f t="shared" si="15"/>
        <v>4.2332000000000001</v>
      </c>
    </row>
    <row r="122" spans="1:12" s="269" customFormat="1" ht="27" x14ac:dyDescent="0.2">
      <c r="A122" s="266" t="s">
        <v>1263</v>
      </c>
      <c r="B122" s="267">
        <v>1091337.1599999999</v>
      </c>
      <c r="C122" s="267">
        <v>707937.96</v>
      </c>
      <c r="D122" s="160">
        <v>1945.25</v>
      </c>
      <c r="E122" s="160" t="s">
        <v>1435</v>
      </c>
      <c r="F122" s="268" t="s">
        <v>1096</v>
      </c>
      <c r="G122" s="266">
        <v>6</v>
      </c>
      <c r="H122" s="158" t="str">
        <f t="shared" si="12"/>
        <v>Codo 22.5 - Ø6</v>
      </c>
      <c r="I122" s="266">
        <v>76.900000000000006</v>
      </c>
      <c r="J122" s="158">
        <f t="shared" si="13"/>
        <v>125</v>
      </c>
      <c r="K122" s="160">
        <f t="shared" si="14"/>
        <v>4.8000000000000001E-2</v>
      </c>
      <c r="L122" s="160">
        <f t="shared" si="15"/>
        <v>4.2332000000000001</v>
      </c>
    </row>
    <row r="123" spans="1:12" s="269" customFormat="1" ht="27" x14ac:dyDescent="0.2">
      <c r="A123" s="266" t="s">
        <v>1293</v>
      </c>
      <c r="B123" s="267">
        <v>1091085.72</v>
      </c>
      <c r="C123" s="267">
        <v>707008.42</v>
      </c>
      <c r="D123" s="160">
        <v>1837.5</v>
      </c>
      <c r="E123" s="160" t="s">
        <v>1435</v>
      </c>
      <c r="F123" s="268" t="s">
        <v>1096</v>
      </c>
      <c r="G123" s="266">
        <v>6</v>
      </c>
      <c r="H123" s="158" t="str">
        <f t="shared" si="12"/>
        <v>Codo 22.5 - Ø6</v>
      </c>
      <c r="I123" s="266">
        <v>86.1</v>
      </c>
      <c r="J123" s="158">
        <f t="shared" si="13"/>
        <v>125</v>
      </c>
      <c r="K123" s="160">
        <f t="shared" si="14"/>
        <v>4.8000000000000001E-2</v>
      </c>
      <c r="L123" s="160">
        <f t="shared" si="15"/>
        <v>4.2332000000000001</v>
      </c>
    </row>
    <row r="124" spans="1:12" s="269" customFormat="1" ht="27" x14ac:dyDescent="0.2">
      <c r="A124" s="266" t="s">
        <v>1322</v>
      </c>
      <c r="B124" s="267">
        <v>1091209</v>
      </c>
      <c r="C124" s="267">
        <v>706345.23</v>
      </c>
      <c r="D124" s="160">
        <v>1835.42</v>
      </c>
      <c r="E124" s="160" t="s">
        <v>1435</v>
      </c>
      <c r="F124" s="268" t="s">
        <v>1096</v>
      </c>
      <c r="G124" s="266">
        <v>6</v>
      </c>
      <c r="H124" s="158" t="str">
        <f t="shared" si="12"/>
        <v>Codo 22.5 - Ø6</v>
      </c>
      <c r="I124" s="266">
        <v>87.5</v>
      </c>
      <c r="J124" s="158">
        <f t="shared" si="13"/>
        <v>125</v>
      </c>
      <c r="K124" s="160">
        <f t="shared" si="14"/>
        <v>4.8000000000000001E-2</v>
      </c>
      <c r="L124" s="160">
        <f t="shared" si="15"/>
        <v>4.2332000000000001</v>
      </c>
    </row>
    <row r="125" spans="1:12" s="269" customFormat="1" ht="27" x14ac:dyDescent="0.2">
      <c r="A125" s="266" t="s">
        <v>1331</v>
      </c>
      <c r="B125" s="267">
        <v>1091268.1499999999</v>
      </c>
      <c r="C125" s="267">
        <v>706156.77</v>
      </c>
      <c r="D125" s="160">
        <v>1835.01</v>
      </c>
      <c r="E125" s="160" t="s">
        <v>1435</v>
      </c>
      <c r="F125" s="268" t="s">
        <v>1096</v>
      </c>
      <c r="G125" s="266">
        <v>6</v>
      </c>
      <c r="H125" s="158" t="str">
        <f t="shared" si="12"/>
        <v>Codo 22.5 - Ø6</v>
      </c>
      <c r="I125" s="266">
        <v>87.7</v>
      </c>
      <c r="J125" s="158">
        <f t="shared" si="13"/>
        <v>125</v>
      </c>
      <c r="K125" s="160">
        <f t="shared" si="14"/>
        <v>4.8000000000000001E-2</v>
      </c>
      <c r="L125" s="160">
        <f t="shared" si="15"/>
        <v>4.2332000000000001</v>
      </c>
    </row>
    <row r="126" spans="1:12" s="269" customFormat="1" ht="27" x14ac:dyDescent="0.2">
      <c r="A126" s="266" t="s">
        <v>1354</v>
      </c>
      <c r="B126" s="267">
        <v>1091508.95</v>
      </c>
      <c r="C126" s="267">
        <v>705835.09</v>
      </c>
      <c r="D126" s="160">
        <v>1843.57</v>
      </c>
      <c r="E126" s="160" t="s">
        <v>1435</v>
      </c>
      <c r="F126" s="268" t="s">
        <v>1096</v>
      </c>
      <c r="G126" s="266">
        <v>6</v>
      </c>
      <c r="H126" s="158" t="str">
        <f t="shared" si="12"/>
        <v>Codo 22.5 - Ø6</v>
      </c>
      <c r="I126" s="266">
        <v>78.7</v>
      </c>
      <c r="J126" s="158">
        <f t="shared" si="13"/>
        <v>125</v>
      </c>
      <c r="K126" s="160">
        <f t="shared" si="14"/>
        <v>4.8000000000000001E-2</v>
      </c>
      <c r="L126" s="160">
        <f t="shared" si="15"/>
        <v>4.2332000000000001</v>
      </c>
    </row>
    <row r="127" spans="1:12" s="269" customFormat="1" ht="27" x14ac:dyDescent="0.2">
      <c r="A127" s="266" t="s">
        <v>1365</v>
      </c>
      <c r="B127" s="267">
        <v>1091611.5</v>
      </c>
      <c r="C127" s="267">
        <v>705566.17</v>
      </c>
      <c r="D127" s="160">
        <v>1852.5</v>
      </c>
      <c r="E127" s="160" t="s">
        <v>1435</v>
      </c>
      <c r="F127" s="268" t="s">
        <v>1096</v>
      </c>
      <c r="G127" s="266">
        <v>6</v>
      </c>
      <c r="H127" s="158" t="str">
        <f t="shared" si="12"/>
        <v>Codo 22.5 - Ø6</v>
      </c>
      <c r="I127" s="267">
        <v>1919.4</v>
      </c>
      <c r="J127" s="158" t="str">
        <f t="shared" si="13"/>
        <v>Otro</v>
      </c>
      <c r="K127" s="160">
        <f t="shared" si="14"/>
        <v>4.8000000000000001E-2</v>
      </c>
      <c r="L127" s="160">
        <f t="shared" si="15"/>
        <v>4.2332000000000001</v>
      </c>
    </row>
    <row r="128" spans="1:12" s="269" customFormat="1" ht="27" x14ac:dyDescent="0.2">
      <c r="A128" s="266" t="s">
        <v>1367</v>
      </c>
      <c r="B128" s="267">
        <v>1091615.96</v>
      </c>
      <c r="C128" s="267">
        <v>705516.12</v>
      </c>
      <c r="D128" s="160">
        <v>1852.5</v>
      </c>
      <c r="E128" s="160" t="s">
        <v>1435</v>
      </c>
      <c r="F128" s="268" t="s">
        <v>1096</v>
      </c>
      <c r="G128" s="266">
        <v>6</v>
      </c>
      <c r="H128" s="158" t="str">
        <f t="shared" si="12"/>
        <v>Codo 22.5 - Ø6</v>
      </c>
      <c r="I128" s="266">
        <v>69.400000000000006</v>
      </c>
      <c r="J128" s="158">
        <f t="shared" si="13"/>
        <v>75</v>
      </c>
      <c r="K128" s="160">
        <f t="shared" si="14"/>
        <v>4.8000000000000001E-2</v>
      </c>
      <c r="L128" s="160">
        <f t="shared" si="15"/>
        <v>4.2332000000000001</v>
      </c>
    </row>
    <row r="129" spans="1:12" s="269" customFormat="1" ht="27" x14ac:dyDescent="0.2">
      <c r="A129" s="266" t="s">
        <v>1379</v>
      </c>
      <c r="B129" s="267">
        <v>1091771.97</v>
      </c>
      <c r="C129" s="267">
        <v>705293.96</v>
      </c>
      <c r="D129" s="160">
        <v>1856.82</v>
      </c>
      <c r="E129" s="160" t="s">
        <v>1435</v>
      </c>
      <c r="F129" s="268" t="s">
        <v>1096</v>
      </c>
      <c r="G129" s="266">
        <v>6</v>
      </c>
      <c r="H129" s="158" t="str">
        <f t="shared" si="12"/>
        <v>Codo 22.5 - Ø6</v>
      </c>
      <c r="I129" s="266">
        <v>64.8</v>
      </c>
      <c r="J129" s="158">
        <f t="shared" si="13"/>
        <v>75</v>
      </c>
      <c r="K129" s="160">
        <f t="shared" si="14"/>
        <v>4.8000000000000001E-2</v>
      </c>
      <c r="L129" s="160">
        <f t="shared" si="15"/>
        <v>4.2332000000000001</v>
      </c>
    </row>
    <row r="130" spans="1:12" s="269" customFormat="1" ht="27" x14ac:dyDescent="0.2">
      <c r="A130" s="266" t="s">
        <v>1388</v>
      </c>
      <c r="B130" s="267">
        <v>1091817.6399999999</v>
      </c>
      <c r="C130" s="267">
        <v>705017.62</v>
      </c>
      <c r="D130" s="160">
        <v>1840.29</v>
      </c>
      <c r="E130" s="160" t="s">
        <v>1435</v>
      </c>
      <c r="F130" s="268" t="s">
        <v>1096</v>
      </c>
      <c r="G130" s="266">
        <v>6</v>
      </c>
      <c r="H130" s="158" t="str">
        <f t="shared" si="12"/>
        <v>Codo 22.5 - Ø6</v>
      </c>
      <c r="I130" s="266">
        <v>81</v>
      </c>
      <c r="J130" s="158">
        <f t="shared" si="13"/>
        <v>125</v>
      </c>
      <c r="K130" s="160">
        <f t="shared" si="14"/>
        <v>4.8000000000000001E-2</v>
      </c>
      <c r="L130" s="160">
        <f t="shared" si="15"/>
        <v>4.2332000000000001</v>
      </c>
    </row>
    <row r="131" spans="1:12" s="269" customFormat="1" ht="27" x14ac:dyDescent="0.2">
      <c r="A131" s="266" t="s">
        <v>1400</v>
      </c>
      <c r="B131" s="267">
        <v>1092119.1100000001</v>
      </c>
      <c r="C131" s="267">
        <v>705029.81</v>
      </c>
      <c r="D131" s="160">
        <v>1835.97</v>
      </c>
      <c r="E131" s="160" t="s">
        <v>1435</v>
      </c>
      <c r="F131" s="268" t="s">
        <v>1096</v>
      </c>
      <c r="G131" s="266">
        <v>6</v>
      </c>
      <c r="H131" s="158" t="str">
        <f t="shared" si="12"/>
        <v>Codo 22.5 - Ø6</v>
      </c>
      <c r="I131" s="266">
        <v>37.1</v>
      </c>
      <c r="J131" s="158">
        <f t="shared" si="13"/>
        <v>75</v>
      </c>
      <c r="K131" s="160">
        <f t="shared" si="14"/>
        <v>4.8000000000000001E-2</v>
      </c>
      <c r="L131" s="160">
        <f t="shared" si="15"/>
        <v>4.2332000000000001</v>
      </c>
    </row>
    <row r="132" spans="1:12" s="269" customFormat="1" ht="27" x14ac:dyDescent="0.2">
      <c r="A132" s="266" t="s">
        <v>1401</v>
      </c>
      <c r="B132" s="267">
        <v>1092172.67</v>
      </c>
      <c r="C132" s="267">
        <v>705031.64</v>
      </c>
      <c r="D132" s="160">
        <v>1832.16</v>
      </c>
      <c r="E132" s="160" t="s">
        <v>1435</v>
      </c>
      <c r="F132" s="268" t="s">
        <v>1096</v>
      </c>
      <c r="G132" s="266">
        <v>6</v>
      </c>
      <c r="H132" s="158" t="str">
        <f t="shared" si="12"/>
        <v>Codo 22.5 - Ø6</v>
      </c>
      <c r="I132" s="266">
        <v>40.9</v>
      </c>
      <c r="J132" s="158">
        <f t="shared" si="13"/>
        <v>75</v>
      </c>
      <c r="K132" s="160">
        <f t="shared" si="14"/>
        <v>4.8000000000000001E-2</v>
      </c>
      <c r="L132" s="160">
        <f t="shared" si="15"/>
        <v>4.2332000000000001</v>
      </c>
    </row>
    <row r="133" spans="1:12" s="269" customFormat="1" ht="27" x14ac:dyDescent="0.2">
      <c r="A133" s="266" t="s">
        <v>1402</v>
      </c>
      <c r="B133" s="267">
        <v>1092208.31</v>
      </c>
      <c r="C133" s="267">
        <v>705047.19</v>
      </c>
      <c r="D133" s="160">
        <v>1836.35</v>
      </c>
      <c r="E133" s="160" t="s">
        <v>1435</v>
      </c>
      <c r="F133" s="268" t="s">
        <v>1096</v>
      </c>
      <c r="G133" s="266">
        <v>6</v>
      </c>
      <c r="H133" s="158" t="str">
        <f t="shared" si="12"/>
        <v>Codo 22.5 - Ø6</v>
      </c>
      <c r="I133" s="266">
        <v>36.6</v>
      </c>
      <c r="J133" s="158">
        <f t="shared" si="13"/>
        <v>75</v>
      </c>
      <c r="K133" s="160">
        <f t="shared" si="14"/>
        <v>4.8000000000000001E-2</v>
      </c>
      <c r="L133" s="160">
        <f t="shared" si="15"/>
        <v>4.2332000000000001</v>
      </c>
    </row>
    <row r="134" spans="1:12" s="269" customFormat="1" ht="27" x14ac:dyDescent="0.2">
      <c r="A134" s="266" t="s">
        <v>1403</v>
      </c>
      <c r="B134" s="267">
        <v>1092265.6000000001</v>
      </c>
      <c r="C134" s="267">
        <v>705050.54</v>
      </c>
      <c r="D134" s="160">
        <v>1817.74</v>
      </c>
      <c r="E134" s="160" t="s">
        <v>1435</v>
      </c>
      <c r="F134" s="268" t="s">
        <v>1096</v>
      </c>
      <c r="G134" s="266">
        <v>6</v>
      </c>
      <c r="H134" s="158" t="str">
        <f t="shared" si="12"/>
        <v>Codo 22.5 - Ø6</v>
      </c>
      <c r="I134" s="266">
        <v>55.2</v>
      </c>
      <c r="J134" s="158">
        <f t="shared" si="13"/>
        <v>75</v>
      </c>
      <c r="K134" s="160">
        <f t="shared" si="14"/>
        <v>4.8000000000000001E-2</v>
      </c>
      <c r="L134" s="160">
        <f t="shared" si="15"/>
        <v>4.2332000000000001</v>
      </c>
    </row>
    <row r="135" spans="1:12" s="269" customFormat="1" ht="27" x14ac:dyDescent="0.2">
      <c r="A135" s="266" t="s">
        <v>1405</v>
      </c>
      <c r="B135" s="267">
        <v>1092354.52</v>
      </c>
      <c r="C135" s="267">
        <v>705040.95</v>
      </c>
      <c r="D135" s="160">
        <v>1817.65</v>
      </c>
      <c r="E135" s="160" t="s">
        <v>1435</v>
      </c>
      <c r="F135" s="268" t="s">
        <v>1096</v>
      </c>
      <c r="G135" s="266">
        <v>6</v>
      </c>
      <c r="H135" s="158" t="str">
        <f t="shared" si="12"/>
        <v>Codo 22.5 - Ø6</v>
      </c>
      <c r="I135" s="266">
        <v>55.2</v>
      </c>
      <c r="J135" s="158">
        <f t="shared" si="13"/>
        <v>75</v>
      </c>
      <c r="K135" s="160">
        <f t="shared" si="14"/>
        <v>4.8000000000000001E-2</v>
      </c>
      <c r="L135" s="160">
        <f t="shared" si="15"/>
        <v>4.2332000000000001</v>
      </c>
    </row>
    <row r="136" spans="1:12" s="269" customFormat="1" ht="27" x14ac:dyDescent="0.2">
      <c r="A136" s="266" t="s">
        <v>1410</v>
      </c>
      <c r="B136" s="267">
        <v>1092928.3899999999</v>
      </c>
      <c r="C136" s="267">
        <v>704730.9</v>
      </c>
      <c r="D136" s="160">
        <v>1772.97</v>
      </c>
      <c r="E136" s="160" t="s">
        <v>1435</v>
      </c>
      <c r="F136" s="268" t="s">
        <v>1096</v>
      </c>
      <c r="G136" s="266">
        <v>6</v>
      </c>
      <c r="H136" s="158" t="str">
        <f t="shared" si="12"/>
        <v>Codo 22.5 - Ø6</v>
      </c>
      <c r="I136" s="266">
        <v>99.1</v>
      </c>
      <c r="J136" s="158">
        <f t="shared" si="13"/>
        <v>125</v>
      </c>
      <c r="K136" s="160">
        <f t="shared" si="14"/>
        <v>4.8000000000000001E-2</v>
      </c>
      <c r="L136" s="160">
        <f t="shared" si="15"/>
        <v>4.2332000000000001</v>
      </c>
    </row>
    <row r="137" spans="1:12" s="269" customFormat="1" ht="27" x14ac:dyDescent="0.2">
      <c r="A137" s="266" t="s">
        <v>1412</v>
      </c>
      <c r="B137" s="267">
        <v>1092894.52</v>
      </c>
      <c r="C137" s="267">
        <v>704561.3</v>
      </c>
      <c r="D137" s="160">
        <v>1785.88</v>
      </c>
      <c r="E137" s="160" t="s">
        <v>1435</v>
      </c>
      <c r="F137" s="268" t="s">
        <v>1096</v>
      </c>
      <c r="G137" s="266">
        <v>6</v>
      </c>
      <c r="H137" s="158" t="str">
        <f t="shared" si="12"/>
        <v>Codo 22.5 - Ø6</v>
      </c>
      <c r="I137" s="266">
        <v>86.1</v>
      </c>
      <c r="J137" s="158">
        <f t="shared" si="13"/>
        <v>125</v>
      </c>
      <c r="K137" s="160">
        <f t="shared" si="14"/>
        <v>4.8000000000000001E-2</v>
      </c>
      <c r="L137" s="160">
        <f t="shared" si="15"/>
        <v>4.2332000000000001</v>
      </c>
    </row>
    <row r="138" spans="1:12" s="269" customFormat="1" ht="27" x14ac:dyDescent="0.2">
      <c r="A138" s="266" t="s">
        <v>1414</v>
      </c>
      <c r="B138" s="267">
        <v>1092858.33</v>
      </c>
      <c r="C138" s="267">
        <v>704430.13</v>
      </c>
      <c r="D138" s="160">
        <v>1796.97</v>
      </c>
      <c r="E138" s="160" t="s">
        <v>1435</v>
      </c>
      <c r="F138" s="268" t="s">
        <v>1096</v>
      </c>
      <c r="G138" s="266">
        <v>6</v>
      </c>
      <c r="H138" s="158" t="str">
        <f t="shared" si="12"/>
        <v>Codo 22.5 - Ø6</v>
      </c>
      <c r="I138" s="266">
        <v>74.900000000000006</v>
      </c>
      <c r="J138" s="158">
        <f t="shared" si="13"/>
        <v>75</v>
      </c>
      <c r="K138" s="160">
        <f t="shared" si="14"/>
        <v>4.8000000000000001E-2</v>
      </c>
      <c r="L138" s="160">
        <f t="shared" si="15"/>
        <v>4.2332000000000001</v>
      </c>
    </row>
    <row r="139" spans="1:12" s="269" customFormat="1" ht="27" x14ac:dyDescent="0.2">
      <c r="A139" s="266" t="s">
        <v>1420</v>
      </c>
      <c r="B139" s="267">
        <v>1092688.78</v>
      </c>
      <c r="C139" s="267">
        <v>704185.96</v>
      </c>
      <c r="D139" s="160">
        <v>1822.78</v>
      </c>
      <c r="E139" s="160" t="s">
        <v>1435</v>
      </c>
      <c r="F139" s="268" t="s">
        <v>1096</v>
      </c>
      <c r="G139" s="266">
        <v>6</v>
      </c>
      <c r="H139" s="158" t="str">
        <f t="shared" si="12"/>
        <v>Codo 22.5 - Ø6</v>
      </c>
      <c r="I139" s="266">
        <v>48.8</v>
      </c>
      <c r="J139" s="158">
        <f t="shared" si="13"/>
        <v>75</v>
      </c>
      <c r="K139" s="160">
        <f t="shared" si="14"/>
        <v>4.8000000000000001E-2</v>
      </c>
      <c r="L139" s="160">
        <f t="shared" si="15"/>
        <v>4.2332000000000001</v>
      </c>
    </row>
    <row r="140" spans="1:12" s="269" customFormat="1" ht="27" x14ac:dyDescent="0.2">
      <c r="A140" s="266" t="s">
        <v>1421</v>
      </c>
      <c r="B140" s="267">
        <v>1092669.06</v>
      </c>
      <c r="C140" s="267">
        <v>704153.32</v>
      </c>
      <c r="D140" s="160">
        <v>1822</v>
      </c>
      <c r="E140" s="160" t="s">
        <v>1435</v>
      </c>
      <c r="F140" s="268" t="s">
        <v>1096</v>
      </c>
      <c r="G140" s="266">
        <v>6</v>
      </c>
      <c r="H140" s="158" t="str">
        <f t="shared" si="12"/>
        <v>Codo 22.5 - Ø6</v>
      </c>
      <c r="I140" s="266">
        <v>49.6</v>
      </c>
      <c r="J140" s="158">
        <f t="shared" si="13"/>
        <v>75</v>
      </c>
      <c r="K140" s="160">
        <f t="shared" si="14"/>
        <v>4.8000000000000001E-2</v>
      </c>
      <c r="L140" s="160">
        <f t="shared" si="15"/>
        <v>4.2332000000000001</v>
      </c>
    </row>
    <row r="141" spans="1:12" s="269" customFormat="1" ht="27" x14ac:dyDescent="0.2">
      <c r="A141" s="266" t="s">
        <v>1259</v>
      </c>
      <c r="B141" s="267">
        <v>1091499.05</v>
      </c>
      <c r="C141" s="267">
        <v>708046.08</v>
      </c>
      <c r="D141" s="160">
        <v>1976.85</v>
      </c>
      <c r="E141" s="160" t="s">
        <v>1435</v>
      </c>
      <c r="F141" s="268" t="s">
        <v>1086</v>
      </c>
      <c r="G141" s="268">
        <v>6</v>
      </c>
      <c r="H141" s="158" t="str">
        <f t="shared" si="12"/>
        <v>Codo 45 - Ø6</v>
      </c>
      <c r="I141" s="266">
        <v>45.5</v>
      </c>
      <c r="J141" s="158">
        <f t="shared" si="13"/>
        <v>75</v>
      </c>
      <c r="K141" s="160">
        <f t="shared" si="14"/>
        <v>6.4000000000000001E-2</v>
      </c>
      <c r="L141" s="160">
        <f t="shared" si="15"/>
        <v>5.4307500000000006</v>
      </c>
    </row>
    <row r="142" spans="1:12" s="269" customFormat="1" ht="27" x14ac:dyDescent="0.2">
      <c r="A142" s="266" t="s">
        <v>1270</v>
      </c>
      <c r="B142" s="267">
        <v>1091246.27</v>
      </c>
      <c r="C142" s="267">
        <v>707652.04</v>
      </c>
      <c r="D142" s="160">
        <v>1928.94</v>
      </c>
      <c r="E142" s="160" t="s">
        <v>1435</v>
      </c>
      <c r="F142" s="268" t="s">
        <v>1086</v>
      </c>
      <c r="G142" s="266">
        <v>6</v>
      </c>
      <c r="H142" s="158" t="str">
        <f t="shared" si="12"/>
        <v>Codo 45 - Ø6</v>
      </c>
      <c r="I142" s="266">
        <v>92.9</v>
      </c>
      <c r="J142" s="158">
        <f t="shared" si="13"/>
        <v>125</v>
      </c>
      <c r="K142" s="160">
        <f t="shared" si="14"/>
        <v>6.4000000000000001E-2</v>
      </c>
      <c r="L142" s="160">
        <f t="shared" si="15"/>
        <v>5.4307500000000006</v>
      </c>
    </row>
    <row r="143" spans="1:12" s="269" customFormat="1" ht="27" x14ac:dyDescent="0.2">
      <c r="A143" s="266" t="s">
        <v>1273</v>
      </c>
      <c r="B143" s="267">
        <v>1091052.1499999999</v>
      </c>
      <c r="C143" s="267">
        <v>707611.26</v>
      </c>
      <c r="D143" s="160">
        <v>1917.5</v>
      </c>
      <c r="E143" s="160" t="s">
        <v>1435</v>
      </c>
      <c r="F143" s="268" t="s">
        <v>1086</v>
      </c>
      <c r="G143" s="266">
        <v>6</v>
      </c>
      <c r="H143" s="158" t="str">
        <f t="shared" si="12"/>
        <v>Codo 45 - Ø6</v>
      </c>
      <c r="I143" s="266">
        <v>6.9</v>
      </c>
      <c r="J143" s="158">
        <f t="shared" si="13"/>
        <v>25</v>
      </c>
      <c r="K143" s="160">
        <f t="shared" si="14"/>
        <v>6.4000000000000001E-2</v>
      </c>
      <c r="L143" s="160">
        <f t="shared" si="15"/>
        <v>5.4307500000000006</v>
      </c>
    </row>
    <row r="144" spans="1:12" s="269" customFormat="1" ht="27" x14ac:dyDescent="0.2">
      <c r="A144" s="266" t="s">
        <v>1281</v>
      </c>
      <c r="B144" s="267">
        <v>1090922.6299999999</v>
      </c>
      <c r="C144" s="267">
        <v>707228.82</v>
      </c>
      <c r="D144" s="160">
        <v>1875.24</v>
      </c>
      <c r="E144" s="160" t="s">
        <v>1435</v>
      </c>
      <c r="F144" s="268" t="s">
        <v>1086</v>
      </c>
      <c r="G144" s="266">
        <v>6</v>
      </c>
      <c r="H144" s="158" t="str">
        <f t="shared" si="12"/>
        <v>Codo 45 - Ø6</v>
      </c>
      <c r="I144" s="266">
        <v>48.7</v>
      </c>
      <c r="J144" s="158">
        <f t="shared" si="13"/>
        <v>75</v>
      </c>
      <c r="K144" s="160">
        <f t="shared" si="14"/>
        <v>6.4000000000000001E-2</v>
      </c>
      <c r="L144" s="160">
        <f t="shared" si="15"/>
        <v>5.4307500000000006</v>
      </c>
    </row>
    <row r="145" spans="1:12" s="269" customFormat="1" ht="27" x14ac:dyDescent="0.2">
      <c r="A145" s="266" t="s">
        <v>1296</v>
      </c>
      <c r="B145" s="267">
        <v>1091118.29</v>
      </c>
      <c r="C145" s="267">
        <v>706951.97</v>
      </c>
      <c r="D145" s="160">
        <v>1852.97</v>
      </c>
      <c r="E145" s="160" t="s">
        <v>1435</v>
      </c>
      <c r="F145" s="268" t="s">
        <v>1086</v>
      </c>
      <c r="G145" s="266">
        <v>6</v>
      </c>
      <c r="H145" s="158" t="str">
        <f t="shared" si="12"/>
        <v>Codo 45 - Ø6</v>
      </c>
      <c r="I145" s="266">
        <v>70.599999999999994</v>
      </c>
      <c r="J145" s="158">
        <f t="shared" si="13"/>
        <v>75</v>
      </c>
      <c r="K145" s="160">
        <f t="shared" si="14"/>
        <v>6.4000000000000001E-2</v>
      </c>
      <c r="L145" s="160">
        <f t="shared" si="15"/>
        <v>5.4307500000000006</v>
      </c>
    </row>
    <row r="146" spans="1:12" s="269" customFormat="1" ht="27" x14ac:dyDescent="0.2">
      <c r="A146" s="266" t="s">
        <v>1383</v>
      </c>
      <c r="B146" s="267">
        <v>1091821.8799999999</v>
      </c>
      <c r="C146" s="267">
        <v>705197.53</v>
      </c>
      <c r="D146" s="160">
        <v>1830.22</v>
      </c>
      <c r="E146" s="160" t="s">
        <v>1435</v>
      </c>
      <c r="F146" s="268" t="s">
        <v>1086</v>
      </c>
      <c r="G146" s="266">
        <v>6</v>
      </c>
      <c r="H146" s="158" t="str">
        <f t="shared" si="12"/>
        <v>Codo 45 - Ø6</v>
      </c>
      <c r="I146" s="266">
        <v>91.3</v>
      </c>
      <c r="J146" s="158">
        <f t="shared" si="13"/>
        <v>125</v>
      </c>
      <c r="K146" s="160">
        <f t="shared" si="14"/>
        <v>6.4000000000000001E-2</v>
      </c>
      <c r="L146" s="160">
        <f t="shared" si="15"/>
        <v>5.4307500000000006</v>
      </c>
    </row>
    <row r="147" spans="1:12" s="269" customFormat="1" ht="27" x14ac:dyDescent="0.2">
      <c r="A147" s="266" t="s">
        <v>1384</v>
      </c>
      <c r="B147" s="267">
        <v>1091815.55</v>
      </c>
      <c r="C147" s="267">
        <v>705151.75</v>
      </c>
      <c r="D147" s="160">
        <v>1823.47</v>
      </c>
      <c r="E147" s="160" t="s">
        <v>1435</v>
      </c>
      <c r="F147" s="268" t="s">
        <v>1086</v>
      </c>
      <c r="G147" s="266">
        <v>6</v>
      </c>
      <c r="H147" s="158" t="str">
        <f t="shared" si="12"/>
        <v>Codo 45 - Ø6</v>
      </c>
      <c r="I147" s="266">
        <v>98</v>
      </c>
      <c r="J147" s="158">
        <f t="shared" si="13"/>
        <v>125</v>
      </c>
      <c r="K147" s="160">
        <f t="shared" si="14"/>
        <v>6.4000000000000001E-2</v>
      </c>
      <c r="L147" s="160">
        <f t="shared" si="15"/>
        <v>5.4307500000000006</v>
      </c>
    </row>
    <row r="148" spans="1:12" s="269" customFormat="1" ht="27" x14ac:dyDescent="0.2">
      <c r="A148" s="266" t="s">
        <v>1385</v>
      </c>
      <c r="B148" s="267">
        <v>1091774.47</v>
      </c>
      <c r="C148" s="267">
        <v>705108.68</v>
      </c>
      <c r="D148" s="160">
        <v>1831.78</v>
      </c>
      <c r="E148" s="160" t="s">
        <v>1435</v>
      </c>
      <c r="F148" s="268" t="s">
        <v>1086</v>
      </c>
      <c r="G148" s="266">
        <v>6</v>
      </c>
      <c r="H148" s="158" t="str">
        <f t="shared" si="12"/>
        <v>Codo 45 - Ø6</v>
      </c>
      <c r="I148" s="266">
        <v>89.6</v>
      </c>
      <c r="J148" s="158">
        <f t="shared" si="13"/>
        <v>125</v>
      </c>
      <c r="K148" s="160">
        <f t="shared" si="14"/>
        <v>6.4000000000000001E-2</v>
      </c>
      <c r="L148" s="160">
        <f t="shared" si="15"/>
        <v>5.4307500000000006</v>
      </c>
    </row>
    <row r="149" spans="1:12" s="269" customFormat="1" ht="27" x14ac:dyDescent="0.2">
      <c r="A149" s="266" t="s">
        <v>1387</v>
      </c>
      <c r="B149" s="267">
        <v>1091783.32</v>
      </c>
      <c r="C149" s="267">
        <v>705021.61</v>
      </c>
      <c r="D149" s="160">
        <v>1851.64</v>
      </c>
      <c r="E149" s="160" t="s">
        <v>1435</v>
      </c>
      <c r="F149" s="268" t="s">
        <v>1086</v>
      </c>
      <c r="G149" s="266">
        <v>6</v>
      </c>
      <c r="H149" s="158" t="str">
        <f t="shared" si="12"/>
        <v>Codo 45 - Ø6</v>
      </c>
      <c r="I149" s="266">
        <v>69.7</v>
      </c>
      <c r="J149" s="158">
        <f t="shared" si="13"/>
        <v>75</v>
      </c>
      <c r="K149" s="160">
        <f t="shared" si="14"/>
        <v>6.4000000000000001E-2</v>
      </c>
      <c r="L149" s="160">
        <f t="shared" si="15"/>
        <v>5.4307500000000006</v>
      </c>
    </row>
    <row r="150" spans="1:12" s="269" customFormat="1" ht="27" x14ac:dyDescent="0.2">
      <c r="A150" s="266" t="s">
        <v>1392</v>
      </c>
      <c r="B150" s="267">
        <v>1091907.94</v>
      </c>
      <c r="C150" s="267">
        <v>704972.18</v>
      </c>
      <c r="D150" s="160">
        <v>1835.87</v>
      </c>
      <c r="E150" s="160" t="s">
        <v>1435</v>
      </c>
      <c r="F150" s="268" t="s">
        <v>1086</v>
      </c>
      <c r="G150" s="266">
        <v>6</v>
      </c>
      <c r="H150" s="158" t="str">
        <f t="shared" si="12"/>
        <v>Codo 45 - Ø6</v>
      </c>
      <c r="I150" s="266">
        <v>85.3</v>
      </c>
      <c r="J150" s="158">
        <f t="shared" si="13"/>
        <v>125</v>
      </c>
      <c r="K150" s="160">
        <f t="shared" si="14"/>
        <v>6.4000000000000001E-2</v>
      </c>
      <c r="L150" s="160">
        <f t="shared" si="15"/>
        <v>5.4307500000000006</v>
      </c>
    </row>
    <row r="151" spans="1:12" s="269" customFormat="1" ht="27" x14ac:dyDescent="0.2">
      <c r="A151" s="266" t="s">
        <v>1393</v>
      </c>
      <c r="B151" s="267">
        <v>1091910.8700000001</v>
      </c>
      <c r="C151" s="267">
        <v>704917.69</v>
      </c>
      <c r="D151" s="160">
        <v>1829.89</v>
      </c>
      <c r="E151" s="160" t="s">
        <v>1435</v>
      </c>
      <c r="F151" s="268" t="s">
        <v>1086</v>
      </c>
      <c r="G151" s="266">
        <v>6</v>
      </c>
      <c r="H151" s="158" t="str">
        <f t="shared" si="12"/>
        <v>Codo 45 - Ø6</v>
      </c>
      <c r="I151" s="266">
        <v>91.2</v>
      </c>
      <c r="J151" s="158">
        <f t="shared" si="13"/>
        <v>125</v>
      </c>
      <c r="K151" s="160">
        <f t="shared" si="14"/>
        <v>6.4000000000000001E-2</v>
      </c>
      <c r="L151" s="160">
        <f t="shared" si="15"/>
        <v>5.4307500000000006</v>
      </c>
    </row>
    <row r="152" spans="1:12" s="269" customFormat="1" ht="27" x14ac:dyDescent="0.2">
      <c r="A152" s="266" t="s">
        <v>1394</v>
      </c>
      <c r="B152" s="267">
        <v>1091933.49</v>
      </c>
      <c r="C152" s="267">
        <v>704897.93</v>
      </c>
      <c r="D152" s="160">
        <v>1832.45</v>
      </c>
      <c r="E152" s="160" t="s">
        <v>1435</v>
      </c>
      <c r="F152" s="268" t="s">
        <v>1086</v>
      </c>
      <c r="G152" s="266">
        <v>6</v>
      </c>
      <c r="H152" s="158" t="str">
        <f t="shared" ref="H152:H167" si="16">F152&amp;" - Ø"&amp;G152</f>
        <v>Codo 45 - Ø6</v>
      </c>
      <c r="I152" s="266">
        <v>88.6</v>
      </c>
      <c r="J152" s="158">
        <f t="shared" ref="J152:J167" si="17">IF(I152&lt;25,25,IF(I152&lt;75,75,IF(I152&lt;125,125,IF(I152&lt;175,175,"Otro"))))</f>
        <v>125</v>
      </c>
      <c r="K152" s="160">
        <f t="shared" ref="K152:K167" si="18">VLOOKUP(H152,AA_Codos,3,FALSE)</f>
        <v>6.4000000000000001E-2</v>
      </c>
      <c r="L152" s="160">
        <f t="shared" ref="L152:L167" si="19">VLOOKUP(H152,AA_Codos,4,FALSE)</f>
        <v>5.4307500000000006</v>
      </c>
    </row>
    <row r="153" spans="1:12" s="269" customFormat="1" ht="27" x14ac:dyDescent="0.2">
      <c r="A153" s="266" t="s">
        <v>1395</v>
      </c>
      <c r="B153" s="267">
        <v>1091982.5</v>
      </c>
      <c r="C153" s="267">
        <v>704900.12</v>
      </c>
      <c r="D153" s="160">
        <v>1837.5</v>
      </c>
      <c r="E153" s="160" t="s">
        <v>1435</v>
      </c>
      <c r="F153" s="268" t="s">
        <v>1086</v>
      </c>
      <c r="G153" s="266">
        <v>6</v>
      </c>
      <c r="H153" s="158" t="str">
        <f t="shared" si="16"/>
        <v>Codo 45 - Ø6</v>
      </c>
      <c r="I153" s="266">
        <v>83.5</v>
      </c>
      <c r="J153" s="158">
        <f t="shared" si="17"/>
        <v>125</v>
      </c>
      <c r="K153" s="160">
        <f t="shared" si="18"/>
        <v>6.4000000000000001E-2</v>
      </c>
      <c r="L153" s="160">
        <f t="shared" si="19"/>
        <v>5.4307500000000006</v>
      </c>
    </row>
    <row r="154" spans="1:12" s="269" customFormat="1" ht="27" x14ac:dyDescent="0.2">
      <c r="A154" s="266" t="s">
        <v>1396</v>
      </c>
      <c r="B154" s="267">
        <v>1092040.73</v>
      </c>
      <c r="C154" s="267">
        <v>704941</v>
      </c>
      <c r="D154" s="160">
        <v>1827.92</v>
      </c>
      <c r="E154" s="160" t="s">
        <v>1435</v>
      </c>
      <c r="F154" s="268" t="s">
        <v>1086</v>
      </c>
      <c r="G154" s="266">
        <v>6</v>
      </c>
      <c r="H154" s="158" t="str">
        <f t="shared" si="16"/>
        <v>Codo 45 - Ø6</v>
      </c>
      <c r="I154" s="266">
        <v>93</v>
      </c>
      <c r="J154" s="158">
        <f t="shared" si="17"/>
        <v>125</v>
      </c>
      <c r="K154" s="160">
        <f t="shared" si="18"/>
        <v>6.4000000000000001E-2</v>
      </c>
      <c r="L154" s="160">
        <f t="shared" si="19"/>
        <v>5.4307500000000006</v>
      </c>
    </row>
    <row r="155" spans="1:12" s="269" customFormat="1" ht="27" x14ac:dyDescent="0.2">
      <c r="A155" s="266" t="s">
        <v>1397</v>
      </c>
      <c r="B155" s="267">
        <v>1092068.1399999999</v>
      </c>
      <c r="C155" s="267">
        <v>705035.95</v>
      </c>
      <c r="D155" s="160">
        <v>1837.68</v>
      </c>
      <c r="E155" s="160" t="s">
        <v>1435</v>
      </c>
      <c r="F155" s="268" t="s">
        <v>1086</v>
      </c>
      <c r="G155" s="266">
        <v>6</v>
      </c>
      <c r="H155" s="158" t="str">
        <f t="shared" si="16"/>
        <v>Codo 45 - Ø6</v>
      </c>
      <c r="I155" s="266">
        <v>83.2</v>
      </c>
      <c r="J155" s="158">
        <f t="shared" si="17"/>
        <v>125</v>
      </c>
      <c r="K155" s="160">
        <f t="shared" si="18"/>
        <v>6.4000000000000001E-2</v>
      </c>
      <c r="L155" s="160">
        <f t="shared" si="19"/>
        <v>5.4307500000000006</v>
      </c>
    </row>
    <row r="156" spans="1:12" s="269" customFormat="1" ht="27" x14ac:dyDescent="0.2">
      <c r="A156" s="266" t="s">
        <v>1399</v>
      </c>
      <c r="B156" s="267">
        <v>1092089.18</v>
      </c>
      <c r="C156" s="267">
        <v>705042.7</v>
      </c>
      <c r="D156" s="160">
        <v>1837.5</v>
      </c>
      <c r="E156" s="160" t="s">
        <v>1435</v>
      </c>
      <c r="F156" s="268" t="s">
        <v>1086</v>
      </c>
      <c r="G156" s="266">
        <v>6</v>
      </c>
      <c r="H156" s="158" t="str">
        <f t="shared" si="16"/>
        <v>Codo 45 - Ø6</v>
      </c>
      <c r="I156" s="266">
        <v>35.6</v>
      </c>
      <c r="J156" s="158">
        <f t="shared" si="17"/>
        <v>75</v>
      </c>
      <c r="K156" s="160">
        <f t="shared" si="18"/>
        <v>6.4000000000000001E-2</v>
      </c>
      <c r="L156" s="160">
        <f t="shared" si="19"/>
        <v>5.4307500000000006</v>
      </c>
    </row>
    <row r="157" spans="1:12" s="269" customFormat="1" ht="27" x14ac:dyDescent="0.2">
      <c r="A157" s="266" t="s">
        <v>1406</v>
      </c>
      <c r="B157" s="267">
        <v>1092454.3700000001</v>
      </c>
      <c r="C157" s="267">
        <v>704977.49</v>
      </c>
      <c r="D157" s="160">
        <v>1810.86</v>
      </c>
      <c r="E157" s="160" t="s">
        <v>1435</v>
      </c>
      <c r="F157" s="268" t="s">
        <v>1086</v>
      </c>
      <c r="G157" s="266">
        <v>6</v>
      </c>
      <c r="H157" s="158" t="str">
        <f t="shared" si="16"/>
        <v>Codo 45 - Ø6</v>
      </c>
      <c r="I157" s="266">
        <v>61.9</v>
      </c>
      <c r="J157" s="158">
        <f t="shared" si="17"/>
        <v>75</v>
      </c>
      <c r="K157" s="160">
        <f t="shared" si="18"/>
        <v>6.4000000000000001E-2</v>
      </c>
      <c r="L157" s="160">
        <f t="shared" si="19"/>
        <v>5.4307500000000006</v>
      </c>
    </row>
    <row r="158" spans="1:12" s="269" customFormat="1" ht="27" x14ac:dyDescent="0.2">
      <c r="A158" s="266" t="s">
        <v>1407</v>
      </c>
      <c r="B158" s="267">
        <v>1092741.73</v>
      </c>
      <c r="C158" s="267">
        <v>704984.05</v>
      </c>
      <c r="D158" s="160">
        <v>1783.51</v>
      </c>
      <c r="E158" s="160" t="s">
        <v>1435</v>
      </c>
      <c r="F158" s="268" t="s">
        <v>1086</v>
      </c>
      <c r="G158" s="266">
        <v>6</v>
      </c>
      <c r="H158" s="158" t="str">
        <f t="shared" si="16"/>
        <v>Codo 45 - Ø6</v>
      </c>
      <c r="I158" s="266">
        <v>88.9</v>
      </c>
      <c r="J158" s="158">
        <f t="shared" si="17"/>
        <v>125</v>
      </c>
      <c r="K158" s="160">
        <f t="shared" si="18"/>
        <v>6.4000000000000001E-2</v>
      </c>
      <c r="L158" s="160">
        <f t="shared" si="19"/>
        <v>5.4307500000000006</v>
      </c>
    </row>
    <row r="159" spans="1:12" s="269" customFormat="1" ht="27" x14ac:dyDescent="0.2">
      <c r="A159" s="266" t="s">
        <v>1409</v>
      </c>
      <c r="B159" s="267">
        <v>1092931.94</v>
      </c>
      <c r="C159" s="267">
        <v>704780.52</v>
      </c>
      <c r="D159" s="160">
        <v>1768.28</v>
      </c>
      <c r="E159" s="160" t="s">
        <v>1435</v>
      </c>
      <c r="F159" s="268" t="s">
        <v>1086</v>
      </c>
      <c r="G159" s="266">
        <v>6</v>
      </c>
      <c r="H159" s="158" t="str">
        <f t="shared" si="16"/>
        <v>Codo 45 - Ø6</v>
      </c>
      <c r="I159" s="266">
        <v>103.9</v>
      </c>
      <c r="J159" s="158">
        <f t="shared" si="17"/>
        <v>125</v>
      </c>
      <c r="K159" s="160">
        <f t="shared" si="18"/>
        <v>6.4000000000000001E-2</v>
      </c>
      <c r="L159" s="160">
        <f t="shared" si="19"/>
        <v>5.4307500000000006</v>
      </c>
    </row>
    <row r="160" spans="1:12" s="269" customFormat="1" ht="27" x14ac:dyDescent="0.2">
      <c r="A160" s="266" t="s">
        <v>1411</v>
      </c>
      <c r="B160" s="267">
        <v>1092952.3600000001</v>
      </c>
      <c r="C160" s="267">
        <v>704673.97</v>
      </c>
      <c r="D160" s="160">
        <v>1776.6</v>
      </c>
      <c r="E160" s="160" t="s">
        <v>1435</v>
      </c>
      <c r="F160" s="268" t="s">
        <v>1086</v>
      </c>
      <c r="G160" s="266">
        <v>6</v>
      </c>
      <c r="H160" s="158" t="str">
        <f t="shared" si="16"/>
        <v>Codo 45 - Ø6</v>
      </c>
      <c r="I160" s="266">
        <v>95.4</v>
      </c>
      <c r="J160" s="158">
        <f t="shared" si="17"/>
        <v>125</v>
      </c>
      <c r="K160" s="160">
        <f t="shared" si="18"/>
        <v>6.4000000000000001E-2</v>
      </c>
      <c r="L160" s="160">
        <f t="shared" si="19"/>
        <v>5.4307500000000006</v>
      </c>
    </row>
    <row r="161" spans="1:12" s="269" customFormat="1" ht="27" x14ac:dyDescent="0.2">
      <c r="A161" s="266" t="s">
        <v>1413</v>
      </c>
      <c r="B161" s="267">
        <v>1092898.6599999999</v>
      </c>
      <c r="C161" s="267">
        <v>704452.96</v>
      </c>
      <c r="D161" s="160">
        <v>1792.41</v>
      </c>
      <c r="E161" s="160" t="s">
        <v>1435</v>
      </c>
      <c r="F161" s="268" t="s">
        <v>1086</v>
      </c>
      <c r="G161" s="266">
        <v>6</v>
      </c>
      <c r="H161" s="158" t="str">
        <f t="shared" si="16"/>
        <v>Codo 45 - Ø6</v>
      </c>
      <c r="I161" s="266">
        <v>79.5</v>
      </c>
      <c r="J161" s="158">
        <f t="shared" si="17"/>
        <v>125</v>
      </c>
      <c r="K161" s="160">
        <f t="shared" si="18"/>
        <v>6.4000000000000001E-2</v>
      </c>
      <c r="L161" s="160">
        <f t="shared" si="19"/>
        <v>5.4307500000000006</v>
      </c>
    </row>
    <row r="162" spans="1:12" s="269" customFormat="1" ht="27" x14ac:dyDescent="0.2">
      <c r="A162" s="266" t="s">
        <v>1415</v>
      </c>
      <c r="B162" s="267">
        <v>1092794.26</v>
      </c>
      <c r="C162" s="267">
        <v>704427.66</v>
      </c>
      <c r="D162" s="160">
        <v>1808.72</v>
      </c>
      <c r="E162" s="160" t="s">
        <v>1435</v>
      </c>
      <c r="F162" s="268" t="s">
        <v>1086</v>
      </c>
      <c r="G162" s="266">
        <v>6</v>
      </c>
      <c r="H162" s="158" t="str">
        <f t="shared" si="16"/>
        <v>Codo 45 - Ø6</v>
      </c>
      <c r="I162" s="266">
        <v>63.1</v>
      </c>
      <c r="J162" s="158">
        <f t="shared" si="17"/>
        <v>75</v>
      </c>
      <c r="K162" s="160">
        <f t="shared" si="18"/>
        <v>6.4000000000000001E-2</v>
      </c>
      <c r="L162" s="160">
        <f t="shared" si="19"/>
        <v>5.4307500000000006</v>
      </c>
    </row>
    <row r="163" spans="1:12" s="269" customFormat="1" ht="27" x14ac:dyDescent="0.2">
      <c r="A163" s="266" t="s">
        <v>1419</v>
      </c>
      <c r="B163" s="267">
        <v>1092690.77</v>
      </c>
      <c r="C163" s="267">
        <v>704234.06</v>
      </c>
      <c r="D163" s="160">
        <v>1824.17</v>
      </c>
      <c r="E163" s="160" t="s">
        <v>1435</v>
      </c>
      <c r="F163" s="268" t="s">
        <v>1086</v>
      </c>
      <c r="G163" s="266">
        <v>6</v>
      </c>
      <c r="H163" s="158" t="str">
        <f t="shared" si="16"/>
        <v>Codo 45 - Ø6</v>
      </c>
      <c r="I163" s="266">
        <v>47.5</v>
      </c>
      <c r="J163" s="158">
        <f t="shared" si="17"/>
        <v>75</v>
      </c>
      <c r="K163" s="160">
        <f t="shared" si="18"/>
        <v>6.4000000000000001E-2</v>
      </c>
      <c r="L163" s="160">
        <f t="shared" si="19"/>
        <v>5.4307500000000006</v>
      </c>
    </row>
    <row r="164" spans="1:12" s="269" customFormat="1" ht="27" x14ac:dyDescent="0.2">
      <c r="A164" s="266" t="s">
        <v>1423</v>
      </c>
      <c r="B164" s="267">
        <v>1092669.22</v>
      </c>
      <c r="C164" s="267">
        <v>704115.02</v>
      </c>
      <c r="D164" s="160">
        <v>1817.95</v>
      </c>
      <c r="E164" s="160" t="s">
        <v>1435</v>
      </c>
      <c r="F164" s="268" t="s">
        <v>1086</v>
      </c>
      <c r="G164" s="266">
        <v>6</v>
      </c>
      <c r="H164" s="158" t="str">
        <f t="shared" si="16"/>
        <v>Codo 45 - Ø6</v>
      </c>
      <c r="I164" s="266">
        <v>26</v>
      </c>
      <c r="J164" s="158">
        <f t="shared" si="17"/>
        <v>75</v>
      </c>
      <c r="K164" s="160">
        <f t="shared" si="18"/>
        <v>6.4000000000000001E-2</v>
      </c>
      <c r="L164" s="160">
        <f t="shared" si="19"/>
        <v>5.4307500000000006</v>
      </c>
    </row>
    <row r="165" spans="1:12" s="269" customFormat="1" ht="27" x14ac:dyDescent="0.2">
      <c r="A165" s="266" t="s">
        <v>1386</v>
      </c>
      <c r="B165" s="267">
        <v>1091762.52</v>
      </c>
      <c r="C165" s="267">
        <v>705033.48</v>
      </c>
      <c r="D165" s="160">
        <v>1849.34</v>
      </c>
      <c r="E165" s="160" t="s">
        <v>1435</v>
      </c>
      <c r="F165" s="268" t="s">
        <v>1087</v>
      </c>
      <c r="G165" s="266">
        <v>6</v>
      </c>
      <c r="H165" s="158" t="str">
        <f t="shared" si="16"/>
        <v>Codo 90 - Ø6</v>
      </c>
      <c r="I165" s="266">
        <v>72</v>
      </c>
      <c r="J165" s="158">
        <f t="shared" si="17"/>
        <v>75</v>
      </c>
      <c r="K165" s="160">
        <f t="shared" si="18"/>
        <v>6.4000000000000001E-2</v>
      </c>
      <c r="L165" s="160">
        <f t="shared" si="19"/>
        <v>5.4307500000000006</v>
      </c>
    </row>
    <row r="166" spans="1:12" s="269" customFormat="1" ht="27" x14ac:dyDescent="0.2">
      <c r="A166" s="266" t="s">
        <v>1416</v>
      </c>
      <c r="B166" s="267">
        <v>1092781.53</v>
      </c>
      <c r="C166" s="267">
        <v>704407.16</v>
      </c>
      <c r="D166" s="160">
        <v>1811.33</v>
      </c>
      <c r="E166" s="160" t="s">
        <v>1435</v>
      </c>
      <c r="F166" s="268" t="s">
        <v>1087</v>
      </c>
      <c r="G166" s="266">
        <v>6</v>
      </c>
      <c r="H166" s="158" t="str">
        <f t="shared" si="16"/>
        <v>Codo 90 - Ø6</v>
      </c>
      <c r="I166" s="266">
        <v>60.5</v>
      </c>
      <c r="J166" s="158">
        <f t="shared" si="17"/>
        <v>75</v>
      </c>
      <c r="K166" s="160">
        <f t="shared" si="18"/>
        <v>6.4000000000000001E-2</v>
      </c>
      <c r="L166" s="160">
        <f t="shared" si="19"/>
        <v>5.4307500000000006</v>
      </c>
    </row>
    <row r="167" spans="1:12" s="269" customFormat="1" ht="27" x14ac:dyDescent="0.2">
      <c r="A167" s="266" t="s">
        <v>1417</v>
      </c>
      <c r="B167" s="267">
        <v>1092809.32</v>
      </c>
      <c r="C167" s="267">
        <v>704372.39</v>
      </c>
      <c r="D167" s="160">
        <v>1804.86</v>
      </c>
      <c r="E167" s="160" t="s">
        <v>1435</v>
      </c>
      <c r="F167" s="268" t="s">
        <v>1087</v>
      </c>
      <c r="G167" s="266">
        <v>6</v>
      </c>
      <c r="H167" s="158" t="str">
        <f t="shared" si="16"/>
        <v>Codo 90 - Ø6</v>
      </c>
      <c r="I167" s="266">
        <v>66.900000000000006</v>
      </c>
      <c r="J167" s="158">
        <f t="shared" si="17"/>
        <v>75</v>
      </c>
      <c r="K167" s="160">
        <f t="shared" si="18"/>
        <v>6.4000000000000001E-2</v>
      </c>
      <c r="L167" s="160">
        <f t="shared" si="19"/>
        <v>5.4307500000000006</v>
      </c>
    </row>
    <row r="170" spans="1:12" ht="14.25" thickBot="1" x14ac:dyDescent="0.3">
      <c r="H170" s="190"/>
      <c r="I170" s="190"/>
    </row>
    <row r="171" spans="1:12" ht="14.25" thickTop="1" x14ac:dyDescent="0.25">
      <c r="H171" s="429" t="s">
        <v>1126</v>
      </c>
      <c r="I171" s="429"/>
      <c r="J171" s="429"/>
      <c r="K171" s="429"/>
      <c r="L171" s="429"/>
    </row>
    <row r="172" spans="1:12" x14ac:dyDescent="0.25">
      <c r="H172" s="406" t="s">
        <v>1127</v>
      </c>
      <c r="I172" s="406"/>
      <c r="J172" s="406"/>
      <c r="K172" s="406"/>
      <c r="L172" s="406"/>
    </row>
    <row r="173" spans="1:12" x14ac:dyDescent="0.25">
      <c r="H173" s="406" t="s">
        <v>1123</v>
      </c>
      <c r="I173" s="406"/>
      <c r="J173" s="406"/>
      <c r="K173" s="406"/>
      <c r="L173" s="406"/>
    </row>
  </sheetData>
  <sortState xmlns:xlrd2="http://schemas.microsoft.com/office/spreadsheetml/2017/richdata2" ref="A88:L167">
    <sortCondition ref="G88:G167"/>
  </sortState>
  <mergeCells count="65">
    <mergeCell ref="C12:D12"/>
    <mergeCell ref="C13:D13"/>
    <mergeCell ref="C11:D11"/>
    <mergeCell ref="C10:D10"/>
    <mergeCell ref="A1:L2"/>
    <mergeCell ref="C4:D4"/>
    <mergeCell ref="E4:F4"/>
    <mergeCell ref="G4:H4"/>
    <mergeCell ref="I4:J4"/>
    <mergeCell ref="K4:L4"/>
    <mergeCell ref="C5:D5"/>
    <mergeCell ref="C6:D6"/>
    <mergeCell ref="C7:D7"/>
    <mergeCell ref="C8:D8"/>
    <mergeCell ref="C9:D9"/>
    <mergeCell ref="C14:D14"/>
    <mergeCell ref="C15:D15"/>
    <mergeCell ref="C16:D16"/>
    <mergeCell ref="C17:D17"/>
    <mergeCell ref="C18:D18"/>
    <mergeCell ref="C19:D19"/>
    <mergeCell ref="C20:D20"/>
    <mergeCell ref="C21:D21"/>
    <mergeCell ref="A25:E25"/>
    <mergeCell ref="G25:K25"/>
    <mergeCell ref="C22:D22"/>
    <mergeCell ref="J48:K48"/>
    <mergeCell ref="A43:B43"/>
    <mergeCell ref="G43:H43"/>
    <mergeCell ref="A44:B44"/>
    <mergeCell ref="G44:H44"/>
    <mergeCell ref="A45:B45"/>
    <mergeCell ref="G45:H45"/>
    <mergeCell ref="A46:B46"/>
    <mergeCell ref="G46:H46"/>
    <mergeCell ref="A48:B48"/>
    <mergeCell ref="D48:E48"/>
    <mergeCell ref="G48:H48"/>
    <mergeCell ref="G42:H42"/>
    <mergeCell ref="A42:B42"/>
    <mergeCell ref="A49:B49"/>
    <mergeCell ref="D49:E49"/>
    <mergeCell ref="G49:H49"/>
    <mergeCell ref="J49:K49"/>
    <mergeCell ref="A60:B60"/>
    <mergeCell ref="D60:E60"/>
    <mergeCell ref="G60:H60"/>
    <mergeCell ref="J60:K60"/>
    <mergeCell ref="A61:B61"/>
    <mergeCell ref="D61:E61"/>
    <mergeCell ref="G61:H61"/>
    <mergeCell ref="J61:K61"/>
    <mergeCell ref="A72:B72"/>
    <mergeCell ref="D72:E72"/>
    <mergeCell ref="G72:H72"/>
    <mergeCell ref="J72:K72"/>
    <mergeCell ref="H171:L171"/>
    <mergeCell ref="H172:L172"/>
    <mergeCell ref="H173:L173"/>
    <mergeCell ref="A86:J86"/>
    <mergeCell ref="A73:B73"/>
    <mergeCell ref="D73:E73"/>
    <mergeCell ref="G73:H73"/>
    <mergeCell ref="J73:K73"/>
    <mergeCell ref="A85:L85"/>
  </mergeCells>
  <printOptions horizontalCentered="1"/>
  <pageMargins left="1.1811023622047245" right="1.1811023622047245" top="0.78740157480314965" bottom="0.78740157480314965"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25</vt:i4>
      </vt:variant>
    </vt:vector>
  </HeadingPairs>
  <TitlesOfParts>
    <vt:vector size="45" baseType="lpstr">
      <vt:lpstr>Indice</vt:lpstr>
      <vt:lpstr>01</vt:lpstr>
      <vt:lpstr>11</vt:lpstr>
      <vt:lpstr>13</vt:lpstr>
      <vt:lpstr>AIU</vt:lpstr>
      <vt:lpstr>03</vt:lpstr>
      <vt:lpstr>04</vt:lpstr>
      <vt:lpstr>05</vt:lpstr>
      <vt:lpstr>06</vt:lpstr>
      <vt:lpstr>07</vt:lpstr>
      <vt:lpstr>08</vt:lpstr>
      <vt:lpstr>09</vt:lpstr>
      <vt:lpstr>10</vt:lpstr>
      <vt:lpstr>12</vt:lpstr>
      <vt:lpstr>14</vt:lpstr>
      <vt:lpstr>15</vt:lpstr>
      <vt:lpstr>16</vt:lpstr>
      <vt:lpstr>17</vt:lpstr>
      <vt:lpstr>18</vt:lpstr>
      <vt:lpstr>19</vt:lpstr>
      <vt:lpstr>AA_APUS</vt:lpstr>
      <vt:lpstr>AA_Cantidadesredes</vt:lpstr>
      <vt:lpstr>AA_Cimentacion</vt:lpstr>
      <vt:lpstr>AA_Codos</vt:lpstr>
      <vt:lpstr>AA_Cuadrillas</vt:lpstr>
      <vt:lpstr>AA_Equipos</vt:lpstr>
      <vt:lpstr>AA_Materiales</vt:lpstr>
      <vt:lpstr>AA_Presupuesto</vt:lpstr>
      <vt:lpstr>AA_Unitarios</vt:lpstr>
      <vt:lpstr>'01'!Área_de_impresión</vt:lpstr>
      <vt:lpstr>'03'!Área_de_impresión</vt:lpstr>
      <vt:lpstr>'04'!Área_de_impresión</vt:lpstr>
      <vt:lpstr>'05'!Área_de_impresión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AIU!Área_de_impresión</vt:lpstr>
      <vt:lpstr>Indice!Área_de_impresión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Incolsam_01</dc:creator>
  <cp:lastModifiedBy>Ing. Clara Mireya</cp:lastModifiedBy>
  <cp:lastPrinted>2025-12-12T17:00:36Z</cp:lastPrinted>
  <dcterms:created xsi:type="dcterms:W3CDTF">2004-03-25T14:44:42Z</dcterms:created>
  <dcterms:modified xsi:type="dcterms:W3CDTF">2026-05-29T17:32:59Z</dcterms:modified>
</cp:coreProperties>
</file>