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026"/>
  <workbookPr codeName="ThisWorkbook"/>
  <mc:AlternateContent xmlns:mc="http://schemas.openxmlformats.org/markup-compatibility/2006">
    <mc:Choice Requires="x15">
      <x15ac:absPath xmlns:x15ac="http://schemas.microsoft.com/office/spreadsheetml/2010/11/ac" url="E:\ALCALDÍA DE NEIVA\7. NEIVA 2026\LICITACIÓN PÚBLICA\3. JARDIN BOTANICO MNSDAMALPOP006-2026\1. PROYECTO DE PLIEGO DE CONDICIONES\PUBLICAR\"/>
    </mc:Choice>
  </mc:AlternateContent>
  <xr:revisionPtr revIDLastSave="0" documentId="8_{3CCF8001-0A34-4E71-A2FC-1261A95FF780}" xr6:coauthVersionLast="47" xr6:coauthVersionMax="47" xr10:uidLastSave="{00000000-0000-0000-0000-000000000000}"/>
  <bookViews>
    <workbookView xWindow="-108" yWindow="-108" windowWidth="23256" windowHeight="12456" tabRatio="906" xr2:uid="{00000000-000D-0000-FFFF-FFFF00000000}"/>
  </bookViews>
  <sheets>
    <sheet name="PRESUPUESTO OFICIAL (Entidad)" sheetId="265" r:id="rId1"/>
    <sheet name="PROPUESTA ECONOMICA(Proponente)" sheetId="269"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(Entidad)'!$I$7:$I$729</definedName>
    <definedName name="_xlnm._FilterDatabase" localSheetId="1" hidden="1">'PROPUESTA ECONOMICA(Proponente)'!$I$11:$I$40</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'INDICAR CÓDIGO DEL ITEM DE PAGO'!$F$4</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PAGO'!$B$2:$Q$91</definedName>
    <definedName name="_xlnm.Print_Area" localSheetId="0">'PRESUPUESTO OFICIAL (Entidad)'!$B$1:$L$738</definedName>
    <definedName name="_xlnm.Print_Area" localSheetId="1">'PROPUESTA ECONOMICA(Proponente)'!$B$2:$L$60</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_xlnm.Recorder">#REF!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_MI" localSheetId="2">#REF!</definedName>
    <definedName name="Print_Area_MI">#REF!</definedName>
    <definedName name="Print_Area_Reset">OFFSET(Full_Print,0,0,Last_Row)</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(Entidad)'!#REF!</definedName>
    <definedName name="solver_adj" localSheetId="1" hidden="1">'PROPUESTA ECONOMICA(Proponente)'!$K$42</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(Entidad)'!$K$734</definedName>
    <definedName name="solver_lhs1" localSheetId="1" hidden="1">'PROPUESTA ECONOMICA(Proponente)'!$K$54</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(Entidad)'!$K$734</definedName>
    <definedName name="solver_opt" localSheetId="1" hidden="1">'PROPUESTA ECONOMICA(Proponente)'!$K$54</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(Entidad)'!$K$735</definedName>
    <definedName name="solver_rhs1" localSheetId="1" hidden="1">'PROPUESTA ECONOMICA(Proponente)'!$K$55</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10" i="265" l="1"/>
  <c r="J514" i="265"/>
  <c r="J517" i="265"/>
  <c r="J521" i="265"/>
  <c r="J522" i="265"/>
  <c r="J529" i="265"/>
  <c r="J531" i="265"/>
  <c r="J543" i="265"/>
  <c r="J547" i="265"/>
  <c r="J549" i="265"/>
  <c r="J554" i="265"/>
  <c r="J569" i="265"/>
  <c r="N625" i="265"/>
  <c r="J615" i="265"/>
  <c r="J611" i="265"/>
  <c r="J610" i="265"/>
  <c r="J597" i="265"/>
  <c r="J595" i="265"/>
  <c r="J511" i="265"/>
  <c r="J509" i="265"/>
  <c r="J508" i="265"/>
  <c r="J505" i="265"/>
  <c r="J504" i="265"/>
  <c r="J500" i="265"/>
  <c r="J496" i="265"/>
  <c r="J492" i="265"/>
  <c r="J480" i="265"/>
  <c r="J476" i="265"/>
  <c r="J473" i="265"/>
  <c r="J472" i="265"/>
  <c r="J471" i="265"/>
  <c r="J470" i="265"/>
  <c r="J466" i="265"/>
  <c r="J463" i="265"/>
  <c r="J459" i="265"/>
  <c r="J458" i="265"/>
  <c r="J452" i="265"/>
  <c r="J445" i="265"/>
  <c r="J443" i="265"/>
  <c r="J434" i="265"/>
  <c r="J432" i="265"/>
  <c r="J431" i="265"/>
  <c r="J405" i="265"/>
  <c r="J391" i="265"/>
  <c r="J390" i="265"/>
  <c r="J389" i="265"/>
  <c r="J387" i="265"/>
  <c r="J379" i="265"/>
  <c r="J374" i="265"/>
  <c r="J373" i="265"/>
  <c r="J371" i="265"/>
  <c r="J366" i="265"/>
  <c r="J362" i="265"/>
  <c r="J360" i="265"/>
  <c r="J351" i="265"/>
  <c r="J350" i="265"/>
  <c r="J344" i="265"/>
  <c r="J341" i="265"/>
  <c r="J340" i="265"/>
  <c r="J335" i="265"/>
  <c r="J332" i="265"/>
  <c r="J325" i="265"/>
  <c r="J323" i="265"/>
  <c r="J319" i="265"/>
  <c r="J308" i="265"/>
  <c r="J302" i="265"/>
  <c r="J300" i="265"/>
  <c r="J278" i="265"/>
  <c r="J273" i="265"/>
  <c r="J271" i="265"/>
  <c r="J266" i="265"/>
  <c r="J263" i="265"/>
  <c r="J259" i="265"/>
  <c r="J258" i="265"/>
  <c r="J257" i="265"/>
  <c r="J253" i="265"/>
  <c r="J252" i="265"/>
  <c r="J245" i="265"/>
  <c r="J243" i="265"/>
  <c r="J241" i="265"/>
  <c r="J232" i="265"/>
  <c r="J225" i="265"/>
  <c r="J214" i="265"/>
  <c r="J202" i="265"/>
  <c r="J193" i="265"/>
  <c r="J187" i="265"/>
  <c r="J181" i="265"/>
  <c r="J178" i="265"/>
  <c r="J176" i="265"/>
  <c r="J174" i="265"/>
  <c r="J160" i="265"/>
  <c r="J156" i="265"/>
  <c r="J141" i="265"/>
  <c r="J133" i="265"/>
  <c r="J132" i="265"/>
  <c r="J130" i="265"/>
  <c r="J127" i="265"/>
  <c r="J121" i="265"/>
  <c r="J120" i="265"/>
  <c r="J114" i="265"/>
  <c r="J103" i="265"/>
  <c r="J102" i="265"/>
  <c r="J101" i="265"/>
  <c r="J98" i="265"/>
  <c r="J95" i="265"/>
  <c r="J91" i="265"/>
  <c r="J90" i="265"/>
  <c r="J84" i="265"/>
  <c r="J82" i="265"/>
  <c r="J83" i="265"/>
  <c r="J80" i="265"/>
  <c r="J79" i="265"/>
  <c r="J78" i="265"/>
  <c r="J77" i="265"/>
  <c r="J76" i="265"/>
  <c r="J75" i="265"/>
  <c r="J71" i="265"/>
  <c r="J68" i="265"/>
  <c r="J67" i="265"/>
  <c r="J66" i="265"/>
  <c r="J62" i="265"/>
  <c r="J55" i="265"/>
  <c r="J54" i="265"/>
  <c r="J53" i="265"/>
  <c r="J49" i="265"/>
  <c r="J45" i="265"/>
  <c r="J44" i="265"/>
  <c r="J38" i="265"/>
  <c r="J37" i="265"/>
  <c r="J36" i="265"/>
  <c r="J33" i="265"/>
  <c r="J32" i="265"/>
  <c r="J20" i="265"/>
  <c r="J16" i="265"/>
  <c r="J723" i="265"/>
  <c r="K723" i="265" s="1"/>
  <c r="J722" i="265"/>
  <c r="K722" i="265" s="1"/>
  <c r="J721" i="265"/>
  <c r="K721" i="265" s="1"/>
  <c r="J720" i="265"/>
  <c r="K720" i="265" s="1"/>
  <c r="J719" i="265"/>
  <c r="K719" i="265" s="1"/>
  <c r="J718" i="265"/>
  <c r="K718" i="265" s="1"/>
  <c r="J711" i="265"/>
  <c r="K711" i="265" s="1"/>
  <c r="J710" i="265"/>
  <c r="K710" i="265" s="1"/>
  <c r="J709" i="265"/>
  <c r="K709" i="265" s="1"/>
  <c r="J708" i="265"/>
  <c r="K708" i="265" s="1"/>
  <c r="J707" i="265"/>
  <c r="K707" i="265" s="1"/>
  <c r="J706" i="265"/>
  <c r="K706" i="265" s="1"/>
  <c r="J705" i="265"/>
  <c r="K705" i="265" s="1"/>
  <c r="J704" i="265"/>
  <c r="K704" i="265" s="1"/>
  <c r="J703" i="265"/>
  <c r="K703" i="265" s="1"/>
  <c r="J700" i="265"/>
  <c r="K700" i="265" s="1"/>
  <c r="J699" i="265"/>
  <c r="K699" i="265" s="1"/>
  <c r="J698" i="265"/>
  <c r="K698" i="265" s="1"/>
  <c r="J697" i="265"/>
  <c r="K697" i="265" s="1"/>
  <c r="J696" i="265"/>
  <c r="K696" i="265" s="1"/>
  <c r="J693" i="265"/>
  <c r="K693" i="265" s="1"/>
  <c r="K694" i="265" s="1"/>
  <c r="J690" i="265"/>
  <c r="K690" i="265" s="1"/>
  <c r="J689" i="265"/>
  <c r="K689" i="265" s="1"/>
  <c r="J688" i="265"/>
  <c r="K688" i="265" s="1"/>
  <c r="J683" i="265"/>
  <c r="K683" i="265" s="1"/>
  <c r="K684" i="265" s="1"/>
  <c r="J680" i="265"/>
  <c r="K680" i="265" s="1"/>
  <c r="J679" i="265"/>
  <c r="K679" i="265" s="1"/>
  <c r="J676" i="265"/>
  <c r="K676" i="265" s="1"/>
  <c r="J675" i="265"/>
  <c r="K675" i="265" s="1"/>
  <c r="J674" i="265"/>
  <c r="K674" i="265" s="1"/>
  <c r="J673" i="265"/>
  <c r="K673" i="265" s="1"/>
  <c r="J672" i="265"/>
  <c r="K672" i="265" s="1"/>
  <c r="J671" i="265"/>
  <c r="K671" i="265" s="1"/>
  <c r="J670" i="265"/>
  <c r="K670" i="265" s="1"/>
  <c r="J669" i="265"/>
  <c r="K669" i="265" s="1"/>
  <c r="J666" i="265"/>
  <c r="K666" i="265" s="1"/>
  <c r="J665" i="265"/>
  <c r="K665" i="265" s="1"/>
  <c r="J662" i="265"/>
  <c r="K662" i="265" s="1"/>
  <c r="J661" i="265"/>
  <c r="K661" i="265" s="1"/>
  <c r="J660" i="265"/>
  <c r="K660" i="265" s="1"/>
  <c r="J659" i="265"/>
  <c r="K659" i="265" s="1"/>
  <c r="J658" i="265"/>
  <c r="K658" i="265" s="1"/>
  <c r="J657" i="265"/>
  <c r="K657" i="265" s="1"/>
  <c r="J656" i="265"/>
  <c r="K656" i="265" s="1"/>
  <c r="J652" i="265"/>
  <c r="K652" i="265" s="1"/>
  <c r="J651" i="265"/>
  <c r="K651" i="265" s="1"/>
  <c r="J648" i="265"/>
  <c r="K648" i="265" s="1"/>
  <c r="J647" i="265"/>
  <c r="K647" i="265" s="1"/>
  <c r="J643" i="265"/>
  <c r="K643" i="265" s="1"/>
  <c r="J642" i="265"/>
  <c r="K642" i="265" s="1"/>
  <c r="J641" i="265"/>
  <c r="K641" i="265" s="1"/>
  <c r="J638" i="265"/>
  <c r="K638" i="265" s="1"/>
  <c r="J637" i="265"/>
  <c r="K637" i="265" s="1"/>
  <c r="J634" i="265"/>
  <c r="J633" i="265"/>
  <c r="J630" i="265"/>
  <c r="J629" i="265"/>
  <c r="J616" i="265"/>
  <c r="J614" i="265"/>
  <c r="J613" i="265"/>
  <c r="J612" i="265"/>
  <c r="J609" i="265"/>
  <c r="J608" i="265"/>
  <c r="J607" i="265"/>
  <c r="J606" i="265"/>
  <c r="J605" i="265"/>
  <c r="J604" i="265"/>
  <c r="J603" i="265"/>
  <c r="J602" i="265"/>
  <c r="J601" i="265"/>
  <c r="J600" i="265"/>
  <c r="J599" i="265"/>
  <c r="J598" i="265"/>
  <c r="J596" i="265"/>
  <c r="J594" i="265"/>
  <c r="J593" i="265"/>
  <c r="J592" i="265"/>
  <c r="J591" i="265"/>
  <c r="J590" i="265"/>
  <c r="J589" i="265"/>
  <c r="J588" i="265"/>
  <c r="J587" i="265"/>
  <c r="J582" i="265"/>
  <c r="J581" i="265"/>
  <c r="J580" i="265"/>
  <c r="J579" i="265"/>
  <c r="J578" i="265"/>
  <c r="J575" i="265"/>
  <c r="J574" i="265"/>
  <c r="J570" i="265"/>
  <c r="J568" i="265"/>
  <c r="J567" i="265"/>
  <c r="J566" i="265"/>
  <c r="J565" i="265"/>
  <c r="J564" i="265"/>
  <c r="J563" i="265"/>
  <c r="J562" i="265"/>
  <c r="J558" i="265"/>
  <c r="J555" i="265"/>
  <c r="J553" i="265"/>
  <c r="J550" i="265"/>
  <c r="J548" i="265"/>
  <c r="J546" i="265"/>
  <c r="J542" i="265"/>
  <c r="J541" i="265"/>
  <c r="J536" i="265"/>
  <c r="J535" i="265"/>
  <c r="J534" i="265"/>
  <c r="J530" i="265"/>
  <c r="J528" i="265"/>
  <c r="J523" i="265"/>
  <c r="J520" i="265"/>
  <c r="J519" i="265"/>
  <c r="J518" i="265"/>
  <c r="J513" i="265"/>
  <c r="J512" i="265"/>
  <c r="J510" i="265"/>
  <c r="J503" i="265"/>
  <c r="J502" i="265"/>
  <c r="J501" i="265"/>
  <c r="J499" i="265"/>
  <c r="J495" i="265"/>
  <c r="J494" i="265"/>
  <c r="J493" i="265"/>
  <c r="J489" i="265"/>
  <c r="J488" i="265"/>
  <c r="J487" i="265"/>
  <c r="J484" i="265"/>
  <c r="J481" i="265"/>
  <c r="J479" i="265"/>
  <c r="J478" i="265"/>
  <c r="J477" i="265"/>
  <c r="J475" i="265"/>
  <c r="J474" i="265"/>
  <c r="J469" i="265"/>
  <c r="J465" i="265"/>
  <c r="J464" i="265"/>
  <c r="J462" i="265"/>
  <c r="J461" i="265"/>
  <c r="J460" i="265"/>
  <c r="J457" i="265"/>
  <c r="J456" i="265"/>
  <c r="J455" i="265"/>
  <c r="J454" i="265"/>
  <c r="J453" i="265"/>
  <c r="J451" i="265"/>
  <c r="J448" i="265"/>
  <c r="J447" i="265"/>
  <c r="J446" i="265"/>
  <c r="J444" i="265"/>
  <c r="J442" i="265"/>
  <c r="J441" i="265"/>
  <c r="J438" i="265"/>
  <c r="J437" i="265"/>
  <c r="J436" i="265"/>
  <c r="J435" i="265"/>
  <c r="J433" i="265"/>
  <c r="J430" i="265"/>
  <c r="J429" i="265"/>
  <c r="J428" i="265"/>
  <c r="J427" i="265"/>
  <c r="J424" i="265"/>
  <c r="J423" i="265"/>
  <c r="J422" i="265"/>
  <c r="J421" i="265"/>
  <c r="J420" i="265"/>
  <c r="J419" i="265"/>
  <c r="J416" i="265"/>
  <c r="J415" i="265"/>
  <c r="J414" i="265"/>
  <c r="J413" i="265"/>
  <c r="J412" i="265"/>
  <c r="J411" i="265"/>
  <c r="J410" i="265"/>
  <c r="J409" i="265"/>
  <c r="J408" i="265"/>
  <c r="J407" i="265"/>
  <c r="J406" i="265"/>
  <c r="J404" i="265"/>
  <c r="J403" i="265"/>
  <c r="J402" i="265"/>
  <c r="J401" i="265"/>
  <c r="J400" i="265"/>
  <c r="J399" i="265"/>
  <c r="J398" i="265"/>
  <c r="J397" i="265"/>
  <c r="J396" i="265"/>
  <c r="J395" i="265"/>
  <c r="J394" i="265"/>
  <c r="J388" i="265"/>
  <c r="J386" i="265"/>
  <c r="J385" i="265"/>
  <c r="J384" i="265"/>
  <c r="J383" i="265"/>
  <c r="J380" i="265"/>
  <c r="J378" i="265"/>
  <c r="J377" i="265"/>
  <c r="J376" i="265"/>
  <c r="J375" i="265"/>
  <c r="J372" i="265"/>
  <c r="J370" i="265"/>
  <c r="J369" i="265"/>
  <c r="J368" i="265"/>
  <c r="J367" i="265"/>
  <c r="J365" i="265"/>
  <c r="J364" i="265"/>
  <c r="J363" i="265"/>
  <c r="J361" i="265"/>
  <c r="J359" i="265"/>
  <c r="J358" i="265"/>
  <c r="J357" i="265"/>
  <c r="J356" i="265"/>
  <c r="J355" i="265"/>
  <c r="J354" i="265"/>
  <c r="J353" i="265"/>
  <c r="J352" i="265"/>
  <c r="J349" i="265"/>
  <c r="J343" i="265"/>
  <c r="J342" i="265"/>
  <c r="J339" i="265"/>
  <c r="J338" i="265"/>
  <c r="J331" i="265"/>
  <c r="J330" i="265"/>
  <c r="J329" i="265"/>
  <c r="J326" i="265"/>
  <c r="J324" i="265"/>
  <c r="J322" i="265"/>
  <c r="J321" i="265"/>
  <c r="J320" i="265"/>
  <c r="J318" i="265"/>
  <c r="J317" i="265"/>
  <c r="J316" i="265"/>
  <c r="J311" i="265"/>
  <c r="J305" i="265"/>
  <c r="J304" i="265"/>
  <c r="J303" i="265"/>
  <c r="J301" i="265"/>
  <c r="J299" i="265"/>
  <c r="J298" i="265"/>
  <c r="J297" i="265"/>
  <c r="J296" i="265"/>
  <c r="J295" i="265"/>
  <c r="J290" i="265"/>
  <c r="J287" i="265"/>
  <c r="J284" i="265"/>
  <c r="J283" i="265"/>
  <c r="J282" i="265"/>
  <c r="J281" i="265"/>
  <c r="J280" i="265"/>
  <c r="J279" i="265"/>
  <c r="J277" i="265"/>
  <c r="J276" i="265"/>
  <c r="J275" i="265"/>
  <c r="J274" i="265"/>
  <c r="J272" i="265"/>
  <c r="J265" i="265"/>
  <c r="J264" i="265"/>
  <c r="J260" i="265"/>
  <c r="J256" i="265"/>
  <c r="J255" i="265"/>
  <c r="J254" i="265"/>
  <c r="J247" i="265"/>
  <c r="J246" i="265"/>
  <c r="J244" i="265"/>
  <c r="J242" i="265"/>
  <c r="J238" i="265"/>
  <c r="J237" i="265"/>
  <c r="J236" i="265"/>
  <c r="J235" i="265"/>
  <c r="J234" i="265"/>
  <c r="J233" i="265"/>
  <c r="J231" i="265"/>
  <c r="J228" i="265"/>
  <c r="J227" i="265"/>
  <c r="J226" i="265"/>
  <c r="J224" i="265"/>
  <c r="J223" i="265"/>
  <c r="J222" i="265"/>
  <c r="J221" i="265"/>
  <c r="J216" i="265"/>
  <c r="J215" i="265"/>
  <c r="J213" i="265"/>
  <c r="J212" i="265"/>
  <c r="J211" i="265"/>
  <c r="J210" i="265"/>
  <c r="J209" i="265"/>
  <c r="J208" i="265"/>
  <c r="J207" i="265"/>
  <c r="J206" i="265"/>
  <c r="J205" i="265"/>
  <c r="J201" i="265"/>
  <c r="J200" i="265"/>
  <c r="J199" i="265"/>
  <c r="J198" i="265"/>
  <c r="J197" i="265"/>
  <c r="J196" i="265"/>
  <c r="J192" i="265"/>
  <c r="J191" i="265"/>
  <c r="J190" i="265"/>
  <c r="J189" i="265"/>
  <c r="J188" i="265"/>
  <c r="J186" i="265"/>
  <c r="J185" i="265"/>
  <c r="J184" i="265"/>
  <c r="J183" i="265"/>
  <c r="J182" i="265"/>
  <c r="J180" i="265"/>
  <c r="J179" i="265"/>
  <c r="J177" i="265"/>
  <c r="J175" i="265"/>
  <c r="J173" i="265"/>
  <c r="J172" i="265"/>
  <c r="J171" i="265"/>
  <c r="J167" i="265"/>
  <c r="J166" i="265"/>
  <c r="J165" i="265"/>
  <c r="J164" i="265"/>
  <c r="J163" i="265"/>
  <c r="J162" i="265"/>
  <c r="J161" i="265"/>
  <c r="J159" i="265"/>
  <c r="J155" i="265"/>
  <c r="J154" i="265"/>
  <c r="J153" i="265"/>
  <c r="J152" i="265"/>
  <c r="J151" i="265"/>
  <c r="J150" i="265"/>
  <c r="J149" i="265"/>
  <c r="J148" i="265"/>
  <c r="J147" i="265"/>
  <c r="J146" i="265"/>
  <c r="J143" i="265"/>
  <c r="J142" i="265"/>
  <c r="J140" i="265"/>
  <c r="J139" i="265"/>
  <c r="J138" i="265"/>
  <c r="J135" i="265"/>
  <c r="J134" i="265"/>
  <c r="J131" i="265"/>
  <c r="J129" i="265"/>
  <c r="J128" i="265"/>
  <c r="J126" i="265"/>
  <c r="J125" i="265"/>
  <c r="J124" i="265"/>
  <c r="J123" i="265"/>
  <c r="J122" i="265"/>
  <c r="J119" i="265"/>
  <c r="J118" i="265"/>
  <c r="J117" i="265"/>
  <c r="J116" i="265"/>
  <c r="J115" i="265"/>
  <c r="J113" i="265"/>
  <c r="J112" i="265"/>
  <c r="J111" i="265"/>
  <c r="J110" i="265"/>
  <c r="J107" i="265"/>
  <c r="J106" i="265"/>
  <c r="J100" i="265"/>
  <c r="J99" i="265"/>
  <c r="J97" i="265"/>
  <c r="J96" i="265"/>
  <c r="J94" i="265"/>
  <c r="J93" i="265"/>
  <c r="J92" i="265"/>
  <c r="J89" i="265"/>
  <c r="J88" i="265"/>
  <c r="J87" i="265"/>
  <c r="J86" i="265"/>
  <c r="J85" i="265"/>
  <c r="J81" i="265"/>
  <c r="J74" i="265"/>
  <c r="J70" i="265"/>
  <c r="J69" i="265"/>
  <c r="J65" i="265"/>
  <c r="J64" i="265"/>
  <c r="J63" i="265"/>
  <c r="J61" i="265"/>
  <c r="J58" i="265"/>
  <c r="J57" i="265"/>
  <c r="J56" i="265"/>
  <c r="J50" i="265"/>
  <c r="J48" i="265"/>
  <c r="J47" i="265"/>
  <c r="J46" i="265"/>
  <c r="J41" i="265"/>
  <c r="J40" i="265"/>
  <c r="J39" i="265"/>
  <c r="J35" i="265"/>
  <c r="J34" i="265"/>
  <c r="J31" i="265"/>
  <c r="J30" i="265"/>
  <c r="J27" i="265"/>
  <c r="J26" i="265"/>
  <c r="J25" i="265"/>
  <c r="J24" i="265"/>
  <c r="J23" i="265"/>
  <c r="J22" i="265"/>
  <c r="J21" i="265"/>
  <c r="J17" i="265"/>
  <c r="J15" i="265"/>
  <c r="J14" i="265"/>
  <c r="G726" i="265"/>
  <c r="K724" i="265" l="1"/>
  <c r="K726" i="265" s="1"/>
  <c r="K712" i="265"/>
  <c r="K701" i="265"/>
  <c r="K691" i="265"/>
  <c r="K667" i="265"/>
  <c r="K681" i="265"/>
  <c r="K677" i="265"/>
  <c r="K649" i="265"/>
  <c r="K663" i="265"/>
  <c r="K653" i="265"/>
  <c r="K639" i="265"/>
  <c r="K713" i="265" l="1"/>
  <c r="K685" i="265"/>
  <c r="K644" i="265" l="1"/>
  <c r="K634" i="265"/>
  <c r="K633" i="265"/>
  <c r="K630" i="265"/>
  <c r="K629" i="265"/>
  <c r="K622" i="265"/>
  <c r="K623" i="265" s="1"/>
  <c r="K625" i="265" s="1"/>
  <c r="N626" i="265" s="1"/>
  <c r="K588" i="265"/>
  <c r="K589" i="265"/>
  <c r="K590" i="265"/>
  <c r="K591" i="265"/>
  <c r="K592" i="265"/>
  <c r="K593" i="265"/>
  <c r="K594" i="265"/>
  <c r="K595" i="265"/>
  <c r="K596" i="265"/>
  <c r="K597" i="265"/>
  <c r="K598" i="265"/>
  <c r="K599" i="265"/>
  <c r="K600" i="265"/>
  <c r="K601" i="265"/>
  <c r="K602" i="265"/>
  <c r="K603" i="265"/>
  <c r="K604" i="265"/>
  <c r="K605" i="265"/>
  <c r="K606" i="265"/>
  <c r="K607" i="265"/>
  <c r="K608" i="265"/>
  <c r="K609" i="265"/>
  <c r="K610" i="265"/>
  <c r="K611" i="265"/>
  <c r="K612" i="265"/>
  <c r="K613" i="265"/>
  <c r="K614" i="265"/>
  <c r="K615" i="265"/>
  <c r="K616" i="265"/>
  <c r="K587" i="265"/>
  <c r="K579" i="265"/>
  <c r="K580" i="265"/>
  <c r="K581" i="265"/>
  <c r="K582" i="265"/>
  <c r="K578" i="265"/>
  <c r="K575" i="265"/>
  <c r="K574" i="265"/>
  <c r="K563" i="265"/>
  <c r="K564" i="265"/>
  <c r="K565" i="265"/>
  <c r="K566" i="265"/>
  <c r="K567" i="265"/>
  <c r="K568" i="265"/>
  <c r="K569" i="265"/>
  <c r="K570" i="265"/>
  <c r="K562" i="265"/>
  <c r="K554" i="265"/>
  <c r="K555" i="265"/>
  <c r="K553" i="265"/>
  <c r="K558" i="265"/>
  <c r="K559" i="265" s="1"/>
  <c r="K547" i="265"/>
  <c r="K548" i="265"/>
  <c r="K549" i="265"/>
  <c r="K550" i="265"/>
  <c r="K546" i="265"/>
  <c r="K542" i="265"/>
  <c r="K543" i="265"/>
  <c r="K541" i="265"/>
  <c r="K535" i="265"/>
  <c r="K536" i="265"/>
  <c r="K534" i="265"/>
  <c r="K529" i="265"/>
  <c r="K530" i="265"/>
  <c r="K531" i="265"/>
  <c r="K528" i="265"/>
  <c r="K518" i="265"/>
  <c r="K519" i="265"/>
  <c r="K520" i="265"/>
  <c r="K521" i="265"/>
  <c r="K522" i="265"/>
  <c r="K523" i="265"/>
  <c r="K517" i="265"/>
  <c r="K509" i="265"/>
  <c r="K510" i="265"/>
  <c r="K511" i="265"/>
  <c r="K512" i="265"/>
  <c r="K513" i="265"/>
  <c r="K514" i="265"/>
  <c r="K508" i="265"/>
  <c r="K500" i="265"/>
  <c r="K501" i="265"/>
  <c r="K502" i="265"/>
  <c r="K503" i="265"/>
  <c r="K504" i="265"/>
  <c r="K505" i="265"/>
  <c r="K499" i="265"/>
  <c r="K493" i="265"/>
  <c r="K494" i="265"/>
  <c r="K495" i="265"/>
  <c r="K496" i="265"/>
  <c r="K492" i="265"/>
  <c r="K488" i="265"/>
  <c r="K489" i="265"/>
  <c r="K487" i="265"/>
  <c r="K484" i="265"/>
  <c r="K485" i="265" s="1"/>
  <c r="K470" i="265"/>
  <c r="K471" i="265"/>
  <c r="K472" i="265"/>
  <c r="K473" i="265"/>
  <c r="K474" i="265"/>
  <c r="K475" i="265"/>
  <c r="K476" i="265"/>
  <c r="K477" i="265"/>
  <c r="K478" i="265"/>
  <c r="K479" i="265"/>
  <c r="K480" i="265"/>
  <c r="K481" i="265"/>
  <c r="K469" i="265"/>
  <c r="K452" i="265"/>
  <c r="K453" i="265"/>
  <c r="K454" i="265"/>
  <c r="K455" i="265"/>
  <c r="K456" i="265"/>
  <c r="K457" i="265"/>
  <c r="K458" i="265"/>
  <c r="K459" i="265"/>
  <c r="K460" i="265"/>
  <c r="K461" i="265"/>
  <c r="K462" i="265"/>
  <c r="K463" i="265"/>
  <c r="K464" i="265"/>
  <c r="K465" i="265"/>
  <c r="K466" i="265"/>
  <c r="K451" i="265"/>
  <c r="K442" i="265"/>
  <c r="K443" i="265"/>
  <c r="K444" i="265"/>
  <c r="K445" i="265"/>
  <c r="K446" i="265"/>
  <c r="K447" i="265"/>
  <c r="K448" i="265"/>
  <c r="K441" i="265"/>
  <c r="K428" i="265"/>
  <c r="K429" i="265"/>
  <c r="K430" i="265"/>
  <c r="K431" i="265"/>
  <c r="K432" i="265"/>
  <c r="K433" i="265"/>
  <c r="K434" i="265"/>
  <c r="K435" i="265"/>
  <c r="K436" i="265"/>
  <c r="K437" i="265"/>
  <c r="K438" i="265"/>
  <c r="K427" i="265"/>
  <c r="K420" i="265"/>
  <c r="K421" i="265"/>
  <c r="K422" i="265"/>
  <c r="K423" i="265"/>
  <c r="K424" i="265"/>
  <c r="K419" i="265"/>
  <c r="K395" i="265"/>
  <c r="K396" i="265"/>
  <c r="K397" i="265"/>
  <c r="K398" i="265"/>
  <c r="K399" i="265"/>
  <c r="K400" i="265"/>
  <c r="K401" i="265"/>
  <c r="K402" i="265"/>
  <c r="K403" i="265"/>
  <c r="K404" i="265"/>
  <c r="K405" i="265"/>
  <c r="K406" i="265"/>
  <c r="K407" i="265"/>
  <c r="K408" i="265"/>
  <c r="K409" i="265"/>
  <c r="K410" i="265"/>
  <c r="K411" i="265"/>
  <c r="K412" i="265"/>
  <c r="K413" i="265"/>
  <c r="K414" i="265"/>
  <c r="K415" i="265"/>
  <c r="K416" i="265"/>
  <c r="K394" i="265"/>
  <c r="K384" i="265"/>
  <c r="K385" i="265"/>
  <c r="K386" i="265"/>
  <c r="K387" i="265"/>
  <c r="K388" i="265"/>
  <c r="K389" i="265"/>
  <c r="K390" i="265"/>
  <c r="K391" i="265"/>
  <c r="K383" i="265"/>
  <c r="K350" i="265"/>
  <c r="K351" i="265"/>
  <c r="K352" i="265"/>
  <c r="K353" i="265"/>
  <c r="K354" i="265"/>
  <c r="K355" i="265"/>
  <c r="K356" i="265"/>
  <c r="K357" i="265"/>
  <c r="K358" i="265"/>
  <c r="K359" i="265"/>
  <c r="K360" i="265"/>
  <c r="K361" i="265"/>
  <c r="K362" i="265"/>
  <c r="K363" i="265"/>
  <c r="K364" i="265"/>
  <c r="K365" i="265"/>
  <c r="K366" i="265"/>
  <c r="K367" i="265"/>
  <c r="K368" i="265"/>
  <c r="K369" i="265"/>
  <c r="K370" i="265"/>
  <c r="K371" i="265"/>
  <c r="K372" i="265"/>
  <c r="K373" i="265"/>
  <c r="K374" i="265"/>
  <c r="K375" i="265"/>
  <c r="K376" i="265"/>
  <c r="K377" i="265"/>
  <c r="K378" i="265"/>
  <c r="K379" i="265"/>
  <c r="K380" i="265"/>
  <c r="K349" i="265"/>
  <c r="K635" i="265" l="1"/>
  <c r="K631" i="265"/>
  <c r="K617" i="265"/>
  <c r="K576" i="265"/>
  <c r="K583" i="265"/>
  <c r="K571" i="265"/>
  <c r="K537" i="265"/>
  <c r="K556" i="265"/>
  <c r="K551" i="265"/>
  <c r="K544" i="265"/>
  <c r="K506" i="265"/>
  <c r="K532" i="265"/>
  <c r="K515" i="265"/>
  <c r="K524" i="265"/>
  <c r="K497" i="265"/>
  <c r="K490" i="265"/>
  <c r="K482" i="265"/>
  <c r="K467" i="265"/>
  <c r="K449" i="265"/>
  <c r="K439" i="265"/>
  <c r="K425" i="265"/>
  <c r="K417" i="265"/>
  <c r="K392" i="265"/>
  <c r="K381" i="265"/>
  <c r="K645" i="265" l="1"/>
  <c r="K715" i="265" s="1"/>
  <c r="K560" i="265"/>
  <c r="K584" i="265"/>
  <c r="K538" i="265"/>
  <c r="K525" i="265"/>
  <c r="K339" i="265"/>
  <c r="K340" i="265"/>
  <c r="K341" i="265"/>
  <c r="K342" i="265"/>
  <c r="K343" i="265"/>
  <c r="K344" i="265"/>
  <c r="K338" i="265"/>
  <c r="K335" i="265"/>
  <c r="K336" i="265" s="1"/>
  <c r="K330" i="265"/>
  <c r="K331" i="265"/>
  <c r="K332" i="265"/>
  <c r="K329" i="265"/>
  <c r="K317" i="265"/>
  <c r="K318" i="265"/>
  <c r="K319" i="265"/>
  <c r="K320" i="265"/>
  <c r="K321" i="265"/>
  <c r="K322" i="265"/>
  <c r="K323" i="265"/>
  <c r="K324" i="265"/>
  <c r="K325" i="265"/>
  <c r="K326" i="265"/>
  <c r="K316" i="265"/>
  <c r="K308" i="265"/>
  <c r="K309" i="265" s="1"/>
  <c r="K296" i="265"/>
  <c r="K297" i="265"/>
  <c r="K298" i="265"/>
  <c r="K299" i="265"/>
  <c r="K300" i="265"/>
  <c r="K301" i="265"/>
  <c r="K302" i="265"/>
  <c r="K303" i="265"/>
  <c r="K304" i="265"/>
  <c r="K305" i="265"/>
  <c r="K295" i="265"/>
  <c r="K311" i="265"/>
  <c r="K312" i="265" s="1"/>
  <c r="K290" i="265"/>
  <c r="K291" i="265" s="1"/>
  <c r="K287" i="265"/>
  <c r="K288" i="265" s="1"/>
  <c r="K272" i="265"/>
  <c r="K273" i="265"/>
  <c r="K274" i="265"/>
  <c r="K275" i="265"/>
  <c r="K276" i="265"/>
  <c r="K277" i="265"/>
  <c r="K278" i="265"/>
  <c r="K279" i="265"/>
  <c r="K280" i="265"/>
  <c r="K281" i="265"/>
  <c r="K282" i="265"/>
  <c r="K283" i="265"/>
  <c r="K284" i="265"/>
  <c r="K271" i="265"/>
  <c r="K264" i="265"/>
  <c r="K265" i="265"/>
  <c r="K266" i="265"/>
  <c r="K263" i="265"/>
  <c r="K253" i="265"/>
  <c r="K254" i="265"/>
  <c r="K255" i="265"/>
  <c r="K256" i="265"/>
  <c r="K257" i="265"/>
  <c r="K258" i="265"/>
  <c r="K259" i="265"/>
  <c r="K260" i="265"/>
  <c r="K252" i="265"/>
  <c r="K242" i="265"/>
  <c r="K243" i="265"/>
  <c r="K244" i="265"/>
  <c r="K245" i="265"/>
  <c r="K246" i="265"/>
  <c r="K247" i="265"/>
  <c r="K241" i="265"/>
  <c r="K232" i="265"/>
  <c r="K233" i="265"/>
  <c r="K234" i="265"/>
  <c r="K235" i="265"/>
  <c r="K236" i="265"/>
  <c r="K237" i="265"/>
  <c r="K238" i="265"/>
  <c r="K231" i="265"/>
  <c r="K222" i="265"/>
  <c r="K223" i="265"/>
  <c r="K224" i="265"/>
  <c r="K225" i="265"/>
  <c r="K226" i="265"/>
  <c r="K227" i="265"/>
  <c r="K228" i="265"/>
  <c r="K221" i="265"/>
  <c r="K206" i="265"/>
  <c r="K207" i="265"/>
  <c r="K208" i="265"/>
  <c r="K209" i="265"/>
  <c r="K210" i="265"/>
  <c r="K211" i="265"/>
  <c r="K212" i="265"/>
  <c r="K213" i="265"/>
  <c r="K214" i="265"/>
  <c r="K215" i="265"/>
  <c r="K216" i="265"/>
  <c r="K205" i="265"/>
  <c r="K197" i="265"/>
  <c r="K198" i="265"/>
  <c r="K199" i="265"/>
  <c r="K200" i="265"/>
  <c r="K201" i="265"/>
  <c r="K202" i="265"/>
  <c r="K196" i="265"/>
  <c r="K172" i="265"/>
  <c r="K173" i="265"/>
  <c r="K174" i="265"/>
  <c r="K175" i="265"/>
  <c r="K176" i="265"/>
  <c r="K177" i="265"/>
  <c r="K178" i="265"/>
  <c r="K179" i="265"/>
  <c r="K180" i="265"/>
  <c r="K181" i="265"/>
  <c r="K182" i="265"/>
  <c r="K183" i="265"/>
  <c r="K184" i="265"/>
  <c r="K185" i="265"/>
  <c r="K186" i="265"/>
  <c r="K187" i="265"/>
  <c r="K188" i="265"/>
  <c r="K189" i="265"/>
  <c r="K190" i="265"/>
  <c r="K191" i="265"/>
  <c r="K192" i="265"/>
  <c r="K193" i="265"/>
  <c r="K171" i="265"/>
  <c r="K160" i="265"/>
  <c r="K161" i="265"/>
  <c r="K162" i="265"/>
  <c r="K163" i="265"/>
  <c r="K164" i="265"/>
  <c r="K165" i="265"/>
  <c r="K166" i="265"/>
  <c r="K167" i="265"/>
  <c r="K159" i="265"/>
  <c r="K147" i="265"/>
  <c r="K148" i="265"/>
  <c r="K149" i="265"/>
  <c r="K150" i="265"/>
  <c r="K151" i="265"/>
  <c r="K152" i="265"/>
  <c r="K153" i="265"/>
  <c r="K154" i="265"/>
  <c r="K155" i="265"/>
  <c r="K156" i="265"/>
  <c r="K146" i="265"/>
  <c r="K140" i="265"/>
  <c r="K139" i="265"/>
  <c r="K138" i="265"/>
  <c r="K143" i="265"/>
  <c r="K142" i="265"/>
  <c r="K141" i="265"/>
  <c r="K345" i="265" l="1"/>
  <c r="K327" i="265"/>
  <c r="K333" i="265"/>
  <c r="K267" i="265"/>
  <c r="K306" i="265"/>
  <c r="K313" i="265" s="1"/>
  <c r="K229" i="265"/>
  <c r="K285" i="265"/>
  <c r="K292" i="265" s="1"/>
  <c r="K261" i="265"/>
  <c r="K239" i="265"/>
  <c r="K248" i="265"/>
  <c r="K217" i="265"/>
  <c r="K203" i="265"/>
  <c r="K194" i="265"/>
  <c r="K168" i="265"/>
  <c r="K157" i="265"/>
  <c r="K144" i="265"/>
  <c r="K268" i="265" l="1"/>
  <c r="K346" i="265"/>
  <c r="K218" i="265"/>
  <c r="K249" i="265"/>
  <c r="K135" i="265"/>
  <c r="K134" i="265"/>
  <c r="K133" i="265"/>
  <c r="K132" i="265"/>
  <c r="K131" i="265"/>
  <c r="K130" i="265"/>
  <c r="K129" i="265"/>
  <c r="K128" i="265"/>
  <c r="K127" i="265"/>
  <c r="K126" i="265"/>
  <c r="K125" i="265"/>
  <c r="K124" i="265"/>
  <c r="K123" i="265"/>
  <c r="K122" i="265"/>
  <c r="K121" i="265"/>
  <c r="K120" i="265"/>
  <c r="K119" i="265"/>
  <c r="K118" i="265"/>
  <c r="K117" i="265"/>
  <c r="K116" i="265"/>
  <c r="K115" i="265"/>
  <c r="K114" i="265"/>
  <c r="K113" i="265"/>
  <c r="K112" i="265"/>
  <c r="K111" i="265"/>
  <c r="K110" i="265"/>
  <c r="K107" i="265"/>
  <c r="K106" i="265"/>
  <c r="K75" i="265"/>
  <c r="K76" i="265"/>
  <c r="K77" i="265"/>
  <c r="K78" i="265"/>
  <c r="K79" i="265"/>
  <c r="K80" i="265"/>
  <c r="K81" i="265"/>
  <c r="K82" i="265"/>
  <c r="K83" i="265"/>
  <c r="K84" i="265"/>
  <c r="K85" i="265"/>
  <c r="K86" i="265"/>
  <c r="K87" i="265"/>
  <c r="K88" i="265"/>
  <c r="K89" i="265"/>
  <c r="K90" i="265"/>
  <c r="K91" i="265"/>
  <c r="K92" i="265"/>
  <c r="K93" i="265"/>
  <c r="K94" i="265"/>
  <c r="K95" i="265"/>
  <c r="K96" i="265"/>
  <c r="K97" i="265"/>
  <c r="K98" i="265"/>
  <c r="K99" i="265"/>
  <c r="K100" i="265"/>
  <c r="K101" i="265"/>
  <c r="K102" i="265"/>
  <c r="K103" i="265"/>
  <c r="K74" i="265"/>
  <c r="K62" i="265"/>
  <c r="K63" i="265"/>
  <c r="K64" i="265"/>
  <c r="K65" i="265"/>
  <c r="K66" i="265"/>
  <c r="K67" i="265"/>
  <c r="K68" i="265"/>
  <c r="K69" i="265"/>
  <c r="K70" i="265"/>
  <c r="K71" i="265"/>
  <c r="K61" i="265"/>
  <c r="K58" i="265"/>
  <c r="K57" i="265"/>
  <c r="K56" i="265"/>
  <c r="K55" i="265"/>
  <c r="K54" i="265"/>
  <c r="K53" i="265"/>
  <c r="K45" i="265"/>
  <c r="K46" i="265"/>
  <c r="K47" i="265"/>
  <c r="K48" i="265"/>
  <c r="K49" i="265"/>
  <c r="K50" i="265"/>
  <c r="K44" i="265"/>
  <c r="K31" i="265"/>
  <c r="K32" i="265"/>
  <c r="K33" i="265"/>
  <c r="K34" i="265"/>
  <c r="K35" i="265"/>
  <c r="K36" i="265"/>
  <c r="K37" i="265"/>
  <c r="K38" i="265"/>
  <c r="K39" i="265"/>
  <c r="K40" i="265"/>
  <c r="K41" i="265"/>
  <c r="K30" i="265"/>
  <c r="K21" i="265"/>
  <c r="K22" i="265"/>
  <c r="K23" i="265"/>
  <c r="K24" i="265"/>
  <c r="K25" i="265"/>
  <c r="K26" i="265"/>
  <c r="K27" i="265"/>
  <c r="K20" i="265"/>
  <c r="K15" i="265"/>
  <c r="K16" i="265"/>
  <c r="K17" i="265"/>
  <c r="K14" i="265"/>
  <c r="K11" i="265"/>
  <c r="K12" i="265" s="1"/>
  <c r="K108" i="265" l="1"/>
  <c r="K136" i="265"/>
  <c r="K104" i="265"/>
  <c r="K72" i="265"/>
  <c r="K51" i="265"/>
  <c r="K59" i="265"/>
  <c r="K42" i="265"/>
  <c r="K18" i="265"/>
  <c r="K28" i="265"/>
  <c r="K619" i="265" l="1"/>
  <c r="K728" i="265" s="1"/>
  <c r="M728" i="265" l="1"/>
</calcChain>
</file>

<file path=xl/sharedStrings.xml><?xml version="1.0" encoding="utf-8"?>
<sst xmlns="http://schemas.openxmlformats.org/spreadsheetml/2006/main" count="1929" uniqueCount="1323">
  <si>
    <t xml:space="preserve">Formulario 1 - Propuesta económica  -  Licitación de obra pública de infraestructura social </t>
  </si>
  <si>
    <t xml:space="preserve">version 2 del 21 de agosto de 2025 </t>
  </si>
  <si>
    <r>
      <t>[La Entidad puede utilizar este Formulario de detalle del</t>
    </r>
    <r>
      <rPr>
        <b/>
        <u/>
        <sz val="11"/>
        <rFont val="Verdana"/>
        <family val="2"/>
      </rPr>
      <t xml:space="preserve"> Presupuesto Oficial</t>
    </r>
    <r>
      <rPr>
        <sz val="11"/>
        <rFont val="Verdana"/>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</si>
  <si>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color amarillo. Tratándose de otras modalidades de precio, la Entidad puede o no configurar los mismos aspectos.</t>
  </si>
  <si>
    <t>Nº</t>
  </si>
  <si>
    <t>ÍTEM DE PAGO</t>
  </si>
  <si>
    <t xml:space="preserve">ESPECIFICACIONES </t>
  </si>
  <si>
    <t>DESCRIPCIÓN</t>
  </si>
  <si>
    <t>UND.</t>
  </si>
  <si>
    <t>CANTIDAD</t>
  </si>
  <si>
    <t>VALOR UNITARIO</t>
  </si>
  <si>
    <t xml:space="preserve">VALOR TOTAL                                </t>
  </si>
  <si>
    <t>GENERAL</t>
  </si>
  <si>
    <t>PARTICULAR</t>
  </si>
  <si>
    <t>Subtotal</t>
  </si>
  <si>
    <t xml:space="preserve">SUBTOTAL OBRAS </t>
  </si>
  <si>
    <t>SUBTOTAL OBRAS (INCLUYE IVA)</t>
  </si>
  <si>
    <t>VALOR TOTAL</t>
  </si>
  <si>
    <r>
      <rPr>
        <b/>
        <sz val="11"/>
        <rFont val="Verdana"/>
        <family val="2"/>
      </rPr>
      <t xml:space="preserve">NOTA 1: </t>
    </r>
    <r>
      <rPr>
        <sz val="11"/>
        <rFont val="Verdana"/>
        <family val="2"/>
      </rPr>
      <t xml:space="preserve"> Se debe tener en cuenta que el PRECIO UNITARIO incluye el valor de A.I.U. </t>
    </r>
  </si>
  <si>
    <t>DESCRIPCION</t>
  </si>
  <si>
    <t>PORCENTAJE</t>
  </si>
  <si>
    <r>
      <rPr>
        <b/>
        <sz val="11"/>
        <rFont val="Verdana"/>
        <family val="2"/>
      </rPr>
      <t>NOTA 2</t>
    </r>
    <r>
      <rPr>
        <sz val="11"/>
        <rFont val="Verdana"/>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</si>
  <si>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t>ADMINISTRACIÓN</t>
  </si>
  <si>
    <t>A=</t>
  </si>
  <si>
    <r>
      <rPr>
        <b/>
        <sz val="11"/>
        <rFont val="Verdana"/>
        <family val="2"/>
      </rPr>
      <t>NOTA 3:</t>
    </r>
    <r>
      <rPr>
        <sz val="11"/>
        <rFont val="Verdana"/>
        <family val="2"/>
      </rPr>
      <t xml:space="preserve"> El A.I.U y su discriminación deben estar en porcentaje (%). </t>
    </r>
  </si>
  <si>
    <t xml:space="preserve">IMPREVISTO
</t>
  </si>
  <si>
    <t>I=</t>
  </si>
  <si>
    <t xml:space="preserve">UTILIDAD
</t>
  </si>
  <si>
    <t>U=</t>
  </si>
  <si>
    <t>TOTAL A.I.U</t>
  </si>
  <si>
    <t>A.I.U.=</t>
  </si>
  <si>
    <t>FORMULARIO 1</t>
  </si>
  <si>
    <t>PROPUESTA ECONÓMICA</t>
  </si>
  <si>
    <r>
      <rPr>
        <sz val="11"/>
        <color rgb="FFFF0000"/>
        <rFont val="Arial"/>
        <family val="2"/>
      </rPr>
      <t xml:space="preserve">[La Entidad puede utilizar este Formulario de presentación de </t>
    </r>
    <r>
      <rPr>
        <b/>
        <u/>
        <sz val="11"/>
        <color rgb="FFFF0000"/>
        <rFont val="Arial"/>
        <family val="2"/>
      </rPr>
      <t>Propuesta Económica</t>
    </r>
    <r>
      <rPr>
        <sz val="11"/>
        <color rgb="FFFF0000"/>
        <rFont val="Arial"/>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
[En caso de modificar el formulario, es importante tener en cuenta que no se deben incluir causales de rechazo, reglas o parámetros contrarios a los definidos en el documento base. Los términos el proceso solo se encuentran en el Documento Base, por lo que la Entidad no deberá incluir ningún tipo de notas que se configuren en reglas contrarias a las definidas en dicho documento, las notas únicamente pueden ser aclaratorias para efectos del diligenciamiento del formato]</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</si>
  <si>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</si>
  <si>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r>
      <rPr>
        <b/>
        <sz val="11"/>
        <rFont val="Arial"/>
        <family val="2"/>
      </rPr>
      <t xml:space="preserve">NOTA 1: </t>
    </r>
    <r>
      <rPr>
        <sz val="11"/>
        <rFont val="Arial"/>
        <family val="2"/>
      </rPr>
      <t xml:space="preserve"> Se debe tener en cuenta que el PRECIO UNITARIO incluye el valor de A.I.U. </t>
    </r>
  </si>
  <si>
    <r>
      <rPr>
        <b/>
        <sz val="11"/>
        <rFont val="Arial"/>
        <family val="2"/>
      </rPr>
      <t>NOTA 2:</t>
    </r>
    <r>
      <rPr>
        <sz val="11"/>
        <rFont val="Arial"/>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</si>
  <si>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[Ofrecimiento del Proponente]</t>
  </si>
  <si>
    <r>
      <rPr>
        <b/>
        <sz val="11"/>
        <rFont val="Arial"/>
        <family val="2"/>
      </rPr>
      <t>NOTA 3:</t>
    </r>
    <r>
      <rPr>
        <sz val="11"/>
        <rFont val="Arial"/>
        <family val="2"/>
      </rPr>
      <t xml:space="preserve"> El A.I.U y su discriminación deben estar en porcentaje (%). </t>
    </r>
  </si>
  <si>
    <t xml:space="preserve">	Firma del Proponente o de su representante legal</t>
  </si>
  <si>
    <t xml:space="preserve">Formulario 1 - Propuesta económica  -  Licitación de obra pública de infraestructura  social </t>
  </si>
  <si>
    <t xml:space="preserve">Version 2 del 21 de agosto de 2025 </t>
  </si>
  <si>
    <t>[La Entidad podrá utilizar este Formato para la presentación de los análisis de Precios Unitarios del Contratista en la oportunidad prevista en el numeral 8.2. del Documento Base]</t>
  </si>
  <si>
    <t xml:space="preserve">[NOMBRE DE LA ENTIDAD] </t>
  </si>
  <si>
    <t>VERSIÓN</t>
  </si>
  <si>
    <t xml:space="preserve">[NÚMERO DEL PROCESO] </t>
  </si>
  <si>
    <t>PÁGINA</t>
  </si>
  <si>
    <t>DE</t>
  </si>
  <si>
    <t xml:space="preserve">ANÁLISIS DE PRECIOS UNITARIOS </t>
  </si>
  <si>
    <t>FECHA</t>
  </si>
  <si>
    <t>DD</t>
  </si>
  <si>
    <t>MM</t>
  </si>
  <si>
    <t>AA</t>
  </si>
  <si>
    <t>ÍTEMS DE LA PROPUESTA ECONÓMICA</t>
  </si>
  <si>
    <t>ÍTEMS NO PREVISTOS</t>
  </si>
  <si>
    <t>DATOS ESPECÍFICOS</t>
  </si>
  <si>
    <t>ÍTEM</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</si>
  <si>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</si>
  <si>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</si>
  <si>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</si>
  <si>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</si>
  <si>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</si>
  <si>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</si>
  <si>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</si>
  <si>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</si>
  <si>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</si>
  <si>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</si>
  <si>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</si>
  <si>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</si>
  <si>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</si>
  <si>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</si>
  <si>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Arial"/>
        <family val="2"/>
      </rPr>
      <t>3</t>
    </r>
    <r>
      <rPr>
        <b/>
        <sz val="11"/>
        <rFont val="Arial"/>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</si>
  <si>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</si>
  <si>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</si>
  <si>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</si>
  <si>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</si>
  <si>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</si>
  <si>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</si>
  <si>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</si>
  <si>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</si>
  <si>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</si>
  <si>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</si>
  <si>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</si>
  <si>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ADMINISTRACION</t>
  </si>
  <si>
    <t xml:space="preserve">IMPREVISTOS </t>
  </si>
  <si>
    <t>UTILIDAD</t>
  </si>
  <si>
    <t>Precio Unitario Total Aproximado al peso $</t>
  </si>
  <si>
    <t>Firma</t>
  </si>
  <si>
    <t>Nombre:</t>
  </si>
  <si>
    <t>Representante legal del Contratista o su apoderado</t>
  </si>
  <si>
    <t>Matricula:</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</si>
  <si>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</si>
  <si>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</si>
  <si>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</si>
  <si>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</si>
  <si>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</si>
  <si>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</si>
  <si>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Matricula :</t>
  </si>
  <si>
    <t>1. PRELIMINARES</t>
  </si>
  <si>
    <t>1.1</t>
  </si>
  <si>
    <t>LOCALIZACIÓN Y REPLANTEO</t>
  </si>
  <si>
    <t>1.2</t>
  </si>
  <si>
    <t>TALA Y DESENRAICE ARBOLES (INCLUYE CARGUE TRASIEGO Y RETIRO A BOTADEROS AUTORIZADO)</t>
  </si>
  <si>
    <t>M2</t>
  </si>
  <si>
    <t>Subtotal PRELIMINARES</t>
  </si>
  <si>
    <t>2. DEMOLICIONES</t>
  </si>
  <si>
    <t>2.1</t>
  </si>
  <si>
    <t>2.2</t>
  </si>
  <si>
    <t>2.3</t>
  </si>
  <si>
    <t>2.4</t>
  </si>
  <si>
    <t>DEMOLICIONES VARIAS EN CONCRETO Y MAMPOSTERIA INCLUYE RETIRO DE SOBRANTES, TRANSPORTE Y DISPOSICION FINAL EN LUGAR AUTORIZADO.</t>
  </si>
  <si>
    <t>DEMOLICIÓN DE MUROS TOLETE. INCLUYE RETIRO DE SOBRANTES, TRANSPORTE Y DISPOSICION FINAL EN LUGAR AUTORIZADO.</t>
  </si>
  <si>
    <t>DEMOLICION PLACA MACIZA INCLUYE RETIRO DE SOBRANTES, TRANSPORTE Y DISPOSICION FINAL EN LUGAR AUTORIZADO.</t>
  </si>
  <si>
    <t>DESMONTE CUBIERTAS, INCLUYE RETIRO DE SOBRANTES, TRANSPORTE Y DISPOSICION FINAL EN LUGAR AUTORIZADO.</t>
  </si>
  <si>
    <t>M3</t>
  </si>
  <si>
    <t>Subtotal DEMOLICIONES</t>
  </si>
  <si>
    <t>3. MOVIMIENTO DE TIERRAS</t>
  </si>
  <si>
    <t>3.1</t>
  </si>
  <si>
    <t>3.2</t>
  </si>
  <si>
    <t>3.3</t>
  </si>
  <si>
    <t>3.4</t>
  </si>
  <si>
    <t>3.5</t>
  </si>
  <si>
    <t>3.6</t>
  </si>
  <si>
    <t>3.7</t>
  </si>
  <si>
    <t>3.8</t>
  </si>
  <si>
    <t>DESCAPOTE Y LIMPIEZA DE TERRENO MECANICO</t>
  </si>
  <si>
    <t>EXCAVACIÓN MECÁNICA ( CON TRANSPORTE) INCLUYE CARGUE Y RETIRO A BOTADEROS AUTORIZADO</t>
  </si>
  <si>
    <t>SUMINISTRO DE SUB-BASE GRANULAR  SBG-C NORMA INVIAS, INCLUYE TRANSPORTE Y MANO DE OBRA</t>
  </si>
  <si>
    <t>EXCAVACIÓN A MANO (CON TRANSPORTE). INCLUYE CARGUE TRASIEGO Y RETIRO A BOTADEROS AUTORIZADO</t>
  </si>
  <si>
    <t>SUMINISTRO Y RELLENO ARENA FINA, INCLUYE TRANSPORTE Y MANO DE OBRA</t>
  </si>
  <si>
    <t>SUMINISTRO Y RELLENO MATERIAL SELECCIONADO PROVENIENTE DE EXCAVACIÓN. INCLUYE MANO DE OBRA</t>
  </si>
  <si>
    <t>SUMINISTRO E INSTALACION DE GEOTEXTIL NT 3000</t>
  </si>
  <si>
    <t>SUMINISTRO E INSTALACION DE GEOMEMBRANA 60 MILS</t>
  </si>
  <si>
    <t>Subtotal MOVIMIENTO DE TIERRAS</t>
  </si>
  <si>
    <t>4. CIMENTACIÓN Y ESTRUCTURA</t>
  </si>
  <si>
    <t>4.1</t>
  </si>
  <si>
    <t>4.2</t>
  </si>
  <si>
    <t>4.3</t>
  </si>
  <si>
    <t>4.4</t>
  </si>
  <si>
    <t>4.5</t>
  </si>
  <si>
    <t>4.6</t>
  </si>
  <si>
    <t>4.7</t>
  </si>
  <si>
    <t>4.8</t>
  </si>
  <si>
    <t>4.9</t>
  </si>
  <si>
    <t>4.10</t>
  </si>
  <si>
    <t>4.11</t>
  </si>
  <si>
    <t>4.12</t>
  </si>
  <si>
    <t>ACERO REFUERZO FY = 4200 KG/CM2. INCLUYE: FIGURADO Y ALAMBRE.</t>
  </si>
  <si>
    <t>MALLA ELECTROSOLDADA XX-221 (E= 6,5MM)</t>
  </si>
  <si>
    <t>ACERO ESTRUCTURAL A500. INCLUYE: PLATINAS, ELEMENTOS DE FIJACIÓN, SOLDADURA Y TODO LO NECESARIO PARA SU CORRECTA EJECUCIÓN.</t>
  </si>
  <si>
    <t>CONCRETO CIMENTACIÓN F'C=210 KG/CM2 ( INCLUYE SUMINISTRO, TRANSPORTE Y COLOCACIÓN, FORMALETA, VIBRADO, PROTECCIÓN, CURADO  Y TODOS  LOS  DEMÁS  ELEMENTOS   NECESARIOS   PARA  SU  CORRECTA CONSTRUCCIÓN SEGÚN DISEÑO.</t>
  </si>
  <si>
    <t>CONCRETO ESTRUCTURA F'C=210 KG/CM2 ( INCLUYE SUMINISTRO, TRANSPORTE Y COLOCACIÓN, FORMALETA, VIBRADO, PROTECCIÓN, CURADO  Y TODOS  LOS  DEMÁS  ELEMENTOS   NECESARIOS   PARA  SU  CORRECTA CONSTRUCCIÓN SEGÚN DISEÑO.</t>
  </si>
  <si>
    <t>CONCRETO PUENTES F'C=210 KG/CM2 ( INCLUYE SUMINISTRO, TRANSPORTE Y COLOCACIÓN, FORMALETA, VIBRADO, PROTECCIÓN, CURADO  Y TODOS  LOS  DEMÁS  ELEMENTOS   NECESARIOS   PARA  SU  CORRECTA CONSTRUCCIÓN SEGÚN DISEÑO.</t>
  </si>
  <si>
    <t>CONCRETO DE LIMPIEZA F'C=110 KG/CM2  ( INCLUYE SUMINISTRO, TRANSPORTE Y COLOCACIÓN, FORMALETA, VIBRADO, PROTECCIÓN, CURADO  Y TODOS  LOS  DEMÁS  ELEMENTOS   NECESARIOS   PARA  SU  CORRECTA CONSTRUCCIÓN SEGÚN DISEÑO.</t>
  </si>
  <si>
    <t>PLACA DE CONCRETO F'C=210 KG/CM2 E=.10</t>
  </si>
  <si>
    <t>APOYO ELASTOMÉRICO DE 60 REFORZADO 200X200X25MM</t>
  </si>
  <si>
    <t>CINTA PARA JUNTAS TIPO SIKA PVC V-15 O SIMILAR</t>
  </si>
  <si>
    <t>FILTRO EN PIEDRA TRITURADA DE 1"</t>
  </si>
  <si>
    <t>CONCRETO PUENTES F'C=281 KG/CM2 ( INCLUYE SUMINISTRO, TRANSPORTE Y COLOCACIÓN, FORMALETA, VIBRADO, PROTECCIÓN, CURADO  Y TODOS  LOS  DEMÁS  ELEMENTOS   NECESARIOS   PARA  SU  CORRECTA CONSTRUCCIÓN SEGÚN DISEÑO.</t>
  </si>
  <si>
    <t>KG</t>
  </si>
  <si>
    <t>UN</t>
  </si>
  <si>
    <t>ML</t>
  </si>
  <si>
    <t>Subtotal CIMENTACIÓN Y ESTRUCTURA</t>
  </si>
  <si>
    <t>5. MAMPOSTERÍA</t>
  </si>
  <si>
    <t>5.1</t>
  </si>
  <si>
    <t>5.2</t>
  </si>
  <si>
    <t>5.3</t>
  </si>
  <si>
    <t>5.4</t>
  </si>
  <si>
    <t>5.5</t>
  </si>
  <si>
    <t>5.6</t>
  </si>
  <si>
    <t>5.7</t>
  </si>
  <si>
    <t>MURO EN  BLOQUE EN CONCRETO TIPO: VI CENZO FORMATO: 60 X 120 X 390 REF. VI-12 COLOR. IVORY DECOBLOCK</t>
  </si>
  <si>
    <t>ALFAJÍA EN CONCRETO</t>
  </si>
  <si>
    <t xml:space="preserve">MURO EN LADRILLO DE ARCILLA BLOQUE # 5, MORTERO O1:4,  PAÑETE 1:4  </t>
  </si>
  <si>
    <t>MURO EN LADRILLO DE ARCILLA BLOQUE # 5 (DIM. 15X20X40). RECUBIERTO EN PIEDRA ROYAL BETA POR LA CARA EXTERIOR</t>
  </si>
  <si>
    <t>GÁRGOLA DE CONCRETO DE 100X220 MM DE SECCIÓN</t>
  </si>
  <si>
    <t>BASE PARA MUEBLE H=10 CM, A=55 CM</t>
  </si>
  <si>
    <t>MAMPOSTERÍA EN BLOQUE N°5</t>
  </si>
  <si>
    <t>Subtotal MAMPOSTERÍA</t>
  </si>
  <si>
    <t>6. PAÑETES Y ENCHAPES</t>
  </si>
  <si>
    <t>6.1</t>
  </si>
  <si>
    <t>6.2</t>
  </si>
  <si>
    <t>6.3</t>
  </si>
  <si>
    <t>6.4</t>
  </si>
  <si>
    <t>6.5</t>
  </si>
  <si>
    <t>6.6</t>
  </si>
  <si>
    <t>Subtotal PAÑETES Y ENCHAPES</t>
  </si>
  <si>
    <t>ENCHAPE PARA MURO COCINA, DE 0.30 X 0.60M COLOR BLANCO, REF. PARED EGEO BLANCO, O SIMILAR.</t>
  </si>
  <si>
    <t>ENCHAPE MUROS - PIEDRA SINÚ TIPO: ROYAL VETA - FORMATOS RECTANGULARES DE 30 X 15 CM O EQUIVALENTE</t>
  </si>
  <si>
    <t>ENCHAPE BAÑOS - REF: BORED OPAL - FORMATO: 30X45 - COLOR: BEIGE - O EQUIVALENTE</t>
  </si>
  <si>
    <t>RECUBRIMIENTO ACÚSTICO  TIPO 1 - ALISTADO EN MADERA O ESTRUCTURA METÁLICA ESPESOR 50MM RELLENO DE FIBRA DE VIDRIO O LANA DE ROCA E=2" D=48KG/M3 TIPO BLACK THEATER O SIMILAR, ACABADO LISO EN MADERA LAMINADA O CHAPILLA (SEGÚN DETALLES AUDITORIOS) CON LISTONES SOBRE PUESTOS.</t>
  </si>
  <si>
    <t>PAÑETE IMPERMEABILIZADO MUROS 1:4</t>
  </si>
  <si>
    <t>PAÑETE LISO INTERIOR 1:4 INCLUYE: CARTERAS, FILOS Y DILATACIONES.</t>
  </si>
  <si>
    <t>7. CUBIERTAS Y CIELO RASO</t>
  </si>
  <si>
    <t>7.1</t>
  </si>
  <si>
    <t>7.2</t>
  </si>
  <si>
    <t>7.3</t>
  </si>
  <si>
    <t>7.4</t>
  </si>
  <si>
    <t>7.5</t>
  </si>
  <si>
    <t>7.6</t>
  </si>
  <si>
    <t>7.7</t>
  </si>
  <si>
    <t>7.8</t>
  </si>
  <si>
    <t>7.9</t>
  </si>
  <si>
    <t>7.10</t>
  </si>
  <si>
    <t>7.11</t>
  </si>
  <si>
    <t>Subtotal CUBIERTAS Y CIELO RASO</t>
  </si>
  <si>
    <t>CIELO RASO EN DRY-WALL (RH) VISTO UNA CARA, INCLUYE DILATACIÓN PLÁSTICA EN "Z",  FILOS Y TRES MANOS DE PINTURA TIPO ANTIBACTERIAL.</t>
  </si>
  <si>
    <t>CIELO RASO ACÚSTICO TIPO 1, BANDEJAS DE MADERA MODULAR (60CM X 60CM): ESTRUCTURA PERFILERIA DE AUTO ENSAMBLABLE CON BANDEJAS DE MADERA PERFORADA, CON MATERIAL ABSORBENTE SOBREPUESTO (FIBRA DE VIDRIO ESPESOR 2" DENSIDAD 48KG/M3, TIPO BLACK THEATER O SIMILAR). 30% DE PORCENTAJE DE PERFORACIÓN DE LA LÁMINA.</t>
  </si>
  <si>
    <t>CIELO RASO SUPERBOARD (EN LAMINA FIBROCEMENTO) PINTADO COLOR NEGRO. CIELO RASO AISLANTE NO SE PUEDE PERFORAR PARA PASES ELÉCTRICOS, HIDRÁULICOS, ETC.</t>
  </si>
  <si>
    <t>CIELO RASO SUPERBOARD  (EN LAMINA FIBROCEMENTO)PINTADO COLOR BLANCO. CIELO RASO AISLANTE NO SE PUEDE PERFORAR PARA PASES ELÉCTRICOS, HIDRÁULICOS, ETC.</t>
  </si>
  <si>
    <t>CIELO RASO TIPO ETERBOARD (EN LAMINA FIBROCEMENTO) PARA BAÑOS Y ZONAS HÚMEDAS</t>
  </si>
  <si>
    <t>CIELO RASO PLANO DRYWALL (LAMINA YESO)  1/2" (PUNTO DE CONTROL)</t>
  </si>
  <si>
    <t>MARQUESINA EN POLICARBONATO INCLUYE CONECTORES DE POLICARBONATO, PERFILES EN "U2 Y DEMÁS ACCESORIOS QUE GARANTICEN SU ESTABILIDAD Y CORRECTO FUNCIONAMIENTO.</t>
  </si>
  <si>
    <t>TEJA TERMOACUSTICA EN PVC CRESTA ALTA COLOR BLANCO - INCLUYE ACCESORIOS DE FIJACIÓN (SUMINISTRO E INSTALACIÓN)</t>
  </si>
  <si>
    <t>CENEFA PERIMETRAL ACABADO LISO EN MADERA LAMINADA O CHAPILLA (SEGÚN DISEÑO DE INTERIORISMO). (90CM X 50CM)</t>
  </si>
  <si>
    <t>RECUBRIMIENTO DE ESTRUCTURA DE CUBIERTA EN AUDITORIO Y RESTAURANTE  SUPERFICIE INFERIOR EN ETERBOARD (EN LAMINA FIBROCEMENTO) RH CON TRES MANOS DE PINTURA KORAZA O SIMILAR PARA EXTERIORES</t>
  </si>
  <si>
    <t>FLANCHE LATÓN CAL 26,</t>
  </si>
  <si>
    <t>8. PISOS Y ACABADOS</t>
  </si>
  <si>
    <t>8.1</t>
  </si>
  <si>
    <t>8.2</t>
  </si>
  <si>
    <t>8.3</t>
  </si>
  <si>
    <t>8.4</t>
  </si>
  <si>
    <t>8.5</t>
  </si>
  <si>
    <t>8.6</t>
  </si>
  <si>
    <t>8.7</t>
  </si>
  <si>
    <t>8.8</t>
  </si>
  <si>
    <t>8.9</t>
  </si>
  <si>
    <t>8.10</t>
  </si>
  <si>
    <t>8.11</t>
  </si>
  <si>
    <t>8.12</t>
  </si>
  <si>
    <t>8.13</t>
  </si>
  <si>
    <t>8.14</t>
  </si>
  <si>
    <t>8.15</t>
  </si>
  <si>
    <t>8.16</t>
  </si>
  <si>
    <t>8.17</t>
  </si>
  <si>
    <t>8.18</t>
  </si>
  <si>
    <t>8.19</t>
  </si>
  <si>
    <t>8.20</t>
  </si>
  <si>
    <t>8.21</t>
  </si>
  <si>
    <t>8.22</t>
  </si>
  <si>
    <t>8.23</t>
  </si>
  <si>
    <t>8.24</t>
  </si>
  <si>
    <t>8.25</t>
  </si>
  <si>
    <t>8.26</t>
  </si>
  <si>
    <t>8.27</t>
  </si>
  <si>
    <t>8.28</t>
  </si>
  <si>
    <t>8.29</t>
  </si>
  <si>
    <t>8.30</t>
  </si>
  <si>
    <t>BALDOSA MICROG.GRIS CENIZO 30X30</t>
  </si>
  <si>
    <t>PISO EN PORCELANATO - REF: SOHO -  COLOR: GRIS- FORMATO:  56 X 56 CM</t>
  </si>
  <si>
    <t>TABLETA ETRUSCA MOCCA RC 25X7-1, MARCA ALFA O SIMILAR</t>
  </si>
  <si>
    <t>PISO EN CONCRETO ENDURECIDO CON ALLANADORA O PALUSTRADORA MECÁNICA DE ASPAS HORIZONTALES Y JUNTA CORTADA CON DISCO DIAMANTADO, SELLADA CON CORDÓN FLEXIBLE</t>
  </si>
  <si>
    <t>PISO EN MADERA LAMINADA REF: NEVADA  COLOR:  OAK 7MM</t>
  </si>
  <si>
    <t>PISO EN MADERA LAMINADA REF: DEL TORO  COLOR:  OAK 8MM</t>
  </si>
  <si>
    <t>PISOS EN TABLÓN DE GRES TÚNEZ ABRASIVO DE 15 X 15 SAHARA</t>
  </si>
  <si>
    <t>GUARDAESCOBA CERAMICO DE 9 X 90.9 cm MADERA CENIZO GRIS</t>
  </si>
  <si>
    <t>GUARDAESCOBA EN  MADERA LAMINADA REF: NEVADA  COLOR:  OAK 8MM</t>
  </si>
  <si>
    <t>GUARDAESCOBA EN MADERA LAMINADA REF: DEL TORO  COLOR:  OAK 8MM</t>
  </si>
  <si>
    <t>GUARDAESCOBAS MEDIA CAÑA EN GRANITO PULIDO</t>
  </si>
  <si>
    <t>GUARDAESCOBA TABLON DE GRES TIPO TUNEZ</t>
  </si>
  <si>
    <t>BORDILLO CONCRETO FUNDIDO EN SITIO SOBRE AFINADO DE PISO H=10 CM, ACABADO DE GUARDAESCOBA EN EL ENCHAPE DE PISO GRES TUNEZ</t>
  </si>
  <si>
    <t>BORDILLO PREFABRICADO 10X25X100, 3000 PSI (SUMINISTRO E INSTALACIÓN. INCLUYE 3CM MORTERO DE PEGA 2000 PSI ).</t>
  </si>
  <si>
    <t xml:space="preserve">GRAMA NATURAL </t>
  </si>
  <si>
    <t xml:space="preserve">CONCRETO PERMEABLE 3000 PSI, ESP   10 CMS  </t>
  </si>
  <si>
    <t>CONCRETO ESTAMPADO 3000 PSI, ESP   10 CMS (PLANTILLA SEGÚN DISEÑO)</t>
  </si>
  <si>
    <t>ADOQUÍN DE CONCRETO 20X10X6 CM (SUMINISTRO E INSTALACIÓN. INCLUYE CAPA DE ARENA DE 5 CMS Y CINTAS DE CONFINAMIENTO.)</t>
  </si>
  <si>
    <t>ADOQUÍN DE CONCRETO A25 20X10X6 CM (SUMINISTRO E INSTALACIÓN. INCLUYE MORTERO 2000 PSI DE 5 CMS, ARENA DE SELLO Y CINTAS DE CONFINAMIENTO.)</t>
  </si>
  <si>
    <t>ADOQUÍN ECOLÓGICO EN CONCRETO - TRÁFICO PEATONAL
DIM: 200MM X 200MM X 50MM (SUMINISTRO E INSTALACIÓN. INCLUYE CAPA DE ARENA DE 5 CMS Y CINTAS DE CONFINAMIENTO.)</t>
  </si>
  <si>
    <t>ADOQUÍN ECOLÓGICO EN CONCRETO - TRÁFICO PEATONAL
DIM: 200MM X 200MM X 50MM (SUMINISTRO E INSTALACIÓN. INCLUYE MORTERO 2000 PSI DE 5 CMS, ARENA DE SELLO Y CINTAS DE CONFINAMIENTO.)</t>
  </si>
  <si>
    <t>ADOQUÍN VEHICULAR BICAPA 10X08X20 CMS (INCLUYE CAPA DE ARENA DE 5 CMS.</t>
  </si>
  <si>
    <t>LOSETA GUIA SUPERFICIE PODOTÁCTIL
EN CONCRETO  TRÁFICO PEATONAL Dim: 200mm X 200mm X 60mm</t>
  </si>
  <si>
    <t>MADERA SAPAN O SIMILAR (MALECÓN)</t>
  </si>
  <si>
    <t>SARDINEL 15X45X100 (SUMINISTRO E INSTALACIÓN. INCLUYE 3CM MORTERO 1:5)</t>
  </si>
  <si>
    <t>ANDENES EN CONCRETO. F'C=3000 PSI ( INCLUYE SUMINISTRO, TRANSPORTE Y COLOCACIÓN, FORMALETA, VIBRADO, PROTECCIÓN Y  CURADO. E= 10 CM</t>
  </si>
  <si>
    <t>CAÑUELA 30 X 22  CMS CONCRETO DE 2500 PSI (ZONA PARQUEADERO)</t>
  </si>
  <si>
    <t>SUMINISTRO E INSTALACIÓN DE TOPES EN CONCRETO DE 3000 PSI (DOS TOPES POR PUESTO) 16X16X40</t>
  </si>
  <si>
    <t xml:space="preserve">GRAVA LAVADA TAMAÑO 3/4" - ESPESOR 4 cm. </t>
  </si>
  <si>
    <t>RECUBRIMIENTO EN LISTONES DE SOUTHERN YELLOW PINE CON SUBESTRUCTURA EN PINO INMUNIZADO SISTEMA VACIO PRESION SALES MCA LIBRES DE ARSENICO (SIBESTRUCTURA 04X06 Y LISTONES DE RECUBRIMIENTO 02X06)</t>
  </si>
  <si>
    <t>M</t>
  </si>
  <si>
    <t>Subtotal PISOS Y ACABADOS</t>
  </si>
  <si>
    <t>9. PINTURA</t>
  </si>
  <si>
    <t>9.1</t>
  </si>
  <si>
    <t>9.2</t>
  </si>
  <si>
    <t>ESTUCO Y VINILO 3 MANOS MUROS INTERIORES</t>
  </si>
  <si>
    <t>ESTUCO Y VINILO 3 MANOS MUROS EXTERIOR</t>
  </si>
  <si>
    <t>Subtotal PINTURA</t>
  </si>
  <si>
    <t>10. CARPINTERÍA METÁLICA</t>
  </si>
  <si>
    <t>10.1</t>
  </si>
  <si>
    <t>10.2</t>
  </si>
  <si>
    <t>10.3</t>
  </si>
  <si>
    <t>10.4</t>
  </si>
  <si>
    <t>10.5</t>
  </si>
  <si>
    <t>10.6</t>
  </si>
  <si>
    <t>10.7</t>
  </si>
  <si>
    <t>10.8</t>
  </si>
  <si>
    <t>10.9</t>
  </si>
  <si>
    <t>10.10</t>
  </si>
  <si>
    <t>10.11</t>
  </si>
  <si>
    <t>10.12</t>
  </si>
  <si>
    <t>10.13</t>
  </si>
  <si>
    <t>10.14</t>
  </si>
  <si>
    <t>10.15</t>
  </si>
  <si>
    <t>10.16</t>
  </si>
  <si>
    <t>10.17</t>
  </si>
  <si>
    <t>10.18</t>
  </si>
  <si>
    <t>10.19</t>
  </si>
  <si>
    <t>10.20</t>
  </si>
  <si>
    <t>10.21</t>
  </si>
  <si>
    <t>10.22</t>
  </si>
  <si>
    <t>10.23</t>
  </si>
  <si>
    <t>10.24</t>
  </si>
  <si>
    <t>10.25</t>
  </si>
  <si>
    <t>10.26</t>
  </si>
  <si>
    <t>CERRAMIENTO EN LAMINAS METÁLICAS PERFORADAS CON FIJACIÓN A BORDILLO Y ESTRUCTURA EN MARCOS DE PERFILERIA METÁLICA</t>
  </si>
  <si>
    <t>TIPO 1 (V-1 - V2 )-VENTANA EN ALUMINIO - PERFILERIA DE ALUMINIO ANODIZADO - TIPO ALUMINA O EQUIVALENTE - COLOR NEGRO MATE VIDRIO LAMINADO 3+3MM DIMENSIONES SEGÚN PLANOS</t>
  </si>
  <si>
    <t>TIPO 2 (V-3, V-15, V-16, V-17, V-21 ) CELOSÍA CELOSÍA INTERNA EN EL VANO  EN LAMINA COLD ROLLED CAL 18, PERFILES EN LAMINA COLD ROLLED CALIBRE 18 CON ACABADO EN PINTURA ELECTROSTÁTICA COLOR OXIDO. DIMENSIONES SEGÚN PLANOS</t>
  </si>
  <si>
    <t>TIPO 3 (V-4, V-5, V-6, V-8, V-9, V-10, V-11, V-12 ) VENTANA EN ALUMINIO Y PERSIANA- PERFILERIA DE ALUMINIO ANODIZADO - TIPO ALUMINA O EQUIVALENTE - COLOR NEGRO MATE VIDRIO LAMINADO 3+3MM CON PERSIANA MODULAR EN LAMINA COLD ROLLED CON ACABADO EN PINTURA ELECTROSTÁTICA COLOR OXIDO, DIMENSIONES SEGÚN PLANOS</t>
  </si>
  <si>
    <t>TIPO 4  (V-13 , V-13A ) CELOSÍA MODULAR EN LAMINA COLD ROLLED CAL 18, PERFILES EN LAMINA COLD ROLLED CALIBRE 18 CON ACABADO EN PINTURA ELECTROSTÁTICA COLOR OXIDO. DIMENSIONES SEGÚN PLANOS</t>
  </si>
  <si>
    <t>TIPO 5 (V-14) PERSIANA CON MARCO INTERNO DE ANGEO- PERFILERIA DE ALUMINIO ANODIZADO - TIPO ALUMINA O EQUIVALENTE - COLOR NEGRO MATE CON ANGEO, (MARCO ANGEO-  DIMENSIONES SEGÚN PLANOS</t>
  </si>
  <si>
    <t>TIPO 6  (V-7 , V-18 ) VENTANA EN ALUMINIO - VENTANA CORREDIZA CON VIDRIO. - PERFILERIA DE ALUMINIO ANODIZADO - TIPO ALUMINA O EQUIVALENTE - COLOR NEGRO MATE VIDRIO LAMINADO 3+3MM  - DIMENSIONES SEGÚN PLANOS</t>
  </si>
  <si>
    <t>TIPO 7 ( V-19, V-19 B, V-20, V-20 B )  PERSIANA - PERFILERIA DE ALUMINIO ANODIZADO - TIPO ALUMINA O EQUIVALENTE - COLOR NEGRO MATE  Y PERSIANA MODULAR EN ALUMINIO ANODIZADO COLOR NEGRO MATE (REJILLA DIMENSIONES SEGÚN PLANOS</t>
  </si>
  <si>
    <t>TIPO 8 - CELOSÍA METÁLICA SOBRE FACHADA AUDITORIO  CON PERFILES TUBULARES DE 5X5CM ALTO 2,8 MT - DIMENSIONES SEGÚN PLANOS</t>
  </si>
  <si>
    <t>TIPO 9 - VENTANEARÍA PUNTOS DE CONTROL  METÁLICA NEGRA DIMENSIONES SEGÚN PLANOS</t>
  </si>
  <si>
    <t>TIPO 10  ( PV-01, PV-02)  PUERTA VENTANA EN ALUMINIO - PERFILERIA DE ALUMINIO ANODIZADO - TIPO ALUMINA VP-3831 O EQUIVALENTE - COLOR NEGRO MATE + VIDRIO LAMINADO 3+3MM-DIMENSIONES SEGÚN PLANOS</t>
  </si>
  <si>
    <t>TIPO 11 - (P-04, P11, P12)  PUERTA METÁLICA - HOJA EN LAMINA CR CALIBRE 16 - PINTURA ELECTROSTÁTICA - COLOR NEGRO MATE MARCO EN LAMINA CR CALIBRE 16 - PINTURA ELECTROSTÁTICA - COLOR NEGRO MATE -DIMENSIONES SEGÚN PLANOS</t>
  </si>
  <si>
    <t>TIPO 12 - ( P-01 )  PUERTA METÁLICA  CORREDIZA HOJA EN LAMINA CR CALIBRE 16 PINTURA ELECTROSTÁTICA COLOR NEGRO MATE O SIMILAR MARCO PUERTA EN LAMINA C R CALIBRE 16 PINTURA ELECTROSTÁTICA CALIBRE 16 O SIMILAR CON RIEL SUPERIOR E INFERIOR - MECANISMO PUERTA DESLIZANTE -DIMENSIONES SEGÚN PLANOS</t>
  </si>
  <si>
    <t>TIPO 13 - ( P-04 )  PUERTA METÁLICA - HOJA EN LAMINA CR CALIBRE 16 - PINTURA ELECTROSTÁTICA - COLOR NEGRO MATE MARCO EN LAMINA CR CALIBRE 16 - PINTURA ELECTROSTÁTICA - COLOR NEGRO MATE  - DIMENSIONES SEGÚN PLANOS</t>
  </si>
  <si>
    <t>TIPO 13A - ( P-09 ) PUERTA DOBLE HOJA CORTAFUEGO CON CHAPA DE ACERO GALVANIZADO. -  CON RESISTENCIA AL FUEGO CERTIFICADAS RETIE HASTA TRES HORAS DE RESISTENCIA AL FUEGO HOMOLOGADAS NORMA UL, ANTIPANICO PARA SALIDAS Y CERRADURA ANTIPANICO EMERGENCIA RF 120 CERTIFICADA - -DIMENSIONES SEGÚN PLANOS</t>
  </si>
  <si>
    <t>TIPO 14 - ( P-13 ) PUERTA METÁLICA TIPO  REJILLA - ACCESOS 2 PARQUEADERO- HOJA EN LAMINA CR CALIBRE 16 - PINTURA ELECTROSTÁTICA - COLOR NEGRO MATE MARCO EN LAMINA CR CALIBRE 16 - PINTURA ELECTROSTÁTICA - COLOR NEGRO MATE-DIMENSIONES SEGÚN PLANOS</t>
  </si>
  <si>
    <t>TIPO 15 - (P15) PUERTA METÁLICA (ACCESO  PEATONAL) PUERTA METÁLICA - HOJA EN LAMINA CR CALIBRE 16 - PINTURA ELECTROSTÁTICA - COLOR NEGRO MATE MARCO EN LAMINA CR CALIBRE 16 - PINTURA ELECTROSTÁTICA - DIM. 1,5 * 2,14</t>
  </si>
  <si>
    <t>TIPO 16 - (P16) PUERTA CORREDIZA METÁLICA (ANCHO 7M ALTO 2.2M) ACCESO VEHICULAR - DIM. 2,5*7,5</t>
  </si>
  <si>
    <t>TIPO 17 - (P-14 ( PUERTA FIJA - EN LAMINA CR CALIBRE 16 - PINTURA ELECTROSTÁTICA - COLOR NEGRO MATE MARCO EN LAMINA CR CALIBRE 16 - PINTURA ELECTROSTÁTICA - COLOR NEGRO MATE (DIM 1,2X2,8)</t>
  </si>
  <si>
    <t>CELOSÍA CON PERFILES TUBULARES DE 5X5CM ALTO 2,8 MT</t>
  </si>
  <si>
    <t xml:space="preserve">BARANDA METÁLICA CON BALAUSTRES  METÁLICOS DE 
TUBERÍA METÁLICA 1/2" DISTANCIADOS CADA   1.50  CM Y CERRAMIENTO EN  TUBERÍA  METÁLICA DE 1" COLOR PINTURA CAFÉ SEGÚN DETALLE ARQUITECTÓNICO  Y PASAMANOS RECTANGULAR  MADERA TIPO SAPAN 
DE 7 CM X 3 CM ( PUENTES , PASOS PEATONALES, MALECÓN  Y BALCÓN TORRE AVISTAMIENTO)
</t>
  </si>
  <si>
    <t xml:space="preserve">BARANDA METÁLICA EN TUBERÍA RECTANGULAR DE   1" - PASAMANOS EN TUBERÍA RECTANGULAR 2" - BARANDALES EN PASAMANOS EN TUBERÍA RECTANGULAR 2" (ESCALERA - TORRE AVISTAMIENTO ) </t>
  </si>
  <si>
    <t>REJILLA METÁLICA PARA CUNETA SEGÚN PLANOS</t>
  </si>
  <si>
    <t>CANAL EN LÁMINA GALVANIZADA</t>
  </si>
  <si>
    <t>PASOS, DESCANSOS Y PISO  EN ACERO ANTIDESLIZANTE</t>
  </si>
  <si>
    <t>ÁNGULO HIERRO 2X3/16</t>
  </si>
  <si>
    <t>Subtotal CARPINTERÍA METÁLICA</t>
  </si>
  <si>
    <t>11. CARPINTERÍA METÁLICA</t>
  </si>
  <si>
    <t>11.1</t>
  </si>
  <si>
    <t>11.2</t>
  </si>
  <si>
    <t>11.3</t>
  </si>
  <si>
    <t>11.4</t>
  </si>
  <si>
    <t>11.5</t>
  </si>
  <si>
    <t>11.6</t>
  </si>
  <si>
    <t>P-02 PUERTA EN MADERA -  LAMINADO TIPO TABLEMAC - ENTAMBORADA - CANTOS RIGIDOS - COLOR OLMO PARDO O SIMILAR MARCO PUERTA EN LAMINADO TIPO TABLEMAC - CANTOS RIGIDOS - COLOR OLMO PARDO O SIMILAR (DIM. 0,80X2,2) INCLUYE CERRADURA</t>
  </si>
  <si>
    <t>P-05 PUERTA EN MADERA -  LAMINADO TIPO TABLEMAC - ENTAMBORADA - CANTOS RIGIDOS - COLOR OLMO PARDO O SIMILAR MARCO PUERTA EN LAMINADO TIPO TABLEMAC - CANTOS RIGIDOS - COLOR OLMO PARDO O SIMILAR (DIM. 0,90X2,2) INCLUYE CERRADURA</t>
  </si>
  <si>
    <t>P-06 PUERTA EN MADERA -  LAMINADO TIPO TABLEMAC - ENTAMBORADA - CANTOS RIGIDOS - COLOR OLMO PARDO O SIMILAR MARCO PUERTA EN LAMINADO TIPO TABLEMAC - CANTOS RIGIDOS - COLOR OLMO PARDO O SIMILAR (DIM. 0,65X2,2) INCLUYE CERRADURA</t>
  </si>
  <si>
    <t>P-07 PUERTA EN MADERA - LAMINADO TIPO TABLEMAC - ENTAMBORADA - CANTOS RIGIDOS - COLOR OLMO PARDO O SIMILAR MARCO PUERTA EN LAMINADO TIPO TABLEMAC - CANTOS RIGIDOS - COLOR OLMO PARDO O SIMILAR (DIM. 0,75X2,2) INCLUYE CERRADURA</t>
  </si>
  <si>
    <t>P-10 PUERTA EN MADERA -  LAMINADO TIPO TABLEMAC - ENTAMBORADA - CANTOS RIGIDOS - COLOR OLMO PARDO O SIMILAR MARCO PUERTA EN LAMINADO TIPO TABLEMAC - CANTOS RIGIDOS - COLOR OLMO PARDO O SIMILAR (DIM. 1,0X2,2) INCLUYE CERRADURA</t>
  </si>
  <si>
    <t>MUEBLE INFERIOR DE COCINETA FABRICADO EN MADECOR RH CON SU INTERIOR ENCHAPADO EN FORMICA BLANCA, INCLUYE, LATERALES, PISO, ESPALDAR Y ENTREPAÑOS. PUERTAS Y FRENTES CON CANTOS RÍGIDOS, COLOR A DEFINIR EN OBRA, (DIM 1,63X60CM)</t>
  </si>
  <si>
    <t>12. APARATOS Y ACCESORIOS</t>
  </si>
  <si>
    <t>Subtotal APARATOS Y ACCESORIOS</t>
  </si>
  <si>
    <t>12.1</t>
  </si>
  <si>
    <t>12.2</t>
  </si>
  <si>
    <t>12.3</t>
  </si>
  <si>
    <t>12.4</t>
  </si>
  <si>
    <t>12.5</t>
  </si>
  <si>
    <t>12.6</t>
  </si>
  <si>
    <t>12.7</t>
  </si>
  <si>
    <t>12.8</t>
  </si>
  <si>
    <t>12.9</t>
  </si>
  <si>
    <t>12.10</t>
  </si>
  <si>
    <t>12.11</t>
  </si>
  <si>
    <t>DIVISIÓN PARA BAÑO EN ACERO INOXIDABLE (ANCHO DE 145CM X ALTO DE 1,60)</t>
  </si>
  <si>
    <t>DIVISIÓN PARA ORINAL EN ACERO INOXIDABLE (ANCHO DE 40 CM X ALTO DE 1,60)</t>
  </si>
  <si>
    <t>DIVISIÓN PARA DUCHA, ESTRUCTURA EN PRFILERIA DE ALUMINIO Y LAMINA ACRÍLICA (DIM 90CM X 200CM)</t>
  </si>
  <si>
    <t>DUCHA ANTIBANDALICA CON REGADERA TUBULAR</t>
  </si>
  <si>
    <t>LAVAMANOS DE COLGAR TIPO ACUAJET, INCLUYE GRIFERÍA (BAÑOS PERSONAS MOVILIDAD REDUCIDA)</t>
  </si>
  <si>
    <t>LAVAMANOS DE PEDESTAL POTENZA, COLOR BLANCO, DIMENSIONES 62 X 44 CM, INCLUYE GRIFERÍA</t>
  </si>
  <si>
    <t>SANITARIO TIPO FLUXOMETRO, LÍNEA INSTITUCIONAL, BAJO CONSUMO, ENTRADA POSTERIOR, PORCELANA BLANCA INCLUYE GRIFERÍA TIPO PUSH ANTIVANDÁLICO</t>
  </si>
  <si>
    <t>SANITARIO DE TANQUE</t>
  </si>
  <si>
    <t>ORINAL ANTIBACTERIAL PARA FLUXÓMETRO, ENTRADA POSTERIOR BLANCO SIFÓN OCULTO INTEGRADO EN LA PORCELANA ULTRA AHORRADOR DE AGUA 0.5 LPF.</t>
  </si>
  <si>
    <t>PUERTA EN VIDRIO TIPO 1 (P-03, P-08)  - HOJA EN VIDRIO TEMPLADO 8MM PIVOTE SUPERIOR E INFERIOR EN ACERO INOXIDABLE - ACABADO SATINADO</t>
  </si>
  <si>
    <t>ESPEJO DE CRISTAL BISELADO, FLOTADO DE 4 MM DE ESPESOR</t>
  </si>
  <si>
    <t>13. MOBILIARIO Y EXTERIORES APARATOS</t>
  </si>
  <si>
    <t>13.1</t>
  </si>
  <si>
    <t>13.2</t>
  </si>
  <si>
    <t>13.3</t>
  </si>
  <si>
    <t>13.4</t>
  </si>
  <si>
    <t>13.5</t>
  </si>
  <si>
    <t>13.6</t>
  </si>
  <si>
    <t>13.7</t>
  </si>
  <si>
    <t>13.8</t>
  </si>
  <si>
    <t>13.9</t>
  </si>
  <si>
    <t>Subtotal MOBILIARIO Y EXTERIORES APARATOS</t>
  </si>
  <si>
    <t>BANCA MADERA PLÁSTICA (18.6X0.4X0.85)</t>
  </si>
  <si>
    <t>ENTRAMADO O ENREDADERAS NATURALES</t>
  </si>
  <si>
    <t>MADERA PLÁSTICA WCP</t>
  </si>
  <si>
    <t>CONSTRUCCIÓN SECCIONES DE CERRAMIENTO PARQUEADERO INCLUYE VIGA DE CIMENTACIÓN Y ANTEPECHO EN MAMPOSTERÍA</t>
  </si>
  <si>
    <t>MESÓN EN CONCRETO (PUNTO DE CONTROL)</t>
  </si>
  <si>
    <t>BANCA EN CONCRETO 2500 PSI  - RECUBIERTA EN MADERA PLÁSTICA WCP (7.72X0.40X1.50)</t>
  </si>
  <si>
    <t>BANCA EN CONCRETO 2500 PSI  - RECUBIERTA EN MADERA PLÁSTICA WCP (16.15X0.40X1.50)</t>
  </si>
  <si>
    <t>PASOS EN LOSETAS DE CONCRETO</t>
  </si>
  <si>
    <t>MATERA EN CONCRETO A LA VISTA PERÍMETRO FUNDIDO EN SITIO (ALTURA 90CM) INCLUYE DOBLE MURO, SUSTRATO VEGETAL, PLANTAS ORNAMENTALES  Y TIERRA NEGRA PARA SU DEBIDA PLANTACIÓN.</t>
  </si>
  <si>
    <t>14. ACOMETIDA RED ACUEDUCTO</t>
  </si>
  <si>
    <t>14.1. RED GENERAL ACUEDUCTO</t>
  </si>
  <si>
    <t>14.1.1</t>
  </si>
  <si>
    <t>14.1.2</t>
  </si>
  <si>
    <t>14.1.3</t>
  </si>
  <si>
    <t>14.1.4</t>
  </si>
  <si>
    <t>14.1.5</t>
  </si>
  <si>
    <t>14.1.6</t>
  </si>
  <si>
    <t>14.1.7</t>
  </si>
  <si>
    <t>14.1.8</t>
  </si>
  <si>
    <t>14.1.9</t>
  </si>
  <si>
    <t>14.1.10</t>
  </si>
  <si>
    <t>14.1.11</t>
  </si>
  <si>
    <t>14.1.12</t>
  </si>
  <si>
    <t>14.1.13</t>
  </si>
  <si>
    <t>14.1.14</t>
  </si>
  <si>
    <t>14.1.15</t>
  </si>
  <si>
    <t>14.1.16</t>
  </si>
  <si>
    <t>14.1.17</t>
  </si>
  <si>
    <t>14.1.18</t>
  </si>
  <si>
    <t>14.1.19</t>
  </si>
  <si>
    <t>14.1.20</t>
  </si>
  <si>
    <t>14.1.21</t>
  </si>
  <si>
    <t>14.1.22</t>
  </si>
  <si>
    <t>14.1.23</t>
  </si>
  <si>
    <t>TUBERÍA PVC-P RDE 9 1/2"</t>
  </si>
  <si>
    <t>TUBERÍA PVC-P RDE 21 3/4"</t>
  </si>
  <si>
    <t>TUBERÍA PVC-P RDE 21 1"</t>
  </si>
  <si>
    <t>TUBERÍA PVC-P RDE 21 1-1/4"</t>
  </si>
  <si>
    <t>TUBERÍA PVC-P RDE 21 1-1/2"</t>
  </si>
  <si>
    <t>TUBERÍA PVC-P RDE 21 2"</t>
  </si>
  <si>
    <t>TUBERÍA PVC-P RDE 21 2 1/2"</t>
  </si>
  <si>
    <t>TUBERÍA PVC-P RDE 21 3"</t>
  </si>
  <si>
    <t>REGISTRO 1/2"</t>
  </si>
  <si>
    <t>REGISTRO 3/4"</t>
  </si>
  <si>
    <t>REGISTRO 1"</t>
  </si>
  <si>
    <t>REGISTRO 1 1/4"</t>
  </si>
  <si>
    <t>REGISTRO 1 1/2"</t>
  </si>
  <si>
    <t>REGISTRO 2"</t>
  </si>
  <si>
    <t>ACCESORIOS 1/2"</t>
  </si>
  <si>
    <t>ACCESORIOS 3/4"</t>
  </si>
  <si>
    <t>ACCESORIOS 1"</t>
  </si>
  <si>
    <t>ACCESORIOS 1 1/2"</t>
  </si>
  <si>
    <t>ACCESORIOS 2"</t>
  </si>
  <si>
    <t>ACCESORIOS 2 1/2"</t>
  </si>
  <si>
    <t>ACCESORIOS 3"</t>
  </si>
  <si>
    <t>ANCLAJES DE CONCRETO (0.25 M3). 2500 PSI</t>
  </si>
  <si>
    <t>UNIVERSAL 2"</t>
  </si>
  <si>
    <t>Subtotal RED GENERAL ACUEDUCTO</t>
  </si>
  <si>
    <t>14.2. PUNTOS HIDRÁULICOS AGUA FRÍA</t>
  </si>
  <si>
    <t>14.2.1</t>
  </si>
  <si>
    <t>14.2.2</t>
  </si>
  <si>
    <t>14.2.3</t>
  </si>
  <si>
    <t>14.2.4</t>
  </si>
  <si>
    <t>14.2.5</t>
  </si>
  <si>
    <t>14.2.6</t>
  </si>
  <si>
    <t>14.2.7</t>
  </si>
  <si>
    <t>LAVAVAJILLAS</t>
  </si>
  <si>
    <t>LAVAMANOS</t>
  </si>
  <si>
    <t>DUCHA</t>
  </si>
  <si>
    <t>POCETA SERVICIO</t>
  </si>
  <si>
    <t>ORINAL</t>
  </si>
  <si>
    <t>INODORO TIPO FLUXÓMETRO</t>
  </si>
  <si>
    <t>INODORO TIPO TANQUE</t>
  </si>
  <si>
    <t>Subtotal  PUNTOS HIDRÁULICOS AGUA FRÍA</t>
  </si>
  <si>
    <t>14.3. INSTALACIÓN ACOMETIDA TANQUE</t>
  </si>
  <si>
    <t>14.3.1</t>
  </si>
  <si>
    <t>14.3.2</t>
  </si>
  <si>
    <t>14.3.3</t>
  </si>
  <si>
    <t>14.3.4</t>
  </si>
  <si>
    <t>14.3.5</t>
  </si>
  <si>
    <t>14.3.6</t>
  </si>
  <si>
    <t>14.3.7</t>
  </si>
  <si>
    <t>14.3.8</t>
  </si>
  <si>
    <t>14.3.9</t>
  </si>
  <si>
    <t>14.3.10</t>
  </si>
  <si>
    <t>14.3.11</t>
  </si>
  <si>
    <t>14.3.12</t>
  </si>
  <si>
    <t>VÁLVULA DE PIE 3"</t>
  </si>
  <si>
    <t>FLOTADOR 3/4"</t>
  </si>
  <si>
    <t>REGISTRO ACERO 3/4"</t>
  </si>
  <si>
    <t>REGISTRO ACERO 3"</t>
  </si>
  <si>
    <t>CHEQUE ACERO 3/4"</t>
  </si>
  <si>
    <t>CHEQUE ACERO 3"</t>
  </si>
  <si>
    <t>UNIVERSAL ACERO 3/4"</t>
  </si>
  <si>
    <t>UNIVERSAL ACERO 3"</t>
  </si>
  <si>
    <t>Subtotal  INSTALACIÓN ACOMETIDA TANQUE</t>
  </si>
  <si>
    <t>Subtotal  ACOMETIDA RED ACUEDUCTO</t>
  </si>
  <si>
    <t>15. INSTALACIONES ALCANTARILLADO SANITARIO</t>
  </si>
  <si>
    <t>15.1 RED GENERAL ALCANTARILLADO</t>
  </si>
  <si>
    <t>15.1.1</t>
  </si>
  <si>
    <t>15.1.2</t>
  </si>
  <si>
    <t>15.1.3</t>
  </si>
  <si>
    <t>15.1.4</t>
  </si>
  <si>
    <t>15.1.5</t>
  </si>
  <si>
    <t>15.1.6</t>
  </si>
  <si>
    <t>15.1.7</t>
  </si>
  <si>
    <t>15.1.8</t>
  </si>
  <si>
    <t>TUBERÍA PEHD 4"</t>
  </si>
  <si>
    <t>ACCESORIO 4"</t>
  </si>
  <si>
    <t>TUBERÍA PVC-S 4"</t>
  </si>
  <si>
    <t>TUBERÍA PVC-S 6"</t>
  </si>
  <si>
    <t>TUBERÍA PVC-S 8"</t>
  </si>
  <si>
    <t>CAJA DE INSPECCIÓN 80X80CM</t>
  </si>
  <si>
    <t>POZO INSPECCIÓN</t>
  </si>
  <si>
    <t>CINTA PARA SEÑALIZACIÓN 4" PELIGRO CALIBRE 3.5</t>
  </si>
  <si>
    <t>Subtotal  RED GENERAL ALCANTARILLADO</t>
  </si>
  <si>
    <t>15.2 PUNTOS SANITARIOS</t>
  </si>
  <si>
    <t>Subtotal  PUNTOS SANITARIOS</t>
  </si>
  <si>
    <t>15.3 INSTALACIÓN ACOMETIDA TANQUE</t>
  </si>
  <si>
    <t>15.2.1</t>
  </si>
  <si>
    <t>15.2.2</t>
  </si>
  <si>
    <t>15.2.3</t>
  </si>
  <si>
    <t>15.2.4</t>
  </si>
  <si>
    <t>15.2.5</t>
  </si>
  <si>
    <t>15.2.6</t>
  </si>
  <si>
    <t>15.2.7</t>
  </si>
  <si>
    <t>15.2.8</t>
  </si>
  <si>
    <t>SIFÓN DE PISO</t>
  </si>
  <si>
    <t>15.3.1</t>
  </si>
  <si>
    <t>15.3.2</t>
  </si>
  <si>
    <t>15.3.3</t>
  </si>
  <si>
    <t>15.3.4</t>
  </si>
  <si>
    <t>15.3.5</t>
  </si>
  <si>
    <t>15.3.6</t>
  </si>
  <si>
    <t>15.3.7</t>
  </si>
  <si>
    <t>TUBERÍA PVC-P RDE21 3"</t>
  </si>
  <si>
    <t>VÁLVULA 3"</t>
  </si>
  <si>
    <t>ACCESORIOS ACUAFLEX 4"</t>
  </si>
  <si>
    <t>UNIVERSAL 3"</t>
  </si>
  <si>
    <t>UNIÓN RÁPIDA 3"</t>
  </si>
  <si>
    <t>TANQUE SÉPTICO</t>
  </si>
  <si>
    <t>16. INSTALACIONES ALCANTARILLADO AGUAS LLUVIAS</t>
  </si>
  <si>
    <t>Subtotal   INSTALACIONES ALCANTARILLADO SANITARIO</t>
  </si>
  <si>
    <t>16.1 RED GENERAL AGUAS LLUVIAS</t>
  </si>
  <si>
    <t>16.1.1</t>
  </si>
  <si>
    <t>16.1.2</t>
  </si>
  <si>
    <t>16.1.3</t>
  </si>
  <si>
    <t>16.1.4</t>
  </si>
  <si>
    <t>16.1.5</t>
  </si>
  <si>
    <t>16.1.6</t>
  </si>
  <si>
    <t>16.1.7</t>
  </si>
  <si>
    <t>16.1.8</t>
  </si>
  <si>
    <t>16.1.9</t>
  </si>
  <si>
    <t>TUBERÍA PVC 8"</t>
  </si>
  <si>
    <t>TUBERÍA PVC 10"</t>
  </si>
  <si>
    <t>CAJA DE INSPECCIÓN 1.2M X 1.2M</t>
  </si>
  <si>
    <t>CAJA DE INSPECCIÓN 0.7M X 0.7M</t>
  </si>
  <si>
    <t>CUNETA TIPO 1</t>
  </si>
  <si>
    <t>CUNETA TIPO 2</t>
  </si>
  <si>
    <t>CUNETA TIPO 3</t>
  </si>
  <si>
    <t>ESTRUCTURA DISIPACIÓN DE ENERGÍA</t>
  </si>
  <si>
    <t>TUBERÍA CONCRETO SIMPLE 24" SIN REFUERZO</t>
  </si>
  <si>
    <t>Subtotal  RED GENERAL AGUAS LLUVIAS</t>
  </si>
  <si>
    <t>16.2 BAJANTES AGUAS LLUVIAS</t>
  </si>
  <si>
    <t>16.2.1</t>
  </si>
  <si>
    <t>16.2.2</t>
  </si>
  <si>
    <t>16.2.3</t>
  </si>
  <si>
    <t>16.2.4</t>
  </si>
  <si>
    <t>CANALES SOBRE CUBIERTAS</t>
  </si>
  <si>
    <t>TUBERÍA PVC 4"</t>
  </si>
  <si>
    <t>ACCESORIOS PVC 4"</t>
  </si>
  <si>
    <t>REJILLA TIPO CÚPULA</t>
  </si>
  <si>
    <t>Subtotal   INSTALACIONES ALCANTARILLADO AGUAS LLUVIAS</t>
  </si>
  <si>
    <t>17. INSTALACIONES SISTEMA DE RIEGO</t>
  </si>
  <si>
    <t>17.1 RED GENERAL SISTEMA RIEGO</t>
  </si>
  <si>
    <t>Subtotal  RED GENERAL SISTEMA RIEGO</t>
  </si>
  <si>
    <t>17.1.1</t>
  </si>
  <si>
    <t>17.1.2</t>
  </si>
  <si>
    <t>17.1.3</t>
  </si>
  <si>
    <t>17.1.4</t>
  </si>
  <si>
    <t>17.1.5</t>
  </si>
  <si>
    <t>17.1.6</t>
  </si>
  <si>
    <t>17.1.7</t>
  </si>
  <si>
    <t>17.1.8</t>
  </si>
  <si>
    <t>17.1.9</t>
  </si>
  <si>
    <t>17.1.10</t>
  </si>
  <si>
    <t>17.1.11</t>
  </si>
  <si>
    <t>17.1.12</t>
  </si>
  <si>
    <t>17.1.13</t>
  </si>
  <si>
    <t>17.1.14</t>
  </si>
  <si>
    <t xml:space="preserve">TUBERÍA PE 100 , RDE-21 DE 2" </t>
  </si>
  <si>
    <t xml:space="preserve">TUBERÍA PVC RIEGO-AGRÍCOLA , RDE-41 DE 2 " </t>
  </si>
  <si>
    <t>JUNTAS ARTICULADAS PVC 1/2"</t>
  </si>
  <si>
    <t xml:space="preserve">TE PE, RDE-21 DE 2" </t>
  </si>
  <si>
    <t xml:space="preserve">TE PVC, RDE-41 DE 2" </t>
  </si>
  <si>
    <t>CODO PVC 90°DE 2"</t>
  </si>
  <si>
    <t>CODO PVC 45°DE 2"</t>
  </si>
  <si>
    <t>VÁLVULA DE BOLA  2" , 600#, FLOATING BALL, NPT, LEVER OPERATED</t>
  </si>
  <si>
    <t>VÁLVULA CHEQUE 2" , 600#, SWING CHECK, NPT</t>
  </si>
  <si>
    <t>VÁLVULA SOLENOIDE DE 2", DIAFRAGMA, NPT, 150 GPM, 15-150 PSI. INCLUYE CABLE DE CONTROL EN TUBERIA PVC DE 1/2" 8X18 300V</t>
  </si>
  <si>
    <t>VÁLVULA REDUCTORA DE PRESIÓN DE 2" , 600#, NPT</t>
  </si>
  <si>
    <t>VÁLVULA SOLENOIDE DE 1", DIAFRAGMA, NPT, 150 GPM, 15-150 PSI. INCLUYE CABLE DE CONTROL EN TUBERIA PVC DE 1/2" 8X18 300V</t>
  </si>
  <si>
    <t xml:space="preserve">TUBERÍA PE 100 , RDE-21 DE 1" </t>
  </si>
  <si>
    <t xml:space="preserve">PROGRAMADOR DE OCHO (8) ESTACIONES PARA USO EXTERNO </t>
  </si>
  <si>
    <t>17.2 CINTAS</t>
  </si>
  <si>
    <t>17.2.1</t>
  </si>
  <si>
    <t>CINTA PARA GOTEO CALIBRE 8 MILS.</t>
  </si>
  <si>
    <t>17.3 ASPERSORES</t>
  </si>
  <si>
    <t>17.3.1</t>
  </si>
  <si>
    <t>ASPERSORES RAIN BIRD SERIE 3500 (O EQUIVALENTE)</t>
  </si>
  <si>
    <t>Subtotal  ASPERSORES</t>
  </si>
  <si>
    <t>Subtotal  INSTALACIONES SISTEMA DE RIEGO</t>
  </si>
  <si>
    <t>18. INSTALACIONES SISTEMA CONTRAINCENDIO</t>
  </si>
  <si>
    <t>18.1 RED GENERAL SISTEMA CONTRAINCENDIO</t>
  </si>
  <si>
    <t>18.1.1</t>
  </si>
  <si>
    <t>18.1.2</t>
  </si>
  <si>
    <t>18.1.3</t>
  </si>
  <si>
    <t>18.1.4</t>
  </si>
  <si>
    <t>18.1.5</t>
  </si>
  <si>
    <t>18.1.6</t>
  </si>
  <si>
    <t>18.1.7</t>
  </si>
  <si>
    <t>18.1.8</t>
  </si>
  <si>
    <t>18.1.9</t>
  </si>
  <si>
    <t>18.1.10</t>
  </si>
  <si>
    <t>18.1.11</t>
  </si>
  <si>
    <t>SUMINISTRO E INSTALACION TUBERÍA CS, ASTM A-53 GR.B, 4" SCH. 40</t>
  </si>
  <si>
    <t>SUMINISTRO E INSTALACION TUBERÍA CS, ASTM A-53 GR.B, 3" SCH. 40</t>
  </si>
  <si>
    <t>SUMINISTRO E INSTALACION  TUBERÍA CS, ASTM A-53 GR.B., 2 1/2" SCH. 40</t>
  </si>
  <si>
    <t>SUMINISTRO E INSTALACION TUBERÍA CS, ASTM A-53 GR.B, 1 1/2" SCH. 40</t>
  </si>
  <si>
    <t>SUMINISTRO E INSTALACION ACCESORIO CS, ASTM A-234 GR.WPB, 4" SCH. 40</t>
  </si>
  <si>
    <t>SUMINISTRO E INSTALACION ACCESORIO CS, ASTM A-234 GR.WPB, 3" SCH. 41</t>
  </si>
  <si>
    <t>SUMINISTRO E INSTALACION ACCESORIO CS, ASTM A-234 GR.WPB, 2-1/2" SCH. 42</t>
  </si>
  <si>
    <t>BRIDA WELDING NECK 4", ASTM A-105, ANSI CLASS 150, RF, ANSI B16.5, SCH.40</t>
  </si>
  <si>
    <t>VÁLVULA COMPUERTA 4",ANSI CLASS 150, RF, OS&amp;Y, ASTM A-216 GR.WCB</t>
  </si>
  <si>
    <t>SUMINISTRO E INSTALACIONTUBERIA PVC PARA RED CONTRA INCENDIOS C900 4"</t>
  </si>
  <si>
    <t>SUMINISTRO E INSTALACION DE KIT DE TRANSICION TUBERIA C900 A CS, INCLUYE ACCESORIOS</t>
  </si>
  <si>
    <t>18.2 GABINETES</t>
  </si>
  <si>
    <t>18.2.1</t>
  </si>
  <si>
    <t xml:space="preserve">GABINETE CLASE III CON: VÁLVULA GLOBO BRONCE Y MANGUERA 1 1/2", BOQUILLA CHORRO NIEBLA,  VÁLVULA  COMPUERTA BRONCE 2 1/2" HEMBRA-MACHO, EXTINTOR PQS 10 LB., HACHA-PICO, LLAVE </t>
  </si>
  <si>
    <t>Subtotal  GABINETES</t>
  </si>
  <si>
    <t>18.3 SIAMESA</t>
  </si>
  <si>
    <t>18.3.1</t>
  </si>
  <si>
    <t>SIAMESA DE 4" X 2 1/2" X 2 1/2" BRONCE</t>
  </si>
  <si>
    <t>Subtotal  SIAMESA</t>
  </si>
  <si>
    <t>Subtotal  INSTALACIONES SISTEMA CONTRAINCENDIO</t>
  </si>
  <si>
    <t>19.  INSTALACIONES SUBESTACIÓN ELÉCTRICA</t>
  </si>
  <si>
    <t>19.1  CÁMARAS Y CANALIZACIÓN</t>
  </si>
  <si>
    <t>19.1.1</t>
  </si>
  <si>
    <t>19.1.2</t>
  </si>
  <si>
    <t>19.1.3</t>
  </si>
  <si>
    <t>19.1.4</t>
  </si>
  <si>
    <t>19.1.5</t>
  </si>
  <si>
    <t>19.1.6</t>
  </si>
  <si>
    <t>19.1.7</t>
  </si>
  <si>
    <t>19.1.8</t>
  </si>
  <si>
    <t>19.1.9</t>
  </si>
  <si>
    <t>19.1.10</t>
  </si>
  <si>
    <t>19.1.11</t>
  </si>
  <si>
    <t>CÁMARA DE INSPECCIÓN SENCILLA  SEGÚN NORMA  ELECTROHUILA,  INCLUYE MARCO Y TAPA.</t>
  </si>
  <si>
    <t xml:space="preserve">CÁMARA DE INSPECCIÓN DOBLE  SEGÚN NORMA EH-RSS-040-1 INCLUYE MARCO Y TAPA </t>
  </si>
  <si>
    <t>CANALIZACIÓN EN DUCTO DE 2Ø4''  SEGÚN NORMA ELECTROHUILA  EH-RSS-111.</t>
  </si>
  <si>
    <t>CANALIZACIÓN EN DUCTO DE 1Ø3'' EN SEGÚN NORMA ELECTROHUILA  EH-RSS-111.</t>
  </si>
  <si>
    <t>ALISTAMIENTO DE ZONA, DESCAPOTE, NIVELACIÓN, DE TERRENO ÁREA DE SUBESTACIÓN.</t>
  </si>
  <si>
    <t>CÁRCAMO DESDE CAJA DE INSPECCIÓN DOBLE HASTA TRANSFORMADOR DE PEDESTAL SEGÚN PLANO ADJUNTO Y SEGÚN NORMA ELECTROHUILA EHCMO-030 INCLUYE BANDEJA PORTACABES SEGÚN NORMA.</t>
  </si>
  <si>
    <t xml:space="preserve">FOSO ACEITE EN CONCRETO DE 3000 PSI SEGÚN PLANO ADJUNTO. EL POZO TENDRÁ PARRILLA MALLA SOBRE LA CUAL SE DISPONDRÁ GRAVILLA DE 3/8  SEGÚN PLANO DE DETALLE. </t>
  </si>
  <si>
    <t>PLACA BASE EN CONCRETO DE 3500 PSI PARA SUBESTACIÓN DE PEDESTAL EN CONCRETO DIMENSIONES 1,7X1,5X0,20 MTS, SEGÚN PLANO ANEXO.</t>
  </si>
  <si>
    <t>SUMINISTRO E INSTALACIÓN DE  CAJA DE INSPECCIÓN PREFABRICADA  PARA PUESTA A TIERRA EN CONCRETO CON MARCO Y TAPA SEGÚN PLANO DE DETALLES.</t>
  </si>
  <si>
    <t xml:space="preserve">CARGA  DE TRATAMIENTO PARA SUELO;
PARA MEJORAMIENTO DE PUESTAS A TIERRA PARA APLICAR EN ELECTRODO DE PUESTA A TIERRA DE 25 KG. </t>
  </si>
  <si>
    <t xml:space="preserve">SUMINISTRO CONSTRUCCIÓN E INSTALACIÓN DE MUROS EN MAMPOSTERÍA DE ALOJAMIENTO PARA TABLERO DE MEDIDA Y TABLERO GENERAL DE DISTRIBUCIÓN, EN TRES COSTADOS EN LADRILLO TOLETE A LA VISTA Y SUPERFICIE INFERIOR EN CONCRETO 15 CM , SEGÚN PLANO ANEXO. </t>
  </si>
  <si>
    <t>Subtotal  CÁMARAS Y CANALIZACIÓN</t>
  </si>
  <si>
    <t>19.2 AFLORAMIENTO MEDIA TENSIÓN</t>
  </si>
  <si>
    <t>19.2.1</t>
  </si>
  <si>
    <t>19.2.2</t>
  </si>
  <si>
    <t>19.2.3</t>
  </si>
  <si>
    <t>19.2.4</t>
  </si>
  <si>
    <t>ACOMETIDA SUBTERRÁNEA EN 3X2 CU  DOBLE CAPA XLPE. APANTALLAMIENTO EN HILOS AL 100% - MONOPOLAR  DE ACUERDO A NORMA ELECTROHUILA.</t>
  </si>
  <si>
    <t>CODOS PREMOLDEADO  LÍNEA 15 KV USO EXTERIOR.</t>
  </si>
  <si>
    <t>TERMINAL PREMOLDEADO LÍNEA 15 KV USO EXTERIOR.</t>
  </si>
  <si>
    <t xml:space="preserve">SUMINISTRO INSTALACIÓN Y CONSTRUCCIÓN DE MALLA DE ENCERRAMIENTO EN MALLA ESLABONADA REFERENCIA ITÁLICA  INCLUYE PARALES EN TUBO DE 2" A CADA ESQUINA, PARALES DE PUERTA EN 2" Y MURO ANTEPECHO, PUERTA DOBLE HOJA,  SEGÚN PLANOS ADJUNTOS. Y PLANO DE DETALLES. </t>
  </si>
  <si>
    <t>Subtotal  AFLORAMIENTO MEDIA TENSIÓN</t>
  </si>
  <si>
    <t xml:space="preserve">19.3  INSTALACIONES ELÉCTRICAS DE BAJA TENSIÓN TABLERO GENERAL DE DISTRIBUCIÓN </t>
  </si>
  <si>
    <t>19.3.1</t>
  </si>
  <si>
    <t xml:space="preserve">SUMINISTRO CONSTRUCCIÓN E INSTALACIÓN DE MUROS EN MAMPOSTERÍA DE ALOJAMIENTO PARA TABLERO DE MEDIDA Y TABLERO GENERAL DE DISTRIBUCIÓN, EN TRES COSTADOS EN LADRILLO TOLETE PERFORADO A LA VISTA Y SUPERFICIE INFERIOR EN CONCRETO 15 CM , SEGÚN PLANO ANEXO. </t>
  </si>
  <si>
    <t xml:space="preserve">Subtotal INSTALACIONES ELÉCTRICAS DE BAJA TENSIÓN TABLERO GENERAL DE DISTRIBUCIÓN </t>
  </si>
  <si>
    <t xml:space="preserve">19.4 MALLA A TIERRA </t>
  </si>
  <si>
    <t>19.4.1</t>
  </si>
  <si>
    <t>19.4.2</t>
  </si>
  <si>
    <t>19.4.3</t>
  </si>
  <si>
    <t>19.4.4</t>
  </si>
  <si>
    <t>19.4.5</t>
  </si>
  <si>
    <t>19.4.6</t>
  </si>
  <si>
    <t>19.4.7</t>
  </si>
  <si>
    <t xml:space="preserve">SUMINISTRO E INSTALACIÓN DE  CABLE DE CU-CU DESNUDO 2/0 AWG. </t>
  </si>
  <si>
    <t>SUMINISTRO E INSTALACIÓN DE VARILLA PUESTA A TIERRA COPER WELD 2,44M  5/8 CU-CU ELECTROSOLDADA.</t>
  </si>
  <si>
    <t>SUMINISTRO E INSTALACIÓN DE  SOLDADURA EXOTÉRMICA CON CARGA  250 GRAMOS</t>
  </si>
  <si>
    <t xml:space="preserve">SUMINISTRO E INSTALACIÓN DE  CABLE DE CU-CU DESNUDO 2 AWG, ATERRIZAJE DE MALLA ENCERRAMIENTO </t>
  </si>
  <si>
    <t>CABLE PARA LUMINARIAS EN COBRE CALIBRE 3 X 14 AWG THW A 600 V, PARA CONEXIÓN LUMINARIAS DE 250W.</t>
  </si>
  <si>
    <t>PROYECTOR DE SÓDIO DE ALTA PRESIÓN RADIAL 2 REF. RD2 1365  150 W, 208/220 V EN INYECCIÓN DE ALUMINIO CON BOMBILLA FOSFORADA Y FOTO CELDA.</t>
  </si>
  <si>
    <t xml:space="preserve">SEÑALIZACIÓN Y MARCACIÓN SEGÚN RETIE PARA SUBESTACIÓN, REJA Y TABLERO. </t>
  </si>
  <si>
    <t>Subtotal MALLA A TIERRA</t>
  </si>
  <si>
    <t>Subtotal  INSTALACIONES SUBESTACIÓN ELÉCTRICA</t>
  </si>
  <si>
    <t>20. INSTALACIONES ELÉCTRICAS</t>
  </si>
  <si>
    <t>20.1 INSTALACIONES BAJA TENSIÓN</t>
  </si>
  <si>
    <t>20.1.1</t>
  </si>
  <si>
    <t>20.1.2</t>
  </si>
  <si>
    <t>20.1.3</t>
  </si>
  <si>
    <t>20.1.4</t>
  </si>
  <si>
    <t>20.1.5</t>
  </si>
  <si>
    <t>20.1.6</t>
  </si>
  <si>
    <t>20.1.7</t>
  </si>
  <si>
    <t>20.1.8</t>
  </si>
  <si>
    <t>20.1.9</t>
  </si>
  <si>
    <t>20.1.10</t>
  </si>
  <si>
    <t>20.1.11</t>
  </si>
  <si>
    <t>20.1.12</t>
  </si>
  <si>
    <t>20.1.13</t>
  </si>
  <si>
    <t>20.1.14</t>
  </si>
  <si>
    <t>20.1.15</t>
  </si>
  <si>
    <t>20.1.16</t>
  </si>
  <si>
    <t>20.1.17</t>
  </si>
  <si>
    <t>20.1.18</t>
  </si>
  <si>
    <t>20.1.19</t>
  </si>
  <si>
    <t>20.1.20</t>
  </si>
  <si>
    <t>20.1.21</t>
  </si>
  <si>
    <t>20.1.22</t>
  </si>
  <si>
    <t>20.1.23</t>
  </si>
  <si>
    <t>20.1.24</t>
  </si>
  <si>
    <t>20.1.25</t>
  </si>
  <si>
    <t>20.1.26</t>
  </si>
  <si>
    <t>20.1.27</t>
  </si>
  <si>
    <t>20.1.28</t>
  </si>
  <si>
    <t>20.1.29</t>
  </si>
  <si>
    <t>20.1.30</t>
  </si>
  <si>
    <t>20.1.31</t>
  </si>
  <si>
    <t>20.1.32</t>
  </si>
  <si>
    <t>Subtotal  INSTALACIONES BAJA TENSIÒN</t>
  </si>
  <si>
    <t>SUMINISTRO E INSTALACIÓN DE ELEMENTOS DE MARCACIÓN PARA: TABLEROS, MEDIDOR DE ENERGÍA, TOMAS ELÉCTRICAS, Y DE MÁS REQUERIDOS POR RETIE. (LA MARCACIÓN COMTEMPLA  SUMINISTRAR LOS  CARTUCHO PARA GENERAR LAS MARQUILLAS LS8EQ CON CARTUCHO EN PAPEL ADHESIVO PLASTIFICADO LAMINADO, NADA A MANO). VER DETALLE DE INSTALACIÓN.</t>
  </si>
  <si>
    <t>SUMINISTRO, TRANSPORTE E INSTALACIÓN DE MATERIALES PARA LA ACOMETIDA ELÉCTRICA TRIFÁSICA EN CABLE 3 Nº 10 + 1 Nº10 + 1 Nº 12T  AWG-CU- CU HFFRLS 600V (NORMA NTC-2050), PE HF FR LS CT POR TUBERÍA EMT DE 1 1/4"PULG.  INCLUYE: TERMINALES DE COBRE, ENCINTADA  Y DEMÁS  ELEMENTOS NECESARIOS PARA SU CORRECTA INSTALACIÓN, ADECUACIONES DE INCLUYE REGATAS, RESANES, Y DEMÁS OBRAS CIVILES REQUERIDAS EXCAVACIÓN, RESANE DE PISOS, REMOCIÓN DE ESCOMBROS. MÁXIMO CADA 3 CURVAS DEBEN SUMINISTRARSE E INSTALARSE CAJAS DE PASO</t>
  </si>
  <si>
    <t>SUMINISTRO, TRANSPORTE E INSTALACIÓN DE MATERIALES PARA SALIDA ELÉCTRICA LÍNEA COMERCIAL  EN MURO A CONSTRUIR PARA TOMA CORRIENTE MONOFÁSICA CON POLO A TIERRA  15 A, POR TUBERÍA PVC O  EMT  SEGÚN CORRESPONDA DE 1/2". INCLUYE  TAPA, ENCINTADA , DUCTO DE 1/2", UNIONES , ADAPTADORES TERMINAL , CODOS , CAJAS METÁLICAS GALVANIZADAS CAL.20, CONDUCTORES 3NO. 12 + 1X12T DESNUDO. AWG- CU 600V (NORMA NTC-2050)  PE HF FR LS CT,  INCLUYE REGATAS, RESANES,  Y DEMÁS OBRAS CIVILES REQUERIDAS Y DEMÁS ACCESORIOS NECESARIOS PARA SU CORRECTA INSTALACIÓN. (REGATAS Y RESANES). CIRCUITO COMPARTIDO. H: SEGÚN EQUIPO.  MÁXIMO CADA 3 CURVAS DEBEN SUMINISTRARSE E INSTALARSE CAJAS DE PASO. LAS SALIDAS SERÁN INSTALADAS SEGÚN PLANOS Y DETALLES, E IRÁ DESDE LA SALIDA  DE BREAKER HASTA LA TOMA FINAL DEL CIRCUITO COMPARTIDO SE DEBEN MARQUILLAR LOS EXTREMOS DEL CABLE MARQUILLAS DE CABLE.</t>
  </si>
  <si>
    <t>SUMINISTRO, TRANSPORTE E INSTALACIÓN DE INTERRUPTOR AUTOMÁTICO TRIPOLAR TIPO CAJA MOLDEADA INDUSTRIAL (BREAKER), ICC=25 KA,  127/240 V, NO REPARABLE, SELLADO Y CONTRAMARCADO DE 3 X30   AMPERIOS.</t>
  </si>
  <si>
    <t>SUMINISTRO, TRANSPORTE E INSTALACIÓN DE INTERRUPTOR AUTOMÁTICO TRIPOLAR TIPO CAJA MOLDEADA INDUSTRIAL (BREAKER), ICC=25 KA,  127/240 V, NO REPARABLE, SELLADO Y CONTRAMARCADO DE 3 X40   AMPERIOS.</t>
  </si>
  <si>
    <t>SUMINISTRO, TRANSPORTE E INSTALACIÓN DE INTERRUPTOR AUTOMÁTICO TRIPOLAR TIPO CAJA MOLDEADA INDUSTRIAL (BREAKER), ICC=25 KA,  127/240 V, NO REPARABLE, SELLADO Y CONTRAMARCADO DE 3 X50   AMPERIOS,</t>
  </si>
  <si>
    <t>SUMINISTRO, TRANSPORTE E INSTALACIÓN DE INTERRUPTOR AUTOMÁTICO TRIPOLAR TIPO CAJA MOLDEADA INDUSTRIAL (BREAKER), ICC=25 KA,  127/240 V, NO REPARABLE, SELLADO Y CONTRAMARCADO DE 3 X70   AMPERIOS,</t>
  </si>
  <si>
    <t>SUMINISTRO, TRANSPORTE E INSTALACIÓN DE INTERRUPTOR AUTOMÁTICO TRIPOLAR TIPO CAJA MOLDEADA REGULABLE INDUSTRIAL (BREAKER), ICC=25 KA,  127/240 V, NO REPARABLE, SELLADO Y CONTRAMARCADO DE 3 X80   AMPERIOS,</t>
  </si>
  <si>
    <t>SUMINISTRO, TRANSPORTE E INSTALACIÓN DE INTERRUPTOR AUTOMÁTICO MONOPOLAR ENCHUFABLE (BREAKER) DE 1X20 AMP,  ICC=10 KA, NO REPARABLE , SELLADO Y CONTRAMARCADO.</t>
  </si>
  <si>
    <t>SUMINISTRO, TRANSPORTE E INSTALACIÓN DE TABLERO RED NORMAL  DE  24 CIRCITOS  INCLUYE: CAJA, TAPA Y PUERTA COLOR BLANCO RAL 9010, TENSIÓN NOMINAL: 240 V, TENSIÓN DE AISLAMIENTO: 600 VOLTIOS, CORRIENTE DE CORTO ISC: 10 KA, ENCERRAMIENTO IP 20 IK 05, 5 HILOS: 3 FASES + BARRA PARA NEUTRO + BARRA PARA TIERRA INSTALADAS, BARRAJE EN COBRE, BARRAS DE NEUTRO Y TIERRA INSTALADAS, BARRA PARA TIERRA AISLADA OPCIONAL PARA REFERENCIAS TW; , Y  DEMÁS  ELEMENTOS NECESARIOS PARA SU CORRECTA INSTALACIÓN, ADECUACIONES DE INCLUYE REGATAS, RESANES, Y DEMÁS OBRAS CIVILES REQUERIDAS EXCAVACIÓN, RESANE DE PISOS, REMOCIÓN DE ESCOMBROS. MÁXIMO CADA 3 CURVAS DEBEN SUMINISTRARSE E INSTALARSE CAJAS DE PASO.</t>
  </si>
  <si>
    <t>SUMINISTRO, TRANSPORTE E INSTALACIÓN DE TABLERO RED NORMAL  DE  36 CIRCITOS  INCLUYE: CAJA, TAPA Y PUERTA COLOR BLANCO RAL 9010, TENSIÓN NOMINAL: 240 V, TENSIÓN DE AISLAMIENTO: 600 VOLTIOS, CORRIENTE DE CORTO ISC: 10 KA, ENCERRAMIENTO IP 20 IK 05, 5 HILOS: 3 FASES + BARRA PARA NEUTRO + BARRA PARA TIERRA INSTALADAS, BARRAJE EN COBRE, BARRAS DE NEUTRO Y TIERRA INSTALADAS, BARRA PARA TIERRA AISLADA OPCIONAL PARA REFERENCIAS TW; Y  DEMÁS  ELEMENTOS NECESARIOS PARA SU CORRECTA INSTALACIÓN, ADECUACIONES DE INCLUYE REGATAS, RESANES, Y DEMÁS OBRAS CIVILES REQUERIDAS EXCAVACIÓN, RESANE DE PISOS, REMOCIÓN DE ESCOMBROS. MÁXIMO CADA 3 CURVAS DEBEN SUMINISTRARSE E INSTALARSE CAJAS DE PASO.</t>
  </si>
  <si>
    <t>SALIDA HORNO - BIFÁSICA 30 AMPERIOS: SUMINISTRO, TRANSPORTE E INSTALACIÓN DE MATERIALES PARA SALIDA ELÉCTRICA LÍNEA COMERCIAL  EN MURO CONSTRUIR PARA SALIDA TOMA BIFÁSICO , 220V - , CON CAJA GALVANIZADA 10X10 CAL 20 DOBLE FONDO, POR TUBERÍA EMPOTRADA EN MURO. INCLUYE  TAPA, CONECTOR AUTO DESFORRES, DUCTO EMT O PVC SEGÚN CORRESPONDA DE 3/4", UNIONES, ADAPTADOR TERMINAL , CODOS , CONDUCTORES 3NO10 AWG- CU HFFRLS 600V/ CU HFFRLS 600V + 12 AWG T (NORMA NTC-2050), PE HF FR LS CT,  INCLUYE REGATAS, RESANES, Y DEMÁS OBRAS CIVILES REQUERIDAS Y DEMÁS ACCESORIOS NECESARIOS PARA SU CORRECTA INSTALACIÓN. SE DEBE INCLUIR CLAVIJA BIFÁSICO  220V  DE 30 AMP H: 0.90 M. MÁXIMO CADA 3 CURVAS DEBEN SUMINISTRARSE E INSTALARSE CAJAS DE PASO. LAS SALIDAS SERÁN INSTALADAS SEGÚN PLANOS Y DETALLES, E IRÁ DESDE LA SALIDA  DE BREAKER HASTA LA TOMA DEL CIRCUITO INDICADO SE DEBEN MARQUILLAR LOS EXTREMOS DEL CABLE MARQUILLAS DE CABLE.</t>
  </si>
  <si>
    <t>SALIDA MICROONDAS : SUMINISTRO, TRANSPORTE E INSTALACIÓN DE MATERIALES PARA SALIDA ELÉCTRICA LÍNEA COMERCIAL  EN MURO CONSTRUIR PARA SALIDA MONOFÁSICA  127 V PATA, CON CAJA GALVANIZADA CAL.20, POR TUBERÍA EMPOTRADA O SOBREPONER EN MURO EXISTENTE DE ACUERDO A LO INDICADO EN PLANIMETRÍA ADJUNTA. INCLUYE TAPA, CONECTOR AUTO DESFORRES, DUCTO EMT DE 1/2", UNIONES EMT, ADAPTADOR TERMINAL EMT, CODOS EMT, CONDUCTORES 3 NO12 AWG- CU HFFRLS 600V/ CU HFFRLS 600V + 12 AWG T (NORMA NTC-2050),  HF FR LS ,  INCLUYE REGATAS, RESANES, Y DEMÁS OBRAS CIVILES REQUERIDAS Y DEMÁS ACCESORIOS NECESARIOS PARA SU CORRECTA INSTALACIÓN.  H: 1.10M. MÁXIMO CADA 3 CURVAS DEBEN SUMINISTRARSE E INSTALARSE CAJAS DE PASO. LAS SALIDAS SERÁN INSTALADAS SEGÚN PLANOS Y DETALLES, E IRÁ DESDE LA SALIDA  DE BREAKER HASTA LA TOMA DEL CIRCUITO INDICADO SE DEBEN MARQUILLAR LOS EXTREMOS DEL CABLE MARQUILLAS DE CABLE.</t>
  </si>
  <si>
    <t xml:space="preserve">SUMINISTRO, TRANSPORTE E INSTALACIÓN DE MATERIALES PARA SALIDA ELÉCTRICA LÍNEA COMERCIAL  EN MURO CONSTRUIR PARA TOMACORRIENTE MONOFÁSICA GFCI   CON POLO A TIERRA , POR TUBERÍA EMT DE 1/2". INCLUYE  TAPA, ENCINTADA , DUCTO EMT DE 1/2", UNIONES EMT, ADAPTADOR TERMINAL EMT, CODOS EMT, CAJAS METÁLICAS GALVANIZADAS CAL.20, CONDUCTORES 3 NO12 + 12T AWG- CU 600V  AWG (NORMA NTC-2050)  C PE HF FR LS CT, INCLUYE REGATAS, RESANES,  Y DEMÁS OBRAS CIVILES REQUERIDAS Y DEMÁS ACCESORIOS NECESARIOS PARA SU CORRECTA INSTALACIÓN.  INCLUYE  REGATAS, RESANES, Y DEMÁS OBRAS CIVILES REQUERIDAS Y DEMÁS ACCESORIOS NECESARIOS PARA SU CORRECTA INSTALACIÓN. CIRCUITO INDEPENDIENTE. LAS SALIDAS SERÁN INSTALADAS SEGÚN PLANOS Y DETALLES, E IRÁ DESDE LA SALIDA  DE BREAKER HASTA LA TOMA FINAL DEL CIRCUITO INDEPENDIENTE SE DEBEN MARQUILLAR LOS EXTREMOS DEL CABLE MARQUILLAS DE CABLE. </t>
  </si>
  <si>
    <t>SUMINISTRO, TRANSPORTE E INSTALACIÓN DE INTERRUPTOR AUTOMÁTICO TRIPOLAR ENCHUFABLE (BREAKER) DE 1X30 AMP, ICC=10 KA, NO REPARABLE ,SELLADO Y CONTRAMARCADO.</t>
  </si>
  <si>
    <t>SUMINISTRO, TRANSPORTE E INSTALACIÓN DE INTERRUPTOR AUTOMÁTICO TRIPOLAR ENCHUFABLE (BREAKER) DE 2X20 AMP, ICC=10 KA, NO REPARABLE ,SELLADO Y CONTRAMARCADO.</t>
  </si>
  <si>
    <t>SUMINISTRO, TRANSPORTE E INSTALACIÓN DE MATERIALES PARA LA ACOMETIDA ELÉCTRICA TRIFÁSICA EN CABLE 3 Nº 4 + 1 Nº4 + 1 Nº 6T  AWG-CU- CU HFFRLS 600V (NORMA NTC-2050) PE HF FR LS CT POR TUBERÍA EMT DE 1 1/4"PULG.  INCLUYE: TERMINALES DE COBRE, ENCINTADA  Y DEMÁS  ELEMENTOS NECESARIOS PARA SU CORRECTA INSTALACIÓN, ADECUACIONES DE INCLUYE REGATAS, RESANES, Y DEMÁS OBRAS CIVILES REQUERIDAS EXCAVACIÓN, RESANE DE PISOS, REMOCIÓN DE ESCOMBROS. MÁXIMO CADA 3 CURVAS DEBEN SUMINISTRARSE E INSTALARSE CAJAS DE PASO.</t>
  </si>
  <si>
    <t>SALIDA HORNO - TRIFÁSICA 30 AMPERIOS: SUMINISTRO, TRANSPORTE E INSTALACIÓN DE MATERIALES PARA SALIDA ELÉCTRICA LÍNEA COMERCIAL  EN MURO EXISTENTE Y/O A CONSTRUIR PARA SALIDA TOMA TRIFÁSICO , 220V - , CON CAJA GALVANIZADA 10X10 CAL 20 DOBLE FONDO, POR TUBERÍA EMPOTRADA EN MURO. INCLUYE  TAPA, CONECTOR AUTO DESFORRES, DUCTO EMT DE 3/4", UNIONES EMT, ADAPTADOR TERMINAL EMT, CODOS EMT, CONDUCTORES 4NO10 AWG- CU  + 12 T AWG 600V (NORMA NTC-2050), PE HF FR LS CT,  INCLUYE REGATAS, RESANES, Y DEMÁS OBRAS CIVILES REQUERIDAS Y DEMÁS ACCESORIOS NECESARIOS PARA SU CORRECTA INSTALACIÓN. SE DEBE INCLUIR CLAVIJA TRIFÁSICO 220V . DE 30 AMP H: 0.90 M. MÁXIMO CADA 3 CURVAS DEBEN SUMINISTRARSE E INSTALARSE CAJAS DE PASO. LAS SALIDAS SERÁN INSTALADAS SEGÚN PLANOS Y DETALLES, E IRÁ DESDE LA SALIDA  DE BREAKER HASTA LA TOMA DEL CIRCUITO INDICADO SE DEBEN MARQUILLAR LOS EXTREMOS DEL CABLE MARQUILLAS DE CABLE.</t>
  </si>
  <si>
    <t>SALIDA CONGELADOR : SUMINISTRO, TRANSPORTE E INSTALACIÓN DE MATERIALES PARA SALIDA ELÉCTRICA LÍNEA COMERCIAL  EN MURO EXISTENTE Y/O A CONSTRUIR PARA SALIDA BIFÁSICO 220 V PATA Y, CON CAJA GALVANIZADA CAL.20, POR TUBERÍA EMPOTRADA O SOBREPONER EN MURO EXISTENTE DE ACUERDO A LO INDICADO EN PLANIMETRÍA ADJUNTA. INCLUYE TAPA, CONECTOR AUTO DESFORRES, DUCTO EMT DE 1/2", UNIONES EMT, ADAPTADOR TERMINAL EMT, CODOS EMT, CONDUCTORES 3 NO12 AWG- CU HFFRLS 600V/ CU HFFRLS 600V + 12 AWG T (NORMA NTC-2050),  HF FR LS ,  INCLUYE REGATAS, RESANES, Y DEMÁS OBRAS CIVILES REQUERIDAS Y DEMÁS ACCESORIOS NECESARIOS PARA SU CORRECTA INSTALACIÓN.  H: 0.50M. MÁXIMO CADA 3 CURVAS DEBEN SUMINISTRARSE E INSTALARSE CAJAS DE PASO. LAS SALIDAS SERÁN INSTALADAS SEGÚN PLANOS Y DETALLES, E IRÁ DESDE LA SALIDA  DE BREAKER HASTA LA TOMA DEL CIRCUITO INDICADO SE DEBEN MARQUILLAR LOS EXTREMOS DEL CABLE MARQUILLAS DE CABLE.</t>
  </si>
  <si>
    <t>SUMINISTRO, TRANSPORTE E INSTALACIÓN DE INTERRUPTOR AUTOMÁTICO TRIPOLAR ENCHUFABLE (BREAKER) DE 3X30 AMP, ICC=10 KA, NO REPARABLE ,SELLADO Y CONTRAMARCADO MARCA.</t>
  </si>
  <si>
    <t>SUMINISTRO, TRANSPORTE E INSTALACIÓN DE TABLERO RED NORMAL  DE  18 CIRCUITOS  INCLUYE: CAJA, TAPA Y PUERTA COLOR BLANCO RAL 9010, TENSIÓN NOMINAL: 240 V, TENSIÓN DE AISLAMIENTO: 600 VOLTIOS, CORRIENTE DE CORTO ISC: 10 KA, ENCERRAMIENTO IP 20 IK 05, 5 HILOS: 3 FASES + BARRA PARA NEUTRO + BARRA PARA TIERRA INSTALADAS, BARRAJE EN COBRE, BARRAS DE NEUTRO Y TIERRA INSTALADAS, BARRA PARA TIERRA AISLADA OPCIONAL PARA REFERENCIAS TW; , Y  DEMÁS  ELEMENTOS NECESARIOS PARA SU CORRECTA INSTALACIÓN, ADECUACIONES DE INCLUYE REGATAS, RESANES, Y DEMÁS OBRAS CIVILES REQUERIDAS EXCAVACIÓN, RESANE DE PISOS, REMOCIÓN DE ESCOMBROS. MÁXIMO CADA 3 CURVAS DEBEN SUMINISTRARSE E INSTALARSE CAJAS DE PASO.</t>
  </si>
  <si>
    <t>SUMINISTRO, TRANSPORTE E INSTALACIÓN DE MATERIALES PARA LA ACOMETIDA ELÉCTRICA TRIFÁSICA DESDE TABLERO  DE DISTRIBUCIÓN GENERAL  EN  CABLE 3 Nº 8 + 1 Nº8 + 1 Nº 10T  AWG-CU- 600V  (NORMA NTC-2050)  PE HF FR LS CT  POR TUBO EMT DE 1".  INCLUYE: TERMINALES DE COBRE, ENCINTADA  Y DEMÁS  ELEMENTOS NECESARIOS PARA SU CORRECTA INSTALACIÓN, ADECUACIONES DE INCLUYE REGATAS, RESANES, Y DEMÁS OBRAS CIVILES REQUERIDAS EXCAVACIÓN, RESANE DE PISOS, REMOCIÓN DE ESCOMBROS. MÁXIMO CADA 3 CURVAS DEBEN SUMINISTRARSE E INSTALARSE CAJAS DE PASO.</t>
  </si>
  <si>
    <t>SUMINISTRO E INSTALACIÓN DE CAJAS  DE PISO COMPLETA MODULINK 880S3 CON TAPA 828TCAL   CON  PLACAS DE MONTAJE Y  DEMÁS ACCESORIOS PARA SU USO.</t>
  </si>
  <si>
    <t>SUMINISTRO E INSTALACIÓN DE CAJAS  DE PISO COMPLETA MULTISERVICIOS   MODULINK 880S2 CON TAPA 828TCAL  CON  PLACAS DE MONTAJE Y  DEMÁS ACCESORIOS PARA SU USO.</t>
  </si>
  <si>
    <t>(ALIMENTACIÓN TABLERO GENERAL) SUMINISTRO, TRANSPORTE E INSTALACIÓN DE MATERIALES PARA LA ACOMETIDA ELÉCTRICA TRIFÁSICA EN CABLE 2X(3 Nº 4/0 + 1 Nº4/0 + 1 Nº 1/0T) AWG-CU- CU HFFRLS 600V (NORMA NTC-2050)  PE HF FR LS CT POR CÁRCAMO, DUCTO DE 4" TDP, BANDEJA PORTACABLES DESDE BORNAS DE TRASNFORMADOR A TABLERO GENERAL Y A TRANSFERENCIA ELÉCTRICA INCLUYE: TERMINALES DE COBRE, ENCINTADA  Y DEMÁS  ELEMENTOS NECESARIOS PARA SU CORRECTA INSTALACIÓN, ADECUACIONES DE Y DEMÁS OBRAS CIVILES REQUERIDAS EXCAVACIÓN, RESANE DE PISOS, REMOCIÓN DE ESCOMBROS. MÁXIMO CADA 3 CURVAS DEBEN SUMINISTRARSE E INSTALARSE CAJAS DE PASO.</t>
  </si>
  <si>
    <t>SUMINISTRO, TRANSPORTE E INSTALACIÓN DE MATERIALES PARA LA ACOMETIDA ELÉCTRICA MONOFÁSICA  PARA ILUMINACIÓN  DE AVISO ENTRADA  EN CABLE 3 Nº12 F- Nº12 + 1 Nº 12T  AWG-CU- CU HFFRLS 600V (NORMA NTC-2050)  PE HF FR LS CT  LA ACOMETIDA IRÁ DESDE TABLERO GENERAL DE DISTRIBUCIÓN A CADA SALIDA DE REFLECTOR  INCLUYE: CANALIZACIÓN ADICIONAL PARA LLEGAR A REFLECTORES E ILUMINACIÓN EN 1/2" PVC, ACCESORIOS,  TERMINALES DE COBRE, ENCINTADA, MARQUILLAS   Y DEMÁS  ELEMENTOS NECESARIOS PARA SU CORRECTA INSTALACIÓN, ADECUACIONES  INCLUYE REGATAS, RESANES, Y DEMÁS OBRAS CIVILES REQUERIDAS. MÁXIMO CADA 3 CURVAS DEBEN SUMINISTRARSE E INSTALARSE CAJAS DE PASO</t>
  </si>
  <si>
    <t>SUMINISTRO E INSTALACIÓN DE RED LUMINARIA LED PARA EXTERIOR ,  P24323-36 LÍNEA CONTINUA  PARA INSTALAR EN AVISO PRINCIPAL,  CON ACABADO DE ALUMINIO GRAFITO FUENTE: ELECTRÓNICA REMOTA 12V  CÓD. M0000811 CONTROLADOR RGB CÓD. M0000810  VOLTAJE DE OPERACIÓN: 12V 45W IP67, LONGITUD  A (MM) B (MM)
647 - 53</t>
  </si>
  <si>
    <t>CONSTRUCCIÓN DE CAJA DE INSPECCIÓN DE 30X30 CM PARA PUESTA A TIERRA EN CONCRETO CON MARCO Y TAPA SEGÚN PLANO DE DETALLES CON VARILLA DE TIERRA DE CU-CU 5/8  ELECTROSOLDADA CARGA  DE TRATAMIENTO DE TERRENO PARA APLICAR EN ELECTRODO DE PUESTA A TIERRA, SEGÚN INDICACIONES EN PLANO.</t>
  </si>
  <si>
    <t>SUMINISTRO E INSTALACIÓN DE EMPALME EN RESINA PARA DERIVACIÓN PARA  CABLE DE BT B-91 PARA AP SEGÚN NORMA ALUMBRADO PUBLICO ELECTROHUILA.  INCLUYE ACCESORIOS DE CONEXIÓN.</t>
  </si>
  <si>
    <t>SUMINISTRO E INSTALACIÓN DE ACOMETIDA SUBTERRÁNEA EN 3X4 + 1X4  AL PE DOBLE CAPA AWG + 1X6T DESNUDO AL PARA BAJA TENSIÓN.  INCLUYE ACCESORIOS DE CONEXIÓN.</t>
  </si>
  <si>
    <t>SUMINISTRO E INSTALACIÓN DE ACOMETIDA SUBTERRANEAACOMETIDA SUBTERRÁNEA EN 3X12  THHN AWG + 1X12T DESNUDO  AL  INCLUYE ACCESORIOS DE CONEXIÓN.</t>
  </si>
  <si>
    <t>SUMINISTRO E INSTALACIÓN DE ACOMETIDA SUBTERRÁNEA DE CABLE PARA LUMINARIAS EN COBRE ENCAUCHETADO CALIBRE 3X14 AWG THW A 600 V, PARA CONEXIÓN DELUMINARIAS. INCLUYE ACCESORIOS DE CONEXIÓN.</t>
  </si>
  <si>
    <t>20.2 SALIDAS ILUMINACIÓN</t>
  </si>
  <si>
    <t>Subtotal SALIDAS ILUMINACIÓN</t>
  </si>
  <si>
    <t>20.2.1</t>
  </si>
  <si>
    <t>20.2.2</t>
  </si>
  <si>
    <t>20.2.3</t>
  </si>
  <si>
    <t>20.2.4</t>
  </si>
  <si>
    <t>20.2.5</t>
  </si>
  <si>
    <t>20.2.6</t>
  </si>
  <si>
    <t>20.2.7</t>
  </si>
  <si>
    <t>20.2.8</t>
  </si>
  <si>
    <t>20.2.9</t>
  </si>
  <si>
    <t xml:space="preserve">SALIDA ELÉCTRICA ALUMBRADO : SUMINISTRO, TRANSPORTE E INSTALACIÓN DE MATERIALES PARA SALIDA ELÉCTRICA LÍNEA COMERCIAL  PARA ALUMBRADO EN TUBERÍA PVC O EMT SEGÚN CORRESPONDA  EN TECHO Y/O MURO CONSTRUIR. INCLUYE DUCTO DE 1/2", UNIONES , ADAPTADOR TERMINAL , CODOS , ENCINTADA, CONDUCTORES  DE COBRE 3X 12 AWG- CU HFFRLS 600V  PE HF FR LS CT (NORMA NTC-2050), CAJAS METÁLICAS GALVANIZADAS CAL. 20, PINTURA,  INCLUYE REGATAS, RESANES, Y DEMÁS OBRAS CIVILES REQUERIDAS Y DEMÁS ACCESORIOS NECESARIOS PARA SU CORRECTA INSTALACIÓN, (DEBE INCLUIR 1 TOMA , EN CAJA 5800 PARA SALIDA DE  ALUMBRADO Y CABLE ENCAUCHETADO CON CLAVIJA PARA CONEXIÓN DE LAS  LÁMPARAS DE UNA LONGITUD DE 1.5 MTR DE LARGO EN CABLE ENCAUCHETADO 3X14AWG. </t>
  </si>
  <si>
    <t>SALIDA ELÉCTRICA ALUMBRADO: (BALA  LED DE PISO ): SUMINISTRO, TRANSPORTE E INSTALACIÓN DE MATERIALES PARA SALIDA ELÉCTRICA LÍNEA COMERCIAL  PARA ALUMBRADO EN TUBERÍA PVC. INCLUYE DUCTO  DE 1/2", UNIONES, ADAPTADOR TERMINAL , CODOS, ENCINTADA, CONDUCTORES  DE COBRE 3X 12 AWG- CU HFFRLS 600V PE HF FR LS CT (NORMA NTC-2050), CAJAS METÁLICAS GALVANIZADAS CAL. 20, PINTURA,  INCLUYE REGATAS,  Y DEMÁS OBRAS CIVILES REQUERIDAS Y DEMÁS ACCESORIOS NECESARIOS PARA SU CORRECTA INSTALACIÓN.</t>
  </si>
  <si>
    <t xml:space="preserve">SALIDAS PARA LÁMPARAS DE EMERGENCIA: SUMINISTRO, TRANSPORTE E INSTALACIÓN DE MATERIALES PARA SALIDA ELÉCTRICA LÍNEA COMERCIAL  EN MURO CONSTRUIR PARA TOMA CORRIENTE DOBLE CON POLO A TIERRA, 2P - 3H, TIPO COMERCIAL 15 A - 125 V, COLOR BLANCA.REF., SEGÚN LA NORMA NEMA 5-15R  POR TUBERÍA EMPOTRADA . INCLUYE  TAPA, ENCINTADA, CONECTOR DE AUTO DESFORRE DUCTO PVC O EMT SEGÚN CORRESPONDA DE 1/2", UNIONES, ADAPTADOR TERMINAL , CODOS, CAJAS METÁLICAS GALVANIZADAS CAL.20, CONDUCTORES  3X12 AWG- CU NORMA NTC-2050), PE HF FR LS CT INCLUYE REGATAS, RESANES,  Y DEMÁS OBRAS CIVILES REQUERIDAS, Y DEMÁS ACCESORIOS NECESARIOS PARA SU CORRECTA INSTALACIÓN. VER UBICACIÓN EN PLANIMETRÍA ADJUNTA. MÁXIMO CADA 3 CURVAS DEBEN SUMINISTRARSE E INSTALARSE CAJAS DE PASO. LA SALIDA IRÁ DESDE BREAKER DE TABLERO A SALIDA DE LÁMPARA SEGÚN PLANO. </t>
  </si>
  <si>
    <t>SALIDA PARA INTERRUPTOR SENCILLO: SUMINISTRO, TRANSPORTE E INSTALACIÓN DE MATERIALES PARA SALIDA CONTROL DE ILUMINACIÓN CON INTERRUPTOR TRIPLE LÍNEA, DECORA, INCLUYE TUBERÍA EN MURO PVC O EMT SEGÚN CORRESPONDA . INCLUYE  ENCINTADA, CONECTOR DE AUTO DESFORRE, CABLE DE COBRE 3X12 AWG- CU HFFRLS 600V/ CU HFFRLS 600V PE HF FR LS CT (NORMA NTC-2050), DUCTO DE 1/2" , UNIONES , ADAPTADOR TERMINAL, CODOS , CAJAS GALVANIZADAS CAL.20, INCLUYE REGATAS, RESANES, Y DEMÁS OBRAS CIVILES REQUERIDAS Y DEMÁS ACCESORIOS NECESARIOS PARA SU CORRECTA INSTALACIÓN.  INCLUYE INTERRUPTOR. MÁXIMO CADA 3 CURVAS DEBEN SUMINISTRARSE E INSTALARSE CAJAS DE PASO, LA SALIDA SERÁ DESDE TABLERO A SALIDA DE INTERRUPTOR SEGÚN PLANO.</t>
  </si>
  <si>
    <t>SALIDA PARA INTERRUPTOR DOBLE: SUMINISTRO, TRANSPORTE E INSTALACIÓN DE MATERIALES PARA SALIDA CONTROL DE ILUMINACIÓN CON INTERRUPTOR TRIPLE LÍNEA , CORA, INCLUYE TUBERÍA PVC O EMT SEGÚN CORRESPONDA EN MURO. INCLUYE  ENCINTADA, CONECTOR DE AUTO DESFORRE, CABLE DE COBRE 3X12 AWG- CU HFFRLS 600V/ CU  PE HF FR LS CT (NORMA NTC-2050)S, DUCTO EMT DE 1/2" SEGÚN EL CASO, UNIONES, ADAPTADOR TERMINAL , CODOS , CAJAS GALVANIZADAS CAL.20, INCLUYE REGATAS, RESANES, Y DEMÁS OBRAS CIVILES REQUERIDAS Y DEMÁS ACCESORIOS NECESARIOS PARA SU CORRECTA INSTALACIÓN.  INCLUYE INTERRUPTOR. MÁXIMO CADA 3 CURVAS DEBEN SUMINISTRARSE E INSTALARSE CAJAS DE PASO, LA SALIDA SERÁ DESDE TABLERO A SALIDA DE INTERRUPTOR SEGÚN PLANO.</t>
  </si>
  <si>
    <t>SALIDA PARA INTERRUPTOR SÉXTUPLE: SUMINISTRO, TRANSPORTE E INSTALACIÓN DE MATERIALES PARA SALIDA CONTROL DE ILUMINACIÓN CON CAJA DE PARED SOBREPONER 8 MÓDULOS IP40  Y SEIS MÓDULOS  INTERRUPTOR LÍNEA, INCLUYE TUBERÍA EN MURO CONSTRUIR. INCLUYE  ENCINTADA, CONECTOR DE AUTO DESFORRE, CABLE DE COBRE 3X12 AWG- CU HFFRLS 600V PE HF FR LS CT (NORMA NTC-2050)S, DUCTO EMT DE 1/2" SEGÚN EL CASO, UNIONES EMT, ADAPTADOR TERMINAL EMT, CODOS EMT, CAJAS GALVANIZADAS CAL.20, INCLUYE REGATAS, RESANES, Y DEMÁS OBRAS CIVILES REQUERIDAS Y DEMÁS ACCESORIOS NECESARIOS PARA SU CORRECTA INSTALACIÓN.  INCLUYE INTERRUPTOR. MÁXIMO CADA 3 CURVAS DEBEN SUMINISTRARSE E INSTALARSE CAJAS DE PASO, LA SALIDA SERÁ DESDE TABLERO A SALIDA DE INTERRUPTOR SEGÚN PLANO.</t>
  </si>
  <si>
    <t xml:space="preserve">SALIDA PROYECTOR : SUMINISTRO, TRANSPORTE E INSTALACIÓN DE MATERIALES PARA SALIDA DE UN (1) CIRCUITO  ELÉCTRICO EN MURO EXISTENTE Y/O A CONSTRUIR  PARA ALIMENTAR  TOMA  DOBLE CON POLO A TIERRA, 110 VOL. - 3H, TIPO COMERCIAL 15 A - 125 V, CON CAJA COLOR BLANCA, SEGÚN LA NORMA NEMA 5-15R POR TUBERÍA. INCLUYE  TAPA, ENCINTADA, CONECTOR AUTO DESFORRE,  DUCTO PVC O EMT SEGÚN CORRESPONDA DE 1/2", UNIONES , ADAPTADOR TERMINAL , CODOS , CAJAS METÁLICAS GALVANIZADAS CAL.20, CONDUCTORES 3X10 AWG- CU 600V (NORMA NTC-2050)  PE HF FR LS CT,  INCLUYE REGATAS, RESANES, Y DEMÁS OBRAS CIVILES REQUERIDAS Y ACCESORIOS NECESARIOS PARA SU CORRECTA INSTALACIÓN, . MÁXIMO CADA 3CURVAS DEBEN SUMINISTRARSE E INSTALARSE CAJAS DE PASO, EL CIRCUITO IRÁ  DESDE TABLERO HASTA EL FINAL DE LA SALIDA ELÉCTRICA LOCALIZADAS SEGÚN PLANO. </t>
  </si>
  <si>
    <t xml:space="preserve">SALIDA REFLECTOR EN AUDITORIO : SUMINISTRO, TRANSPORTE E INSTALACIÓN DE MATERIALES PARA SALIDA DE UN (1) CIRCUITO  ELÉCTRICO EN MURO EXISTENTE Y/O A CONSTRUIR  PARA ALIMENTAR  TOMA  DOBLE CON POLO A TIERRA, 110 VOL. - 3H, TIPO COMERCIAL 15 A - 125 V, CON CAJA COLOR BLANCA. SEGÚN LA NORMA NEMA 5-15R POR TUBERÍA. INCLUYE  TAPA, ENCINTADA, CONECTOR AUTO DESFORRE,  DUCTO PVC O EMT SEGÚN CORRESPONDADE 1/2", UNIONES T, ADAPTADOR TERMINAL , CODOS , CAJAS METÁLICAS GALVANIZADAS CAL.20, CONDUCTORES 3X12 AWG- CU (NORMA NTC-2050)  PE HF FR LS CT,  INCLUYE REGATAS, RESANES,Y DEMÁS OBRAS CIVILES REQUERIDAS Y DEMÁS ACCESORIOS NECESARIOS PARA SU CORRECTA INSTALACIÓN, . MÁXIMO CADA 3CURVAS DEBEN SUMINISTRARSE E INSTALARSE CAJAS DE PASO, EL CIRCUITO IRÁ  DESDE TABLERO HASTA EL FINAL DE LAS SALIDAS ELÉCTRICAS LOCALIZADAS SEGÚN PLANO. </t>
  </si>
  <si>
    <t xml:space="preserve">SALIDA REFLECTOR : SUMINISTRO, TRANSPORTE E INSTALACIÓN DE MATERIALES PARA SALIDA DE CIRCUITO  ELÉCTRICO EN MURO  A CONSTRUIR  PARA ALIMENTAR TOMAS  DOBLE CON POLO A TIERRA, 110 VOL. - 3H, TIPO COMERCIAL 15 A - 125 V, CON CAJA COLOR BLANCA.  REF. CR-15W, SEGÚN LA NORMA NEMA 5-15R POR TUBERÍA. INCLUYE  TAPA, ENCINTADA, CONECTOR AUTO DESFORRE,  DUCTO EMT DE 1/2", UNIONES , ADAPTADOR TERMINAL, CODOS , CAJAS METÁLICAS GALVANIZADAS CAL.20, CONDUCTORES 3X12 AWG- CU  (NORMA NTC-2050) PE HF FR LS CT,  INCLUYE REGATAS, RESANES, Y DEMÁS OBRAS CIVILES REQUERIDAS Y DEMÁS ACCESORIOS NECESARIOS PARA SU CORRECTA INSTALACIÓN, CAJA RATWELL (REGATAS Y RESANES). MÁXIMO CADA 3CURVAS DEBEN SUMINISTRARSE E INSTALARSE CAJAS DE PASO, EL CIRCUITO IRÁ  DESDE TABLERO HASTA EL FINAL DE LAS SALIDAS ELÉCTRICAS LOCALIZADAS SEGÚN PLANO. </t>
  </si>
  <si>
    <t>20.3 LUMINARIAS</t>
  </si>
  <si>
    <t>20.3.1</t>
  </si>
  <si>
    <t>20.3.2</t>
  </si>
  <si>
    <t>20.3.3</t>
  </si>
  <si>
    <t>20.3.4</t>
  </si>
  <si>
    <t>20.3.5</t>
  </si>
  <si>
    <t>20.3.6</t>
  </si>
  <si>
    <t>20.3.7</t>
  </si>
  <si>
    <t>20.3.8</t>
  </si>
  <si>
    <t>20.3.9</t>
  </si>
  <si>
    <t>20.3.10</t>
  </si>
  <si>
    <t>20.3.11</t>
  </si>
  <si>
    <t>20.3.12</t>
  </si>
  <si>
    <t>20.3.13</t>
  </si>
  <si>
    <t>20.3.14</t>
  </si>
  <si>
    <t>20.3.15</t>
  </si>
  <si>
    <t>20.3.16</t>
  </si>
  <si>
    <t>20.3.17</t>
  </si>
  <si>
    <t>20.3.18</t>
  </si>
  <si>
    <t>20.3.19</t>
  </si>
  <si>
    <t>20.3.20</t>
  </si>
  <si>
    <t>20.3.21</t>
  </si>
  <si>
    <t>20.3.22</t>
  </si>
  <si>
    <t>20.3.23</t>
  </si>
  <si>
    <t xml:space="preserve">SUMINISTRO E INSTALACIÓN DE LUMINARIA , LED DOWN LIGTH 6W, TIPO DE DISTRIBUCIÓN: DIRECTA, TIPO DE MONTAJE: EMPOTRAR EN TECHO, DIFUSOR OPALIZADO DE ALTA E CIENCIA, COLOR: BLANCO MATE,  IP20, TENSION DE OPERACIÓN 85-265, FACTOR DE
POTENCIA 0,9, FLUJO LUMINOSO 390 LM. </t>
  </si>
  <si>
    <t xml:space="preserve">SUMINISTRO E INSTALACIÓN DE LUMINARIA DOWN LIGTH  LED BALA 9W,   IP20, TENSION DE OPERACIÓN 85-265, FACTOR DE
POTENCIA 0,9, FLUJO LUMINOSO 500 LM. </t>
  </si>
  <si>
    <t xml:space="preserve">SUMINISTRO E INSTALACIÓN DE LUMINARIA PANEL LED BALA 18W,  IP20, TENSION DE OPERACIÓN 85-265, FACTOR DE POTENCIA 0,9, FLUJO LUMINOSO 1080 LM. </t>
  </si>
  <si>
    <t xml:space="preserve">SUMINISTRO E INSTALACIÓN DE LUMINARIA  PANEL LED LED 24W,  IP20, TENSION DE OPERACIÓN 85-265, FACTOR DE POTENCIA 0,9, FLUJO LUMINOSO 1400 LM. </t>
  </si>
  <si>
    <t xml:space="preserve">SUMINISTRO E INSTALACIÓN DE LUMINARIA PANEL LED 12W, IP20, TENSION DE OPERACIÓN 85-265, FACTOR DE POTENCIA 0,9, FLUJO LUMINOSO 800 LM. </t>
  </si>
  <si>
    <t>SUMINISTRO E INSTALACIÓN DE LÁMPARA DE EMERGENCIA TIPO INTERIOR, MINI  R1 LED, CON BOTÓN DE PRUEBA E INDICADOR DE CARGA, TIPO DE DISTRIBUCIÓN SIMÉTRICA DIRIGIBLE, CARCASA TERMOPLASTICA, CON CABEZALES CUADRADOS AJUSTABLES.</t>
  </si>
  <si>
    <t xml:space="preserve">SUMINISTRO E INSTALACIÓN DE REFLECTOR  DE 50W, 120V, 6500 K, DISEÑO ULTRADELGADO, TIPO DE DISTRIBUCIÓN: DIRECTA SIMÉTRICA, TENSION DE OPERACIÓN 85-265, FACTOR DE POTENCIA 0,9,   FLUJO LUMINOSO 4000 LM. CARCASA FABRICADA EN ALEACIÓN DE ALUMINIO FUNDIDO, VIDRIO TEMPLADO CLARO  IP66,  INCLUYE REJA PROTECTORA ANTI ROBO. </t>
  </si>
  <si>
    <t xml:space="preserve">SUMINISTRO E INSTALACIÓN DE LUMINARIA, LED PANEL SQ UNIVERSAL LED 60X60 SQ 44 W DL UNV,  TIPO DE DISTRIBUCIÓN: DIRECTO SIMÉTRICO, BORDES REVESTIDOS EN ALUMINIO, CON PINTURA, QUE IRÁ ANCLADA AL TECHO SEGÚN DETALLE. </t>
  </si>
  <si>
    <t xml:space="preserve">SUMINISTRO E INSTALACIÓN DE REFLECTOR  DE 100W, 120V, 6500 K, DISEÑO ULTRADELGADO, TIPO DE DISTRIBUCIÓN: DIRECTA SIMÉTRICA, TENSION DE OPERACIÓN 85-265, FACTOR DE POTENCIA 0,9,   FLUJO LUMINOSO 8200 LM. CARCASA FABRICADA EN ALEACIÓN DE ALUMINIO FUNDIDO, VIDRIO TEMPLADO CLARO  IP66,  INCLUYE REJA PROTECTORA ANTI ROBO. </t>
  </si>
  <si>
    <t>SUMINISTRO E INSTALACIÓN DE LUMINARIA DOWNLIGHT  HALO (FORMER COOPER LIGHTHING) SMD4R6940WH 4" ROUND SURFACE MOUNT, 600 LM, 90 CRI , LED 9,8 W 4000k. RADELGADO, TIPO DE DISTRIBUCIÓN: DIRECTA SIMÉTRICA, TENSION DE OPERACIÓN 85-265, FACTOR DE POTENCIA 0,9,   FLUJO LUMINOSO 600 LM</t>
  </si>
  <si>
    <t>SUMINISTRO E INSTALACIÓN DE LUMINARIA HLED EMPOTRADO EN PISO  60 LM,  CRI 80   ANGULO 42°  3000K IP 65  TENSION DE OPERACIÓN 100-240.</t>
  </si>
  <si>
    <t xml:space="preserve">SUMINISTRO E INSTALACIÓN DE INTERRUPTOR DIMMER 0-10V SLIDE DIMMER WALLSTATION MAS PLACA </t>
  </si>
  <si>
    <t>SUMINISTRO E INSTALACIÓN DE LUMINARIA  BALA LED  EMERGENCIA REF P28306 4.5 ASIMÉTRICA  MAS KIT DE BATERÍA QUE DEBE IR  INCLUIDA, LUMINARIA INSTALADA AL CIELO RASO. AUTONOMIA 90 MNTS, INDICADOR ESTADO BATERIA, TENSION DE OPERACIÓN 100-240  V, 1,2 W,  170 LM.</t>
  </si>
  <si>
    <t>SUMINISTRO E INSTALACIÓN DE LUMINARIA,  LED FLOOD LIGTH ZY228 60 W  DRIVER LED INTEGRADO EN EL MÓDULO,  4800 LM  TEMPERATURA AMBIENTE DE OPERACIÓN -30 °C ~ 45 °C, CON  BASE DE FOTOCELDA  Y FOTOCELDA INCLUÍDA TENSION 100 – 240 W.</t>
  </si>
  <si>
    <t>SUMINISTRO E INSTALACIÓN DE LUMINARIA WALL PACK TP-WP03,  TENSION DE OPERACIÓN 100-277V, FACTOR DE POTENCIA 0,9, FLUJO LUMINOSO 5700 LM, 72W, . QUE IRÁ ANCLADA AL MURO  SEGÚN DETALLE DE INSTALACIÓN.</t>
  </si>
  <si>
    <t>SUMINISTRO E INSTALACIÓN DE LUMINARIA , LED  DECO BOLARDO TENSION DE OPERACIÓN 100-277V, FACTOR DE POTENCIA 0,9, FLUJO LUMINOSO 500 LM, 10W,  CON  BASE DE FOTOCELDA  Y FOTOCELDA INCLUIDA </t>
  </si>
  <si>
    <t>SUMINISTRO E INSTALACIÓN DE LUMINARIA PANEL LED 60X120 TENSION DE OPERACIÓN 100-277V, FACTOR DE POTENCIA 0,9, FLUJO LUMINOSO 5760 LM, 72W, UNV, QUE IRÁ ANCLADA AL TECHO SEGÚN DETALLE DE INSTALACIÓN.</t>
  </si>
  <si>
    <t>SUMINISTRO E INSTALACIÓN DE LUMINARIA, LED HIGH BAY HBL3 110W TENSION DE OPERACIÓN 100-277V, FACTOR DE POTENCIA 0,9, FLUJO LUMINOSO 14300 LM, DIMENSIONES  605X320X56 MM.  DISTRIBUCIÓN DIRECTA SIMÉTRICA</t>
  </si>
  <si>
    <t>SUMINISTRO E INSTALACIÓN DE LUMINARIA , LED SUMERGIBLE IP68  HLED 530 7.5 W  INCLUIDO DRIVER RGB PARA 12 LUMINARIAS. INCLUYE CABLE ELÉCTRICO 3X12 AWG HFFRLS.</t>
  </si>
  <si>
    <t>SUMINISTRO E INSTALACIÓN DE SENSOR DE PRESENCIA  MICROSET DUAL TECH LOW 180°, CELING SENSOR MAS SWITCH PACK, QUE IRÁN INSTALADOS EN LAS ÁREAS DE BAÑOS.</t>
  </si>
  <si>
    <t>SUMINISTRO E INSTALACIÓN DE LUMINARIA PROYECTOR DE CHASÍS DE ALUMINIO FUNDIDO A PRESIÓN, CON BISAGRAS, CAJA DE PUERTA Y TRASERA EXTRAÍBLE CIERRE LOCK-HINGE.  26W CARBON, 4000K NEUTRAL WHITE CCT, BRONZE QUE IRÁ ANCLADA AL TECHO SEGÚN DETALLE DE INSTALACIÓN. DIMENSIONES 5.8 X 4 X 6.8 PULGADAS, 2710 LM, TENSION 100 – 277 W.</t>
  </si>
  <si>
    <t>SUMINISTRO E INSTALACÓN DE LUMINARIA PARA POSTE DECORATICA , CHASÍS FABRICADO EN ALUMINIO INYECTADO LED SPRING 45W CW  IP 65, TENSION DE OPERACIÓN 100-277V, FACTOR DE POTENCIA 0,9, FLUJO LUMINOSO 3825 LM,  CON  BASE DE FOTOCLEDA  Y FOTOCELDA INCLUÍDA</t>
  </si>
  <si>
    <t>SUMINISTRO E INSTALACIÓN DE LA LÁMPARA LED SOLAR  DE 30 W,  PARA POSTE .CON PANEL SOLAR MONOCRISTALINO, LÁMPARA LEDCON SENSOR DE MOVIMIENTO, SENSOR DE LUZ, BATERÍAS DE LITIO CONSTRUIDAS E INTEGRADAS A LA LÁMPARA  PARA INTEMPERIE CON PROTECCIÓN IP66, GALVANIZED IRON
LED CHIP:SMD3030 CHIP - 6000 K
PANEL SOLAR: MONOCRISTALINO VIDA ÚTIL: 25 AÑOS.</t>
  </si>
  <si>
    <t xml:space="preserve">UN </t>
  </si>
  <si>
    <t>Subtotal LUMINARIAS</t>
  </si>
  <si>
    <t>20.4 RED REGULADA</t>
  </si>
  <si>
    <t>Subtotal RED REGULADA</t>
  </si>
  <si>
    <t>20.4.1</t>
  </si>
  <si>
    <t>20.4.2</t>
  </si>
  <si>
    <t>20.4.3</t>
  </si>
  <si>
    <t>20.4.4</t>
  </si>
  <si>
    <t>20.4.5</t>
  </si>
  <si>
    <t>20.4.6</t>
  </si>
  <si>
    <t xml:space="preserve">SUMINISTRO, TRANSPORTE E INSTALACIÓN DE SALIDA ELECTRICA GRADO  POLO A TIERRA AISLADA PARA RED REGULADA   EN MURO CONSTRUIR PARA TOMA CORRIENTE DOBLE CON GRADO POLO A TIERRA AISLADA, 2P - 3H, TIPO COMERCIAL 15 A - 125 V, COLOR NARANJA.   SEGÚN LA NORMA NEMA 5-15R POR TUBERÍA EMPOTRADA EN PISO. INCLUYE  TAPA, ENCINTADA, CONECTOR DE AUTO DESFORRE DUCTO EMT O PVC SEGUN CORRESPONDA DE 1/2", UNIONES, ADAPTADOR TERMINAL, CODOS, CAJAS METÁLICAS GALVANIZADAS CAL.20, CONDUCTORES  3X12 AWG- CU  (NORMA NTC-2050),  PE HF FR LS CT INCLUYE REGATAS, RESANES, Y DEMÁS OBRAS CIVILES REQUERIDAS, Y DEMÁS ACCESORIOS NECESARIOS PARA SU CORRECTA INSTALACIÓN. VER UBICACIÓN EN PLANIMETRIA ADJUNTA. MÁXIMO CADA 3 CURVAS DEBEN SUMINISTRARSE E INSTALARSE CAJAS DE PASO LA SALIDA IRÁ DESDE BREAKER DE TABLERO A SALIDASEGÚN PLANO. </t>
  </si>
  <si>
    <t>SUMINISTRO E INSTALACIÓN DE TABLERO DE 9 CIRCUITOS TRIFÁSICO SQUERD MINI PRAGMA CON BARRAJE TIPO PEINE  CON PUERTA,  CON ESPACIO PARA TOTALIZADOR.</t>
  </si>
  <si>
    <t>SUMINISTRO TRANSPORTE E INSTALACIÓN DE ACOMETIDA PARA TABLERO REGULADO Y DE UPS EN CABLE FLEXIBLE 3X8  AWG  POR TUBO EMT DE 1" CABLE FLEXIBLE MAXIMO CADA 3 CURVAS DEBEN SUMINISTRARSE E INSTALARSE CAJAS DE PASO, VER ANEXO PLANO INSTALACIÓN.</t>
  </si>
  <si>
    <t>SUMINISTRO E INSTALACIÓN DE BREAKER  DE DISPARO RÁPIDO, PARA MONTAJE SOBRE RIEL DE 1X32 AMPERIOS CAPACIDAD DE RUPTURA 10 KA.</t>
  </si>
  <si>
    <t>SUMINISTRO E INSTALACIÓN DE BREAKER  DE DISPARO RÁPIDO, PARA MONTAJE SOBRE RIEL DE 1X16 AMPERIOS CAPACIDAD DE RUPTURA 10 KA.</t>
  </si>
  <si>
    <t>SUMINISTRO E INSTALACIÓN DE BREAKER MARCA DE DISPARO RÁPIDO, PARA MONTAJE SOBRE RIEL DE 1X20 AMPERIOS CAPACIDAD DE RUPTURA 10 KA.</t>
  </si>
  <si>
    <t>20.5 CABLEADO ESTRUCTURADO</t>
  </si>
  <si>
    <t>20.5.1</t>
  </si>
  <si>
    <t>20.5.2</t>
  </si>
  <si>
    <t>20.5.3</t>
  </si>
  <si>
    <t>20.5.4</t>
  </si>
  <si>
    <t>20.5.5</t>
  </si>
  <si>
    <t>20.5.6</t>
  </si>
  <si>
    <t>20.5.7</t>
  </si>
  <si>
    <t>20.5.8</t>
  </si>
  <si>
    <t>20.5.9</t>
  </si>
  <si>
    <t>20.5.10</t>
  </si>
  <si>
    <t>20.5.11</t>
  </si>
  <si>
    <t>20.5.12</t>
  </si>
  <si>
    <t xml:space="preserve">SUMINISTRO E INSTALACIÓN DE SALIDA DE VOZ Y DATOS SENCILLO MONOMARCA TODO EL CANAL MARCA,  EN MUEBLE, MURO O CANALETA, INCLUYE TUBERÍA EMPOTRADA O DE SOBREPONER EN MURO EXISTENTE DE ACUERDO A LO INDICADO EN PLANIMETRIA ADJUNTA. INCLUYE  TAPA  FACE PLATE, DUCTERIA EMT DE 1" O SEÚN INDICADA EN PLANO, UNIONES EMT, TERMINALES EM T, ADAPTADOR TERMINAL EMT, CODOS EMT,CAJAS 10X10 CAL . 20, CINTA, MARCACIÓN DE PUNTO  Y DEMÁS ACCESORIOS PARA SU ADECUADO FUNCIONAMIENTO , INCLUYE CABLE UTP DESDE GABINETE HASTA JACK, JACK  CAT 6A,  FACEPLATE, SE DEBE DEJAR  MÁXIMO CADA 3 CURVAS Y SE DEBE SUMINISTRAR E INSTALARSE CAJA DE PASO. LA INSTALACIÓN SE HARÁ SEGÚN INDICACIÓN EN PLANOS DE DETALLE. </t>
  </si>
  <si>
    <t xml:space="preserve">SUMINISTRO E INSTALACIÓN DE PATCH CORD (5FT) CAT 6A. COLOR ROJO </t>
  </si>
  <si>
    <t>SUMINISTRO E INSTALACIÓN DE CAJAS  COMPLETA MULTISERVICIOS   SERIE RFB - RFB4-SS CON TAPA  CON  PLACAS DE MONTAJE Y  DEMAS ACCESORIOS PARA SU USO.</t>
  </si>
  <si>
    <t xml:space="preserve">SUMINISTRO, INSTALACIÓN, PONCHADO  DE SALIDA DE VOZ Y DATOS DOBLE MONOMARCA TODO EL CANA ,  EN MUEBLE, MURO O CANALETA, INCLUYE TUBERÍA EMPOTRADA O DE SOBREPONER EN MURO EXISTENTE DE ACUERDO A LO INDICADO EN PLANIMETRIA ADJUNTA, 2 CONDUCTORES DE CALBE UTP CAT 6A TAPA FACE PLATE, 2 JACK CAT 6A,   DUCTERIA EMT DE 1" O SEÚN INDICADA EN PLANO, UNIONES EMT, TERMINALES EM T, ADAPTADOR TERMINAL EMT, CODOS EMT,CAJAS 10X10 CAL . 20, CINTA, MARCACIÓN DE PUNTO  Y DEMÁS ACCESORIOS PARA SU ADECUADO FUNCIONAMIENTO , INCLUYE CABLE UTP DESDE GABINETE HASTA JACK, JACK  CAT 6A,  FACEPLATE, SE DEBE DEJAR  MÁXIMO CADA 3 CURVAS Y SE DEBE SUMINISTRAR E INSTALARSE CAJA DE PASO. LA INSTALACIÓN SE HARÁ SEGÚN INDICACIÓN EN PLANOS DE DETALLE. </t>
  </si>
  <si>
    <t>SUMINISTRO E INSTALACIÓN DE CAJA DE PASO DE 30 X 30 X 15 CM, PARA INSTALACIÓN DE RACK (VOZ Y DATOS) (VER DETALLE DE INSTALACIÓN EN PLANO DE VOZ Y DATOS). INCLUYE REGATAS, RESANES, INCLUYE REGATAS, RESANES, Y DEMÁS OBRAS CIVILES REQUERIDAS REQUERIDA PARA SU CORRECTO ANCLAJE Y FUNCIONAMIENTO.</t>
  </si>
  <si>
    <t>SUMINISTRO E INSTALACIÓN DE CANALETA DE 12X5 CM CON DIVISIÓN PINTURA ELECTROESTÁTICA, INCLUYE TROQUELES ELECTRICOS Y LOGICOS REQUERIDOS SEGÚN PLANOS, COLOR BLANCA CAL. 22.</t>
  </si>
  <si>
    <t xml:space="preserve">CERTIFICACIÓN DE PUNTOS DE RED, CON REPORTE PARA PUNTO DE VOZ O DATOS </t>
  </si>
  <si>
    <t>SUMINISTRO E INSTALACIÓN DE CAJA DE PASO DE 30 X 30 X 10 CM, PARA INSTALACIÓN DE RACK (VOZ Y DATOS) (VER DETALLE DE INSTALACIÓN EN PLANO DE VOZ Y DATOS). INCLUYE REGATAS, RESANES, INCLUYE REGATAS, RESANES, Y DEMÁS OBRAS CIVILES REQUERIDAS REQUERIDA PARA SU CORRECTO ANCLAJE Y FUNCIONAMIENTO.</t>
  </si>
  <si>
    <t>SUMINISTRO E INSTALACIÓN DE GABINETE DE COMUNIACIONES COMPACTO DE 7U REF: GC-2045, INLCUYE MULTITOMA PARA RACK DE 5 SALIDAS DOBLES, VENTILADOR AXIAL,  ANCLAJE A MURO DE GABINETE DE COMUNICACIONES CON CHAZO RL DE 5/8, EN 4 PUNTOS  INCLUYE MATERIALES, HERRAMIENTAS Y MANO DE OBRA PARA SU CORRECTA INSTALACIÓN Y FIJACIÓN</t>
  </si>
  <si>
    <t>SUMINISTRO,  INSTALACIÓN, PONCHADO DE PACTH PANEL  CAT 6A COMPLETO (HERRAJE Y JACKS DE CONEXIÓN DE VOZ Y DATOS DEPANDUIT VP24382 DE 24 PUERTOS</t>
  </si>
  <si>
    <t>SUMINISTRO,  INSTALACIÓN, PONCHADO DE CABLE MULTIPAR TELEFONICO DE 25 PARES TIPO INTERIOR CERTIFICADO  PARA SALIDA DE EXTENSIONES DE PLANTA TELEFÓNICA EN PATCH PANEL  DE 24 PUERTOS</t>
  </si>
  <si>
    <t xml:space="preserve">SUMINISTRO E INSTALACIÓN DE ORGANIZADOR PARA CABLEADO DELANTERO DE 1 UNDAD DE RACK . </t>
  </si>
  <si>
    <t>Subtotal CABLEADO ESTRUCTURADO</t>
  </si>
  <si>
    <t xml:space="preserve">ML </t>
  </si>
  <si>
    <t>20.6 APANTALLAMIENTO</t>
  </si>
  <si>
    <t>20.6.1</t>
  </si>
  <si>
    <t>20.6.2</t>
  </si>
  <si>
    <t>20.6.3</t>
  </si>
  <si>
    <t>20.6.4</t>
  </si>
  <si>
    <t>20.6.5</t>
  </si>
  <si>
    <t>20.6.6</t>
  </si>
  <si>
    <t>20.6.7</t>
  </si>
  <si>
    <t>20.6.8</t>
  </si>
  <si>
    <t>SUMINISTRO, INSTALACIÓN, DE PUNTACAPTADORA DE 5/8 0.6M AL CON CONECTOR REF: 483154-S Y  BASE PARA PUNTA CAPTADORA HORIZONTAL DE 2/0 -5/8 REF: 297015</t>
  </si>
  <si>
    <t>SUMINISTRO E INSTALACIÓN  DE CABLE DE ALUMINIO DESNUDO  DE 2/0 AWG, PARA APANTALLAMIENTO MALLA SUPERIOR, INCLUYE ANCLAJES, PERNADO, BASE DE AJUSTE Y DEMÁS REQUEIRDOS PARA LA INSTALACIÓN.</t>
  </si>
  <si>
    <t xml:space="preserve"> SUMINISTRO E INSTALACIÓN  DE CABLE DE CU-CU DESNUDO 1/0 AWG PARA PUESTA A TIERRA, EN  DUCTO DE 1Ø2'' EMBEBIDO EN PISO, MALLA DE APANTALLAMIENTO SEGÚN DETALLES EN  PLANOS.</t>
  </si>
  <si>
    <t>SUMINISTRO E INSTALACIÓN  DE CABLE DE CU-CU DESNUDO 1/0 AWG PARA BAJANTE, RECUBIERTA EN  DUCTO DE 1Ø3/4'' PVC , MALLA DE APANTALLAMIENTO SEGÚN DETALLES EN  PLANOS.</t>
  </si>
  <si>
    <t xml:space="preserve"> SUMINISTRO E INSTALACIÓN DE  SOLDADURA EXOTERMICA CON CARGA  250 GRAMOS</t>
  </si>
  <si>
    <t xml:space="preserve"> SUMINISTRO E INSTALACIÓN DE  CONECTOR BIMETÁLICO PARA ACOPLAMIENTO DE BAJANTES A A SISTEMA DE PUESTA A TIERRA.</t>
  </si>
  <si>
    <t>SUMINISTRO E INSTALACIÓN  DE CABLE DE CU-CU DESNUDO 1/0 AWG PARA PUESTA A TIERRA.</t>
  </si>
  <si>
    <t xml:space="preserve">SUMINISTRO, TRANSPORTE Y COLOCACIÓN DE TUBERÍA EMT  DE 3/4" PARA BAJANTE DE RED DE APANTALLAMIENTO. INCLUYE ACCESORIOS, UNIONES EMT, ADAPTADOR TERMINAL EMT, CODOS EMT, EXCAVACIÓN, ROTURA DE PISO Y/O MURO EXISTENTE Y/O A CONSTRUIR, REPOSICIÓN DE PISO Y/O MURO. (VER DETALLE ENTRADA DE DUCTERIAS A  CAJA DE PUESTA A TIERRA. </t>
  </si>
  <si>
    <t>Subtotal APANTALLAMIENTO</t>
  </si>
  <si>
    <t>20.7 CÁMARAS, CANALIZACIONES Y CAJAS</t>
  </si>
  <si>
    <t>20.7.1</t>
  </si>
  <si>
    <t>20.7.2</t>
  </si>
  <si>
    <t>20.7.3</t>
  </si>
  <si>
    <t>20.7.4</t>
  </si>
  <si>
    <t>20.7.5</t>
  </si>
  <si>
    <t>20.7.6</t>
  </si>
  <si>
    <t>20.7.7</t>
  </si>
  <si>
    <t>20.7.8</t>
  </si>
  <si>
    <t>20.7.9</t>
  </si>
  <si>
    <t>20.7.10</t>
  </si>
  <si>
    <t>20.7.11</t>
  </si>
  <si>
    <t>20.7.12</t>
  </si>
  <si>
    <t>20.7.13</t>
  </si>
  <si>
    <t>20.7.14</t>
  </si>
  <si>
    <t>20.7.15</t>
  </si>
  <si>
    <t>20.7.16</t>
  </si>
  <si>
    <t>CONSTRUCCIÓN DE  CÁJA DE INSPECCIÓN DE ALUMBRADO PÚBLICO ELECTROHUILA DE 60X60 CM CON MARCO Y TAPA, SEGÚN DETALLES EN  PLANOS.</t>
  </si>
  <si>
    <t>SUMINISTRO E INSTALACIÓN DE CANALIZACIÓN PARA BAJA TENSION EN DUCTO DE 9Ø3'' TDP SEGÚN NORMA  ELECTRO HUILA, Y DETALLES EN  PLANOS.</t>
  </si>
  <si>
    <t>SUMINISTRO E INSTALACIÓN DE CANALIZACIÓN PARA BAJA TENSION EN DUCTO DE 5Ø3'' + 1X2" TDP SEGÚN NORMA  ELECTRO HUILA, Y DETALLES EN  PLANOS.</t>
  </si>
  <si>
    <t>SUMINISTRO E INSTALACIÓN DE CANALIZACIÓN PARA BAJA TENSION EN DUCTO DE 4Ø3'' TDP SEGÚN NORMA  ELECTRO HUILA, Y DETALLES EN  PLANOS.</t>
  </si>
  <si>
    <t>SUMINISTRO E INSTALACIÓN DE CANALIZACIÓN PARA BAJA TENSION EN DUCTO DE 4Ø3'' + 1X2" TDP SEGÚN NORMA  ELECTRO HUILA, Y DETALLES EN  PLANOS.</t>
  </si>
  <si>
    <t>SUMINISTRO E INSTALACIÓN DE CANALIZACIÓN PARA BAJA TENSION EN DUCTO DE 3Ø3'' + 1X2" TDP SEGÚN NORMA  ELECTRO HUILA, Y DETALLES EN  PLANOS.</t>
  </si>
  <si>
    <t>SUMINISTRO E INSTALACIÓN DE CANALIZACIÓN PARA BAJA TENSION EN DUCTO DE 1Ø3'' + 1X2" TDP SEGÚN NORMA  ELECTRO HUILA, Y DETALLES EN  PLANOS.</t>
  </si>
  <si>
    <t>SUMINISTRO E INSTALACIÓN DE CANALIZACIÓN PARA BAJA TENSION EN DUCTO DE 1Ø2'' TDP SEGÚN NORMA  ELECTRO HUILA, Y DETALLES EN  PLANOS.</t>
  </si>
  <si>
    <t>CONSTRUCIÓN DE CÁMARA DE EMPALME PARA ALUMBRADO PÚBLICO SEGÚN NORMA ELECTRO HULIA DE 40X40 CON MARCO Y TAPA, SEGÚN PLANOS.</t>
  </si>
  <si>
    <t>CANALIZACIÓN PARA BAJA TENSION EN DUCTO DE 1Ø3'' TDP  EN CRUCE DE SENDERO SEGÚN NORMA  ELECTRO HUILA, DETALLES EN  PLANOS.</t>
  </si>
  <si>
    <t>CANALIZACIÓN EN DUCTO DE 1Ø3'' TDP EN SENDEROS SEGÚN NORMA ELECTROHUILA Y DETALLES EN  PLANOS.</t>
  </si>
  <si>
    <t>SUMINISTRO E INSTALACIÓN DE TUBERIA EMT DE 11/2" ADOSADA A LA ESTRUCTURA DE SENDEROS PEATONAL. SEGÚN PLANOS. SE DEBE INCLUIR LA CAJA DE DERIVACIÓN PARA ALIMENTACIÓN DE LUMINARIAS EN PLASTICA 10 X 10 USO EXTERIOR,  INCLUYE:ELEMENTOS DE FIJACIÓN, CURVAS TERMINALES Y DEMÁS NECESARIOS PARA SU CORRECTA INSTALACIÓN, ADECUACIONES GENERALES  Y DEMÁS OBRAS CIVILES REQUERIDAS.</t>
  </si>
  <si>
    <t>SUMINISTRO E INSTALACIÓN DE TUBERIA EMT DE 3/4" ADOSADA A LA ESTRUCURA DE SENDERO PEATONAL. SEGÚN PLANOS.  SE DEBE INCLUIR LA CAJA DE DERIVACIÓN PARA ALIMENTACIÓN DE LUMINARIAS EN PLASTICA 10 X 10 USO EXTERIOR,  INCLUYE:ELEMENTOS DE FIJACIÓN, CURVAS TERMINALES Y DEMÁS NECESARIOS PARA SU CORRECTA INSTALACIÓN, ADECUACIONES GENERALES  Y DEMÁS OBRAS CIVILES REQUERIDAS.</t>
  </si>
  <si>
    <t>CÁMARA DE INSPECCIÓN DOBLE  SEGÚN NORMA. INCLUYE MARCO Y TAPA.</t>
  </si>
  <si>
    <t>SUMINISTRO E INSTALACIÓN DE JUEGO DE BARRAJE PREMOLDEADO PARA BAJA TENSION SUMERGIBLE 500A-8 PUERTOS  CON JUEGO DE PORTA FUSIBLE Y FUSIBLES  SEGÚN NORMA ELECTROHUILA  INCLUYE ACCESORIOS DE FIJACIÓN Y SOPORTERIA.</t>
  </si>
  <si>
    <t>SUMINISTRO E INSTALACIÓN DE CABLE PARA LUMINARIAS EN  POSTE  EN CABLE DE COBRE CALIBRE 3X14 AWG THW A 600 V, PARA CONEXIÓN DELUMINARIAS.</t>
  </si>
  <si>
    <t>Subtotal  CÁMARAS, CANALIZACIONES Y CAJAS</t>
  </si>
  <si>
    <t>20.8 MEDIA TENSIÓN</t>
  </si>
  <si>
    <t>20.8.1</t>
  </si>
  <si>
    <t>20.8.2</t>
  </si>
  <si>
    <t>20.8.3</t>
  </si>
  <si>
    <t>20.8.4</t>
  </si>
  <si>
    <t>20.8.5</t>
  </si>
  <si>
    <t>20.8.6</t>
  </si>
  <si>
    <t>20.8.7</t>
  </si>
  <si>
    <t>20.8.8</t>
  </si>
  <si>
    <t>20.8.9</t>
  </si>
  <si>
    <t>20.8.10</t>
  </si>
  <si>
    <t>20.8.11</t>
  </si>
  <si>
    <t>20.8.12</t>
  </si>
  <si>
    <t>20.8.13</t>
  </si>
  <si>
    <t>SUMINISTRO E INSTALACIÓN DE ESTRUCTURA CON CAJAS SECCIONADORAS  CORTACIRCUITOS CAÑUELA (3 UNIDADES DE CAÑUELA) CON CORTA ARCO, LINEA 15 KV, SEGÚN NORMA EMPRESA DE ENERGIA ELECTROHUILA INCLUYE CRUCETA GALVANIZADA EN CALIENTE. INCLUYE CABLE DE ESTRIBOS EN CALIBRE N° 2 AWG DESNUDO, PARARAYOS DPS SEGUN PLANOS Y ACORDE A LA NORMA ELECTROHUILA</t>
  </si>
  <si>
    <t>SUMINISTRO E INSTALACIÓN DE GRAPAS DE OPERAR EN CALIENTE LINEA 15 KV INCLUYE ESTRIBOS EN CABLE N" 2AWG CU DESNUDO Y CONECTOR BIMETÁLICO.</t>
  </si>
  <si>
    <t>SUMINISTRO E INSTALACIÓN DE ESTRUCTURA EN BANDERA DISPOSICIÓN HORIZONTAL EN POSTE DE CONCRETO.  SEGÚN NORMA EH 530-N2, CON AISLADORES POLIMERICOS LINEA 15 KVA LA CUAL SERÁ ACOPLADA A LA RED TRIFÁSICA PRIMARIA CIRCUNDANTE SE INCLUYE BAYONETA DOBLE PARA CABLE DE GUARDA, Y ACORDE A LA NORMA ELECTROHUILA</t>
  </si>
  <si>
    <t>SUMINISTRO E INSTALACIÓN DE ESTRUCTURA EN DERIVACIÓN CON AISLADORES POLIMERICOS LINEA 15 KV, EN POSTE DE CONCRETO.  SEGÚN NORMA ELECTROHUILA, LA CUAL SERÁ ARRANQUE A LA RED TRIFÁSICA PRIMARIA CON 2 TEMPLETES, Y ACORDE A LA NORMA ELECTROHUILA</t>
  </si>
  <si>
    <t>SUMINISTRO E INSTALACION DE POSTE DE CONCRETO HINCADO Y APLOMADO DE 12 M 1050 KG.</t>
  </si>
  <si>
    <t>SUMINISTRO E INSTALACION DE PUESTA A TIERA EN VARILLA ACERADA PARA MEDIA TENSION SEGÚN NORMA ELECTROHUILA CON CABLE DE ATERRIZAJE NÚMERO 2 CU DESNUDO</t>
  </si>
  <si>
    <t>SUMINISTRO E INSTALACIÓN DE ESTRUCTURA  EN RETENCIÓN DOBLE EN POSTE DE CONCRETO. SEGÚN NORMA EH 562-N2, TRIFÁSICA PRIMARIA CON 2 TEMPLETES INLCUYE BAYONETA PARA CABLE DE GUARDA, Y ACORDE A LA NORMA ELECTROHUILA</t>
  </si>
  <si>
    <t>SUMINISTRO E INSTALACION DE PUESTA A TIERRA EN JABALINA SEGÚN NORMA ELECTROHUILA INCLUYE CABLE ACSR DE ATERRIZAJE</t>
  </si>
  <si>
    <t>SUMINISTRO E INSTALACIÓN DE ESTRUCTURA EN BANDERA DISPOSICIÓN HORIZONTAL EN POSTE DE CONCRETO.  SEGÚN NORMA EH 530-N2 CON AISLADORES POLIMERICOS LINEA 15 KV, PARA EXTENSION DE LA RED TRIFÁSICA PRIMARIA, INCLUYE BAYONETA PARA CABLE DE GUARDA, Y ACORDE A LA NORMA ELECTROHUILA</t>
  </si>
  <si>
    <t>SUMINISTRO E INSTALACION DE POSTE DE CONCRETO HINCADO Y APLOMADO DE 12 M 750 KG.</t>
  </si>
  <si>
    <t>SUMINISTRO E INSTALACIÓN DE ESTRUCTURA FINAL DE CIRCUITO EN RETENSION EN CIRCUITO SIMPLE CON CRUCETERIA DE 3 M Y 2 TEMPLETES, 1 BALLONETA DOBLE DE RETENSION SEGÚN NORMA EH-550-N2, CON AISLADORES POLIMERICOS LINEA 15 KV, Y ACORDE A LA NORMA ELECTROHUILA</t>
  </si>
  <si>
    <t>INSTALACIÓN DE DPS LINEA 15 KV, SEGÚN NORMA EMPRESA DE ENERGÍA ELECTROHUILA, INCLUYE CABLE DE ATERRIZAJE A TIERRA N° 2 AWG DESNUDO.</t>
  </si>
  <si>
    <t xml:space="preserve">CONSTRUCCIÓN DE CAJA DE INSPECCIÓN DE 30X30 CM PARA PUESTA A TIERRA EN CONCRETO CON MARCO Y TAPA SEGÚN PLANO DE DETALLES CON VARILLA DE TIERRA DE CU-CU 5/8  ELECTROSOLDADA CON CARGA  DE TRATAMIENTO DE TERRENO PARA APLICAR EN ELECTRODO DE PUESTA A TIERRA, </t>
  </si>
  <si>
    <t>Subtotal  MEDIA TENSIÓN</t>
  </si>
  <si>
    <t>20.9 AFLORAMIENTO RED DE MT XLPE</t>
  </si>
  <si>
    <t>2.9.1</t>
  </si>
  <si>
    <t>SUMINISTRO E INSTALACIÓN DE BAJANTE EN TUBO GALVANIZADO EN CALIENTE DE 4" DE 6 MTS CON CAPACETE Y CURVA .</t>
  </si>
  <si>
    <t>Subtotal   AFLORAMIENTO RED DE MT XLPE</t>
  </si>
  <si>
    <t>20.10 CABLE MT</t>
  </si>
  <si>
    <t>Subtotal   CABLE MT</t>
  </si>
  <si>
    <t>20.10.1</t>
  </si>
  <si>
    <t>20.10.2</t>
  </si>
  <si>
    <t>20.10.3</t>
  </si>
  <si>
    <t xml:space="preserve">SUMINISTRO INSTALACION Y TENDIDO DE CABLE ACSR 2 </t>
  </si>
  <si>
    <t>CABLE ACERADO DE 1/4 PARA GUARDA</t>
  </si>
  <si>
    <t xml:space="preserve">CABLE DE CU N° 4 DESNUDO AWG </t>
  </si>
  <si>
    <t>20.11 SUMINISTRO, TRANSPORTE, IZAJE E INSTALACION DE POSTERIA</t>
  </si>
  <si>
    <t>20.11.1</t>
  </si>
  <si>
    <t>20.11.2</t>
  </si>
  <si>
    <t>20.11.3</t>
  </si>
  <si>
    <t>20.11.4</t>
  </si>
  <si>
    <t>20.11.5</t>
  </si>
  <si>
    <t>SUMINISTRO INSTALACIÓN DE POSTE ORNAMENTAL METALICO CERTIFICADO RETIE DE 4MTS  DE ALTURA X 3" EN 3MM DE ESPESOR, TOTALMENTE GALVANIZADO EN CALIENTE, ACABADO EN PINTURA ELECTROSTÁTICA COLOR GRIS RAL 7004, FLANGE DE 25 X 25 EN 1/4 ", SISTEMA DE ANCLAJE DE 4 PERNOS DE  1/2 " X 50 CM DE LONGITUD. FABRICADO PARA ACOPLE SEGÚN FIGURA N° 2 DE LA FICHA TÉCNICA DE INSTALACIÓN.</t>
  </si>
  <si>
    <t>SUMINISTRO INSTALACIÓN DE POSTE ORNAMENTAL METALICO CERTIFICADO RETIE METÁLICO DE 6MTS  DE ALTURA X 3" EN 3MM DE ESPESOR, TOTALMENTE GALVANIZADO EN CALIENTE, ACABADO EN PINTURA ELECTROSTÁTICA COLOR GRIS RAL 7004, FLANGE DE 25 X 25 EN 1/4 ", SISTEMA DE ANCLAJE DE 4 PERNOS DE  1/2 " X 50 CM DE LONGITUD. FABRICADO PARA ACOPLE SEGÚN FIGURA N° 2 DE LA FICHA TÉCNICA DE   INSTALACIÓN.</t>
  </si>
  <si>
    <t xml:space="preserve">SUMINISTRO E INSTALACIÓN DE MOJÓN DE CONCRETO DE CIMENTACIÓN  PARA POSTE DE METÁLICO ORNAMENTAL DE 30X30X60 CM, CON FLEJES DE ACERO DE 1/2" SEGÚN DETALLE EN PLANOS, SE INCLUYE EL RETIRO DE ESCOMBROS Y MATERIAL SOBRANTE. </t>
  </si>
  <si>
    <t xml:space="preserve">SUMINISTRO E INSTALACIÓN DE MOJON DE CONCRETO DE CIMENTACIÓN DE LUMINARIA BOLARDO ORNAMENTAL DE 20X20X0,8 CM, CON VARILLA  ACERO DE 1/2" SEGÚN DETALLE EN PLANOS. </t>
  </si>
  <si>
    <t xml:space="preserve">POSTE METÁLICO DE 8 MTRS INCLUYE BRAZO DE LUMINARIA DE  1,5 MTRS Y BRAZO PORTA LÁMPARA. </t>
  </si>
  <si>
    <t>Subtotal   SUMINISTRO, TRANSPORTE, IZAJE E INSTALACION DE POSTERIA</t>
  </si>
  <si>
    <t>20.12 SISTEMA DE DUCTERIA SONIDO</t>
  </si>
  <si>
    <t>20.12.1</t>
  </si>
  <si>
    <t>20.12.2</t>
  </si>
  <si>
    <t>20.12.3</t>
  </si>
  <si>
    <t>20.12.4</t>
  </si>
  <si>
    <t>20.12.5</t>
  </si>
  <si>
    <t>20.12.6</t>
  </si>
  <si>
    <t>20.12.7</t>
  </si>
  <si>
    <t xml:space="preserve">SUMINISTRO, TRANSPORTE Y COLOCACIÓN DE TUBERÍA PVC DE 1" EMBEBIDA EN MURO DE AUDITORIO, PARA FUTURA RED DE SONIDO. INCLUYE ACCESORIOS, UNIONES PVC, ADAPTADOR TERMINAL PVC, CODOS PVC, EXCAVACIÓN, ROTURA DE PISO Y/O MURO EXISTENTE Y/O A CONSTRUIR, REPOSICIÓN DE PISO Y/O MURO. (VER DETALLE ENTRADA DE DUCTERIAS). MÁXIMO CADA 3 CURVAS DEBEN SUMINISTRARSE E INSTALARSE CAJAS DE PASO, INCLUYE CABLE GUÍA DE SONDA. </t>
  </si>
  <si>
    <t>SUMINISTRO, TRANSPORTE Y COLOCACIÓN DE TUBERÍA PVC DE EN BANCO DE DUCTOS DE 3X1 1/2" PARA LA RED DE SONIDO. INCLUYE ACCESORIOS, UNIONES PVC, ADAPTADOR TERMINAL PVC, CODOS PVC, EXCAVACIÓN, ROTURA DE PISO Y/O MURO EXISTENTE Y/O A CONSTRUIR, REPOSICIÓN DE PISO Y/O MURO. (VER DETALLE ENTRADA DE DUCTERIAS A MUEBLE CHECKOUT EN PLANO DE VOZ Y DATOS). MÁXIMO CADA 3 CURVAS DEBEN SUMINISTRARSE E INSTALARSE CAJAS DE PASO, INCLUYE CABLE GUÍA</t>
  </si>
  <si>
    <t>SUMINISTRO E INSTALACIÓN DE CAJA COMPLETA TIPO LL SERIES CCFB DOBLE CON TAPA CCFBC-NS-H-C5  CON  PLACAS DE MONTAJE Y  DEMAS ACCESORIOS.</t>
  </si>
  <si>
    <t>SUMINISTRO E INSTALACIÓN DE CAJA DE PISO  COMPLETA MULTISERVICIOS TIPO SS    SERIES CCFB DOBLE CON TAPA  CCFBC-NS-H-C3 CON  PLACAS DE MONTAJE Y  DEMAS ACCESORIOS PARA SU USO.</t>
  </si>
  <si>
    <t>SUMINISTRO E INSTALACIÓN DE CAJA DE PISO  MULTISERVICIOS COMPLETA  TIPO LS   SERIES CCFB DOBLE CON TAPA  CCFBC-NS-H-C3  CON  PLACAS DE MONTAJE Y DEMÁS ACCESORIOS.</t>
  </si>
  <si>
    <t>SUMINISTRO E INSTALACIÓN DE CAJA DE PASO DE 30 X 30 X 15 CM,  CON TAPA Y CHAPA PARA SALIDAS MULTIPLES,  INCLUYE REGATAS, RESANES, Y DEMÁS OBRAS CIVILES REQUERIDAS REQUERIDA PARA SU CORRECTO ANCLAJE Y FUNCIONAMIENTO.</t>
  </si>
  <si>
    <t>SUMINISTRO E INSTALACIÓN DE CAJA DE PISO COMPLETA MULTISERVICIOS TIPO LL EVOLUTION  DOBLE CON TAPA CCFBC-NS-H-C5 CON  PLACAS DE MONTAJE Y  DEMÁS ACCESORIOS NECESARIOS PARA SU USO.</t>
  </si>
  <si>
    <t>Subtotal   SISTEMA DE DUCTERIA SONIDO</t>
  </si>
  <si>
    <t>20.13 TABLERO EQUIPOS AIRE ACONDICIONADO Y BOMBAS</t>
  </si>
  <si>
    <t>20.13.1</t>
  </si>
  <si>
    <t>20.13.2</t>
  </si>
  <si>
    <t>20.13.3</t>
  </si>
  <si>
    <t>20.13.4</t>
  </si>
  <si>
    <t>20.13.5</t>
  </si>
  <si>
    <t>20.13.6</t>
  </si>
  <si>
    <t>20.13.7</t>
  </si>
  <si>
    <t>SUMINISTRO, TRANSPORTE E INSTALACIÓN DE TABLERO RED NORMAL  DE  18 CIRCITOS  INCLUYE: CAJA, TAPA Y PUERTA COLOR BLANCO RAL 9010, TENSIÓN NOMINAL: 240 V, TENSIÓN DE AISLAMIENTO: 600 VOLTIOS, CORRIENTE DE CORTO ISC: 10 KA, ENCERRAMIENTO IP 20 IK 05, 5 HILOS: 3 FASES + BARRA PARA NEUTRO + BARRA PARA TIERRA INSTALADAS, BARRAJE EN COBRE, BARRAS DE NEUTRO Y TIERRA INSTALADAS, BARRA PARA TIERRA AISLADA OPCIONAL PARA REFERENCIAS TW; , Y  DEMÁS  ELEMENTOS NECESARIOS PARA SU CORRECTA INSTALACIÓN, . MAXIMO CADA 3 CURVAS DEBEN SUMINISTRARSE E INSTALARSE CAJAS DE PASO.</t>
  </si>
  <si>
    <t>(ACOMETIDAS TABLERO EQUIPOS )SUMINISTRO, TRANSPORTE E INSTALACIÓN DE MATERIALES PARA LA ACOMETIDA ELÉCTRICA TRIFÁSICA EN CABLE 3 Nº 2/0 + 1 Nº2/0 + 1 Nº 1/0T  AWG-CU- CU  600V (NORMA NTC-2050)  PE HF FR LS CT POR TUBERIA EMT DE 2"PULG.  INCLUYE: TERMINALES DE COBRE, ENCINTADA  Y DEMÁS  ELEMENTOS NECESARIOS PARA SU CORRECTA INSTALACIÓN, ADECUACIONES DE INCLUYE REGATAS, RESANES, Y DEMÁS OBRAS CIVILES REQUERIDAS EXCAVACIÓN, RESANE DE PISOS, REMOCIÓN DE ESCOMBROS. MÁXIMO CADA 3 CURVAS DEBEN SUMINISTRARSE E INSTALARSE CAJAS DE PASO</t>
  </si>
  <si>
    <t>(ACOMETIDAS DE  AIRES ACONDICIONADOS - CONDENSADORA  AUDITORIO) - SUMINISTRO, TRANSPORTE E INSTALACIÓN DE MATERIALES PARA LA ACOMETIDA ELÉCTRICA TRIFÁSICA EN  CABLE 3Nº 2F + 1 Nº 2 + 1N°6T  AWG-CU- CU  600V (NORMA NTC-2050)  POR TUBO EMT DE 1 1/2" PULG, Y CORAZA PARA EXTERIORES DE 11/2" PULG, INCLUYE: TERMINALES DE COBRE, CONECTORES DE AUTODESFORRES  Y DEMÁS  ELEMENTOS NECESARIOS PARA SU CORRECTA INSTALACIÓN, ADECUACIONES DE OBRA CIVIL Y EXCAVACIÓN, RESANE DE PISOSY REMOCIÓN DE ESCOMBROS, MÁXIMO CADA 3 CURVAS DEBEN SUMINISTRARSE E INSTALARSE CAJAS DE PASO PARA AIRES ACONDICIONADOS, LA ACOMETIDA IRÁ DESDE TABLERO PRINCIPAL HASTA LOCALIZACIÓN DE CONDENSADORAS Y TENDRÁ COLA PARA PUNTO CERO DE 2 MTRS EN CONDENSADORAS.</t>
  </si>
  <si>
    <t>(ACOMETIDAS TABLERO BOMBA ESPEJO DE AGUA   AUDITORIO) -SUMINISTRO, TRANSPORTE E INSTALACIÓN DE MATERIALES PARA LA ACOMETIDA ELÉCTRICA TRIFÁSICA DESDE TABLERO RED NORMAL HASTA MOTOBOMBAS EN  CABLE 2 Nº 10 + 1 Nº10 + 1 Nº 10T  AWG-CU- CU HFFRLS 600V/ CU HFFRLS 600V  (NORMA NTC-2050)  PE HF FR LS CT POR TUBO EMT O PVC SEGÚN CORRESPONDA EN TUBERIA DE 1"PULG.  INCLUYE: TERMINALES DE COBRE, ENCINTADA, REGATAS, RESANES,  Y DEMÁS OBRAS CIVILES REQUERIDAS, REMOCIÓN DE ESCOMBROS. MÁXIMO CADA 3 CURVAS DEBEN SUMINISTRARSE E INSTALARSE CAJAS DE PASO</t>
  </si>
  <si>
    <t>(ACOMETIDAS DE  AIRES ACONDICIONADOS - CONDENSADORA SALA DE JUNTAS) - SUMINISTRO, TRANSPORTE E INSTALACIÓN DE MATERIALES PARA LA ACOMETIDA ELÉCTRICA TRIFÁSICA EN  CABLE 3Nº 10F + 1 Nº 10 + 1N°12T  AWG-CU- CU HFFRLS 600V/ CU HFFRLS 600V (NORMA NTC-2050)  POR TUBO EMT O PVC SEGÚN APLIQUE DE 3/4"PULG, Y CORAZA PARA EXTERIORES DE 3/4 PULG, INCLUYE: TERMINALES DE COBRE, CONECTORES DE AUTODESFORRES  Y DEMÁS  ELEMENTOS NECESARIOS PARA SU CORRECTA INSTALACIÓN, ADECUACIONES DE OBRA CIVIL Y EXCAVACIÓN, RESANE DE PISOSY REMOCIÓN DE ESCOMBROS,MÁXIMO CADA 3 CURVAS DEBEN SUMINISTRARSE E INSTALARSE CAJAS DE PASO.</t>
  </si>
  <si>
    <t>(ACOMETIDAS DE  AIRES ACONDICIONADOS - CONDENSADORA SECRETARIA) - SUMINISTRO, TRANSPORTE E INSTALACIÓN DE MATERIALES PARA LA ACOMETIDA ELÉCTRICA TRIFÁSICA EN  CABLE 2Nº 10F + 1 Nº 12 + 1N°12T  AWG-CU- CU HFFRLS 600V/ CU HFFRLS 600V (NORMA NTC-2050)  POR TUBO EMT O PVC SEGÚN CORRESPONDA DE 3/4"PULG, Y CORAZA PARA EXTERIORES DE 3/4 PULG, INCLUYE: TERMINALES DE COBRE, CONECTORES DE AUTODESFORRES  Y DEMÁS  ELEMENTOS NECESARIOS PARA SU CORRECTA INSTALACIÓN, ADECUACIONES DE OBRA CIVIL Y EXCAVACIÓN, RESANE DE PISOSY REMOCIÓN DE ESCOMBROS,MÁXIMO CADA 3 CURVAS DEBEN SUMINISTRARSE E INSTALARSE CAJAS DE PASO PARA AIRES ACONDICIONADOS.</t>
  </si>
  <si>
    <t>(ACOMETIDAS DE  AIRES ACONDICIONADOS - CONDENSADORA SECRETARIA) - SUMINISTRO, TRANSPORTE E INSTALACIÓN DE MATERIALES PARA LA ACOMETIDA ELÉCTRICA TRIFÁSICA EN  CABLE 2Nº 10F + 1 Nº 12 + 1N°12T  AWG-CU- CU  600V (NORMA NTC-2050) POR TUBO EMT DE 3/4"PULG, Y CORAZA PARA EXTERIORES DE 3/4 PULG, INCLUYE: TERMINALES DE COBRE, CONECTORES DE AUTODESFORRES  Y DEMÁS  ELEMENTOS NECESARIOS PARA SU CORRECTA INSTALACIÓN, ADECUACIONES DE OBRA CIVIL Y EXCAVACIÓN, RESANE DE PISOSY REMOCIÓN DE ESCOMBROS,MÁXIMO CADA 3 CURVAS DEBEN SUMINISTRARSE E INSTALARSE CAJAS DE PASO PARA AIRES ACONDICIONADOS.</t>
  </si>
  <si>
    <t>Subtotal   TABLERO EQUIPOS AIRE ACONDICIONADO Y BOMBAS</t>
  </si>
  <si>
    <t>20.14 OTROS</t>
  </si>
  <si>
    <t>20.14.1</t>
  </si>
  <si>
    <t>20.14.2</t>
  </si>
  <si>
    <t>20.14.3</t>
  </si>
  <si>
    <t>20.14.4</t>
  </si>
  <si>
    <t>20.14.5</t>
  </si>
  <si>
    <t>20.14.6</t>
  </si>
  <si>
    <t>20.14.7</t>
  </si>
  <si>
    <t xml:space="preserve">PODA DE ARBUSTO Y ÁRBOLES SEGÚN TRAYECTORIA DE LÍNEA. </t>
  </si>
  <si>
    <t>SUMINISTRO E INSTALACIÓN DE TIMBRE DE ALTA INTENSIDAD SONORA, QUE INCUIRÁ EL CABLEADO ENTRE PUERTA DE ACCESO PRINCIPAL, Y TAQUILLA EN CABLE ENCAUCHETADO 3X14 AWG, INCLUYE CAMPANA DE TIMBRE RING DE ALTA INTENSIDAD SONORA, SWICTH PULSADOR , ELEMENTOS DE FIJACIÓN, CAJAS, CURVAS TERMINALES Y DEMÁS NECESARIOS PARA SU CORRECTA INSTALACIÓN, ADECUACIONES GENERALES  Y DEMÁS OBRAS CIVILES REQUERIDAS.</t>
  </si>
  <si>
    <t>SUMINISTRO E INSTALACIÓN EXTRACTOR DE BAÑO  LINE INST: SUMINISTRO, TRANSPORTE E INSTALACIÓN DE MATERIALES PARA SALIDA ELÉCTRICA EN MURO EXISTENTE Y/O A CONSTRUIR, CON CAJA GALVANIZADA CAL 20, POR TUBERÍA EMPOTRADA O SOBREPONER EN MURO EXISTENTE DE ACUERDO A LO INDICADO EN PLANIMETRIA ADJUNTA. INCLUYE  TAPA, CONECTOR AUTO DESFORRES, DUCTO EMT DE 1/2", UNIONES EMT, ADAPTADOR TERMINAL EMT, CODOS EMT, CONDUCTORES 3 NO12 AWG- CU HFFRLS 600V/ CU HFFRLS 600V + 12 AWG T (NORMA NTC-2050), PE HF FR LS CT, INCLUYE REGATAS, RESANES, Y DEMÁS OBRAS CIVILES REQUERIDAS Y DEMÁS ACCESORIOS NECESARIOS PARA SU CORRECTA INSTALACIÓN. MÁXIMO CADA 3 CURVAS DEBEN SUMINISTRARSE E INSTALARSE CAJAS DE PASO, EL CIRCUITO IRÁ DESDE BREAKER DE TABLERO HASTA SALIDA DE EXTRACTOR.</t>
  </si>
  <si>
    <t>SENSOR DE HUMO SENSORES DE HUMO AUTÓNOMO INALÁMBRICOS, FOTOELÉCTRICO  UL FIRE SMOKE DETECTOR.</t>
  </si>
  <si>
    <t>BALANCEO DE CARGAS EN TABLERO Y PEINADO FINAL.</t>
  </si>
  <si>
    <t>SUMINISTRO E INSTALACIÓN DE DEMARCACIÓN EN PISO PARA ÁREA DE TABLERO ELECTRICOS DE 10 CM,  EN ÁREAS CLASIFICADAS CON PINTURA EPÓXICA PINTUCO COLOR AMARILLO, PARA (TABLEROS CUARTO TÉCNICO, CONDENSADORAS, EVAPORADORAS )</t>
  </si>
  <si>
    <t>Subtotal   OTROS</t>
  </si>
  <si>
    <t>Subtotal   INSTALACIONES ELÉCTRICAS</t>
  </si>
  <si>
    <t>21. INSTALACIONES GAS</t>
  </si>
  <si>
    <t>21.1 RED GENERAL GAS</t>
  </si>
  <si>
    <t>21.1.1</t>
  </si>
  <si>
    <t>21.1.2</t>
  </si>
  <si>
    <t>21.1.3</t>
  </si>
  <si>
    <t>21.1.4</t>
  </si>
  <si>
    <t>TUBERÍA PEHD 3/4"</t>
  </si>
  <si>
    <t>ACCCESORIOS 3/4"</t>
  </si>
  <si>
    <t>VALVULA DE BOLA 3/4"</t>
  </si>
  <si>
    <t>REJILLAS VENTILACION</t>
  </si>
  <si>
    <t>UND</t>
  </si>
  <si>
    <t>Subtotal  RED GENERAL GAS</t>
  </si>
  <si>
    <t>21.2 PUNTOS GAS</t>
  </si>
  <si>
    <t>21.2.1</t>
  </si>
  <si>
    <t>21.2.2</t>
  </si>
  <si>
    <t>21.2.3</t>
  </si>
  <si>
    <t>PUNTO SALIDA MARMITA</t>
  </si>
  <si>
    <t>PUNTO SALIDA ESTUFA</t>
  </si>
  <si>
    <t>PUNTO SALIDA PARRILLA</t>
  </si>
  <si>
    <t>Subtotal  PUNTOS GAS</t>
  </si>
  <si>
    <t>Subtotal  INSTALACIONES GAS</t>
  </si>
  <si>
    <t>22. CERRAMIENTO PERIMETRAL</t>
  </si>
  <si>
    <t>22.1 PRELIMINARES</t>
  </si>
  <si>
    <t>22.1.1</t>
  </si>
  <si>
    <t>22.1.2</t>
  </si>
  <si>
    <t>22.1.3</t>
  </si>
  <si>
    <t>LOCALIZACION Y REPLANTEO</t>
  </si>
  <si>
    <t>EXCAVACION MANUAL PARA CIMIENTOS A TODO FACTOR DE .50* .40.</t>
  </si>
  <si>
    <t>RELLENO EN MATERIALDE RECEBO COMUN</t>
  </si>
  <si>
    <t>22.2 ESTRUCTURA EN CONCRETO</t>
  </si>
  <si>
    <t>22.2.1</t>
  </si>
  <si>
    <t>22.2.2</t>
  </si>
  <si>
    <t>22.2.3</t>
  </si>
  <si>
    <t>22.2.4</t>
  </si>
  <si>
    <t>22.2.5</t>
  </si>
  <si>
    <t>CONCRETO CICLÓPEO, 60% EN CONCRETO DE 2500 PSI,  Y 40% EN
PIEDRA.(0.3X0.25)</t>
  </si>
  <si>
    <t>ZAPATAS EN CONCRETO  DE 3000 PSI DE 0.40*0.40*0.30MTS.
INCLUYE: FORMALETA</t>
  </si>
  <si>
    <t>VIGA DE AMARRE  EN CONCRETO  DE 3000 PSI DE 0.20*0.25MTS.
INCLUYE: FORMALETA</t>
  </si>
  <si>
    <t>CONSTRUCCION DE COLUMNETA EN CONCRETO  DE 3000 PSI DE
0.25*0.25*0.60MTS. INCLUYE; FORMALETA</t>
  </si>
  <si>
    <t>ACERO  DE REFUERZO DE 60.000 PSI (3/8") PARA FLEJES Y VARILLAS
NO. 4. INCLUYE; ALAMBRE NEGRO</t>
  </si>
  <si>
    <t>Subtotal  ESTRUCTURA EN CONCRETO</t>
  </si>
  <si>
    <t>22.4 ASEO Y LIMPIEZA</t>
  </si>
  <si>
    <t>22.4.1</t>
  </si>
  <si>
    <t>LIMPIEZA Y RETIRO DE MATERIALES SOBRANTES EN EL AREA CONSTRUIDA. INCLUYE: PAGO DE DISPOSICIÓN FINAL EN SITIO
AUTORIZADO POR EL MUNICIPIO Y/O ENTIDAD AMBIENTAL</t>
  </si>
  <si>
    <t>Subtotal  ASEO Y LIMPIEZA</t>
  </si>
  <si>
    <t>Subtotal  CERRAMIENTO PERIMETRAL</t>
  </si>
  <si>
    <t>22.3 MAMPOSTERÍA Y CERRAMIENTO</t>
  </si>
  <si>
    <t>22.3.1</t>
  </si>
  <si>
    <t>22.3.2</t>
  </si>
  <si>
    <t>22.3.3</t>
  </si>
  <si>
    <t>MURO LADRILLO E=0.12 REJILLA PACANDE VISTO POR DOS CARAS
H= 0.50 MTS. INCLUYE; JUNTA DE PEGA DILATADA.</t>
  </si>
  <si>
    <t>SUMINISTRO E INSTALACION DE MARCOS EN MALLA ESLABONADA CAL.
10.5 *2" PARA CERRAMIENTO SEGUN DISEÑO. INCLUYE: PARALES Y PIE DE AMIGO EN TUBO  GALVANIZADO  DE 2", MARCO EN ANGULO METALICO DE 1" 1/4 * 3/16" Y  REFUERZO  CENTRAL EN ANGULO METALICO DE 1" 1/4 * 3/16", DEBIDAMENTE CON SOLDADURA, PINTADO  EN ANTICORROSIVO Y COLOR ESMALTE GRIS ALUMINIO  O SIMILAR Y  CONCERTINA DIAMETRO 18" Y 30CM.</t>
  </si>
  <si>
    <t>MANTENIMIENTO DE CERRAMIENTO PERIMETRAL EXISTENTE, INCLUYE PINTURA ANTICORROSIVA PARA MALLA ESLABONADA Y ESTRUCTURA GALVANIZADA, INSTALACION DE CONCERTINA DIAMETRO 18" Y 30 CM, LIMPIEZA DE MURE EN LADRILLO Y MANO DE OBRA.</t>
  </si>
  <si>
    <t>Subtotal  MAMPOSTERÍA Y CERRAMIENTO</t>
  </si>
  <si>
    <t>23. SISTEMA ELÉCTRICO</t>
  </si>
  <si>
    <t>Subtotal  SISTEMA ELÉCTRICO</t>
  </si>
  <si>
    <t>23.1</t>
  </si>
  <si>
    <t>23.2</t>
  </si>
  <si>
    <t>23.3</t>
  </si>
  <si>
    <t>23.4</t>
  </si>
  <si>
    <t>23.5</t>
  </si>
  <si>
    <t>23.6</t>
  </si>
  <si>
    <t>23.7</t>
  </si>
  <si>
    <t>23.8</t>
  </si>
  <si>
    <t>23.9</t>
  </si>
  <si>
    <t xml:space="preserve">SUMINISTRO E INSTALACIÓN DE SUBESTACIÓN ELÉCTRICA TIPO PEDESTAL DE 150 KVA, MARCA MAGNETRÓN O SIMILAR COMPACTA PARA INTEMPERIE, INCLUYE CONJUNTO DE AISLADORES Y TERMINALES DEL SECUNDARIO, BUJES, CONMUTADOR DE DERIVACIONES, SECCIONADOR ON-OFF BAJO CARGA , PARAFUSIBLE BAYONETA, ESLABÓN DE AISLAMIENTO, VISOR DE LIQUIDO ACEITE DE TRANSFORMADOR, VÁLVULA DE ALIVIO, VÁLVULA PARA DRENAJE DEL LÍQUIDO REFRIGERANTE, TAPÓN DE LLENADO, CONJUNTO DE  CODOS DE DESCONEXIÓN MEDIA TENSIÓN, INCLUYE CONJUNTO DE CODOS TERMINALES DE PUESTA A TIERRA, ALAS PARA IZAJE, CONJUNTO DPS TIPO CODO, CONJUNTO DE BUJES PARA DPS PARA PARARRAYOS MCOV Y USO EXTERIOR ( BUJE INSERTO, BUJE POZO Y DPS). . INCLUYE CERTIFICADO CONFORMIDAD DEL PRODUCTO, PROTOCOLOS DE PRUEBAS  Y CARTA DE GARANTÍA, Y DEMÁS ELEMENTOS PARA SU ÓPTIMO FUNCIONAMIENTO. </t>
  </si>
  <si>
    <t>SUMINISTRO E INSTALACIÓN DE ARMARIO GABINETE DE MEDIDA TIPO INDIRECTO, SEGÚN NORMA ELECTRO HULIA, INCLUYE IP 66:
INCLUYE: MEDIDOR ELECTRÓNICO PARA MEDIR KWH, KVARH, KVAH, KW, KVAR, KVA, PARA CONEXIÓN INDIRECTA , PARA REDES TRIFÁSICAS DE 4 HILOS. CLASE DE PRECISIÓN: PARTE ACTIVA: CLASE 0.5S PARTE REACTIVA: CLASE 2, REGISTRO EN LOS 4 CUADRANTES, CON PERFIL DE CARGA, 16 CANALES, CON RELOJ INTERNO Y BATERÍA DE RESPALDO. PUERTO RS232 RANGO DE CORRIENTE 5(10) A RANGO DE TENSIÓN 3X58/100 V A 3X277/480V. MODELO ZMG405CR4. MARCA: LANDIS+GYR O SIMILAR, BORNERA DE CONEXIÓN PARA MEDIDOR. (1)
TRANSFORMADOR DE CORRIENTE RELACIÓN 5-10/5 AMP, CLASE 0.5S USO INTERIOR, PARA 17KV TÉRMICA Y DINÁMICA 8-20KA CON PROTOCOLOS DE CALIBRACIÓN MARCA ABB. (3)
TRANSFORMADOR DE POTENCIA 13.200V3/120V3 CLASE 0.5 USO INTERIOR CON PROTOCOLOS DE CALIBRACION (3)</t>
  </si>
  <si>
    <t xml:space="preserve">UPS DE MONTAJE EN RACK. CAPACIDAD 6KVA/4.8KW. -5  MINUTOS DE RESPALDO CARGA COMPLETA – 14  MINUTOS A MEDIA CARGA -CON BATERÍAS INTERNAS  FRECUENCIA 60 HZ, 1 FASE + NEUTRO + TIERRA. EL EQUIPO ESTÁ CONFORMADO POR UN  RECTIFICADOR/ CARGADOR TIPO  MONOFÁSICO  CON  IGBTS , INVERSOR PWM CON IGBTS, SWITCH DE BYPASS ESTÁTICO. UPS EN LÍNEA DE DOBLE CONVERSIÓN (INCLUYE KIT MONTAJE EN RACK).INCLUYE TARJETA UNITY-DP. </t>
  </si>
  <si>
    <t xml:space="preserve">SUMINISTRO E INSTALACIÓN DE PATCH CORD DE 3 FT  CAT 6A UTP   COLOR AZUL </t>
  </si>
  <si>
    <t>SUMINISTRO E INSTALACIÓN DE  TELÉFONO  KX-TS500</t>
  </si>
  <si>
    <t>SUMINISTRO E INSTALACIÓN DE SWICHT SWITCH 5500G 3C17266-PSU 24 POE, TASA DE TRANSFERENCIA (MÁX): 56 GBIT/S. PROTOCOLOS DE GESTIÓN: SNMP, NTP, HTTPS. COLOR DEL PRODUCTO: GRIS.</t>
  </si>
  <si>
    <t>SUMINISTRO E INSTALACIÓN DE PLANTA TELEFÓNICA DE  6 LÍNEAS Y 16 EXTENSIONES ANALÓGICA, RECEPCIÓN DE FAX, MÚSICA EN ESPERA, MENSAJE DE BIENVENIDA INCLUYE TELEFONO DE CONSOLA, Y CONFIGURACIÓN DE EXTENSIONES.</t>
  </si>
  <si>
    <t xml:space="preserve">SUMINISTRO E INSTALACIÓN DE TELÉFONO CONMUTADOR  PARA PLANTA TELEFONICA </t>
  </si>
  <si>
    <t>SUMINISTRO, TRANSPORTE E INSTALACIÓN DE TABLERO GENERAL DE DISTRIBUCION_220V TIPO INTERPERIE IP 69 , CON LUCES PILOTO, RESISTENCIA INTERNA HIGROSTATO, ILUMINACIÓN INTERNA, PUERTA, CHAPA.
TABLERO FABRICADO EN LÁMINA COLD ROLLED CL14/16 DE MEDIDAS APROX:
2,00*1,00*0,40M TIPO INTERIOR. AUTOSOPORTADO. COLOR RAL 7032 UN 1
INTERRUPTOR NSX630N 3*(250-630A)85KA/220V_REF:LV432893_ UN 1
BARRAJE EN CU 1/2*1 1/4" UN 1
INTERRUPTOR CVS 3*(44-63A)40KA/240V_REF:LV510305_ UN 2
INTERRUPTOR CVS 3*(56-80A)40KA/240V_REF:LV510306_ UN 4
INTERRUPTOR CVS 3*(112-160A)40KA/240V_REF:LV516303_ UN 1
INTERRUPTOR CVS 3*(22-32A)40KA/240V_REF:LV510302_ UN 3
INTERRUPTOR CVS 3*(18-25A)40KA/240V_REF:LV510301_ UN 1
DPS TVS2HWA80X-80KA/(8/20) 208Y/120VAC 3F 4H_ UN 1
INTERRUPTOR IC60N TIPO RIEL (2*32A)10KA/220V_ UN 2
INTERCONEXIONES ELECTRICAS Y ACCESORIOS.</t>
  </si>
  <si>
    <t>24. MOBILIARIO Y EXTERIORES</t>
  </si>
  <si>
    <t>24.1 PARQUEADERO</t>
  </si>
  <si>
    <t>24.1.1</t>
  </si>
  <si>
    <t>24.1.2</t>
  </si>
  <si>
    <t>PUERTA CORREDERA METALICA PARA ZONA DE PARQUEADERO</t>
  </si>
  <si>
    <t>LÁMINA METÁLICA PERFORADA CON CORTE LASER EN MURO IDENTIFICACIÓN PARQUE CALIBRE 14</t>
  </si>
  <si>
    <t>Subtotal PARQUEADERO</t>
  </si>
  <si>
    <t>24.2 APARATOS Y ACCESORIOS</t>
  </si>
  <si>
    <t>24.2.1</t>
  </si>
  <si>
    <t>24.2.2</t>
  </si>
  <si>
    <t>24.2.3</t>
  </si>
  <si>
    <t>24.2.4</t>
  </si>
  <si>
    <t>24.2.5</t>
  </si>
  <si>
    <t xml:space="preserve">MESÓN DE LAVAMANOS CORRIDO A FABRICAR, DE 0.6 DE ANCHO CON FALDÓN DE 30 CM, INCLUYE ESTRUCTURA DE SOPORTE ANCLADA A LA PARED ACABADO EN ACERO INOXIDABLE CALIBRE 18 (REVISAR DIMENSIONES EN PLANOS) INCLUYE GRIFERÍA </t>
  </si>
  <si>
    <t xml:space="preserve">MESÓN DE LAVAMANOS CORRIDO A FABRICAR ( 2,68 X 60 ), CON FALDÓN DE 30 CM, CANTOS REGLADOS ESTRUCTURA DE SOPORTE EN PERFILERIA METÁLICA TIPO C, ANCLADOS A EN GRANITO NEGRO SAN GABRIEL (REVISAR DIMENSIONES EN PLANOS) INCLUYE GRIFERÍA </t>
  </si>
  <si>
    <t>MESÓN EN ACERO CON UNA POCETA Y SALPICADERO EN EL COSTADO DERECHO Y POSTERIOR DE 10 CM DE ANCHO, EN ACERO INOXIDABLE Y NIVEL ANTIDERRAME, INCLUYE GRIFERÍA Y SIFÓN.</t>
  </si>
  <si>
    <t>SUMINISTRO DE MESÓN PARA LABORATORIO EN CONCRETO CON ACABADO EN GRANITO LAVADO (DIM 1,3 X 2,7 Y POCETA LATERAL DE 50X50), SALPICADERO EN MEDIA CAÑA,  INCLUYE POCETA, ACCESORIOS Y GRIFERÍA PARA SU DEBIDO FUNCIONAMIENTO</t>
  </si>
  <si>
    <t xml:space="preserve">SUMINISTRO DE MUEBLE PARA LABORATORIO (DIM 1,3 X 0,6) </t>
  </si>
  <si>
    <t>Subtotal  MOBILIARIO Y EXTERIORES</t>
  </si>
  <si>
    <t>25. COMPONENTE SISTEMA FOTOVOLTAICO</t>
  </si>
  <si>
    <t>25.1  CAPITULO SISTEMA FOTOVOLTAICO</t>
  </si>
  <si>
    <t>25.1.1</t>
  </si>
  <si>
    <t>25.1.2</t>
  </si>
  <si>
    <t>25.1.3</t>
  </si>
  <si>
    <t>25.1.4</t>
  </si>
  <si>
    <t>25.1.5</t>
  </si>
  <si>
    <t>25.1.6</t>
  </si>
  <si>
    <t>25.1.7</t>
  </si>
  <si>
    <t>25.1.8</t>
  </si>
  <si>
    <t>25.1.9</t>
  </si>
  <si>
    <t>25.1.10</t>
  </si>
  <si>
    <t>25.1.11</t>
  </si>
  <si>
    <t>25.1.12</t>
  </si>
  <si>
    <t>25.1.13</t>
  </si>
  <si>
    <t>25.1.14</t>
  </si>
  <si>
    <t>25.1.15</t>
  </si>
  <si>
    <t>25.1.16</t>
  </si>
  <si>
    <t>25.1.17</t>
  </si>
  <si>
    <t>25.1.18</t>
  </si>
  <si>
    <t>25.1.19</t>
  </si>
  <si>
    <t>25.1.20</t>
  </si>
  <si>
    <t>25.1.21</t>
  </si>
  <si>
    <t>25.1.22</t>
  </si>
  <si>
    <t>25.1.23</t>
  </si>
  <si>
    <t>25.1.24</t>
  </si>
  <si>
    <t>25.1.25</t>
  </si>
  <si>
    <t>25.1.26</t>
  </si>
  <si>
    <t>25.1.27</t>
  </si>
  <si>
    <t>25.1.28</t>
  </si>
  <si>
    <t>25.1.29</t>
  </si>
  <si>
    <t>25.1.30</t>
  </si>
  <si>
    <t>Suministro, instalación Panel solar 610W longi</t>
  </si>
  <si>
    <t>Suministro e instalacion de inversor Growatt MAX 125KTL3‑X LV</t>
  </si>
  <si>
    <t>Suministro de Estrutura y montaje en suelo ALURACK 40 paneles de 610W 2*20 , con todos su accesorios.</t>
  </si>
  <si>
    <t>Suministro y construccion de Dado en concreto 40*40*20cm o topellanta en concreto</t>
  </si>
  <si>
    <t>Sumunistro e instalacion de caja de paso DEXSON color blanca 22*17*14cm para exterior</t>
  </si>
  <si>
    <t>Suministro e Instalacion de Cable solar 4mm XLPE para uso exterior</t>
  </si>
  <si>
    <t>Suministro e Instalacion de Conectores MC4 juego HyM para 4mm</t>
  </si>
  <si>
    <t>Puerta de acceso metalica de 2,5*2Metros en malla eslabonada con seguro y pasador</t>
  </si>
  <si>
    <t>Suministro e Instalacion Cable 2/0 cobre THHN para uso en bandeja por metro lineal</t>
  </si>
  <si>
    <t xml:space="preserve">Suministro e Instalacion Bandeja porta cable con tapa de 20*10 Cm por metro lineal </t>
  </si>
  <si>
    <t>Suministro e Instalacion de Terminal de ojo para cable 2/0</t>
  </si>
  <si>
    <t>Suministro e Instalacion Cable 4AWG color verde por metro lineal</t>
  </si>
  <si>
    <t>Suministro e Instalacion de Terminal de ojo para cable 4AWG</t>
  </si>
  <si>
    <t>Suministro e Instalacion Terminal Recto DN48 para tuberia coraza</t>
  </si>
  <si>
    <t xml:space="preserve">Suministro e Instalacion de Tuberia oraza Liquid Tight Tipo Americano 2 </t>
  </si>
  <si>
    <t>Suministro e Instalacion de Tablero electrico Certificado para uso exterior Incluye:1. Interruptor termomagnético industrial 175A, Schneider. EZC250N3175 2. Interruptor termomagnético industrial 150A, Schneider. EZC250N3150 3. Interruptor termomagnético industrial 125A, Schneider. EZC250N3125 4. Interruptor termomagnético industrial regulable 70-100A, Schneider. LV510307 5. Interruptor termomagnético industrial 80A, Schneider. EZC100N3080 6. Interruptor termomagnético industrial 60A, Schneider. EZC100N3060 7. Platinado trifásico 200A. 8. Platinado trifásico 150A. 9. Platinado trifásico 100A.</t>
  </si>
  <si>
    <t>Suministro e Instalacion Cable 10AWG color verde Incluye terminales</t>
  </si>
  <si>
    <t>Suministro e Instalacion Tuberia PVC TDP 3" POR METRO LINEAL</t>
  </si>
  <si>
    <t>Suministro e Instalacion Curva tuberia 3" PVC</t>
  </si>
  <si>
    <t>Suministro e Instalacion Tuberia IMC 3" por metro lineal</t>
  </si>
  <si>
    <t>Suministro e Instalacion Terminal de tuberia IMC 3"</t>
  </si>
  <si>
    <t>Transformador de potencia reductor tipo seco de 480/240V AC 225kva  DYN5 Incluye Herrajes, mano de Obra, transporte y materiales.</t>
  </si>
  <si>
    <t>Tapa metalica en lamina de acero pintada amarilla y negro, para cubrir carcamo</t>
  </si>
  <si>
    <t>Suministro e Instalacion de interruptor 440v  regulable de (100 a 175A)  ABB  10KA</t>
  </si>
  <si>
    <t>Suministro e Instalacion de interruptor 440v  regulable de (250 a 350A)  ABB   50KA</t>
  </si>
  <si>
    <t xml:space="preserve">Suministro e Instalacion de DPS ABB 40KA </t>
  </si>
  <si>
    <t>Unid.</t>
  </si>
  <si>
    <t>ml.</t>
  </si>
  <si>
    <t>m2</t>
  </si>
  <si>
    <t>Subtotal CAPITULO SISTEMA FOTOVOLTAICO</t>
  </si>
  <si>
    <t/>
  </si>
  <si>
    <t>26. COMPONENTE AMBIENTAL - SST TOTAL</t>
  </si>
  <si>
    <t>26.1</t>
  </si>
  <si>
    <t>COMPONENTE AMBIENTAL - SST TOTAL</t>
  </si>
  <si>
    <t>Subtotal COMPONENTE AMBIENTAL - SST TOTAL</t>
  </si>
  <si>
    <t>TOTAL COSTO AMBIENTAL</t>
  </si>
  <si>
    <t>27. ELEMENTOS PARA SISTEMA AIRE ACONDICIONADO</t>
  </si>
  <si>
    <t>27.1 AIRE ACONDICIONADO OFICINA ADMINISTRADOR</t>
  </si>
  <si>
    <t>27.1.1</t>
  </si>
  <si>
    <t>27.1.2</t>
  </si>
  <si>
    <t>AIRE ACONDICIONADO, TIPO SPLIT, 2 TR.</t>
  </si>
  <si>
    <t>INSTALACIÓN Y PRUEBAS</t>
  </si>
  <si>
    <t>Subtotal  AIRE ACONDICIONADO OFICINA ADMINISTRADOR</t>
  </si>
  <si>
    <t>27.2 ELEMENTOS AIRE ACONDICIONADO RECEPCIÓN</t>
  </si>
  <si>
    <t>27.2.1</t>
  </si>
  <si>
    <t>27.2.2</t>
  </si>
  <si>
    <t>Subtotal  ELEMENTOS AIRE ACONDICIONADO RECEPCIÓN</t>
  </si>
  <si>
    <t>27.3 ELEMENTOS AIRE ACONDICIONADO, TIPO SPLIT, 2 TR., SALA DE JUNTAS</t>
  </si>
  <si>
    <t>27.3.1</t>
  </si>
  <si>
    <t>Subtotal   ELEMENTOS AIRE ACONDICIONADO, TIPO SPLIT, 2 TR., SALA DE JUNTAS</t>
  </si>
  <si>
    <t>27.4.1</t>
  </si>
  <si>
    <t>27.4.2</t>
  </si>
  <si>
    <t>27.4.3</t>
  </si>
  <si>
    <t>AIRE ACONDICIONADO, TIPO COMPACTO O PAQUETE, 23 TR.</t>
  </si>
  <si>
    <t>SISTEMA DE DUCTOS PARA CONDUCCIÓN DEL AIRE</t>
  </si>
  <si>
    <t xml:space="preserve">Subtotal  </t>
  </si>
  <si>
    <t>27.4 ELEMENTOS AIRE ACONDICIONADO, TIPO COMPACTO O PAQUETE, 23 TR., AUDITORIO</t>
  </si>
  <si>
    <t>Subtotal   ELEMENTOS PARA SISTEMA AIRE ACONDICIONADO</t>
  </si>
  <si>
    <t>28. ELEMENTOS PARA SISTEMA DE RIEGO</t>
  </si>
  <si>
    <t>28.1</t>
  </si>
  <si>
    <t>28.2</t>
  </si>
  <si>
    <t>BOMBA CENTRIFUGA SUMERGIBLE  CON LAS SIGUIENTES CONDICIONES: C.D.T.= 15 P.S.I CAUDAL= 180 GPM CON MOTOR ELÉCTRICO DE 3 HP.</t>
  </si>
  <si>
    <t>EQUIPO HIDRONEUMÁTICO DE DOS BOMBAS Y TANQUE CON LAS SIGUIENTES CONDICIONES: C.D.T.= 50 P.S.I CAUDAL= 13 L/S, TANQUE DE 300L, 2 MOTORES ELÉCTRICO 5 HP A 220 VOLTIOS SISTEMA DE ALTERNANCIA Y TABLERO ELÉCTRICO.</t>
  </si>
  <si>
    <t>29. ELEMENTOS PARA SISTEMA CONTRAINCENDIOS - SECA</t>
  </si>
  <si>
    <t>Subtotal ELEMENTOS PARA SISTEMA CONTRAINCENDIOS - SECA</t>
  </si>
  <si>
    <t>29.1</t>
  </si>
  <si>
    <t>29.2</t>
  </si>
  <si>
    <t>EXTINTOR PORTÁTIL TIPO ABC DE 20 LB.</t>
  </si>
  <si>
    <t>EXTINTOR PORTÁTIL TIPO ABC DE 10 LB.</t>
  </si>
  <si>
    <t>30. ELEMENTOS DE DOTACIÓN</t>
  </si>
  <si>
    <t>30.1 RESTAURANTE Y COCINA</t>
  </si>
  <si>
    <t>30.1.1</t>
  </si>
  <si>
    <t>30.1.2</t>
  </si>
  <si>
    <t>30.1.3</t>
  </si>
  <si>
    <t>30.1.4</t>
  </si>
  <si>
    <t>30.1.5</t>
  </si>
  <si>
    <t>30.1.6</t>
  </si>
  <si>
    <t>30.1.7</t>
  </si>
  <si>
    <t>MESAS ACERO INOXIDABLE</t>
  </si>
  <si>
    <t>SILLAS METALICA PARA COMEDOR RESTAURANTE</t>
  </si>
  <si>
    <t>ESTUFA 6 PUESTOS Y ASADOR BARBACOA DOBLE</t>
  </si>
  <si>
    <t>CAMPANA INDUSTRIAL PARA COCINA</t>
  </si>
  <si>
    <t>MESA DE TRABAJO ESTUFA (100X100) EN ACERO CON SALPICADERO</t>
  </si>
  <si>
    <t>MESA DE TRABAJO COCINA (60X 120)</t>
  </si>
  <si>
    <t>MESA DE TRABAJO INCLUYE LAVAPLATOS COCINA (70X200) Y TRAMPA DE GRASAS</t>
  </si>
  <si>
    <t>Subtotal RESTAURANTE Y COCINA</t>
  </si>
  <si>
    <t>30.2 MOBILIARIO ASEO EXTERIOR</t>
  </si>
  <si>
    <t>30.2.1</t>
  </si>
  <si>
    <t>30.2.2</t>
  </si>
  <si>
    <t>CANECAS PUNTOS ECOLOGICOS</t>
  </si>
  <si>
    <t>CONTENEDOR DE BASURA DE 1528 LTS CON TAPA</t>
  </si>
  <si>
    <t>Subtotal MOBILIARIO ASEO EXTERIOR</t>
  </si>
  <si>
    <t>30.3.1</t>
  </si>
  <si>
    <t>30.3.2</t>
  </si>
  <si>
    <t>30.3.3</t>
  </si>
  <si>
    <t>30.3.4</t>
  </si>
  <si>
    <t>30.3.5</t>
  </si>
  <si>
    <t>30.3.6</t>
  </si>
  <si>
    <t>30.3.7</t>
  </si>
  <si>
    <t>30.3.8</t>
  </si>
  <si>
    <t>ESCRITORIO OFFICE EJECUTIVO</t>
  </si>
  <si>
    <t>SILLA OPERATIVA NEGRA</t>
  </si>
  <si>
    <t>SILLA INETRLOCUTORA MALLA NEGRA</t>
  </si>
  <si>
    <t>MESA DE REUNION TRENTO CIRCULAR</t>
  </si>
  <si>
    <t>MUEBLE DE RECEPCION RECTO 150</t>
  </si>
  <si>
    <t>SILLA INTERLOCUTORA GRIS</t>
  </si>
  <si>
    <t>MESA DE JUNTAS NEFT</t>
  </si>
  <si>
    <t>MESA DE CENTRO ESPERA</t>
  </si>
  <si>
    <t>30.3 ADMINISTRACION</t>
  </si>
  <si>
    <t>Subtotal ADMINISTRACION</t>
  </si>
  <si>
    <t>30.4 AUDITORIO</t>
  </si>
  <si>
    <t>30.4.1</t>
  </si>
  <si>
    <t>30.4.2</t>
  </si>
  <si>
    <t>BANCA PREFABRICADA TIPO  CON ESPALDAR :ÖLAND MARCA : KONKRETUS</t>
  </si>
  <si>
    <t>SILLAS AUDITORIO KENDO TAPIZADA EN ESPALDAR Y SILLIN</t>
  </si>
  <si>
    <t>Subtotal   AUDITORIO</t>
  </si>
  <si>
    <t>30.5  CENTRO DE ACOPIO</t>
  </si>
  <si>
    <t>30.5.1</t>
  </si>
  <si>
    <t>TORRE DE CASILLEROS DE 16 COMPARTIMENTOS (DIM. 1,4X1,9X0,4)</t>
  </si>
  <si>
    <t>Subtotal   CENTRO DE ACOPIO</t>
  </si>
  <si>
    <t>Subtotal   ELEMENTOS DE DOTACIÓN</t>
  </si>
  <si>
    <t>31. MOBILIARIO Y EXTERIORES (DOTACION)</t>
  </si>
  <si>
    <t>31.1  PARQUEADERO</t>
  </si>
  <si>
    <t>31.1.1</t>
  </si>
  <si>
    <t>31.1.2</t>
  </si>
  <si>
    <t>31.1.3</t>
  </si>
  <si>
    <t>LETRAS EN ACERO INOXIDABLE CALIBRE 18 ID MURO DE ACCESO PARQUE</t>
  </si>
  <si>
    <t>RECUBRIMIENTO EN EN ACERO INOXIDABLE CON FIGURA DE ÁRBOL - TÓTEM</t>
  </si>
  <si>
    <t>TALANQUERAS ACCESO Y SALIDA ZONA DE PARQUEO</t>
  </si>
  <si>
    <t>Subtotal   PARQUEADERO</t>
  </si>
  <si>
    <t>31.2  PARQUEADERO</t>
  </si>
  <si>
    <t>31.2.1</t>
  </si>
  <si>
    <t>BOMBA CENTRIFUGA SUMERGIBLE PARA EL SISTEMA DE RECIRCULACIÓN AGUA ESPEJO DE AGUA CON LAS SIGUIENTES CONDICIONES: C.D.T.= 50 P.S.I CAUDAL= 100 GPM CON MOTOR ELECTRICO DE 4 HP.</t>
  </si>
  <si>
    <t>31.3  MOBILIARIO</t>
  </si>
  <si>
    <t>31.3.1</t>
  </si>
  <si>
    <t>31.3.2</t>
  </si>
  <si>
    <t>31.3.3</t>
  </si>
  <si>
    <t>31.3.4</t>
  </si>
  <si>
    <t>31.3.5</t>
  </si>
  <si>
    <t>BANCACOPPEN 1.8 SIN ESPALDAR</t>
  </si>
  <si>
    <t>BUTACO MADERA PLÁSTICA WCP (1.5x0,40x0.40)</t>
  </si>
  <si>
    <t>BICICLETEROS TIPO 2 - M101, CAPACIDAD 5 PUESTOS</t>
  </si>
  <si>
    <t>AMOBLADO BANCAS DE CONCRETO</t>
  </si>
  <si>
    <t>BANCA METALICA SIN ESPALDAR L= 1,50 M</t>
  </si>
  <si>
    <t xml:space="preserve">Subtotal MOBILIARIO </t>
  </si>
  <si>
    <t>31.4 APARATOS Y ACCESORIOS PARA MOBILIARIA ASEO</t>
  </si>
  <si>
    <t>31.4.1</t>
  </si>
  <si>
    <t>31.4.2</t>
  </si>
  <si>
    <t>31.4.3</t>
  </si>
  <si>
    <t>31.4.4</t>
  </si>
  <si>
    <t>31.4.5</t>
  </si>
  <si>
    <t>31.4.6</t>
  </si>
  <si>
    <t>31.4.7</t>
  </si>
  <si>
    <t>31.4.8</t>
  </si>
  <si>
    <t>31.4.9</t>
  </si>
  <si>
    <t>DISPENSADOR PARA PAPEL HIGIÉNICO DE SOBREPONER, SOPORTE EN ALUMINIO MACIZO.</t>
  </si>
  <si>
    <t>DISPENSADOR DE JABÓN LÍQUIDO EN ACERO INOXIDABLE, PUSH SUPERIOR</t>
  </si>
  <si>
    <t>GABINETE PARA TOALLAS DE PAPEL DE SOBREPONER A LA PARED acero inoxidable</t>
  </si>
  <si>
    <t>BANCA EN ACERO INOXIDABLE ANCLADA A LA PARED PARA VESTIER EN DUCHA</t>
  </si>
  <si>
    <t>SUMINISTRO E INSTALACIÓN CAMBIADOR DE PAÑALES CON EL PANEL DE ACABADO DE ACERO INOXIDABLE.</t>
  </si>
  <si>
    <t xml:space="preserve">SOPORTE SOBREPUESTO ANCLADO A MURO CON CHAZOS, PARA COLGAR ELEMENTOS DE ASEO </t>
  </si>
  <si>
    <t>SUMINISTRO E INSTALACIÓN DE BARRAS DE SUJECIÓN FIJA RECTA, EN ACERO INOXIDABLE CON ACABADO SATINADO, INCLUYE TODOS LOS ELEMENTOS DE FIJACIÓN PARA SU CORRECTA INSTALACIÓN (BAÑO DE DISCAPACITADOS SEGÚN DETALLE)</t>
  </si>
  <si>
    <t>POCETA LAVA TRAPEROS EN ACERO INOXIDABLE 12MM CON PATAS EN TUBO DE ACERO INOXIDABLE, INCLUYE DESAGÜE Y COLA.</t>
  </si>
  <si>
    <t>ENTREPAÑO EN ACERO FIJO AL MURO (DIM 40X70)</t>
  </si>
  <si>
    <t>Subtotal APARATOS Y ACCESORIOS PARA MOBILIARIA ASEO</t>
  </si>
  <si>
    <t>Subtotal  MOBILIARIO Y EXTERIORES (DOTACION)</t>
  </si>
  <si>
    <t>TOTAL COSTO SUMINISTRO Y DOTACIONES</t>
  </si>
  <si>
    <t>32.  TRÁMITES  Y PERMISOS RED ELECTRICA Y ALUMBRADO</t>
  </si>
  <si>
    <t>32.1</t>
  </si>
  <si>
    <t>32.2</t>
  </si>
  <si>
    <t>32.3</t>
  </si>
  <si>
    <t>32.4</t>
  </si>
  <si>
    <t>32.5</t>
  </si>
  <si>
    <t>32.6</t>
  </si>
  <si>
    <t>CERTIFICADO POR INSPECCIÓN Y CERTIFICACIÓN CONFORME AL REGLAMENTO RETIE PARA DISTRIBUCIÓN SISTEMAS ELECTRICOS Y FOTOVOLTAICOS</t>
  </si>
  <si>
    <t>CERTIFICADO POR INSPECCIÓN Y CERTIFICACIÓN CONFORME AL REGLAMENTO RETIE PARA USO FINAL SISTEMAS ELECTRICOS Y FOTOVOLTAICOS</t>
  </si>
  <si>
    <t>CERTIFICADO POR INSPECCIÓN Y CERTIFICACIÓN CONFORME AL REGLAMENTO RETILAP PARA USO FINAL SISTEMAS ELECTRICOS Y FOTOVOLTAICOS</t>
  </si>
  <si>
    <t>TRÁMITES ANTE EMPRESA ELECTRIFICADORA Y MANIOBRA.</t>
  </si>
  <si>
    <t xml:space="preserve">PAGO MANIOBRA DE DESCONEXIÓN DE RED MT </t>
  </si>
  <si>
    <t>TRÁMITES EMPRESA ELECTRIFICADORA , APROBACIÓN DE PROYECTO ELÉCTRICO SISTEMAS ELECTRICOS Y FOTOVOLTAICOS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</si>
</sst>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4">
    <numFmt numFmtId="6" formatCode="&quot;$&quot;\ #,##0;[Red]\-&quot;$&quot;\ #,##0"/>
    <numFmt numFmtId="8" formatCode="&quot;$&quot;\ #,##0.00;[Red]\-&quot;$&quot;\ #,##0.00"/>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 #,##0.00\ &quot;€&quot;_-;\-* #,##0.00\ &quot;€&quot;_-;_-* &quot;-&quot;??\ &quot;€&quot;_-;_-@_-"/>
    <numFmt numFmtId="165" formatCode="_-&quot;$&quot;* #,##0.00_-;\-&quot;$&quot;* #,##0.00_-;_-&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0.0%"/>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0.00%;\-0.00%;&quot;&quot;"/>
    <numFmt numFmtId="192" formatCode="&quot;$&quot;#,##0\ ;\(&quot;$&quot;#,##0\)"/>
    <numFmt numFmtId="193" formatCode="\(0%\)"/>
    <numFmt numFmtId="194" formatCode=";;"/>
    <numFmt numFmtId="195" formatCode="d\ \d\e\ mmmm\ \d\e\ yyyy"/>
    <numFmt numFmtId="196" formatCode="0%;\-0%;&quot;&quot;"/>
    <numFmt numFmtId="197" formatCode="#0&quot;.&quot;000&quot;´&quot;000&quot;.&quot;000"/>
    <numFmt numFmtId="198" formatCode="##0&quot;.&quot;000"/>
    <numFmt numFmtId="199" formatCode="##0&quot;´&quot;000&quot;.&quot;000"/>
    <numFmt numFmtId="200" formatCode="_(&quot;$&quot;\ * #,##0_);_(&quot;$&quot;\ * \(#,##0\);_(&quot;$&quot;\ * &quot;-&quot;??_);_(@_)"/>
    <numFmt numFmtId="201" formatCode="#0&quot;.&quot;"/>
    <numFmt numFmtId="202" formatCode="0.0_)"/>
    <numFmt numFmtId="203" formatCode="_-&quot;$&quot;* #,##0_-;\-&quot;$&quot;* #,##0_-;_-&quot;$&quot;* &quot;-&quot;_-;_-@_-"/>
    <numFmt numFmtId="204" formatCode="&quot;$&quot;\ #,##0_);[Red]\(&quot;$&quot;\ #,##0\)"/>
    <numFmt numFmtId="205" formatCode="_(&quot;$&quot;\ * #,##0_);_(&quot;$&quot;\ * \(#,##0\);_(&quot;$&quot;\ * &quot;-&quot;_);_(@_)"/>
    <numFmt numFmtId="206" formatCode="0.00_);[Red]\(0.00\)"/>
    <numFmt numFmtId="207" formatCode="0.0"/>
    <numFmt numFmtId="208" formatCode="_ [$€]\ * #,##0.00_ ;_ [$€]\ * \-#,##0.00_ ;_ [$€]\ * &quot;-&quot;??_ ;_ @_ "/>
    <numFmt numFmtId="209" formatCode="#.##000"/>
    <numFmt numFmtId="210" formatCode="_-* #,##0\ _P_t_s_-;\-* #,##0\ _P_t_s_-;_-* &quot;-&quot;\ _P_t_s_-;_-@_-"/>
    <numFmt numFmtId="211" formatCode="_ * #,##0.00_ ;_ * \-#,##0.00_ ;_ * \-??_ ;_ @_ "/>
  </numFmts>
  <fonts count="76">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b/>
      <sz val="10"/>
      <name val="Arial"/>
      <family val="2"/>
    </font>
    <font>
      <b/>
      <sz val="8"/>
      <name val="Arial Narrow"/>
      <family val="2"/>
    </font>
    <font>
      <sz val="9"/>
      <name val="Arial Narrow"/>
      <family val="2"/>
    </font>
    <font>
      <sz val="10"/>
      <name val="Geneva"/>
      <family val="2"/>
    </font>
    <font>
      <u/>
      <sz val="10"/>
      <color indexed="12"/>
      <name val="Arial"/>
      <family val="2"/>
    </font>
    <font>
      <b/>
      <sz val="11"/>
      <name val="Arial Narrow"/>
      <family val="2"/>
    </font>
    <font>
      <b/>
      <sz val="8"/>
      <color rgb="FF595959"/>
      <name val="Arial"/>
      <family val="2"/>
      <charset val="1"/>
    </font>
    <font>
      <sz val="8"/>
      <color rgb="FF595959"/>
      <name val="Arial"/>
      <family val="2"/>
      <charset val="1"/>
    </font>
    <font>
      <sz val="11"/>
      <name val="Arial"/>
      <family val="2"/>
    </font>
    <font>
      <u/>
      <sz val="11"/>
      <name val="Arial"/>
      <family val="2"/>
    </font>
    <font>
      <b/>
      <sz val="11"/>
      <name val="Arial"/>
      <family val="2"/>
    </font>
    <font>
      <b/>
      <vertAlign val="superscript"/>
      <sz val="11"/>
      <name val="Arial"/>
      <family val="2"/>
    </font>
    <font>
      <b/>
      <sz val="11"/>
      <color rgb="FFFF0000"/>
      <name val="Arial"/>
      <family val="2"/>
    </font>
    <font>
      <sz val="9"/>
      <name val="Arial"/>
      <family val="2"/>
    </font>
    <font>
      <b/>
      <sz val="8"/>
      <name val="Arial"/>
      <family val="2"/>
      <charset val="1"/>
    </font>
    <font>
      <sz val="8"/>
      <name val="Arial"/>
      <family val="2"/>
      <charset val="1"/>
    </font>
    <font>
      <sz val="11"/>
      <color rgb="FFFF0000"/>
      <name val="Arial"/>
      <family val="2"/>
    </font>
    <font>
      <sz val="10"/>
      <name val="Verdana"/>
      <family val="2"/>
    </font>
    <font>
      <b/>
      <sz val="11"/>
      <name val="Verdana"/>
      <family val="2"/>
    </font>
    <font>
      <sz val="12"/>
      <name val="Verdana"/>
      <family val="2"/>
    </font>
    <font>
      <sz val="11"/>
      <name val="Verdana"/>
      <family val="2"/>
    </font>
    <font>
      <b/>
      <u/>
      <sz val="11"/>
      <name val="Verdana"/>
      <family val="2"/>
    </font>
    <font>
      <sz val="8"/>
      <name val="Verdana"/>
      <family val="2"/>
    </font>
    <font>
      <sz val="11"/>
      <color rgb="FFFF0000"/>
      <name val="Arial"/>
      <family val="2"/>
    </font>
    <font>
      <b/>
      <u/>
      <sz val="11"/>
      <color rgb="FFFF0000"/>
      <name val="Arial"/>
      <family val="2"/>
    </font>
    <font>
      <sz val="10"/>
      <name val="Arial"/>
      <family val="2"/>
    </font>
    <font>
      <sz val="11"/>
      <name val="Calibri"/>
      <family val="2"/>
      <scheme val="minor"/>
    </font>
    <font>
      <i/>
      <sz val="1"/>
      <color indexed="8"/>
      <name val="Courier"/>
      <family val="3"/>
    </font>
    <font>
      <b/>
      <sz val="18"/>
      <color indexed="62"/>
      <name val="Cambria"/>
      <family val="2"/>
    </font>
    <font>
      <sz val="10"/>
      <color theme="1"/>
      <name val="Verdana"/>
      <family val="2"/>
    </font>
    <font>
      <u/>
      <sz val="11"/>
      <color theme="10"/>
      <name val="Calibri"/>
      <family val="2"/>
      <scheme val="minor"/>
    </font>
    <font>
      <u/>
      <sz val="8.5"/>
      <color indexed="12"/>
      <name val="Arial"/>
      <family val="2"/>
    </font>
    <font>
      <sz val="10"/>
      <color rgb="FF000000"/>
      <name val="Times New Roman"/>
      <family val="1"/>
    </font>
    <font>
      <b/>
      <sz val="10"/>
      <name val="Verdana"/>
      <family val="2"/>
    </font>
  </fonts>
  <fills count="39">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
      <patternFill patternType="lightUp">
        <fgColor indexed="9"/>
        <bgColor indexed="55"/>
      </patternFill>
    </fill>
    <fill>
      <patternFill patternType="lightUp">
        <fgColor indexed="9"/>
        <bgColor indexed="29"/>
      </patternFill>
    </fill>
    <fill>
      <patternFill patternType="lightUp">
        <fgColor indexed="9"/>
        <bgColor indexed="22"/>
      </patternFill>
    </fill>
    <fill>
      <patternFill patternType="solid">
        <fgColor indexed="31"/>
        <bgColor indexed="31"/>
      </patternFill>
    </fill>
    <fill>
      <patternFill patternType="solid">
        <fgColor indexed="44"/>
        <bgColor indexed="44"/>
      </patternFill>
    </fill>
    <fill>
      <patternFill patternType="solid">
        <fgColor indexed="26"/>
        <bgColor indexed="26"/>
      </patternFill>
    </fill>
    <fill>
      <patternFill patternType="solid">
        <fgColor indexed="22"/>
        <bgColor indexed="22"/>
      </patternFill>
    </fill>
    <fill>
      <patternFill patternType="solid">
        <fgColor indexed="55"/>
        <bgColor indexed="55"/>
      </patternFill>
    </fill>
    <fill>
      <patternFill patternType="solid">
        <fgColor indexed="42"/>
        <bgColor indexed="42"/>
      </patternFill>
    </fill>
    <fill>
      <patternFill patternType="solid">
        <fgColor indexed="27"/>
        <bgColor indexed="27"/>
      </patternFill>
    </fill>
    <fill>
      <patternFill patternType="solid">
        <fgColor indexed="47"/>
        <bgColor indexed="47"/>
      </patternFill>
    </fill>
  </fills>
  <borders count="90">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right style="double">
        <color indexed="64"/>
      </right>
      <top style="double">
        <color indexed="64"/>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hair">
        <color indexed="64"/>
      </left>
      <right style="hair">
        <color indexed="64"/>
      </right>
      <top style="hair">
        <color indexed="64"/>
      </top>
      <bottom style="hair">
        <color indexed="64"/>
      </bottom>
      <diagonal/>
    </border>
    <border>
      <left style="dotted">
        <color indexed="64"/>
      </left>
      <right style="dotted">
        <color indexed="64"/>
      </right>
      <top/>
      <bottom style="dotted">
        <color indexed="64"/>
      </bottom>
      <diagonal/>
    </border>
    <border>
      <left style="medium">
        <color indexed="64"/>
      </left>
      <right style="double">
        <color indexed="64"/>
      </right>
      <top/>
      <bottom/>
      <diagonal/>
    </border>
    <border>
      <left style="double">
        <color indexed="64"/>
      </left>
      <right style="medium">
        <color indexed="64"/>
      </right>
      <top/>
      <bottom/>
      <diagonal/>
    </border>
    <border>
      <left style="thin">
        <color indexed="64"/>
      </left>
      <right style="medium">
        <color indexed="64"/>
      </right>
      <top style="medium">
        <color indexed="64"/>
      </top>
      <bottom/>
      <diagonal/>
    </border>
  </borders>
  <cellStyleXfs count="437">
    <xf numFmtId="0" fontId="0" fillId="0" borderId="0"/>
    <xf numFmtId="0" fontId="9" fillId="2" borderId="0" applyNumberFormat="0" applyBorder="0" applyAlignment="0" applyProtection="0"/>
    <xf numFmtId="0" fontId="9" fillId="3"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8" borderId="0" applyNumberFormat="0" applyBorder="0" applyAlignment="0" applyProtection="0"/>
    <xf numFmtId="0" fontId="9" fillId="11" borderId="0" applyNumberFormat="0" applyBorder="0" applyAlignment="0" applyProtection="0"/>
    <xf numFmtId="0" fontId="10" fillId="12"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1" fillId="4" borderId="0" applyNumberFormat="0" applyBorder="0" applyAlignment="0" applyProtection="0"/>
    <xf numFmtId="0" fontId="12" fillId="16" borderId="1" applyNumberFormat="0" applyAlignment="0" applyProtection="0"/>
    <xf numFmtId="0" fontId="13" fillId="17" borderId="2" applyNumberFormat="0" applyAlignment="0" applyProtection="0"/>
    <xf numFmtId="0" fontId="14" fillId="0" borderId="3" applyNumberFormat="0" applyFill="0" applyAlignment="0" applyProtection="0"/>
    <xf numFmtId="0" fontId="15" fillId="0" borderId="0" applyNumberFormat="0" applyFill="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21" borderId="0" applyNumberFormat="0" applyBorder="0" applyAlignment="0" applyProtection="0"/>
    <xf numFmtId="0" fontId="16" fillId="7" borderId="1" applyNumberFormat="0" applyAlignment="0" applyProtection="0"/>
    <xf numFmtId="0" fontId="26" fillId="0" borderId="0">
      <alignment vertical="top"/>
    </xf>
    <xf numFmtId="183" fontId="6" fillId="0" borderId="0" applyFont="0" applyFill="0" applyBorder="0" applyAlignment="0" applyProtection="0"/>
    <xf numFmtId="0" fontId="17" fillId="3" borderId="0" applyNumberFormat="0" applyBorder="0" applyAlignment="0" applyProtection="0"/>
    <xf numFmtId="173" fontId="5" fillId="0" borderId="0" applyFont="0" applyFill="0" applyBorder="0" applyAlignment="0" applyProtection="0"/>
    <xf numFmtId="2" fontId="7" fillId="0" borderId="4" applyFont="0" applyBorder="0"/>
    <xf numFmtId="173"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3" fontId="6" fillId="0" borderId="0" applyFont="0" applyFill="0" applyBorder="0" applyAlignment="0" applyProtection="0"/>
    <xf numFmtId="169" fontId="6" fillId="0" borderId="0" applyFont="0" applyFill="0" applyBorder="0" applyAlignment="0" applyProtection="0"/>
    <xf numFmtId="178" fontId="6" fillId="0" borderId="0" applyFont="0" applyFill="0" applyBorder="0" applyAlignment="0" applyProtection="0"/>
    <xf numFmtId="175" fontId="6" fillId="0" borderId="0" applyFont="0" applyFill="0" applyBorder="0" applyAlignment="0" applyProtection="0"/>
    <xf numFmtId="175" fontId="6" fillId="0" borderId="0" applyFont="0" applyFill="0" applyBorder="0" applyAlignment="0" applyProtection="0"/>
    <xf numFmtId="175" fontId="6" fillId="0" borderId="0" applyFont="0" applyFill="0" applyBorder="0" applyAlignment="0" applyProtection="0"/>
    <xf numFmtId="178" fontId="6" fillId="0" borderId="0" applyFont="0" applyFill="0" applyBorder="0" applyAlignment="0" applyProtection="0"/>
    <xf numFmtId="174" fontId="6" fillId="0" borderId="0" applyFont="0" applyFill="0" applyBorder="0" applyAlignment="0" applyProtection="0"/>
    <xf numFmtId="169" fontId="9" fillId="0" borderId="0" applyFont="0" applyFill="0" applyBorder="0" applyAlignment="0" applyProtection="0"/>
    <xf numFmtId="174" fontId="6" fillId="0" borderId="0" applyFont="0" applyFill="0" applyBorder="0" applyAlignment="0" applyProtection="0"/>
    <xf numFmtId="169" fontId="6" fillId="0" borderId="0" applyFont="0" applyFill="0" applyBorder="0" applyAlignment="0" applyProtection="0"/>
    <xf numFmtId="169" fontId="27" fillId="0" borderId="0" applyFont="0" applyFill="0" applyBorder="0" applyAlignment="0" applyProtection="0"/>
    <xf numFmtId="173" fontId="6" fillId="0" borderId="0" applyFont="0" applyFill="0" applyBorder="0" applyAlignment="0" applyProtection="0"/>
    <xf numFmtId="0" fontId="6" fillId="0" borderId="0" applyFont="0" applyFill="0" applyBorder="0" applyAlignment="0" applyProtection="0"/>
    <xf numFmtId="0" fontId="27"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9" fontId="6" fillId="0" borderId="0" applyFont="0" applyFill="0" applyBorder="0" applyAlignment="0" applyProtection="0"/>
    <xf numFmtId="168" fontId="9" fillId="0" borderId="0" applyFont="0" applyFill="0" applyBorder="0" applyAlignment="0" applyProtection="0"/>
    <xf numFmtId="170" fontId="6" fillId="0" borderId="0" applyFont="0" applyFill="0" applyBorder="0" applyAlignment="0" applyProtection="0"/>
    <xf numFmtId="177" fontId="6" fillId="0" borderId="0" applyFont="0" applyFill="0" applyBorder="0" applyAlignment="0" applyProtection="0"/>
    <xf numFmtId="164" fontId="6" fillId="0" borderId="0" applyFont="0" applyFill="0" applyBorder="0" applyAlignment="0" applyProtection="0"/>
    <xf numFmtId="177" fontId="6" fillId="0" borderId="0" applyFont="0" applyFill="0" applyBorder="0" applyAlignment="0" applyProtection="0"/>
    <xf numFmtId="164" fontId="6" fillId="0" borderId="0" applyFont="0" applyFill="0" applyBorder="0" applyAlignment="0" applyProtection="0"/>
    <xf numFmtId="164" fontId="6" fillId="0" borderId="0" applyFont="0" applyFill="0" applyBorder="0" applyAlignment="0" applyProtection="0"/>
    <xf numFmtId="170"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0" fontId="18" fillId="22" borderId="0" applyNumberFormat="0" applyBorder="0" applyAlignment="0" applyProtection="0"/>
    <xf numFmtId="0" fontId="18" fillId="22" borderId="0" applyNumberFormat="0" applyBorder="0" applyAlignment="0" applyProtection="0"/>
    <xf numFmtId="0" fontId="6" fillId="0" borderId="0"/>
    <xf numFmtId="0" fontId="6" fillId="0" borderId="0"/>
    <xf numFmtId="0" fontId="27" fillId="0" borderId="0"/>
    <xf numFmtId="0" fontId="6" fillId="0" borderId="0"/>
    <xf numFmtId="0" fontId="6" fillId="0" borderId="0"/>
    <xf numFmtId="0" fontId="2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28" fillId="0" borderId="0"/>
    <xf numFmtId="0" fontId="28" fillId="0" borderId="0"/>
    <xf numFmtId="0" fontId="6" fillId="0" borderId="0"/>
    <xf numFmtId="0" fontId="6" fillId="0" borderId="0"/>
    <xf numFmtId="0" fontId="6" fillId="0" borderId="0"/>
    <xf numFmtId="0" fontId="6" fillId="23" borderId="5" applyNumberFormat="0" applyFont="0" applyAlignment="0" applyProtection="0"/>
    <xf numFmtId="9" fontId="9" fillId="0" borderId="0" applyFont="0" applyFill="0" applyBorder="0" applyAlignment="0" applyProtection="0"/>
    <xf numFmtId="9" fontId="5" fillId="0" borderId="0" applyFont="0" applyFill="0" applyBorder="0" applyAlignment="0" applyProtection="0"/>
    <xf numFmtId="9" fontId="28" fillId="0" borderId="0" applyFont="0" applyFill="0" applyBorder="0" applyAlignment="0" applyProtection="0"/>
    <xf numFmtId="9" fontId="6" fillId="0" borderId="0" applyFont="0" applyFill="0" applyBorder="0" applyAlignment="0" applyProtection="0"/>
    <xf numFmtId="9" fontId="27"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0" fontId="19" fillId="16" borderId="6" applyNumberFormat="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3" fillId="0" borderId="7" applyNumberFormat="0" applyFill="0" applyAlignment="0" applyProtection="0"/>
    <xf numFmtId="0" fontId="24" fillId="0" borderId="8" applyNumberFormat="0" applyFill="0" applyAlignment="0" applyProtection="0"/>
    <xf numFmtId="0" fontId="15" fillId="0" borderId="9" applyNumberFormat="0" applyFill="0" applyAlignment="0" applyProtection="0"/>
    <xf numFmtId="0" fontId="22" fillId="0" borderId="0" applyNumberFormat="0" applyFill="0" applyBorder="0" applyAlignment="0" applyProtection="0"/>
    <xf numFmtId="0" fontId="25" fillId="0" borderId="10" applyNumberFormat="0" applyFill="0" applyAlignment="0" applyProtection="0"/>
    <xf numFmtId="0" fontId="25" fillId="0" borderId="10" applyNumberFormat="0" applyFill="0" applyAlignment="0" applyProtection="0"/>
    <xf numFmtId="173" fontId="29" fillId="0" borderId="0" applyFont="0" applyFill="0" applyBorder="0" applyAlignment="0" applyProtection="0"/>
    <xf numFmtId="0" fontId="5" fillId="0" borderId="0"/>
    <xf numFmtId="9" fontId="29" fillId="0" borderId="0" applyFont="0" applyFill="0" applyBorder="0" applyAlignment="0" applyProtection="0"/>
    <xf numFmtId="0" fontId="5" fillId="0" borderId="0"/>
    <xf numFmtId="177" fontId="5" fillId="0" borderId="0" applyFont="0" applyFill="0" applyBorder="0" applyAlignment="0" applyProtection="0"/>
    <xf numFmtId="0" fontId="4" fillId="0" borderId="0"/>
    <xf numFmtId="0" fontId="5" fillId="0" borderId="0"/>
    <xf numFmtId="0" fontId="5" fillId="0" borderId="0"/>
    <xf numFmtId="0" fontId="3" fillId="0" borderId="0"/>
    <xf numFmtId="43" fontId="3" fillId="0" borderId="0" applyFont="0" applyFill="0" applyBorder="0" applyAlignment="0" applyProtection="0"/>
    <xf numFmtId="0" fontId="5" fillId="0" borderId="0"/>
    <xf numFmtId="0" fontId="9" fillId="2" borderId="0" applyNumberFormat="0" applyBorder="0" applyAlignment="0" applyProtection="0"/>
    <xf numFmtId="0" fontId="9" fillId="3"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8" borderId="0" applyNumberFormat="0" applyBorder="0" applyAlignment="0" applyProtection="0"/>
    <xf numFmtId="0" fontId="9" fillId="11" borderId="0" applyNumberFormat="0" applyBorder="0" applyAlignment="0" applyProtection="0"/>
    <xf numFmtId="0" fontId="10" fillId="12"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1" fillId="4" borderId="0" applyNumberFormat="0" applyBorder="0" applyAlignment="0" applyProtection="0"/>
    <xf numFmtId="0" fontId="12" fillId="16" borderId="1" applyNumberFormat="0" applyAlignment="0" applyProtection="0"/>
    <xf numFmtId="0" fontId="5" fillId="0" borderId="0"/>
    <xf numFmtId="0" fontId="13" fillId="17" borderId="2" applyNumberFormat="0" applyAlignment="0" applyProtection="0"/>
    <xf numFmtId="0" fontId="14" fillId="0" borderId="3" applyNumberFormat="0" applyFill="0" applyAlignment="0" applyProtection="0"/>
    <xf numFmtId="188" fontId="7" fillId="0" borderId="49">
      <alignment horizontal="right"/>
    </xf>
    <xf numFmtId="188" fontId="7" fillId="0" borderId="49">
      <alignment horizontal="right"/>
    </xf>
    <xf numFmtId="2" fontId="7" fillId="0" borderId="0"/>
    <xf numFmtId="2" fontId="7" fillId="0" borderId="0"/>
    <xf numFmtId="2" fontId="7" fillId="0" borderId="0"/>
    <xf numFmtId="189" fontId="7" fillId="0" borderId="0"/>
    <xf numFmtId="189" fontId="7" fillId="0" borderId="0"/>
    <xf numFmtId="189" fontId="7" fillId="0" borderId="0"/>
    <xf numFmtId="190" fontId="8" fillId="0" borderId="0"/>
    <xf numFmtId="190" fontId="8" fillId="0" borderId="0"/>
    <xf numFmtId="190" fontId="8" fillId="0" borderId="0"/>
    <xf numFmtId="188" fontId="7" fillId="0" borderId="49">
      <alignment horizontal="right"/>
    </xf>
    <xf numFmtId="3" fontId="34" fillId="0" borderId="0" applyFont="0" applyFill="0" applyBorder="0" applyAlignment="0" applyProtection="0"/>
    <xf numFmtId="191" fontId="5" fillId="0" borderId="0">
      <protection locked="0"/>
    </xf>
    <xf numFmtId="192" fontId="34" fillId="0" borderId="0" applyFont="0" applyFill="0" applyBorder="0" applyAlignment="0" applyProtection="0"/>
    <xf numFmtId="193" fontId="5" fillId="0" borderId="0">
      <protection locked="0"/>
    </xf>
    <xf numFmtId="0" fontId="15" fillId="0" borderId="0" applyNumberFormat="0" applyFill="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21" borderId="0" applyNumberFormat="0" applyBorder="0" applyAlignment="0" applyProtection="0"/>
    <xf numFmtId="0" fontId="16" fillId="7" borderId="1" applyNumberFormat="0" applyAlignment="0" applyProtection="0"/>
    <xf numFmtId="194" fontId="35" fillId="0" borderId="0">
      <protection locked="0"/>
    </xf>
    <xf numFmtId="194" fontId="35" fillId="0" borderId="0">
      <protection locked="0"/>
    </xf>
    <xf numFmtId="194" fontId="35" fillId="0" borderId="0">
      <protection locked="0"/>
    </xf>
    <xf numFmtId="194" fontId="35" fillId="0" borderId="0">
      <protection locked="0"/>
    </xf>
    <xf numFmtId="194" fontId="35" fillId="0" borderId="0">
      <protection locked="0"/>
    </xf>
    <xf numFmtId="194" fontId="35" fillId="0" borderId="0">
      <protection locked="0"/>
    </xf>
    <xf numFmtId="194" fontId="35" fillId="0" borderId="0">
      <protection locked="0"/>
    </xf>
    <xf numFmtId="195" fontId="5" fillId="0" borderId="0">
      <protection locked="0"/>
    </xf>
    <xf numFmtId="0" fontId="36" fillId="0" borderId="0" applyNumberFormat="0" applyFill="0" applyBorder="0" applyAlignment="0" applyProtection="0"/>
    <xf numFmtId="0" fontId="37" fillId="0" borderId="0" applyNumberFormat="0" applyFill="0" applyBorder="0" applyAlignment="0" applyProtection="0"/>
    <xf numFmtId="196" fontId="5" fillId="0" borderId="0">
      <protection locked="0"/>
    </xf>
    <xf numFmtId="196" fontId="5" fillId="0" borderId="0">
      <protection locked="0"/>
    </xf>
    <xf numFmtId="0" fontId="17" fillId="3" borderId="0" applyNumberFormat="0" applyBorder="0" applyAlignment="0" applyProtection="0"/>
    <xf numFmtId="197" fontId="7" fillId="0" borderId="0">
      <alignment horizontal="right"/>
    </xf>
    <xf numFmtId="197" fontId="7" fillId="0" borderId="0">
      <alignment horizontal="right"/>
    </xf>
    <xf numFmtId="197" fontId="7" fillId="0" borderId="0">
      <alignment horizontal="right"/>
    </xf>
    <xf numFmtId="198" fontId="7" fillId="0" borderId="0" applyFont="0" applyFill="0" applyBorder="0" applyAlignment="0">
      <alignment horizontal="center"/>
    </xf>
    <xf numFmtId="198" fontId="7" fillId="0" borderId="0" applyFont="0" applyFill="0" applyBorder="0" applyAlignment="0">
      <alignment horizontal="center"/>
    </xf>
    <xf numFmtId="2" fontId="7" fillId="0" borderId="4" applyFont="0" applyBorder="0"/>
    <xf numFmtId="169" fontId="9"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69" fontId="38" fillId="0" borderId="0" applyFont="0" applyFill="0" applyBorder="0" applyAlignment="0" applyProtection="0"/>
    <xf numFmtId="169" fontId="38" fillId="0" borderId="0" applyFont="0" applyFill="0" applyBorder="0" applyAlignment="0" applyProtection="0"/>
    <xf numFmtId="169" fontId="38" fillId="0" borderId="0" applyFont="0" applyFill="0" applyBorder="0" applyAlignment="0" applyProtection="0"/>
    <xf numFmtId="199" fontId="7" fillId="0" borderId="0">
      <alignment horizontal="right"/>
    </xf>
    <xf numFmtId="199" fontId="7" fillId="0" borderId="0">
      <alignment horizontal="right"/>
    </xf>
    <xf numFmtId="199" fontId="7" fillId="0" borderId="0">
      <alignment horizontal="right"/>
    </xf>
    <xf numFmtId="200" fontId="5" fillId="0" borderId="0" applyFont="0" applyFill="0" applyBorder="0" applyAlignment="0" applyProtection="0"/>
    <xf numFmtId="200" fontId="5" fillId="0" borderId="0" applyFont="0" applyFill="0" applyBorder="0" applyAlignment="0" applyProtection="0"/>
    <xf numFmtId="165" fontId="5" fillId="0" borderId="0" applyFont="0" applyFill="0" applyBorder="0" applyAlignment="0" applyProtection="0"/>
    <xf numFmtId="168" fontId="5" fillId="0" borderId="0" applyFont="0" applyFill="0" applyBorder="0" applyAlignment="0" applyProtection="0"/>
    <xf numFmtId="200" fontId="5" fillId="0" borderId="0" applyFont="0" applyFill="0" applyBorder="0" applyAlignment="0" applyProtection="0"/>
    <xf numFmtId="200" fontId="5" fillId="0" borderId="0" applyFont="0" applyFill="0" applyBorder="0" applyAlignment="0" applyProtection="0"/>
    <xf numFmtId="200" fontId="5" fillId="0" borderId="0" applyFont="0" applyFill="0" applyBorder="0" applyAlignment="0" applyProtection="0"/>
    <xf numFmtId="200" fontId="5" fillId="0" borderId="0" applyFont="0" applyFill="0" applyBorder="0" applyAlignment="0" applyProtection="0"/>
    <xf numFmtId="200" fontId="5" fillId="0" borderId="0" applyFont="0" applyFill="0" applyBorder="0" applyAlignment="0" applyProtection="0"/>
    <xf numFmtId="200" fontId="5" fillId="0" borderId="0" applyFont="0" applyFill="0" applyBorder="0" applyAlignment="0" applyProtection="0"/>
    <xf numFmtId="165" fontId="5" fillId="0" borderId="0" applyFont="0" applyFill="0" applyBorder="0" applyAlignment="0" applyProtection="0"/>
    <xf numFmtId="168" fontId="9" fillId="0" borderId="0" applyFont="0" applyFill="0" applyBorder="0" applyAlignment="0" applyProtection="0"/>
    <xf numFmtId="192" fontId="39" fillId="0" borderId="0" applyFont="0" applyFill="0" applyBorder="0" applyAlignment="0" applyProtection="0"/>
    <xf numFmtId="0" fontId="18" fillId="22" borderId="0" applyNumberFormat="0" applyBorder="0" applyAlignment="0" applyProtection="0"/>
    <xf numFmtId="201" fontId="7" fillId="0" borderId="0" applyFont="0" applyFill="0" applyBorder="0" applyAlignment="0">
      <alignment horizontal="center"/>
    </xf>
    <xf numFmtId="201" fontId="7" fillId="0" borderId="0" applyFont="0" applyFill="0" applyBorder="0" applyAlignment="0">
      <alignment horizontal="center"/>
    </xf>
    <xf numFmtId="0" fontId="5" fillId="0" borderId="0"/>
    <xf numFmtId="0" fontId="5" fillId="0" borderId="0"/>
    <xf numFmtId="0" fontId="38" fillId="0" borderId="0"/>
    <xf numFmtId="0" fontId="2" fillId="0" borderId="0"/>
    <xf numFmtId="0" fontId="38" fillId="0" borderId="0"/>
    <xf numFmtId="0" fontId="5" fillId="0" borderId="0"/>
    <xf numFmtId="0" fontId="5" fillId="0" borderId="0"/>
    <xf numFmtId="0" fontId="5" fillId="0" borderId="0"/>
    <xf numFmtId="0" fontId="5" fillId="0" borderId="0"/>
    <xf numFmtId="0" fontId="40" fillId="0" borderId="0"/>
    <xf numFmtId="0" fontId="5" fillId="0" borderId="0"/>
    <xf numFmtId="0" fontId="5" fillId="23" borderId="5" applyNumberFormat="0" applyFont="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38" fillId="0" borderId="0" applyFont="0" applyFill="0" applyBorder="0" applyAlignment="0" applyProtection="0"/>
    <xf numFmtId="0" fontId="41" fillId="0" borderId="0">
      <alignment vertical="top"/>
    </xf>
    <xf numFmtId="0" fontId="19" fillId="16" borderId="6" applyNumberFormat="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3" fillId="0" borderId="7" applyNumberFormat="0" applyFill="0" applyAlignment="0" applyProtection="0"/>
    <xf numFmtId="0" fontId="24" fillId="0" borderId="8" applyNumberFormat="0" applyFill="0" applyAlignment="0" applyProtection="0"/>
    <xf numFmtId="0" fontId="15" fillId="0" borderId="9" applyNumberFormat="0" applyFill="0" applyAlignment="0" applyProtection="0"/>
    <xf numFmtId="0" fontId="22" fillId="0" borderId="0" applyNumberFormat="0" applyFill="0" applyBorder="0" applyAlignment="0" applyProtection="0"/>
    <xf numFmtId="196" fontId="5" fillId="0" borderId="54">
      <protection locked="0"/>
    </xf>
    <xf numFmtId="0" fontId="45" fillId="0" borderId="0"/>
    <xf numFmtId="0" fontId="46" fillId="0" borderId="0" applyNumberFormat="0" applyFill="0" applyBorder="0" applyAlignment="0" applyProtection="0">
      <alignment vertical="top"/>
      <protection locked="0"/>
    </xf>
    <xf numFmtId="44" fontId="67" fillId="0" borderId="0" applyFont="0" applyFill="0" applyBorder="0" applyAlignment="0" applyProtection="0"/>
    <xf numFmtId="0" fontId="1" fillId="0" borderId="0"/>
    <xf numFmtId="49" fontId="71" fillId="0" borderId="0" applyFill="0" applyBorder="0" applyProtection="0">
      <alignment horizontal="left" vertical="center"/>
    </xf>
    <xf numFmtId="207" fontId="5" fillId="0" borderId="0" applyFont="0" applyFill="0" applyBorder="0" applyAlignment="0" applyProtection="0"/>
    <xf numFmtId="0" fontId="25" fillId="28" borderId="0" applyNumberFormat="0" applyBorder="0" applyAlignment="0" applyProtection="0"/>
    <xf numFmtId="0" fontId="25" fillId="29" borderId="0" applyNumberFormat="0" applyBorder="0" applyAlignment="0" applyProtection="0"/>
    <xf numFmtId="0" fontId="25" fillId="30" borderId="0" applyNumberFormat="0" applyBorder="0" applyAlignment="0" applyProtection="0"/>
    <xf numFmtId="0" fontId="9" fillId="31" borderId="0" applyNumberFormat="0" applyBorder="0" applyAlignment="0" applyProtection="0"/>
    <xf numFmtId="0" fontId="9" fillId="31" borderId="0" applyNumberFormat="0" applyBorder="0" applyAlignment="0" applyProtection="0"/>
    <xf numFmtId="0" fontId="10" fillId="32" borderId="0" applyNumberFormat="0" applyBorder="0" applyAlignment="0" applyProtection="0"/>
    <xf numFmtId="0" fontId="9" fillId="33" borderId="0" applyNumberFormat="0" applyBorder="0" applyAlignment="0" applyProtection="0"/>
    <xf numFmtId="0" fontId="9" fillId="34" borderId="0" applyNumberFormat="0" applyBorder="0" applyAlignment="0" applyProtection="0"/>
    <xf numFmtId="0" fontId="10" fillId="35" borderId="0" applyNumberFormat="0" applyBorder="0" applyAlignment="0" applyProtection="0"/>
    <xf numFmtId="0" fontId="9" fillId="33" borderId="0" applyNumberFormat="0" applyBorder="0" applyAlignment="0" applyProtection="0"/>
    <xf numFmtId="0" fontId="9" fillId="36" borderId="0" applyNumberFormat="0" applyBorder="0" applyAlignment="0" applyProtection="0"/>
    <xf numFmtId="0" fontId="10" fillId="34" borderId="0" applyNumberFormat="0" applyBorder="0" applyAlignment="0" applyProtection="0"/>
    <xf numFmtId="0" fontId="9" fillId="31" borderId="0" applyNumberFormat="0" applyBorder="0" applyAlignment="0" applyProtection="0"/>
    <xf numFmtId="0" fontId="9" fillId="34" borderId="0" applyNumberFormat="0" applyBorder="0" applyAlignment="0" applyProtection="0"/>
    <xf numFmtId="0" fontId="10" fillId="34" borderId="0" applyNumberFormat="0" applyBorder="0" applyAlignment="0" applyProtection="0"/>
    <xf numFmtId="0" fontId="9" fillId="37" borderId="0" applyNumberFormat="0" applyBorder="0" applyAlignment="0" applyProtection="0"/>
    <xf numFmtId="0" fontId="9" fillId="31" borderId="0" applyNumberFormat="0" applyBorder="0" applyAlignment="0" applyProtection="0"/>
    <xf numFmtId="0" fontId="10" fillId="32" borderId="0" applyNumberFormat="0" applyBorder="0" applyAlignment="0" applyProtection="0"/>
    <xf numFmtId="0" fontId="9" fillId="33" borderId="0" applyNumberFormat="0" applyBorder="0" applyAlignment="0" applyProtection="0"/>
    <xf numFmtId="0" fontId="9" fillId="38" borderId="0" applyNumberFormat="0" applyBorder="0" applyAlignment="0" applyProtection="0"/>
    <xf numFmtId="0" fontId="10" fillId="38" borderId="0" applyNumberFormat="0" applyBorder="0" applyAlignment="0" applyProtection="0"/>
    <xf numFmtId="208" fontId="5" fillId="0" borderId="0" applyFont="0" applyFill="0" applyBorder="0" applyAlignment="0" applyProtection="0"/>
    <xf numFmtId="209" fontId="35" fillId="0" borderId="0">
      <protection locked="0"/>
    </xf>
    <xf numFmtId="209" fontId="35" fillId="0" borderId="0">
      <protection locked="0"/>
    </xf>
    <xf numFmtId="209" fontId="69" fillId="0" borderId="0">
      <protection locked="0"/>
    </xf>
    <xf numFmtId="209" fontId="35" fillId="0" borderId="0">
      <protection locked="0"/>
    </xf>
    <xf numFmtId="209" fontId="35" fillId="0" borderId="0">
      <protection locked="0"/>
    </xf>
    <xf numFmtId="209" fontId="35" fillId="0" borderId="0">
      <protection locked="0"/>
    </xf>
    <xf numFmtId="209" fontId="69" fillId="0" borderId="0">
      <protection locked="0"/>
    </xf>
    <xf numFmtId="0" fontId="72" fillId="0" borderId="0" applyNumberFormat="0" applyFill="0" applyBorder="0" applyAlignment="0" applyProtection="0"/>
    <xf numFmtId="43" fontId="1" fillId="0" borderId="0" applyFont="0" applyFill="0" applyBorder="0" applyAlignment="0" applyProtection="0"/>
    <xf numFmtId="210" fontId="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206" fontId="5" fillId="0" borderId="0" applyFont="0" applyFill="0" applyBorder="0" applyAlignment="0" applyProtection="0"/>
    <xf numFmtId="43" fontId="9" fillId="0" borderId="0" applyFont="0" applyFill="0" applyBorder="0" applyAlignment="0" applyProtection="0"/>
    <xf numFmtId="43" fontId="1"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204"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68" fontId="5" fillId="0" borderId="0" applyFont="0" applyFill="0" applyBorder="0" applyAlignment="0" applyProtection="0"/>
    <xf numFmtId="43" fontId="9" fillId="0" borderId="0" applyFont="0" applyFill="0" applyBorder="0" applyAlignment="0" applyProtection="0"/>
    <xf numFmtId="211" fontId="5" fillId="0" borderId="0" applyFill="0" applyBorder="0" applyAlignment="0" applyProtection="0"/>
    <xf numFmtId="43" fontId="5" fillId="0" borderId="0" applyFont="0" applyFill="0" applyBorder="0" applyAlignment="0" applyProtection="0"/>
    <xf numFmtId="211" fontId="5" fillId="0" borderId="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73" fontId="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68" fontId="1" fillId="0" borderId="0" applyFont="0" applyFill="0" applyBorder="0" applyAlignment="0" applyProtection="0"/>
    <xf numFmtId="42" fontId="1" fillId="0" borderId="0" applyFont="0" applyFill="0" applyBorder="0" applyAlignment="0" applyProtection="0"/>
    <xf numFmtId="205" fontId="1" fillId="0" borderId="0" applyFont="0" applyFill="0" applyBorder="0" applyAlignment="0" applyProtection="0"/>
    <xf numFmtId="203" fontId="5" fillId="0" borderId="0" applyFont="0" applyFill="0" applyBorder="0" applyAlignment="0" applyProtection="0"/>
    <xf numFmtId="165"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5" fontId="5" fillId="0" borderId="0" applyFont="0" applyFill="0" applyBorder="0" applyAlignment="0" applyProtection="0"/>
    <xf numFmtId="164" fontId="1" fillId="0" borderId="0" applyFont="0" applyFill="0" applyBorder="0" applyAlignment="0" applyProtection="0"/>
    <xf numFmtId="164" fontId="5" fillId="0" borderId="0" applyFont="0" applyFill="0" applyBorder="0" applyAlignment="0" applyProtection="0"/>
    <xf numFmtId="168" fontId="9" fillId="0" borderId="0" applyFont="0" applyFill="0" applyBorder="0" applyAlignment="0" applyProtection="0"/>
    <xf numFmtId="168" fontId="5"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0" fontId="5" fillId="0" borderId="0"/>
    <xf numFmtId="0" fontId="1" fillId="0" borderId="0"/>
    <xf numFmtId="208" fontId="5" fillId="0" borderId="0"/>
    <xf numFmtId="208" fontId="5" fillId="0" borderId="0"/>
    <xf numFmtId="0" fontId="5" fillId="0" borderId="0"/>
    <xf numFmtId="200" fontId="5" fillId="0" borderId="0"/>
    <xf numFmtId="200" fontId="5" fillId="0" borderId="0"/>
    <xf numFmtId="0" fontId="1" fillId="0" borderId="0"/>
    <xf numFmtId="208" fontId="5" fillId="0" borderId="0"/>
    <xf numFmtId="0" fontId="1" fillId="0" borderId="0"/>
    <xf numFmtId="0" fontId="1" fillId="0" borderId="0"/>
    <xf numFmtId="0" fontId="5" fillId="0" borderId="0"/>
    <xf numFmtId="0" fontId="1" fillId="0" borderId="0"/>
    <xf numFmtId="0" fontId="1" fillId="0" borderId="0"/>
    <xf numFmtId="0" fontId="1" fillId="0" borderId="0"/>
    <xf numFmtId="9" fontId="1" fillId="0" borderId="0" applyFont="0" applyFill="0" applyBorder="0" applyAlignment="0" applyProtection="0"/>
    <xf numFmtId="9" fontId="9"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70" fillId="0" borderId="0" applyNumberFormat="0" applyFill="0" applyBorder="0" applyAlignment="0" applyProtection="0"/>
    <xf numFmtId="168" fontId="5" fillId="0" borderId="0" applyFont="0" applyFill="0" applyBorder="0" applyAlignment="0" applyProtection="0"/>
    <xf numFmtId="9" fontId="5" fillId="0" borderId="0" applyFont="0" applyFill="0" applyBorder="0" applyAlignment="0" applyProtection="0"/>
    <xf numFmtId="9" fontId="1" fillId="0" borderId="0" applyFont="0" applyFill="0" applyBorder="0" applyAlignment="0" applyProtection="0"/>
    <xf numFmtId="0" fontId="73" fillId="0" borderId="0" applyNumberFormat="0" applyFill="0" applyBorder="0" applyAlignment="0" applyProtection="0">
      <alignment vertical="top"/>
      <protection locked="0"/>
    </xf>
    <xf numFmtId="41" fontId="5" fillId="0" borderId="0" applyFont="0" applyFill="0" applyBorder="0" applyAlignment="0" applyProtection="0"/>
    <xf numFmtId="43" fontId="5"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166" fontId="9" fillId="0" borderId="0" applyFont="0" applyFill="0" applyBorder="0" applyAlignment="0" applyProtection="0"/>
    <xf numFmtId="166" fontId="9" fillId="0" borderId="0" applyFont="0" applyFill="0" applyBorder="0" applyAlignment="0" applyProtection="0"/>
    <xf numFmtId="172" fontId="5" fillId="0" borderId="0" applyFont="0" applyFill="0" applyBorder="0" applyAlignment="0" applyProtection="0"/>
    <xf numFmtId="166" fontId="5"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5" fillId="0" borderId="0" applyFont="0" applyFill="0" applyBorder="0" applyAlignment="0" applyProtection="0"/>
    <xf numFmtId="203" fontId="5" fillId="0" borderId="0" applyFont="0" applyFill="0" applyBorder="0" applyAlignment="0" applyProtection="0"/>
    <xf numFmtId="205" fontId="5" fillId="0" borderId="0" applyFont="0" applyFill="0" applyBorder="0" applyAlignment="0" applyProtection="0"/>
    <xf numFmtId="172"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8" fontId="9" fillId="0" borderId="0" applyFont="0" applyFill="0" applyBorder="0" applyAlignment="0" applyProtection="0"/>
    <xf numFmtId="165"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1" fillId="0" borderId="0"/>
    <xf numFmtId="0" fontId="1" fillId="0" borderId="0"/>
    <xf numFmtId="0" fontId="1" fillId="0" borderId="0"/>
    <xf numFmtId="0" fontId="1" fillId="0" borderId="0"/>
    <xf numFmtId="0" fontId="1" fillId="0" borderId="0"/>
    <xf numFmtId="0" fontId="1" fillId="0" borderId="0"/>
    <xf numFmtId="0" fontId="5" fillId="0" borderId="0"/>
    <xf numFmtId="0" fontId="1" fillId="0" borderId="0"/>
    <xf numFmtId="0" fontId="1" fillId="0" borderId="0"/>
    <xf numFmtId="0" fontId="1" fillId="0" borderId="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203" fontId="1" fillId="0" borderId="0" applyFont="0" applyFill="0" applyBorder="0" applyAlignment="0" applyProtection="0"/>
    <xf numFmtId="0" fontId="5" fillId="0" borderId="0"/>
    <xf numFmtId="165" fontId="1" fillId="0" borderId="0" applyFont="0" applyFill="0" applyBorder="0" applyAlignment="0" applyProtection="0"/>
    <xf numFmtId="200" fontId="5" fillId="0" borderId="0"/>
    <xf numFmtId="200" fontId="5" fillId="0" borderId="0"/>
    <xf numFmtId="41" fontId="1" fillId="0" borderId="0" applyFont="0" applyFill="0" applyBorder="0" applyAlignment="0" applyProtection="0"/>
    <xf numFmtId="166" fontId="1" fillId="0" borderId="0" applyFont="0" applyFill="0" applyBorder="0" applyAlignment="0" applyProtection="0"/>
    <xf numFmtId="0" fontId="74" fillId="0" borderId="0"/>
    <xf numFmtId="165" fontId="74" fillId="0" borderId="0" applyFont="0" applyFill="0" applyBorder="0" applyAlignment="0" applyProtection="0"/>
    <xf numFmtId="168" fontId="1" fillId="0" borderId="0" applyFont="0" applyFill="0" applyBorder="0" applyAlignment="0" applyProtection="0"/>
    <xf numFmtId="9" fontId="1" fillId="0" borderId="0" applyFont="0" applyFill="0" applyBorder="0" applyAlignment="0" applyProtection="0"/>
    <xf numFmtId="0" fontId="5" fillId="0" borderId="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43" fontId="1" fillId="0" borderId="0" applyFont="0" applyFill="0" applyBorder="0" applyAlignment="0" applyProtection="0"/>
  </cellStyleXfs>
  <cellXfs count="566">
    <xf numFmtId="0" fontId="0" fillId="0" borderId="0" xfId="0"/>
    <xf numFmtId="0" fontId="30" fillId="0" borderId="0" xfId="89" applyFont="1"/>
    <xf numFmtId="0" fontId="30" fillId="0" borderId="0" xfId="89" applyFont="1" applyAlignment="1">
      <alignment horizontal="center"/>
    </xf>
    <xf numFmtId="0" fontId="32" fillId="0" borderId="0" xfId="90" applyFont="1"/>
    <xf numFmtId="0" fontId="31" fillId="0" borderId="0" xfId="90" applyFont="1"/>
    <xf numFmtId="0" fontId="33" fillId="0" borderId="0" xfId="89" applyFont="1"/>
    <xf numFmtId="0" fontId="33" fillId="0" borderId="0" xfId="89" applyFont="1" applyAlignment="1">
      <alignment horizontal="center"/>
    </xf>
    <xf numFmtId="0" fontId="33" fillId="0" borderId="38" xfId="89" applyFont="1" applyBorder="1"/>
    <xf numFmtId="0" fontId="33" fillId="0" borderId="39" xfId="89" applyFont="1" applyBorder="1"/>
    <xf numFmtId="0" fontId="33" fillId="0" borderId="36" xfId="89" applyFont="1" applyBorder="1"/>
    <xf numFmtId="0" fontId="33" fillId="0" borderId="37" xfId="89" applyFont="1" applyBorder="1"/>
    <xf numFmtId="0" fontId="33" fillId="0" borderId="0" xfId="90" applyFont="1"/>
    <xf numFmtId="0" fontId="33" fillId="0" borderId="36" xfId="90" applyFont="1" applyBorder="1"/>
    <xf numFmtId="0" fontId="33" fillId="0" borderId="37" xfId="90" applyFont="1" applyBorder="1"/>
    <xf numFmtId="182" fontId="33" fillId="0" borderId="37" xfId="90" applyNumberFormat="1" applyFont="1" applyBorder="1"/>
    <xf numFmtId="184" fontId="33" fillId="0" borderId="37" xfId="90" applyNumberFormat="1" applyFont="1" applyBorder="1"/>
    <xf numFmtId="0" fontId="30" fillId="0" borderId="36" xfId="89" applyFont="1" applyBorder="1"/>
    <xf numFmtId="0" fontId="30" fillId="0" borderId="37" xfId="89" applyFont="1" applyBorder="1"/>
    <xf numFmtId="0" fontId="31" fillId="0" borderId="0" xfId="0" applyFont="1"/>
    <xf numFmtId="0" fontId="33" fillId="25" borderId="0" xfId="89" applyFont="1" applyFill="1"/>
    <xf numFmtId="0" fontId="30" fillId="25" borderId="0" xfId="89" applyFont="1" applyFill="1"/>
    <xf numFmtId="0" fontId="33" fillId="25" borderId="37" xfId="89" applyFont="1" applyFill="1" applyBorder="1"/>
    <xf numFmtId="0" fontId="47" fillId="0" borderId="0" xfId="89" applyFont="1"/>
    <xf numFmtId="0" fontId="31" fillId="0" borderId="38" xfId="0" applyFont="1" applyBorder="1"/>
    <xf numFmtId="0" fontId="31" fillId="0" borderId="81" xfId="0" applyFont="1" applyBorder="1"/>
    <xf numFmtId="0" fontId="31" fillId="0" borderId="36" xfId="0" applyFont="1" applyBorder="1"/>
    <xf numFmtId="0" fontId="31" fillId="0" borderId="37" xfId="0" applyFont="1" applyBorder="1"/>
    <xf numFmtId="0" fontId="33" fillId="0" borderId="37" xfId="0" applyFont="1" applyBorder="1" applyAlignment="1">
      <alignment horizontal="center" wrapText="1"/>
    </xf>
    <xf numFmtId="0" fontId="44" fillId="0" borderId="37" xfId="253" applyFont="1" applyBorder="1" applyAlignment="1">
      <alignment horizontal="center" vertical="center"/>
    </xf>
    <xf numFmtId="0" fontId="44" fillId="0" borderId="37" xfId="0" applyFont="1" applyBorder="1" applyAlignment="1">
      <alignment horizontal="center" vertical="center"/>
    </xf>
    <xf numFmtId="0" fontId="44" fillId="0" borderId="37" xfId="0" applyFont="1" applyBorder="1" applyAlignment="1">
      <alignment vertical="center"/>
    </xf>
    <xf numFmtId="1" fontId="44" fillId="0" borderId="37" xfId="0" applyNumberFormat="1" applyFont="1" applyBorder="1" applyAlignment="1">
      <alignment horizontal="center" vertical="center"/>
    </xf>
    <xf numFmtId="0" fontId="44" fillId="0" borderId="37" xfId="0" applyFont="1" applyBorder="1" applyAlignment="1">
      <alignment horizontal="center"/>
    </xf>
    <xf numFmtId="0" fontId="43" fillId="0" borderId="37" xfId="0" applyFont="1" applyBorder="1" applyAlignment="1" applyProtection="1">
      <alignment horizontal="center"/>
      <protection locked="0"/>
    </xf>
    <xf numFmtId="0" fontId="43" fillId="0" borderId="37" xfId="0" applyFont="1" applyBorder="1" applyAlignment="1">
      <alignment horizontal="center" vertical="center"/>
    </xf>
    <xf numFmtId="4" fontId="31" fillId="0" borderId="37" xfId="0" applyNumberFormat="1" applyFont="1" applyBorder="1" applyAlignment="1">
      <alignment horizontal="center" vertical="center"/>
    </xf>
    <xf numFmtId="0" fontId="43" fillId="0" borderId="37" xfId="0" applyFont="1" applyBorder="1" applyAlignment="1">
      <alignment horizontal="left" vertical="center"/>
    </xf>
    <xf numFmtId="0" fontId="43" fillId="0" borderId="37" xfId="0" applyFont="1" applyBorder="1" applyAlignment="1">
      <alignment horizontal="center"/>
    </xf>
    <xf numFmtId="173" fontId="31" fillId="0" borderId="37" xfId="34" applyFont="1" applyFill="1" applyBorder="1"/>
    <xf numFmtId="173" fontId="31" fillId="0" borderId="37" xfId="0" applyNumberFormat="1" applyFont="1" applyBorder="1"/>
    <xf numFmtId="0" fontId="43" fillId="0" borderId="37" xfId="0" applyFont="1" applyBorder="1" applyAlignment="1">
      <alignment horizontal="center" wrapText="1"/>
    </xf>
    <xf numFmtId="173" fontId="31" fillId="0" borderId="37" xfId="34" applyFont="1" applyFill="1" applyBorder="1" applyAlignment="1">
      <alignment horizontal="center" wrapText="1"/>
    </xf>
    <xf numFmtId="166" fontId="31" fillId="0" borderId="37" xfId="0" applyNumberFormat="1" applyFont="1" applyBorder="1"/>
    <xf numFmtId="43" fontId="31" fillId="0" borderId="37" xfId="34" applyNumberFormat="1" applyFont="1" applyFill="1" applyBorder="1"/>
    <xf numFmtId="43" fontId="31" fillId="0" borderId="37" xfId="0" applyNumberFormat="1" applyFont="1" applyBorder="1"/>
    <xf numFmtId="0" fontId="32" fillId="0" borderId="37" xfId="0" applyFont="1" applyBorder="1"/>
    <xf numFmtId="0" fontId="31" fillId="0" borderId="37" xfId="0" applyFont="1" applyBorder="1" applyAlignment="1">
      <alignment horizontal="center"/>
    </xf>
    <xf numFmtId="0" fontId="42" fillId="0" borderId="37" xfId="0" applyFont="1" applyBorder="1" applyAlignment="1">
      <alignment wrapText="1"/>
    </xf>
    <xf numFmtId="0" fontId="33" fillId="0" borderId="37" xfId="0" applyFont="1" applyBorder="1" applyAlignment="1">
      <alignment horizontal="right"/>
    </xf>
    <xf numFmtId="0" fontId="31" fillId="0" borderId="82" xfId="0" applyFont="1" applyBorder="1"/>
    <xf numFmtId="0" fontId="31" fillId="0" borderId="83" xfId="0" applyFont="1" applyBorder="1"/>
    <xf numFmtId="0" fontId="31" fillId="0" borderId="84" xfId="0" applyFont="1" applyBorder="1"/>
    <xf numFmtId="0" fontId="50" fillId="0" borderId="0" xfId="0" applyFont="1"/>
    <xf numFmtId="0" fontId="50" fillId="0" borderId="63" xfId="0" applyFont="1" applyBorder="1" applyAlignment="1">
      <alignment horizontal="center"/>
    </xf>
    <xf numFmtId="0" fontId="52" fillId="0" borderId="55" xfId="0" applyFont="1" applyBorder="1" applyAlignment="1">
      <alignment horizontal="center"/>
    </xf>
    <xf numFmtId="0" fontId="50" fillId="0" borderId="55" xfId="0" applyFont="1" applyBorder="1" applyAlignment="1">
      <alignment vertical="center"/>
    </xf>
    <xf numFmtId="0" fontId="50" fillId="0" borderId="74" xfId="0" applyFont="1" applyBorder="1" applyAlignment="1">
      <alignment vertical="center"/>
    </xf>
    <xf numFmtId="0" fontId="50" fillId="0" borderId="60" xfId="0" applyFont="1" applyBorder="1" applyAlignment="1">
      <alignment horizontal="center"/>
    </xf>
    <xf numFmtId="0" fontId="50" fillId="0" borderId="59" xfId="0" applyFont="1" applyBorder="1" applyAlignment="1">
      <alignment horizontal="right" vertical="center"/>
    </xf>
    <xf numFmtId="0" fontId="50" fillId="0" borderId="29" xfId="0" applyFont="1" applyBorder="1" applyAlignment="1">
      <alignment horizontal="center" vertical="center"/>
    </xf>
    <xf numFmtId="0" fontId="50" fillId="0" borderId="35" xfId="0" applyFont="1" applyBorder="1" applyAlignment="1">
      <alignment horizontal="center" vertical="center"/>
    </xf>
    <xf numFmtId="0" fontId="50" fillId="0" borderId="11" xfId="0" applyFont="1" applyBorder="1" applyAlignment="1">
      <alignment horizontal="center"/>
    </xf>
    <xf numFmtId="0" fontId="50" fillId="0" borderId="0" xfId="0" applyFont="1" applyAlignment="1">
      <alignment horizontal="right" vertical="center"/>
    </xf>
    <xf numFmtId="1" fontId="50" fillId="0" borderId="18" xfId="0" applyNumberFormat="1" applyFont="1" applyBorder="1" applyAlignment="1">
      <alignment horizontal="center" vertical="center"/>
    </xf>
    <xf numFmtId="1" fontId="50" fillId="0" borderId="30" xfId="0" applyNumberFormat="1" applyFont="1" applyBorder="1" applyAlignment="1">
      <alignment horizontal="center" vertical="center"/>
    </xf>
    <xf numFmtId="1" fontId="50" fillId="0" borderId="12" xfId="0" applyNumberFormat="1" applyFont="1" applyBorder="1" applyAlignment="1">
      <alignment horizontal="center" vertical="center"/>
    </xf>
    <xf numFmtId="0" fontId="50" fillId="0" borderId="73" xfId="0" applyFont="1" applyBorder="1" applyAlignment="1">
      <alignment horizontal="left"/>
    </xf>
    <xf numFmtId="0" fontId="50" fillId="0" borderId="56" xfId="0" applyFont="1" applyBorder="1" applyAlignment="1">
      <alignment horizontal="center"/>
    </xf>
    <xf numFmtId="0" fontId="50" fillId="0" borderId="72" xfId="0" applyFont="1" applyBorder="1" applyAlignment="1">
      <alignment horizontal="center"/>
    </xf>
    <xf numFmtId="0" fontId="50" fillId="0" borderId="27" xfId="0" applyFont="1" applyBorder="1"/>
    <xf numFmtId="0" fontId="50" fillId="0" borderId="31" xfId="0" applyFont="1" applyBorder="1"/>
    <xf numFmtId="0" fontId="50" fillId="0" borderId="70" xfId="0" applyFont="1" applyBorder="1"/>
    <xf numFmtId="0" fontId="50" fillId="0" borderId="60" xfId="0" applyFont="1" applyBorder="1"/>
    <xf numFmtId="0" fontId="50" fillId="0" borderId="59" xfId="0" applyFont="1" applyBorder="1"/>
    <xf numFmtId="0" fontId="50" fillId="0" borderId="58" xfId="0" applyFont="1" applyBorder="1"/>
    <xf numFmtId="0" fontId="50" fillId="0" borderId="11" xfId="0" applyFont="1" applyBorder="1"/>
    <xf numFmtId="0" fontId="50" fillId="0" borderId="12" xfId="0" applyFont="1" applyBorder="1"/>
    <xf numFmtId="0" fontId="52" fillId="24" borderId="71" xfId="0" applyFont="1" applyFill="1" applyBorder="1" applyAlignment="1">
      <alignment horizontal="center" vertical="center"/>
    </xf>
    <xf numFmtId="0" fontId="50" fillId="24" borderId="69" xfId="0" applyFont="1" applyFill="1" applyBorder="1" applyAlignment="1">
      <alignment horizontal="center" vertical="center"/>
    </xf>
    <xf numFmtId="4" fontId="50" fillId="24" borderId="69" xfId="0" applyNumberFormat="1" applyFont="1" applyFill="1" applyBorder="1" applyAlignment="1">
      <alignment horizontal="center" vertical="center"/>
    </xf>
    <xf numFmtId="0" fontId="52" fillId="24" borderId="29" xfId="0" applyFont="1" applyFill="1" applyBorder="1" applyAlignment="1">
      <alignment horizontal="center"/>
    </xf>
    <xf numFmtId="0" fontId="52" fillId="24" borderId="35" xfId="0" applyFont="1" applyFill="1" applyBorder="1" applyAlignment="1">
      <alignment horizontal="center"/>
    </xf>
    <xf numFmtId="173" fontId="50" fillId="0" borderId="18" xfId="34" applyFont="1" applyBorder="1"/>
    <xf numFmtId="173" fontId="50" fillId="0" borderId="30" xfId="34" applyFont="1" applyBorder="1"/>
    <xf numFmtId="0" fontId="50" fillId="0" borderId="63" xfId="0" applyFont="1" applyBorder="1"/>
    <xf numFmtId="0" fontId="50" fillId="0" borderId="55" xfId="0" applyFont="1" applyBorder="1"/>
    <xf numFmtId="0" fontId="50" fillId="0" borderId="65" xfId="0" applyFont="1" applyBorder="1"/>
    <xf numFmtId="0" fontId="50" fillId="0" borderId="66" xfId="0" applyFont="1" applyBorder="1"/>
    <xf numFmtId="173" fontId="50" fillId="0" borderId="64" xfId="34" applyFont="1" applyBorder="1"/>
    <xf numFmtId="173" fontId="50" fillId="0" borderId="61" xfId="0" applyNumberFormat="1" applyFont="1" applyBorder="1"/>
    <xf numFmtId="2" fontId="50" fillId="0" borderId="18" xfId="0" applyNumberFormat="1" applyFont="1" applyBorder="1"/>
    <xf numFmtId="0" fontId="50" fillId="0" borderId="20" xfId="0" applyFont="1" applyBorder="1"/>
    <xf numFmtId="173" fontId="50" fillId="0" borderId="42" xfId="34" applyFont="1" applyBorder="1"/>
    <xf numFmtId="173" fontId="50" fillId="0" borderId="61" xfId="34" applyFont="1" applyBorder="1"/>
    <xf numFmtId="0" fontId="52" fillId="24" borderId="29" xfId="0" applyFont="1" applyFill="1" applyBorder="1"/>
    <xf numFmtId="2" fontId="50" fillId="0" borderId="18" xfId="0" applyNumberFormat="1" applyFont="1" applyBorder="1" applyAlignment="1">
      <alignment horizontal="center"/>
    </xf>
    <xf numFmtId="2" fontId="50" fillId="0" borderId="22" xfId="0" applyNumberFormat="1" applyFont="1" applyBorder="1" applyAlignment="1">
      <alignment horizontal="center"/>
    </xf>
    <xf numFmtId="0" fontId="50" fillId="0" borderId="64" xfId="0" applyFont="1" applyBorder="1"/>
    <xf numFmtId="0" fontId="50" fillId="0" borderId="14" xfId="0" applyFont="1" applyBorder="1"/>
    <xf numFmtId="173" fontId="50" fillId="0" borderId="40" xfId="34" applyFont="1" applyBorder="1"/>
    <xf numFmtId="0" fontId="52" fillId="24" borderId="16" xfId="0" applyFont="1" applyFill="1" applyBorder="1" applyAlignment="1">
      <alignment horizontal="center" wrapText="1"/>
    </xf>
    <xf numFmtId="0" fontId="52" fillId="24" borderId="29" xfId="0" applyFont="1" applyFill="1" applyBorder="1" applyAlignment="1">
      <alignment horizontal="center" wrapText="1"/>
    </xf>
    <xf numFmtId="0" fontId="52" fillId="24" borderId="35" xfId="0" applyFont="1" applyFill="1" applyBorder="1" applyAlignment="1">
      <alignment horizontal="center" wrapText="1"/>
    </xf>
    <xf numFmtId="0" fontId="50" fillId="0" borderId="21" xfId="0" applyFont="1" applyBorder="1" applyAlignment="1">
      <alignment horizontal="left"/>
    </xf>
    <xf numFmtId="0" fontId="50" fillId="0" borderId="22" xfId="0" applyFont="1" applyBorder="1" applyAlignment="1">
      <alignment horizontal="left"/>
    </xf>
    <xf numFmtId="173" fontId="50" fillId="0" borderId="18" xfId="34" applyFont="1" applyBorder="1" applyAlignment="1">
      <alignment horizontal="center"/>
    </xf>
    <xf numFmtId="0" fontId="50" fillId="0" borderId="22" xfId="95" applyNumberFormat="1" applyFont="1" applyBorder="1" applyAlignment="1">
      <alignment horizontal="center"/>
    </xf>
    <xf numFmtId="166" fontId="50" fillId="0" borderId="25" xfId="0" applyNumberFormat="1" applyFont="1" applyBorder="1" applyAlignment="1">
      <alignment horizontal="center" wrapText="1"/>
    </xf>
    <xf numFmtId="173" fontId="50" fillId="0" borderId="47" xfId="34" applyFont="1" applyBorder="1" applyAlignment="1">
      <alignment horizontal="center" wrapText="1"/>
    </xf>
    <xf numFmtId="166" fontId="50" fillId="24" borderId="61" xfId="0" applyNumberFormat="1" applyFont="1" applyFill="1" applyBorder="1"/>
    <xf numFmtId="43" fontId="50" fillId="0" borderId="22" xfId="34" applyNumberFormat="1" applyFont="1" applyBorder="1"/>
    <xf numFmtId="9" fontId="50" fillId="0" borderId="23" xfId="95" applyFont="1" applyBorder="1"/>
    <xf numFmtId="9" fontId="50" fillId="0" borderId="18" xfId="95" applyFont="1" applyBorder="1" applyAlignment="1">
      <alignment horizontal="center"/>
    </xf>
    <xf numFmtId="43" fontId="50" fillId="0" borderId="30" xfId="34" applyNumberFormat="1" applyFont="1" applyBorder="1"/>
    <xf numFmtId="43" fontId="50" fillId="0" borderId="31" xfId="34" applyNumberFormat="1" applyFont="1" applyBorder="1"/>
    <xf numFmtId="9" fontId="50" fillId="0" borderId="28" xfId="95" applyFont="1" applyBorder="1"/>
    <xf numFmtId="43" fontId="50" fillId="0" borderId="61" xfId="0" applyNumberFormat="1" applyFont="1" applyBorder="1"/>
    <xf numFmtId="43" fontId="50" fillId="24" borderId="61" xfId="0" applyNumberFormat="1" applyFont="1" applyFill="1" applyBorder="1"/>
    <xf numFmtId="0" fontId="50" fillId="0" borderId="56" xfId="0" applyFont="1" applyBorder="1"/>
    <xf numFmtId="0" fontId="50" fillId="0" borderId="0" xfId="0" applyFont="1" applyAlignment="1">
      <alignment horizontal="center"/>
    </xf>
    <xf numFmtId="0" fontId="50" fillId="0" borderId="12" xfId="0" applyFont="1" applyBorder="1" applyAlignment="1">
      <alignment horizontal="center"/>
    </xf>
    <xf numFmtId="0" fontId="52" fillId="0" borderId="21" xfId="0" applyFont="1" applyBorder="1"/>
    <xf numFmtId="0" fontId="50" fillId="0" borderId="22" xfId="0" applyFont="1" applyBorder="1"/>
    <xf numFmtId="0" fontId="50" fillId="0" borderId="57" xfId="0" applyFont="1" applyBorder="1"/>
    <xf numFmtId="0" fontId="52" fillId="0" borderId="11" xfId="0" applyFont="1" applyBorder="1" applyAlignment="1">
      <alignment horizontal="left"/>
    </xf>
    <xf numFmtId="0" fontId="50" fillId="0" borderId="0" xfId="0" applyFont="1" applyAlignment="1">
      <alignment horizontal="left"/>
    </xf>
    <xf numFmtId="0" fontId="50" fillId="0" borderId="11" xfId="0" applyFont="1" applyBorder="1" applyAlignment="1">
      <alignment horizontal="left"/>
    </xf>
    <xf numFmtId="0" fontId="48" fillId="0" borderId="0" xfId="0" applyFont="1"/>
    <xf numFmtId="0" fontId="49" fillId="0" borderId="0" xfId="0" applyFont="1"/>
    <xf numFmtId="0" fontId="52" fillId="0" borderId="20" xfId="126" applyFont="1" applyBorder="1" applyAlignment="1">
      <alignment horizontal="center" vertical="center" wrapText="1"/>
    </xf>
    <xf numFmtId="0" fontId="52" fillId="24" borderId="41" xfId="73" applyFont="1" applyFill="1" applyBorder="1" applyAlignment="1">
      <alignment vertical="center"/>
    </xf>
    <xf numFmtId="0" fontId="52" fillId="24" borderId="43" xfId="73" applyFont="1" applyFill="1" applyBorder="1" applyAlignment="1">
      <alignment vertical="center"/>
    </xf>
    <xf numFmtId="0" fontId="52" fillId="24" borderId="44" xfId="73" applyFont="1" applyFill="1" applyBorder="1" applyAlignment="1">
      <alignment vertical="center"/>
    </xf>
    <xf numFmtId="0" fontId="50" fillId="0" borderId="52" xfId="73" applyFont="1" applyBorder="1" applyAlignment="1">
      <alignment horizontal="center" vertical="center"/>
    </xf>
    <xf numFmtId="0" fontId="50" fillId="0" borderId="18" xfId="74" applyFont="1" applyBorder="1" applyAlignment="1">
      <alignment horizontal="center" vertical="center"/>
    </xf>
    <xf numFmtId="0" fontId="50" fillId="0" borderId="18" xfId="74" applyFont="1" applyBorder="1" applyAlignment="1">
      <alignment horizontal="left" vertical="center" wrapText="1"/>
    </xf>
    <xf numFmtId="4" fontId="50" fillId="0" borderId="18" xfId="39" applyNumberFormat="1" applyFont="1" applyBorder="1" applyAlignment="1">
      <alignment vertical="center" wrapText="1"/>
    </xf>
    <xf numFmtId="167" fontId="50" fillId="0" borderId="18" xfId="62" applyNumberFormat="1" applyFont="1" applyBorder="1" applyAlignment="1">
      <alignment horizontal="right" vertical="center" wrapText="1"/>
    </xf>
    <xf numFmtId="167" fontId="50" fillId="0" borderId="47" xfId="62" applyNumberFormat="1" applyFont="1" applyBorder="1" applyAlignment="1">
      <alignment horizontal="right" vertical="center" wrapText="1"/>
    </xf>
    <xf numFmtId="0" fontId="50" fillId="0" borderId="13" xfId="73" applyFont="1" applyBorder="1" applyAlignment="1">
      <alignment horizontal="left" vertical="center"/>
    </xf>
    <xf numFmtId="0" fontId="50" fillId="0" borderId="14" xfId="74" applyFont="1" applyBorder="1" applyAlignment="1">
      <alignment horizontal="center" vertical="center"/>
    </xf>
    <xf numFmtId="0" fontId="50" fillId="0" borderId="14" xfId="74" applyFont="1" applyBorder="1" applyAlignment="1">
      <alignment horizontal="left" vertical="center" wrapText="1"/>
    </xf>
    <xf numFmtId="167" fontId="50" fillId="0" borderId="24" xfId="62" applyNumberFormat="1" applyFont="1" applyBorder="1" applyAlignment="1">
      <alignment horizontal="right" vertical="center" wrapText="1"/>
    </xf>
    <xf numFmtId="176" fontId="52" fillId="0" borderId="40" xfId="39" applyNumberFormat="1" applyFont="1" applyBorder="1" applyAlignment="1">
      <alignment horizontal="right" vertical="center"/>
    </xf>
    <xf numFmtId="0" fontId="50" fillId="0" borderId="18" xfId="74" applyFont="1" applyBorder="1" applyAlignment="1">
      <alignment horizontal="left" vertical="center"/>
    </xf>
    <xf numFmtId="167" fontId="50" fillId="0" borderId="30" xfId="62" applyNumberFormat="1" applyFont="1" applyBorder="1" applyAlignment="1">
      <alignment horizontal="right" vertical="center" wrapText="1"/>
    </xf>
    <xf numFmtId="0" fontId="50" fillId="0" borderId="18" xfId="135" applyFont="1" applyBorder="1" applyAlignment="1">
      <alignment horizontal="center" vertical="center"/>
    </xf>
    <xf numFmtId="0" fontId="50" fillId="0" borderId="18" xfId="135" applyFont="1" applyBorder="1" applyAlignment="1">
      <alignment horizontal="left" vertical="center"/>
    </xf>
    <xf numFmtId="0" fontId="50" fillId="0" borderId="14" xfId="89" applyFont="1" applyBorder="1"/>
    <xf numFmtId="0" fontId="50" fillId="0" borderId="14" xfId="89" applyFont="1" applyBorder="1" applyAlignment="1">
      <alignment horizontal="center"/>
    </xf>
    <xf numFmtId="0" fontId="50" fillId="0" borderId="18" xfId="73" applyFont="1" applyBorder="1" applyAlignment="1">
      <alignment horizontal="center" vertical="center"/>
    </xf>
    <xf numFmtId="0" fontId="50" fillId="0" borderId="18" xfId="73" applyFont="1" applyBorder="1" applyAlignment="1">
      <alignment horizontal="left" vertical="center" wrapText="1"/>
    </xf>
    <xf numFmtId="0" fontId="50" fillId="0" borderId="18" xfId="126" applyFont="1" applyBorder="1" applyAlignment="1">
      <alignment horizontal="center" vertical="center"/>
    </xf>
    <xf numFmtId="0" fontId="50" fillId="0" borderId="18" xfId="135" applyFont="1" applyBorder="1" applyAlignment="1">
      <alignment horizontal="left" vertical="center" wrapText="1"/>
    </xf>
    <xf numFmtId="167" fontId="50" fillId="0" borderId="18" xfId="62" quotePrefix="1" applyNumberFormat="1" applyFont="1" applyBorder="1" applyAlignment="1">
      <alignment horizontal="right" vertical="center" wrapText="1"/>
    </xf>
    <xf numFmtId="0" fontId="50" fillId="0" borderId="52" xfId="135" applyFont="1" applyBorder="1" applyAlignment="1">
      <alignment horizontal="center" vertical="center"/>
    </xf>
    <xf numFmtId="0" fontId="50" fillId="0" borderId="18" xfId="73" applyFont="1" applyBorder="1" applyAlignment="1">
      <alignment horizontal="center" vertical="center" wrapText="1"/>
    </xf>
    <xf numFmtId="0" fontId="50" fillId="0" borderId="51" xfId="73" applyFont="1" applyBorder="1" applyAlignment="1">
      <alignment horizontal="left" vertical="center"/>
    </xf>
    <xf numFmtId="0" fontId="50" fillId="0" borderId="0" xfId="73" applyFont="1" applyAlignment="1">
      <alignment horizontal="center" vertical="center"/>
    </xf>
    <xf numFmtId="0" fontId="50" fillId="0" borderId="0" xfId="73" applyFont="1" applyAlignment="1">
      <alignment horizontal="left" vertical="center" wrapText="1"/>
    </xf>
    <xf numFmtId="167" fontId="50" fillId="0" borderId="45" xfId="62" applyNumberFormat="1" applyFont="1" applyBorder="1" applyAlignment="1">
      <alignment horizontal="right" vertical="center" wrapText="1"/>
    </xf>
    <xf numFmtId="176" fontId="52" fillId="0" borderId="50" xfId="39" applyNumberFormat="1" applyFont="1" applyBorder="1" applyAlignment="1">
      <alignment horizontal="right" vertical="center"/>
    </xf>
    <xf numFmtId="0" fontId="50" fillId="0" borderId="33" xfId="73" applyFont="1" applyBorder="1" applyAlignment="1">
      <alignment horizontal="center" vertical="center"/>
    </xf>
    <xf numFmtId="2" fontId="50" fillId="0" borderId="14" xfId="73" applyNumberFormat="1" applyFont="1" applyBorder="1" applyAlignment="1">
      <alignment horizontal="center" vertical="center"/>
    </xf>
    <xf numFmtId="0" fontId="50" fillId="0" borderId="14" xfId="73" applyFont="1" applyBorder="1" applyAlignment="1">
      <alignment horizontal="left" vertical="center"/>
    </xf>
    <xf numFmtId="0" fontId="50" fillId="0" borderId="14" xfId="73" applyFont="1" applyBorder="1" applyAlignment="1">
      <alignment horizontal="center" vertical="center"/>
    </xf>
    <xf numFmtId="0" fontId="50" fillId="0" borderId="14" xfId="73" applyFont="1" applyBorder="1" applyAlignment="1">
      <alignment horizontal="left" vertical="center" wrapText="1"/>
    </xf>
    <xf numFmtId="187" fontId="52" fillId="24" borderId="44" xfId="73" applyNumberFormat="1" applyFont="1" applyFill="1" applyBorder="1" applyAlignment="1">
      <alignment vertical="center"/>
    </xf>
    <xf numFmtId="49" fontId="52" fillId="0" borderId="0" xfId="131" applyNumberFormat="1" applyFont="1" applyAlignment="1">
      <alignment horizontal="right" vertical="center"/>
    </xf>
    <xf numFmtId="186" fontId="52" fillId="0" borderId="0" xfId="131" applyNumberFormat="1" applyFont="1" applyAlignment="1">
      <alignment vertical="center"/>
    </xf>
    <xf numFmtId="0" fontId="50" fillId="0" borderId="0" xfId="128" applyFont="1"/>
    <xf numFmtId="0" fontId="50" fillId="0" borderId="0" xfId="128" applyFont="1" applyAlignment="1">
      <alignment horizontal="center"/>
    </xf>
    <xf numFmtId="0" fontId="54" fillId="0" borderId="17" xfId="128" applyFont="1" applyBorder="1" applyAlignment="1">
      <alignment horizontal="right" vertical="center"/>
    </xf>
    <xf numFmtId="181" fontId="50" fillId="0" borderId="35" xfId="129" applyNumberFormat="1" applyFont="1" applyBorder="1" applyAlignment="1">
      <alignment vertical="center"/>
    </xf>
    <xf numFmtId="0" fontId="50" fillId="0" borderId="21" xfId="128" applyFont="1" applyBorder="1" applyAlignment="1">
      <alignment horizontal="left" vertical="center"/>
    </xf>
    <xf numFmtId="180" fontId="50" fillId="0" borderId="22" xfId="129" applyNumberFormat="1" applyFont="1" applyBorder="1" applyAlignment="1">
      <alignment horizontal="center" vertical="center"/>
    </xf>
    <xf numFmtId="0" fontId="52" fillId="0" borderId="22" xfId="128" applyFont="1" applyBorder="1" applyAlignment="1">
      <alignment vertical="center"/>
    </xf>
    <xf numFmtId="0" fontId="52" fillId="0" borderId="23" xfId="128" applyFont="1" applyBorder="1" applyAlignment="1">
      <alignment horizontal="right" vertical="center"/>
    </xf>
    <xf numFmtId="181" fontId="50" fillId="0" borderId="30" xfId="129" applyNumberFormat="1" applyFont="1" applyBorder="1" applyAlignment="1">
      <alignment vertical="center"/>
    </xf>
    <xf numFmtId="0" fontId="50" fillId="0" borderId="0" xfId="126" applyFont="1" applyAlignment="1">
      <alignment horizontal="center" vertical="center"/>
    </xf>
    <xf numFmtId="9" fontId="50" fillId="0" borderId="22" xfId="129" applyNumberFormat="1" applyFont="1" applyBorder="1" applyAlignment="1">
      <alignment horizontal="center" vertical="center"/>
    </xf>
    <xf numFmtId="181" fontId="50" fillId="0" borderId="22" xfId="129" applyNumberFormat="1" applyFont="1" applyBorder="1" applyAlignment="1">
      <alignment vertical="center"/>
    </xf>
    <xf numFmtId="0" fontId="50" fillId="0" borderId="23" xfId="128" applyFont="1" applyBorder="1" applyAlignment="1">
      <alignment vertical="center"/>
    </xf>
    <xf numFmtId="0" fontId="52" fillId="0" borderId="21" xfId="128" applyFont="1" applyBorder="1" applyAlignment="1">
      <alignment horizontal="left" vertical="center"/>
    </xf>
    <xf numFmtId="181" fontId="52" fillId="0" borderId="30" xfId="129" applyNumberFormat="1" applyFont="1" applyBorder="1" applyAlignment="1">
      <alignment vertical="center"/>
    </xf>
    <xf numFmtId="0" fontId="50" fillId="0" borderId="21" xfId="128" applyFont="1" applyBorder="1" applyAlignment="1">
      <alignment horizontal="left" vertical="center" wrapText="1"/>
    </xf>
    <xf numFmtId="0" fontId="50" fillId="0" borderId="23" xfId="128" applyFont="1" applyBorder="1" applyAlignment="1">
      <alignment horizontal="right" vertical="center"/>
    </xf>
    <xf numFmtId="0" fontId="52" fillId="0" borderId="27" xfId="128" applyFont="1" applyBorder="1" applyAlignment="1">
      <alignment horizontal="left" vertical="center"/>
    </xf>
    <xf numFmtId="9" fontId="50" fillId="0" borderId="31" xfId="129" applyNumberFormat="1" applyFont="1" applyBorder="1" applyAlignment="1">
      <alignment horizontal="center" vertical="center"/>
    </xf>
    <xf numFmtId="181" fontId="52" fillId="0" borderId="31" xfId="129" applyNumberFormat="1" applyFont="1" applyBorder="1" applyAlignment="1">
      <alignment vertical="center"/>
    </xf>
    <xf numFmtId="0" fontId="50" fillId="0" borderId="28" xfId="128" applyFont="1" applyBorder="1" applyAlignment="1">
      <alignment vertical="center"/>
    </xf>
    <xf numFmtId="2" fontId="50" fillId="0" borderId="0" xfId="128" applyNumberFormat="1" applyFont="1"/>
    <xf numFmtId="181" fontId="50" fillId="0" borderId="0" xfId="129" applyNumberFormat="1" applyFont="1"/>
    <xf numFmtId="39" fontId="52" fillId="0" borderId="0" xfId="129" applyNumberFormat="1" applyFont="1" applyAlignment="1">
      <alignment vertical="center"/>
    </xf>
    <xf numFmtId="0" fontId="52" fillId="0" borderId="34" xfId="79" applyFont="1" applyBorder="1" applyAlignment="1">
      <alignment vertical="center"/>
    </xf>
    <xf numFmtId="186" fontId="52" fillId="26" borderId="47" xfId="60" applyNumberFormat="1" applyFont="1" applyFill="1" applyBorder="1" applyAlignment="1">
      <alignment horizontal="center" vertical="center"/>
    </xf>
    <xf numFmtId="186" fontId="52" fillId="26" borderId="18" xfId="60" applyNumberFormat="1" applyFont="1" applyFill="1" applyBorder="1" applyAlignment="1">
      <alignment horizontal="center" vertical="center"/>
    </xf>
    <xf numFmtId="9" fontId="50" fillId="27" borderId="30" xfId="95" applyFont="1" applyFill="1" applyBorder="1" applyAlignment="1">
      <alignment horizontal="center" vertical="center"/>
    </xf>
    <xf numFmtId="0" fontId="52" fillId="0" borderId="21" xfId="128" applyFont="1" applyBorder="1" applyAlignment="1">
      <alignment horizontal="left" vertical="center" wrapText="1"/>
    </xf>
    <xf numFmtId="0" fontId="50" fillId="25" borderId="0" xfId="130" applyFont="1" applyFill="1" applyAlignment="1">
      <alignment horizontal="center" vertical="center" wrapText="1"/>
    </xf>
    <xf numFmtId="0" fontId="52" fillId="25" borderId="55" xfId="130" applyFont="1" applyFill="1" applyBorder="1" applyAlignment="1">
      <alignment horizontal="center" vertical="center" wrapText="1"/>
    </xf>
    <xf numFmtId="0" fontId="8" fillId="0" borderId="86" xfId="0" applyFont="1" applyBorder="1" applyAlignment="1">
      <alignment horizontal="left" vertical="center"/>
    </xf>
    <xf numFmtId="0" fontId="7" fillId="0" borderId="86" xfId="0" applyFont="1" applyBorder="1" applyAlignment="1">
      <alignment horizontal="left" vertical="center"/>
    </xf>
    <xf numFmtId="0" fontId="56" fillId="0" borderId="85" xfId="0" applyFont="1" applyBorder="1" applyAlignment="1">
      <alignment horizontal="left" vertical="center"/>
    </xf>
    <xf numFmtId="0" fontId="57" fillId="0" borderId="85" xfId="0" applyFont="1" applyBorder="1" applyAlignment="1">
      <alignment horizontal="left" vertical="center"/>
    </xf>
    <xf numFmtId="0" fontId="50" fillId="0" borderId="63" xfId="0" applyFont="1" applyBorder="1" applyAlignment="1">
      <alignment vertical="center" wrapText="1"/>
    </xf>
    <xf numFmtId="0" fontId="50" fillId="0" borderId="55" xfId="0" applyFont="1" applyBorder="1" applyAlignment="1">
      <alignment vertical="center" wrapText="1"/>
    </xf>
    <xf numFmtId="0" fontId="50" fillId="0" borderId="65" xfId="0" applyFont="1" applyBorder="1" applyAlignment="1">
      <alignment vertical="center" wrapText="1"/>
    </xf>
    <xf numFmtId="0" fontId="50" fillId="0" borderId="11" xfId="0" applyFont="1" applyBorder="1" applyAlignment="1">
      <alignment vertical="center" wrapText="1"/>
    </xf>
    <xf numFmtId="0" fontId="50" fillId="0" borderId="0" xfId="0" applyFont="1" applyAlignment="1">
      <alignment vertical="center" wrapText="1"/>
    </xf>
    <xf numFmtId="0" fontId="50" fillId="0" borderId="45" xfId="0" applyFont="1" applyBorder="1" applyAlignment="1">
      <alignment vertical="center" wrapText="1"/>
    </xf>
    <xf numFmtId="184" fontId="33" fillId="0" borderId="87" xfId="90" applyNumberFormat="1" applyFont="1" applyBorder="1"/>
    <xf numFmtId="0" fontId="50" fillId="25" borderId="59" xfId="130" applyFont="1" applyFill="1" applyBorder="1" applyAlignment="1">
      <alignment horizontal="center" vertical="center" wrapText="1"/>
    </xf>
    <xf numFmtId="0" fontId="50" fillId="0" borderId="14" xfId="0" applyFont="1" applyBorder="1" applyAlignment="1">
      <alignment vertical="center" wrapText="1"/>
    </xf>
    <xf numFmtId="0" fontId="50" fillId="0" borderId="24" xfId="0" applyFont="1" applyBorder="1" applyAlignment="1">
      <alignment vertical="center" wrapText="1"/>
    </xf>
    <xf numFmtId="0" fontId="33" fillId="25" borderId="88" xfId="89" applyFont="1" applyFill="1" applyBorder="1"/>
    <xf numFmtId="0" fontId="33" fillId="0" borderId="88" xfId="89" applyFont="1" applyBorder="1"/>
    <xf numFmtId="0" fontId="52" fillId="0" borderId="0" xfId="0" applyFont="1" applyAlignment="1">
      <alignment horizontal="center"/>
    </xf>
    <xf numFmtId="0" fontId="52" fillId="24" borderId="46" xfId="0" applyFont="1" applyFill="1" applyBorder="1" applyAlignment="1">
      <alignment horizontal="center"/>
    </xf>
    <xf numFmtId="0" fontId="52" fillId="0" borderId="59" xfId="0" applyFont="1" applyBorder="1" applyAlignment="1">
      <alignment horizontal="center"/>
    </xf>
    <xf numFmtId="0" fontId="52" fillId="24" borderId="16" xfId="0" applyFont="1" applyFill="1" applyBorder="1" applyAlignment="1">
      <alignment horizontal="center"/>
    </xf>
    <xf numFmtId="0" fontId="52" fillId="24" borderId="17" xfId="0" applyFont="1" applyFill="1" applyBorder="1" applyAlignment="1">
      <alignment horizontal="center" wrapText="1"/>
    </xf>
    <xf numFmtId="0" fontId="50" fillId="0" borderId="22" xfId="0" applyFont="1" applyBorder="1" applyAlignment="1">
      <alignment horizontal="center"/>
    </xf>
    <xf numFmtId="0" fontId="33" fillId="0" borderId="81" xfId="89" applyFont="1" applyBorder="1"/>
    <xf numFmtId="0" fontId="33" fillId="0" borderId="81" xfId="89" applyFont="1" applyBorder="1" applyAlignment="1">
      <alignment horizontal="center"/>
    </xf>
    <xf numFmtId="0" fontId="33" fillId="0" borderId="82" xfId="90" applyFont="1" applyBorder="1"/>
    <xf numFmtId="0" fontId="33" fillId="0" borderId="83" xfId="89" applyFont="1" applyBorder="1"/>
    <xf numFmtId="0" fontId="33" fillId="0" borderId="83" xfId="89" applyFont="1" applyBorder="1" applyAlignment="1">
      <alignment horizontal="center"/>
    </xf>
    <xf numFmtId="185" fontId="33" fillId="0" borderId="83" xfId="34" applyNumberFormat="1" applyFont="1" applyBorder="1"/>
    <xf numFmtId="0" fontId="33" fillId="0" borderId="84" xfId="89" applyFont="1" applyBorder="1"/>
    <xf numFmtId="0" fontId="31" fillId="0" borderId="39" xfId="0" applyFont="1" applyBorder="1"/>
    <xf numFmtId="0" fontId="7" fillId="0" borderId="85" xfId="0" applyFont="1" applyBorder="1" applyAlignment="1">
      <alignment horizontal="left" vertical="center"/>
    </xf>
    <xf numFmtId="0" fontId="61" fillId="0" borderId="0" xfId="89" applyFont="1"/>
    <xf numFmtId="0" fontId="61" fillId="0" borderId="36" xfId="89" applyFont="1" applyBorder="1"/>
    <xf numFmtId="0" fontId="61" fillId="0" borderId="37" xfId="89" applyFont="1" applyBorder="1"/>
    <xf numFmtId="0" fontId="62" fillId="0" borderId="0" xfId="89" applyFont="1"/>
    <xf numFmtId="0" fontId="61" fillId="25" borderId="0" xfId="89" applyFont="1" applyFill="1"/>
    <xf numFmtId="0" fontId="61" fillId="25" borderId="88" xfId="89" applyFont="1" applyFill="1" applyBorder="1"/>
    <xf numFmtId="0" fontId="61" fillId="25" borderId="37" xfId="89" applyFont="1" applyFill="1" applyBorder="1"/>
    <xf numFmtId="0" fontId="62" fillId="25" borderId="0" xfId="89" applyFont="1" applyFill="1"/>
    <xf numFmtId="0" fontId="61" fillId="0" borderId="88" xfId="89" applyFont="1" applyBorder="1"/>
    <xf numFmtId="0" fontId="60" fillId="0" borderId="20" xfId="126" applyFont="1" applyBorder="1" applyAlignment="1">
      <alignment horizontal="center" vertical="center" wrapText="1"/>
    </xf>
    <xf numFmtId="0" fontId="62" fillId="0" borderId="52" xfId="73" applyFont="1" applyBorder="1" applyAlignment="1">
      <alignment horizontal="center" vertical="center"/>
    </xf>
    <xf numFmtId="0" fontId="62" fillId="0" borderId="18" xfId="74" applyFont="1" applyBorder="1" applyAlignment="1">
      <alignment horizontal="center" vertical="center"/>
    </xf>
    <xf numFmtId="0" fontId="62" fillId="0" borderId="18" xfId="74" applyFont="1" applyBorder="1" applyAlignment="1">
      <alignment horizontal="left" vertical="center" wrapText="1"/>
    </xf>
    <xf numFmtId="4" fontId="62" fillId="0" borderId="18" xfId="39" applyNumberFormat="1" applyFont="1" applyBorder="1" applyAlignment="1">
      <alignment vertical="center" wrapText="1"/>
    </xf>
    <xf numFmtId="167" fontId="62" fillId="0" borderId="18" xfId="62" applyNumberFormat="1" applyFont="1" applyBorder="1" applyAlignment="1">
      <alignment horizontal="right" vertical="center" wrapText="1"/>
    </xf>
    <xf numFmtId="176" fontId="60" fillId="0" borderId="40" xfId="39" applyNumberFormat="1" applyFont="1" applyBorder="1" applyAlignment="1">
      <alignment horizontal="right" vertical="center"/>
    </xf>
    <xf numFmtId="167" fontId="62" fillId="0" borderId="30" xfId="62" applyNumberFormat="1" applyFont="1" applyBorder="1" applyAlignment="1">
      <alignment horizontal="right" vertical="center" wrapText="1"/>
    </xf>
    <xf numFmtId="0" fontId="62" fillId="0" borderId="18" xfId="135" applyFont="1" applyBorder="1" applyAlignment="1">
      <alignment horizontal="center" vertical="center"/>
    </xf>
    <xf numFmtId="0" fontId="62" fillId="0" borderId="36" xfId="89" applyFont="1" applyBorder="1"/>
    <xf numFmtId="0" fontId="62" fillId="0" borderId="37" xfId="89" applyFont="1" applyBorder="1"/>
    <xf numFmtId="0" fontId="62" fillId="0" borderId="18" xfId="73" applyFont="1" applyBorder="1" applyAlignment="1">
      <alignment horizontal="center" vertical="center"/>
    </xf>
    <xf numFmtId="0" fontId="62" fillId="0" borderId="18" xfId="73" applyFont="1" applyBorder="1" applyAlignment="1">
      <alignment horizontal="left" vertical="center" wrapText="1"/>
    </xf>
    <xf numFmtId="0" fontId="62" fillId="0" borderId="18" xfId="126" applyFont="1" applyBorder="1" applyAlignment="1">
      <alignment horizontal="center" vertical="center"/>
    </xf>
    <xf numFmtId="0" fontId="62" fillId="0" borderId="18" xfId="135" applyFont="1" applyBorder="1" applyAlignment="1">
      <alignment horizontal="left" vertical="center" wrapText="1"/>
    </xf>
    <xf numFmtId="167" fontId="62" fillId="0" borderId="18" xfId="62" quotePrefix="1" applyNumberFormat="1" applyFont="1" applyBorder="1" applyAlignment="1">
      <alignment horizontal="right" vertical="center" wrapText="1"/>
    </xf>
    <xf numFmtId="0" fontId="62" fillId="0" borderId="52" xfId="135" applyFont="1" applyBorder="1" applyAlignment="1">
      <alignment horizontal="center" vertical="center"/>
    </xf>
    <xf numFmtId="0" fontId="62" fillId="0" borderId="18" xfId="73" applyFont="1" applyBorder="1" applyAlignment="1">
      <alignment horizontal="center" vertical="center" wrapText="1"/>
    </xf>
    <xf numFmtId="176" fontId="60" fillId="0" borderId="50" xfId="39" applyNumberFormat="1" applyFont="1" applyBorder="1" applyAlignment="1">
      <alignment horizontal="right" vertical="center"/>
    </xf>
    <xf numFmtId="0" fontId="61" fillId="0" borderId="0" xfId="90" applyFont="1"/>
    <xf numFmtId="0" fontId="61" fillId="0" borderId="36" xfId="90" applyFont="1" applyBorder="1"/>
    <xf numFmtId="187" fontId="60" fillId="24" borderId="44" xfId="73" applyNumberFormat="1" applyFont="1" applyFill="1" applyBorder="1" applyAlignment="1">
      <alignment vertical="center"/>
    </xf>
    <xf numFmtId="0" fontId="61" fillId="0" borderId="37" xfId="90" applyFont="1" applyBorder="1"/>
    <xf numFmtId="0" fontId="64" fillId="0" borderId="0" xfId="90" applyFont="1"/>
    <xf numFmtId="0" fontId="62" fillId="0" borderId="0" xfId="128" applyFont="1"/>
    <xf numFmtId="0" fontId="62" fillId="0" borderId="0" xfId="128" applyFont="1" applyAlignment="1">
      <alignment horizontal="center"/>
    </xf>
    <xf numFmtId="2" fontId="62" fillId="0" borderId="0" xfId="128" applyNumberFormat="1" applyFont="1"/>
    <xf numFmtId="181" fontId="62" fillId="0" borderId="0" xfId="129" applyNumberFormat="1" applyFont="1"/>
    <xf numFmtId="39" fontId="60" fillId="0" borderId="0" xfId="129" applyNumberFormat="1" applyFont="1" applyAlignment="1">
      <alignment vertical="center"/>
    </xf>
    <xf numFmtId="0" fontId="60" fillId="0" borderId="34" xfId="79" applyFont="1" applyBorder="1" applyAlignment="1">
      <alignment vertical="center"/>
    </xf>
    <xf numFmtId="182" fontId="61" fillId="0" borderId="37" xfId="90" applyNumberFormat="1" applyFont="1" applyBorder="1"/>
    <xf numFmtId="186" fontId="60" fillId="26" borderId="47" xfId="60" applyNumberFormat="1" applyFont="1" applyFill="1" applyBorder="1" applyAlignment="1">
      <alignment horizontal="center" vertical="center"/>
    </xf>
    <xf numFmtId="184" fontId="61" fillId="0" borderId="37" xfId="90" applyNumberFormat="1" applyFont="1" applyBorder="1"/>
    <xf numFmtId="186" fontId="60" fillId="26" borderId="18" xfId="60" applyNumberFormat="1" applyFont="1" applyFill="1" applyBorder="1" applyAlignment="1">
      <alignment horizontal="center" vertical="center"/>
    </xf>
    <xf numFmtId="9" fontId="62" fillId="27" borderId="30" xfId="95" applyFont="1" applyFill="1" applyBorder="1" applyAlignment="1">
      <alignment horizontal="center" vertical="center"/>
    </xf>
    <xf numFmtId="0" fontId="62" fillId="0" borderId="63" xfId="0" applyFont="1" applyBorder="1" applyAlignment="1">
      <alignment vertical="center" wrapText="1"/>
    </xf>
    <xf numFmtId="0" fontId="59" fillId="0" borderId="0" xfId="90" applyFont="1"/>
    <xf numFmtId="0" fontId="62" fillId="0" borderId="55" xfId="0" applyFont="1" applyBorder="1" applyAlignment="1">
      <alignment vertical="center" wrapText="1"/>
    </xf>
    <xf numFmtId="0" fontId="62" fillId="0" borderId="65" xfId="0" applyFont="1" applyBorder="1" applyAlignment="1">
      <alignment vertical="center" wrapText="1"/>
    </xf>
    <xf numFmtId="0" fontId="62" fillId="0" borderId="11" xfId="0" applyFont="1" applyBorder="1" applyAlignment="1">
      <alignment vertical="center" wrapText="1"/>
    </xf>
    <xf numFmtId="0" fontId="62" fillId="0" borderId="0" xfId="0" applyFont="1" applyAlignment="1">
      <alignment vertical="center" wrapText="1"/>
    </xf>
    <xf numFmtId="0" fontId="62" fillId="0" borderId="45" xfId="0" applyFont="1" applyBorder="1" applyAlignment="1">
      <alignment vertical="center" wrapText="1"/>
    </xf>
    <xf numFmtId="0" fontId="62" fillId="0" borderId="13" xfId="0" applyFont="1" applyBorder="1" applyAlignment="1">
      <alignment vertical="center" wrapText="1"/>
    </xf>
    <xf numFmtId="0" fontId="62" fillId="0" borderId="14" xfId="0" applyFont="1" applyBorder="1" applyAlignment="1">
      <alignment vertical="center" wrapText="1"/>
    </xf>
    <xf numFmtId="0" fontId="62" fillId="0" borderId="24" xfId="0" applyFont="1" applyBorder="1" applyAlignment="1">
      <alignment vertical="center" wrapText="1"/>
    </xf>
    <xf numFmtId="0" fontId="61" fillId="0" borderId="82" xfId="90" applyFont="1" applyBorder="1"/>
    <xf numFmtId="0" fontId="61" fillId="0" borderId="83" xfId="89" applyFont="1" applyBorder="1"/>
    <xf numFmtId="0" fontId="61" fillId="0" borderId="83" xfId="89" applyFont="1" applyBorder="1" applyAlignment="1">
      <alignment horizontal="center"/>
    </xf>
    <xf numFmtId="185" fontId="61" fillId="0" borderId="83" xfId="34" applyNumberFormat="1" applyFont="1" applyBorder="1"/>
    <xf numFmtId="0" fontId="61" fillId="0" borderId="84" xfId="89" applyFont="1" applyBorder="1"/>
    <xf numFmtId="0" fontId="61" fillId="0" borderId="0" xfId="89" applyFont="1" applyAlignment="1">
      <alignment horizontal="center"/>
    </xf>
    <xf numFmtId="0" fontId="62" fillId="0" borderId="0" xfId="89" applyFont="1" applyAlignment="1">
      <alignment horizontal="center"/>
    </xf>
    <xf numFmtId="0" fontId="60" fillId="0" borderId="14" xfId="130" applyFont="1" applyBorder="1" applyAlignment="1">
      <alignment horizontal="center"/>
    </xf>
    <xf numFmtId="0" fontId="60" fillId="0" borderId="0" xfId="130" applyFont="1" applyAlignment="1">
      <alignment horizontal="center" vertical="top"/>
    </xf>
    <xf numFmtId="0" fontId="62" fillId="0" borderId="25" xfId="74" applyFont="1" applyBorder="1" applyAlignment="1">
      <alignment horizontal="center" vertical="center"/>
    </xf>
    <xf numFmtId="0" fontId="62" fillId="0" borderId="25" xfId="74" applyFont="1" applyBorder="1" applyAlignment="1">
      <alignment horizontal="left" vertical="center" wrapText="1"/>
    </xf>
    <xf numFmtId="0" fontId="60" fillId="0" borderId="18" xfId="73" applyFont="1" applyBorder="1" applyAlignment="1">
      <alignment horizontal="center" vertical="center"/>
    </xf>
    <xf numFmtId="0" fontId="62" fillId="0" borderId="18" xfId="73" applyFont="1" applyBorder="1" applyAlignment="1">
      <alignment horizontal="left" vertical="center"/>
    </xf>
    <xf numFmtId="4" fontId="62" fillId="0" borderId="25" xfId="39" applyNumberFormat="1" applyFont="1" applyBorder="1" applyAlignment="1">
      <alignment horizontal="center" vertical="center" wrapText="1"/>
    </xf>
    <xf numFmtId="44" fontId="62" fillId="0" borderId="18" xfId="255" applyFont="1" applyFill="1" applyBorder="1" applyAlignment="1">
      <alignment horizontal="center" vertical="center"/>
    </xf>
    <xf numFmtId="44" fontId="62" fillId="0" borderId="25" xfId="255" applyFont="1" applyBorder="1" applyAlignment="1">
      <alignment horizontal="right" vertical="center" wrapText="1"/>
    </xf>
    <xf numFmtId="44" fontId="62" fillId="0" borderId="18" xfId="73" applyNumberFormat="1" applyFont="1" applyBorder="1" applyAlignment="1">
      <alignment horizontal="center" vertical="center"/>
    </xf>
    <xf numFmtId="44" fontId="62" fillId="0" borderId="0" xfId="255" applyFont="1"/>
    <xf numFmtId="167" fontId="62" fillId="0" borderId="89" xfId="62" applyNumberFormat="1" applyFont="1" applyBorder="1" applyAlignment="1">
      <alignment horizontal="right" vertical="center" wrapText="1"/>
    </xf>
    <xf numFmtId="0" fontId="62" fillId="0" borderId="18" xfId="73" applyFont="1" applyBorder="1" applyAlignment="1">
      <alignment horizontal="right" vertical="center"/>
    </xf>
    <xf numFmtId="4" fontId="62" fillId="0" borderId="18" xfId="39" applyNumberFormat="1" applyFont="1" applyBorder="1" applyAlignment="1">
      <alignment horizontal="right" vertical="center" wrapText="1"/>
    </xf>
    <xf numFmtId="44" fontId="62" fillId="0" borderId="18" xfId="255" applyFont="1" applyBorder="1" applyAlignment="1">
      <alignment horizontal="right" vertical="center" wrapText="1"/>
    </xf>
    <xf numFmtId="0" fontId="62" fillId="0" borderId="25" xfId="73" applyFont="1" applyBorder="1" applyAlignment="1">
      <alignment horizontal="center" vertical="center"/>
    </xf>
    <xf numFmtId="0" fontId="62" fillId="0" borderId="25" xfId="73" applyFont="1" applyBorder="1" applyAlignment="1">
      <alignment horizontal="left" vertical="center" wrapText="1"/>
    </xf>
    <xf numFmtId="0" fontId="60" fillId="0" borderId="18" xfId="73" applyFont="1" applyBorder="1" applyAlignment="1">
      <alignment vertical="center"/>
    </xf>
    <xf numFmtId="0" fontId="62" fillId="0" borderId="11" xfId="73" applyFont="1" applyBorder="1" applyAlignment="1">
      <alignment horizontal="left" vertical="center"/>
    </xf>
    <xf numFmtId="0" fontId="62" fillId="0" borderId="0" xfId="73" applyFont="1" applyAlignment="1">
      <alignment horizontal="left" vertical="center"/>
    </xf>
    <xf numFmtId="176" fontId="60" fillId="0" borderId="12" xfId="39" applyNumberFormat="1" applyFont="1" applyBorder="1" applyAlignment="1">
      <alignment horizontal="right" vertical="center"/>
    </xf>
    <xf numFmtId="0" fontId="60" fillId="0" borderId="67" xfId="73" applyFont="1" applyBorder="1" applyAlignment="1">
      <alignment vertical="center"/>
    </xf>
    <xf numFmtId="0" fontId="60" fillId="0" borderId="25" xfId="73" applyFont="1" applyBorder="1" applyAlignment="1">
      <alignment vertical="center"/>
    </xf>
    <xf numFmtId="49" fontId="68" fillId="0" borderId="18" xfId="254" applyNumberFormat="1" applyFont="1" applyFill="1" applyBorder="1" applyAlignment="1" applyProtection="1">
      <alignment horizontal="center" vertical="center"/>
    </xf>
    <xf numFmtId="0" fontId="62" fillId="0" borderId="18" xfId="73" applyFont="1" applyBorder="1" applyAlignment="1">
      <alignment vertical="center" wrapText="1"/>
    </xf>
    <xf numFmtId="0" fontId="62" fillId="0" borderId="25" xfId="73" applyFont="1" applyBorder="1" applyAlignment="1">
      <alignment vertical="center" wrapText="1"/>
    </xf>
    <xf numFmtId="2" fontId="62" fillId="0" borderId="18" xfId="73" applyNumberFormat="1" applyFont="1" applyBorder="1" applyAlignment="1">
      <alignment vertical="center"/>
    </xf>
    <xf numFmtId="2" fontId="62" fillId="0" borderId="25" xfId="73" applyNumberFormat="1" applyFont="1" applyBorder="1" applyAlignment="1">
      <alignment vertical="center"/>
    </xf>
    <xf numFmtId="2" fontId="62" fillId="0" borderId="25" xfId="39" applyNumberFormat="1" applyFont="1" applyBorder="1" applyAlignment="1">
      <alignment vertical="center" wrapText="1"/>
    </xf>
    <xf numFmtId="44" fontId="62" fillId="0" borderId="18" xfId="255" applyFont="1" applyFill="1" applyBorder="1" applyAlignment="1">
      <alignment vertical="center"/>
    </xf>
    <xf numFmtId="44" fontId="62" fillId="0" borderId="25" xfId="255" applyFont="1" applyFill="1" applyBorder="1" applyAlignment="1">
      <alignment vertical="center"/>
    </xf>
    <xf numFmtId="0" fontId="60" fillId="0" borderId="18" xfId="73" applyFont="1" applyBorder="1" applyAlignment="1">
      <alignment horizontal="left" vertical="center"/>
    </xf>
    <xf numFmtId="2" fontId="62" fillId="0" borderId="18" xfId="73" applyNumberFormat="1" applyFont="1" applyBorder="1" applyAlignment="1">
      <alignment horizontal="right" vertical="center"/>
    </xf>
    <xf numFmtId="44" fontId="62" fillId="0" borderId="18" xfId="255" applyFont="1" applyFill="1" applyBorder="1" applyAlignment="1">
      <alignment horizontal="left" vertical="center"/>
    </xf>
    <xf numFmtId="44" fontId="62" fillId="0" borderId="18" xfId="73" applyNumberFormat="1" applyFont="1" applyBorder="1" applyAlignment="1">
      <alignment horizontal="left" vertical="center"/>
    </xf>
    <xf numFmtId="202" fontId="7" fillId="0" borderId="18" xfId="135" applyNumberFormat="1" applyFont="1" applyBorder="1" applyAlignment="1">
      <alignment horizontal="justify" vertical="center" wrapText="1"/>
    </xf>
    <xf numFmtId="202" fontId="7" fillId="0" borderId="18" xfId="135" applyNumberFormat="1" applyFont="1" applyBorder="1" applyAlignment="1">
      <alignment horizontal="center" vertical="center" wrapText="1"/>
    </xf>
    <xf numFmtId="49" fontId="62" fillId="0" borderId="18" xfId="254" applyNumberFormat="1" applyFont="1" applyFill="1" applyBorder="1" applyAlignment="1" applyProtection="1">
      <alignment horizontal="center" vertical="center"/>
    </xf>
    <xf numFmtId="202" fontId="64" fillId="0" borderId="18" xfId="135" applyNumberFormat="1" applyFont="1" applyBorder="1" applyAlignment="1">
      <alignment horizontal="justify" vertical="center" wrapText="1"/>
    </xf>
    <xf numFmtId="202" fontId="64" fillId="0" borderId="18" xfId="135" applyNumberFormat="1" applyFont="1" applyBorder="1" applyAlignment="1">
      <alignment horizontal="center" vertical="center" wrapText="1"/>
    </xf>
    <xf numFmtId="0" fontId="64" fillId="0" borderId="18" xfId="73" applyFont="1" applyBorder="1" applyAlignment="1">
      <alignment horizontal="left" vertical="center"/>
    </xf>
    <xf numFmtId="44" fontId="62" fillId="0" borderId="18" xfId="255" applyFont="1" applyBorder="1" applyAlignment="1">
      <alignment horizontal="left" vertical="center"/>
    </xf>
    <xf numFmtId="0" fontId="64" fillId="0" borderId="18" xfId="73" applyFont="1" applyBorder="1" applyAlignment="1">
      <alignment horizontal="center" vertical="center"/>
    </xf>
    <xf numFmtId="0" fontId="60" fillId="24" borderId="34" xfId="73" applyFont="1" applyFill="1" applyBorder="1" applyAlignment="1">
      <alignment horizontal="left" vertical="center"/>
    </xf>
    <xf numFmtId="0" fontId="60" fillId="24" borderId="16" xfId="73" applyFont="1" applyFill="1" applyBorder="1" applyAlignment="1">
      <alignment horizontal="left" vertical="center"/>
    </xf>
    <xf numFmtId="0" fontId="60" fillId="24" borderId="26" xfId="73" applyFont="1" applyFill="1" applyBorder="1" applyAlignment="1">
      <alignment horizontal="left" vertical="center"/>
    </xf>
    <xf numFmtId="176" fontId="62" fillId="0" borderId="18" xfId="73" applyNumberFormat="1" applyFont="1" applyBorder="1" applyAlignment="1">
      <alignment horizontal="right" vertical="center"/>
    </xf>
    <xf numFmtId="176" fontId="62" fillId="0" borderId="18" xfId="39" applyNumberFormat="1" applyFont="1" applyBorder="1" applyAlignment="1">
      <alignment horizontal="right" vertical="center"/>
    </xf>
    <xf numFmtId="8" fontId="62" fillId="0" borderId="18" xfId="255" applyNumberFormat="1" applyFont="1" applyBorder="1" applyAlignment="1">
      <alignment horizontal="right" vertical="center"/>
    </xf>
    <xf numFmtId="6" fontId="62" fillId="0" borderId="18" xfId="255" applyNumberFormat="1" applyFont="1" applyBorder="1" applyAlignment="1">
      <alignment horizontal="right" vertical="center"/>
    </xf>
    <xf numFmtId="202" fontId="7" fillId="0" borderId="18" xfId="228" applyNumberFormat="1" applyFont="1" applyBorder="1" applyAlignment="1">
      <alignment horizontal="justify" vertical="center" wrapText="1"/>
    </xf>
    <xf numFmtId="2" fontId="50" fillId="0" borderId="18" xfId="228" applyNumberFormat="1" applyFont="1" applyBorder="1" applyAlignment="1">
      <alignment horizontal="center" vertical="center"/>
    </xf>
    <xf numFmtId="202" fontId="50" fillId="0" borderId="18" xfId="227" applyNumberFormat="1" applyFont="1" applyBorder="1" applyAlignment="1">
      <alignment horizontal="center" vertical="center" wrapText="1"/>
    </xf>
    <xf numFmtId="202" fontId="50" fillId="0" borderId="18" xfId="228" applyNumberFormat="1" applyFont="1" applyBorder="1" applyAlignment="1">
      <alignment horizontal="justify" vertical="center" wrapText="1"/>
    </xf>
    <xf numFmtId="8" fontId="62" fillId="0" borderId="18" xfId="73" applyNumberFormat="1" applyFont="1" applyBorder="1" applyAlignment="1">
      <alignment horizontal="center" vertical="center"/>
    </xf>
    <xf numFmtId="8" fontId="62" fillId="0" borderId="18" xfId="255" applyNumberFormat="1" applyFont="1" applyBorder="1" applyAlignment="1">
      <alignment horizontal="center" vertical="center"/>
    </xf>
    <xf numFmtId="2" fontId="62" fillId="0" borderId="18" xfId="73" applyNumberFormat="1" applyFont="1" applyBorder="1" applyAlignment="1">
      <alignment horizontal="center" vertical="center"/>
    </xf>
    <xf numFmtId="202" fontId="7" fillId="0" borderId="18" xfId="227" applyNumberFormat="1" applyFont="1" applyBorder="1" applyAlignment="1">
      <alignment horizontal="center" vertical="center" wrapText="1"/>
    </xf>
    <xf numFmtId="2" fontId="7" fillId="0" borderId="18" xfId="228" applyNumberFormat="1" applyFont="1" applyBorder="1" applyAlignment="1">
      <alignment vertical="center"/>
    </xf>
    <xf numFmtId="0" fontId="62" fillId="0" borderId="18" xfId="89" applyFont="1" applyBorder="1"/>
    <xf numFmtId="0" fontId="75" fillId="0" borderId="18" xfId="227" applyFont="1" applyBorder="1" applyAlignment="1">
      <alignment vertical="center"/>
    </xf>
    <xf numFmtId="0" fontId="64" fillId="0" borderId="18" xfId="227" applyFont="1" applyBorder="1" applyAlignment="1">
      <alignment vertical="center"/>
    </xf>
    <xf numFmtId="202" fontId="7" fillId="0" borderId="18" xfId="227" applyNumberFormat="1" applyFont="1" applyBorder="1" applyAlignment="1">
      <alignment vertical="center" wrapText="1"/>
    </xf>
    <xf numFmtId="176" fontId="60" fillId="0" borderId="18" xfId="39" applyNumberFormat="1" applyFont="1" applyBorder="1" applyAlignment="1">
      <alignment horizontal="right" vertical="center"/>
    </xf>
    <xf numFmtId="176" fontId="60" fillId="0" borderId="18" xfId="73" applyNumberFormat="1" applyFont="1" applyBorder="1" applyAlignment="1">
      <alignment horizontal="right" vertical="center"/>
    </xf>
    <xf numFmtId="176" fontId="62" fillId="0" borderId="0" xfId="73" applyNumberFormat="1" applyFont="1" applyAlignment="1">
      <alignment horizontal="right" vertical="center"/>
    </xf>
    <xf numFmtId="44" fontId="62" fillId="0" borderId="0" xfId="89" applyNumberFormat="1" applyFont="1"/>
    <xf numFmtId="176" fontId="62" fillId="0" borderId="40" xfId="39" applyNumberFormat="1" applyFont="1" applyBorder="1" applyAlignment="1">
      <alignment horizontal="right" vertical="center"/>
    </xf>
    <xf numFmtId="44" fontId="60" fillId="0" borderId="18" xfId="73" applyNumberFormat="1" applyFont="1" applyBorder="1" applyAlignment="1">
      <alignment horizontal="left" vertical="center"/>
    </xf>
    <xf numFmtId="176" fontId="60" fillId="0" borderId="18" xfId="255" applyNumberFormat="1" applyFont="1" applyFill="1" applyBorder="1" applyAlignment="1">
      <alignment horizontal="right" vertical="center"/>
    </xf>
    <xf numFmtId="0" fontId="75" fillId="24" borderId="18" xfId="227" applyFont="1" applyFill="1" applyBorder="1" applyAlignment="1">
      <alignment vertical="center"/>
    </xf>
    <xf numFmtId="0" fontId="62" fillId="24" borderId="18" xfId="89" applyFont="1" applyFill="1" applyBorder="1"/>
    <xf numFmtId="0" fontId="64" fillId="24" borderId="18" xfId="227" applyFont="1" applyFill="1" applyBorder="1" applyAlignment="1">
      <alignment vertical="center"/>
    </xf>
    <xf numFmtId="176" fontId="60" fillId="24" borderId="18" xfId="255" applyNumberFormat="1" applyFont="1" applyFill="1" applyBorder="1" applyAlignment="1">
      <alignment horizontal="right" vertical="center"/>
    </xf>
    <xf numFmtId="176" fontId="61" fillId="0" borderId="0" xfId="89" applyNumberFormat="1" applyFont="1"/>
    <xf numFmtId="8" fontId="62" fillId="0" borderId="18" xfId="255" applyNumberFormat="1" applyFont="1" applyFill="1" applyBorder="1" applyAlignment="1">
      <alignment horizontal="right" vertical="center"/>
    </xf>
    <xf numFmtId="176" fontId="62" fillId="0" borderId="18" xfId="39" applyNumberFormat="1" applyFont="1" applyFill="1" applyBorder="1" applyAlignment="1">
      <alignment horizontal="right" vertical="center"/>
    </xf>
    <xf numFmtId="8" fontId="62" fillId="0" borderId="18" xfId="255" applyNumberFormat="1" applyFont="1" applyFill="1" applyBorder="1" applyAlignment="1">
      <alignment horizontal="center" vertical="center"/>
    </xf>
    <xf numFmtId="0" fontId="62" fillId="0" borderId="19" xfId="73" applyFont="1" applyBorder="1" applyAlignment="1">
      <alignment horizontal="left" vertical="center"/>
    </xf>
    <xf numFmtId="0" fontId="62" fillId="0" borderId="22" xfId="73" applyFont="1" applyBorder="1" applyAlignment="1">
      <alignment horizontal="left" vertical="center"/>
    </xf>
    <xf numFmtId="0" fontId="62" fillId="0" borderId="23" xfId="73" applyFont="1" applyBorder="1" applyAlignment="1">
      <alignment horizontal="left" vertical="center"/>
    </xf>
    <xf numFmtId="0" fontId="60" fillId="24" borderId="34" xfId="73" applyFont="1" applyFill="1" applyBorder="1" applyAlignment="1">
      <alignment horizontal="left" vertical="center"/>
    </xf>
    <xf numFmtId="0" fontId="60" fillId="24" borderId="16" xfId="73" applyFont="1" applyFill="1" applyBorder="1" applyAlignment="1">
      <alignment horizontal="left" vertical="center"/>
    </xf>
    <xf numFmtId="0" fontId="60" fillId="24" borderId="26" xfId="73" applyFont="1" applyFill="1" applyBorder="1" applyAlignment="1">
      <alignment horizontal="left" vertical="center"/>
    </xf>
    <xf numFmtId="0" fontId="60" fillId="24" borderId="41" xfId="73" applyFont="1" applyFill="1" applyBorder="1" applyAlignment="1">
      <alignment horizontal="right" vertical="center"/>
    </xf>
    <xf numFmtId="0" fontId="60" fillId="24" borderId="43" xfId="73" applyFont="1" applyFill="1" applyBorder="1" applyAlignment="1">
      <alignment horizontal="right" vertical="center"/>
    </xf>
    <xf numFmtId="0" fontId="60" fillId="24" borderId="53" xfId="73" applyFont="1" applyFill="1" applyBorder="1" applyAlignment="1">
      <alignment horizontal="right" vertical="center"/>
    </xf>
    <xf numFmtId="0" fontId="62" fillId="0" borderId="18" xfId="73" applyFont="1" applyBorder="1" applyAlignment="1">
      <alignment horizontal="left" vertical="center"/>
    </xf>
    <xf numFmtId="0" fontId="62" fillId="0" borderId="27" xfId="73" applyFont="1" applyBorder="1" applyAlignment="1">
      <alignment horizontal="left" vertical="center"/>
    </xf>
    <xf numFmtId="0" fontId="62" fillId="0" borderId="31" xfId="73" applyFont="1" applyBorder="1" applyAlignment="1">
      <alignment horizontal="left" vertical="center"/>
    </xf>
    <xf numFmtId="0" fontId="62" fillId="0" borderId="28" xfId="73" applyFont="1" applyBorder="1" applyAlignment="1">
      <alignment horizontal="left" vertical="center"/>
    </xf>
    <xf numFmtId="0" fontId="62" fillId="27" borderId="52" xfId="89" applyFont="1" applyFill="1" applyBorder="1" applyAlignment="1">
      <alignment horizontal="left" vertical="center" wrapText="1"/>
    </xf>
    <xf numFmtId="0" fontId="62" fillId="27" borderId="25" xfId="89" applyFont="1" applyFill="1" applyBorder="1" applyAlignment="1">
      <alignment horizontal="left" vertical="center" wrapText="1"/>
    </xf>
    <xf numFmtId="0" fontId="62" fillId="27" borderId="47" xfId="89" applyFont="1" applyFill="1" applyBorder="1" applyAlignment="1">
      <alignment horizontal="left" vertical="center" wrapText="1"/>
    </xf>
    <xf numFmtId="0" fontId="62" fillId="27" borderId="33" xfId="89" applyFont="1" applyFill="1" applyBorder="1" applyAlignment="1">
      <alignment horizontal="left" vertical="center" wrapText="1"/>
    </xf>
    <xf numFmtId="0" fontId="62" fillId="27" borderId="18" xfId="89" applyFont="1" applyFill="1" applyBorder="1" applyAlignment="1">
      <alignment horizontal="left" vertical="center" wrapText="1"/>
    </xf>
    <xf numFmtId="0" fontId="62" fillId="27" borderId="30" xfId="89" applyFont="1" applyFill="1" applyBorder="1" applyAlignment="1">
      <alignment horizontal="left" vertical="center" wrapText="1"/>
    </xf>
    <xf numFmtId="0" fontId="62" fillId="26" borderId="21" xfId="89" applyFont="1" applyFill="1" applyBorder="1" applyAlignment="1">
      <alignment horizontal="center" vertical="center" wrapText="1"/>
    </xf>
    <xf numFmtId="0" fontId="62" fillId="26" borderId="22" xfId="89" applyFont="1" applyFill="1" applyBorder="1" applyAlignment="1">
      <alignment horizontal="center" vertical="center" wrapText="1"/>
    </xf>
    <xf numFmtId="0" fontId="62" fillId="26" borderId="57" xfId="89" applyFont="1" applyFill="1" applyBorder="1" applyAlignment="1">
      <alignment horizontal="center" vertical="center" wrapText="1"/>
    </xf>
    <xf numFmtId="0" fontId="7" fillId="0" borderId="85" xfId="89" applyFont="1" applyBorder="1" applyAlignment="1">
      <alignment horizontal="center" wrapText="1"/>
    </xf>
    <xf numFmtId="0" fontId="55" fillId="0" borderId="85" xfId="89" applyFont="1" applyBorder="1" applyAlignment="1">
      <alignment horizontal="center" wrapText="1"/>
    </xf>
    <xf numFmtId="0" fontId="62" fillId="26" borderId="33" xfId="130" applyFont="1" applyFill="1" applyBorder="1" applyAlignment="1">
      <alignment vertical="center" wrapText="1"/>
    </xf>
    <xf numFmtId="0" fontId="62" fillId="26" borderId="18" xfId="130" applyFont="1" applyFill="1" applyBorder="1" applyAlignment="1">
      <alignment vertical="center" wrapText="1"/>
    </xf>
    <xf numFmtId="0" fontId="60" fillId="24" borderId="13" xfId="73" applyFont="1" applyFill="1" applyBorder="1" applyAlignment="1">
      <alignment horizontal="left" vertical="center"/>
    </xf>
    <xf numFmtId="0" fontId="60" fillId="24" borderId="14" xfId="73" applyFont="1" applyFill="1" applyBorder="1" applyAlignment="1">
      <alignment horizontal="left" vertical="center"/>
    </xf>
    <xf numFmtId="0" fontId="60" fillId="24" borderId="15" xfId="73" applyFont="1" applyFill="1" applyBorder="1" applyAlignment="1">
      <alignment horizontal="left" vertical="center"/>
    </xf>
    <xf numFmtId="3" fontId="60" fillId="26" borderId="25" xfId="130" applyNumberFormat="1" applyFont="1" applyFill="1" applyBorder="1" applyAlignment="1">
      <alignment horizontal="center" vertical="center" wrapText="1"/>
    </xf>
    <xf numFmtId="3" fontId="60" fillId="26" borderId="18" xfId="130" applyNumberFormat="1" applyFont="1" applyFill="1" applyBorder="1" applyAlignment="1">
      <alignment horizontal="center" vertical="center"/>
    </xf>
    <xf numFmtId="0" fontId="62" fillId="0" borderId="16" xfId="79" applyFont="1" applyBorder="1" applyAlignment="1">
      <alignment horizontal="center" vertical="center"/>
    </xf>
    <xf numFmtId="0" fontId="62" fillId="0" borderId="26" xfId="79" applyFont="1" applyBorder="1" applyAlignment="1">
      <alignment horizontal="center" vertical="center"/>
    </xf>
    <xf numFmtId="0" fontId="60" fillId="25" borderId="29" xfId="73" applyFont="1" applyFill="1" applyBorder="1" applyAlignment="1">
      <alignment horizontal="center" vertical="center" wrapText="1"/>
    </xf>
    <xf numFmtId="0" fontId="60" fillId="25" borderId="20" xfId="73" applyFont="1" applyFill="1" applyBorder="1" applyAlignment="1">
      <alignment horizontal="center" vertical="center" wrapText="1"/>
    </xf>
    <xf numFmtId="4" fontId="60" fillId="25" borderId="29" xfId="73" applyNumberFormat="1" applyFont="1" applyFill="1" applyBorder="1" applyAlignment="1">
      <alignment horizontal="center" vertical="center" wrapText="1"/>
    </xf>
    <xf numFmtId="4" fontId="60" fillId="25" borderId="20" xfId="73" applyNumberFormat="1" applyFont="1" applyFill="1" applyBorder="1" applyAlignment="1">
      <alignment horizontal="center" vertical="center" wrapText="1"/>
    </xf>
    <xf numFmtId="4" fontId="60" fillId="25" borderId="35" xfId="73" applyNumberFormat="1" applyFont="1" applyFill="1" applyBorder="1" applyAlignment="1">
      <alignment horizontal="center" vertical="center" wrapText="1"/>
    </xf>
    <xf numFmtId="4" fontId="60" fillId="25" borderId="42" xfId="73" applyNumberFormat="1" applyFont="1" applyFill="1" applyBorder="1" applyAlignment="1">
      <alignment horizontal="center" vertical="center" wrapText="1"/>
    </xf>
    <xf numFmtId="0" fontId="60" fillId="25" borderId="32" xfId="73" applyFont="1" applyFill="1" applyBorder="1" applyAlignment="1">
      <alignment horizontal="center" vertical="center" wrapText="1"/>
    </xf>
    <xf numFmtId="0" fontId="60" fillId="25" borderId="48" xfId="73" applyFont="1" applyFill="1" applyBorder="1" applyAlignment="1">
      <alignment horizontal="center" vertical="center" wrapText="1"/>
    </xf>
    <xf numFmtId="0" fontId="60" fillId="0" borderId="29" xfId="126" applyFont="1" applyBorder="1" applyAlignment="1">
      <alignment horizontal="center" vertical="center" wrapText="1"/>
    </xf>
    <xf numFmtId="0" fontId="60" fillId="24" borderId="60" xfId="73" applyFont="1" applyFill="1" applyBorder="1" applyAlignment="1">
      <alignment horizontal="left" vertical="center"/>
    </xf>
    <xf numFmtId="0" fontId="60" fillId="24" borderId="59" xfId="73" applyFont="1" applyFill="1" applyBorder="1" applyAlignment="1">
      <alignment horizontal="left" vertical="center"/>
    </xf>
    <xf numFmtId="0" fontId="60" fillId="24" borderId="58" xfId="73" applyFont="1" applyFill="1" applyBorder="1" applyAlignment="1">
      <alignment horizontal="left" vertical="center"/>
    </xf>
    <xf numFmtId="0" fontId="60" fillId="24" borderId="41" xfId="73" applyFont="1" applyFill="1" applyBorder="1" applyAlignment="1">
      <alignment horizontal="left" vertical="center"/>
    </xf>
    <xf numFmtId="0" fontId="60" fillId="24" borderId="43" xfId="73" applyFont="1" applyFill="1" applyBorder="1" applyAlignment="1">
      <alignment horizontal="left" vertical="center"/>
    </xf>
    <xf numFmtId="0" fontId="60" fillId="24" borderId="44" xfId="73" applyFont="1" applyFill="1" applyBorder="1" applyAlignment="1">
      <alignment horizontal="left" vertical="center"/>
    </xf>
    <xf numFmtId="0" fontId="62" fillId="25" borderId="20" xfId="130" applyFont="1" applyFill="1" applyBorder="1" applyAlignment="1">
      <alignment horizontal="center" vertical="center" wrapText="1"/>
    </xf>
    <xf numFmtId="0" fontId="62" fillId="25" borderId="42" xfId="130" applyFont="1" applyFill="1" applyBorder="1" applyAlignment="1">
      <alignment horizontal="center" vertical="center" wrapText="1"/>
    </xf>
    <xf numFmtId="0" fontId="60" fillId="26" borderId="18" xfId="130" applyFont="1" applyFill="1" applyBorder="1" applyAlignment="1">
      <alignment horizontal="center" vertical="center" wrapText="1"/>
    </xf>
    <xf numFmtId="0" fontId="60" fillId="26" borderId="18" xfId="130" applyFont="1" applyFill="1" applyBorder="1" applyAlignment="1">
      <alignment horizontal="center" vertical="center"/>
    </xf>
    <xf numFmtId="3" fontId="60" fillId="26" borderId="18" xfId="130" applyNumberFormat="1" applyFont="1" applyFill="1" applyBorder="1" applyAlignment="1">
      <alignment horizontal="center" vertical="center" wrapText="1"/>
    </xf>
    <xf numFmtId="0" fontId="50" fillId="25" borderId="77" xfId="130" applyFont="1" applyFill="1" applyBorder="1" applyAlignment="1">
      <alignment horizontal="center" vertical="center" wrapText="1"/>
    </xf>
    <xf numFmtId="0" fontId="50" fillId="25" borderId="76" xfId="130" applyFont="1" applyFill="1" applyBorder="1" applyAlignment="1">
      <alignment horizontal="center" vertical="center" wrapText="1"/>
    </xf>
    <xf numFmtId="0" fontId="50" fillId="26" borderId="33" xfId="130" applyFont="1" applyFill="1" applyBorder="1" applyAlignment="1">
      <alignment vertical="center" wrapText="1"/>
    </xf>
    <xf numFmtId="0" fontId="50" fillId="26" borderId="18" xfId="130" applyFont="1" applyFill="1" applyBorder="1" applyAlignment="1">
      <alignment vertical="center" wrapText="1"/>
    </xf>
    <xf numFmtId="0" fontId="52" fillId="26" borderId="18" xfId="130" applyFont="1" applyFill="1" applyBorder="1" applyAlignment="1">
      <alignment horizontal="center" vertical="center" wrapText="1"/>
    </xf>
    <xf numFmtId="0" fontId="52" fillId="26" borderId="18" xfId="130" applyFont="1" applyFill="1" applyBorder="1" applyAlignment="1">
      <alignment horizontal="center" vertical="center"/>
    </xf>
    <xf numFmtId="3" fontId="52" fillId="26" borderId="18" xfId="130" applyNumberFormat="1" applyFont="1" applyFill="1" applyBorder="1" applyAlignment="1">
      <alignment horizontal="center" vertical="center" wrapText="1"/>
    </xf>
    <xf numFmtId="3" fontId="52" fillId="26" borderId="18" xfId="130" applyNumberFormat="1" applyFont="1" applyFill="1" applyBorder="1" applyAlignment="1">
      <alignment horizontal="center" vertical="center"/>
    </xf>
    <xf numFmtId="0" fontId="50" fillId="0" borderId="34" xfId="128" applyFont="1" applyBorder="1" applyAlignment="1">
      <alignment horizontal="left" vertical="center" wrapText="1"/>
    </xf>
    <xf numFmtId="0" fontId="50" fillId="0" borderId="16" xfId="128" applyFont="1" applyBorder="1" applyAlignment="1">
      <alignment horizontal="left" vertical="center" wrapText="1"/>
    </xf>
    <xf numFmtId="0" fontId="50" fillId="0" borderId="17" xfId="128" applyFont="1" applyBorder="1" applyAlignment="1">
      <alignment horizontal="left" vertical="center" wrapText="1"/>
    </xf>
    <xf numFmtId="3" fontId="52" fillId="26" borderId="25" xfId="130" applyNumberFormat="1" applyFont="1" applyFill="1" applyBorder="1" applyAlignment="1">
      <alignment horizontal="center" vertical="center" wrapText="1"/>
    </xf>
    <xf numFmtId="0" fontId="50" fillId="0" borderId="16" xfId="79" applyFont="1" applyBorder="1" applyAlignment="1">
      <alignment horizontal="center" vertical="center"/>
    </xf>
    <xf numFmtId="0" fontId="50" fillId="0" borderId="26" xfId="79" applyFont="1" applyBorder="1" applyAlignment="1">
      <alignment horizontal="center" vertical="center"/>
    </xf>
    <xf numFmtId="0" fontId="52" fillId="0" borderId="0" xfId="130" applyFont="1" applyAlignment="1">
      <alignment horizontal="center" vertical="center"/>
    </xf>
    <xf numFmtId="0" fontId="52" fillId="0" borderId="14" xfId="130" applyFont="1" applyBorder="1" applyAlignment="1">
      <alignment horizontal="center"/>
    </xf>
    <xf numFmtId="0" fontId="65" fillId="27" borderId="32" xfId="89" applyFont="1" applyFill="1" applyBorder="1" applyAlignment="1">
      <alignment horizontal="left" vertical="top" wrapText="1"/>
    </xf>
    <xf numFmtId="0" fontId="58" fillId="27" borderId="29" xfId="89" applyFont="1" applyFill="1" applyBorder="1" applyAlignment="1">
      <alignment horizontal="left" vertical="top" wrapText="1"/>
    </xf>
    <xf numFmtId="0" fontId="58" fillId="27" borderId="35" xfId="89" applyFont="1" applyFill="1" applyBorder="1" applyAlignment="1">
      <alignment horizontal="left" vertical="top" wrapText="1"/>
    </xf>
    <xf numFmtId="0" fontId="58" fillId="27" borderId="48" xfId="89" applyFont="1" applyFill="1" applyBorder="1" applyAlignment="1">
      <alignment horizontal="left" vertical="top" wrapText="1"/>
    </xf>
    <xf numFmtId="0" fontId="58" fillId="27" borderId="20" xfId="89" applyFont="1" applyFill="1" applyBorder="1" applyAlignment="1">
      <alignment horizontal="left" vertical="top" wrapText="1"/>
    </xf>
    <xf numFmtId="0" fontId="58" fillId="27" borderId="42" xfId="89" applyFont="1" applyFill="1" applyBorder="1" applyAlignment="1">
      <alignment horizontal="left" vertical="top" wrapText="1"/>
    </xf>
    <xf numFmtId="0" fontId="50" fillId="26" borderId="73" xfId="89" applyFont="1" applyFill="1" applyBorder="1" applyAlignment="1">
      <alignment horizontal="center" wrapText="1"/>
    </xf>
    <xf numFmtId="0" fontId="50" fillId="26" borderId="56" xfId="89" applyFont="1" applyFill="1" applyBorder="1" applyAlignment="1">
      <alignment horizontal="center" wrapText="1"/>
    </xf>
    <xf numFmtId="0" fontId="50" fillId="26" borderId="72" xfId="89" applyFont="1" applyFill="1" applyBorder="1" applyAlignment="1">
      <alignment horizontal="center" wrapText="1"/>
    </xf>
    <xf numFmtId="0" fontId="52" fillId="24" borderId="14" xfId="73" applyFont="1" applyFill="1" applyBorder="1" applyAlignment="1">
      <alignment horizontal="left" vertical="center"/>
    </xf>
    <xf numFmtId="0" fontId="52" fillId="24" borderId="15" xfId="73" applyFont="1" applyFill="1" applyBorder="1" applyAlignment="1">
      <alignment horizontal="left" vertical="center"/>
    </xf>
    <xf numFmtId="0" fontId="52" fillId="25" borderId="32" xfId="73" applyFont="1" applyFill="1" applyBorder="1" applyAlignment="1">
      <alignment horizontal="center" vertical="center" wrapText="1"/>
    </xf>
    <xf numFmtId="0" fontId="52" fillId="25" borderId="48" xfId="73" applyFont="1" applyFill="1" applyBorder="1" applyAlignment="1">
      <alignment horizontal="center" vertical="center" wrapText="1"/>
    </xf>
    <xf numFmtId="0" fontId="52" fillId="25" borderId="29" xfId="73" applyFont="1" applyFill="1" applyBorder="1" applyAlignment="1">
      <alignment horizontal="center" vertical="center" wrapText="1"/>
    </xf>
    <xf numFmtId="0" fontId="52" fillId="25" borderId="20" xfId="73" applyFont="1" applyFill="1" applyBorder="1" applyAlignment="1">
      <alignment horizontal="center" vertical="center" wrapText="1"/>
    </xf>
    <xf numFmtId="0" fontId="52" fillId="0" borderId="29" xfId="126" applyFont="1" applyBorder="1" applyAlignment="1">
      <alignment horizontal="center" vertical="center" wrapText="1"/>
    </xf>
    <xf numFmtId="4" fontId="52" fillId="25" borderId="29" xfId="73" applyNumberFormat="1" applyFont="1" applyFill="1" applyBorder="1" applyAlignment="1">
      <alignment horizontal="center" vertical="center" wrapText="1"/>
    </xf>
    <xf numFmtId="4" fontId="52" fillId="25" borderId="20" xfId="73" applyNumberFormat="1" applyFont="1" applyFill="1" applyBorder="1" applyAlignment="1">
      <alignment horizontal="center" vertical="center" wrapText="1"/>
    </xf>
    <xf numFmtId="4" fontId="52" fillId="25" borderId="35" xfId="73" applyNumberFormat="1" applyFont="1" applyFill="1" applyBorder="1" applyAlignment="1">
      <alignment horizontal="center" vertical="center" wrapText="1"/>
    </xf>
    <xf numFmtId="4" fontId="52" fillId="25" borderId="42" xfId="73" applyNumberFormat="1" applyFont="1" applyFill="1" applyBorder="1" applyAlignment="1">
      <alignment horizontal="center" vertical="center" wrapText="1"/>
    </xf>
    <xf numFmtId="0" fontId="52" fillId="24" borderId="41" xfId="73" applyFont="1" applyFill="1" applyBorder="1" applyAlignment="1">
      <alignment horizontal="right" vertical="center"/>
    </xf>
    <xf numFmtId="0" fontId="52" fillId="24" borderId="43" xfId="73" applyFont="1" applyFill="1" applyBorder="1" applyAlignment="1">
      <alignment horizontal="right" vertical="center"/>
    </xf>
    <xf numFmtId="0" fontId="52" fillId="24" borderId="53" xfId="73" applyFont="1" applyFill="1" applyBorder="1" applyAlignment="1">
      <alignment horizontal="right" vertical="center"/>
    </xf>
    <xf numFmtId="0" fontId="50" fillId="0" borderId="14" xfId="0" applyFont="1" applyBorder="1" applyAlignment="1">
      <alignment horizontal="right"/>
    </xf>
    <xf numFmtId="0" fontId="50" fillId="0" borderId="15" xfId="0" applyFont="1" applyBorder="1" applyAlignment="1">
      <alignment horizontal="right"/>
    </xf>
    <xf numFmtId="0" fontId="50" fillId="0" borderId="13" xfId="0" applyFont="1" applyBorder="1" applyAlignment="1">
      <alignment horizontal="left"/>
    </xf>
    <xf numFmtId="0" fontId="50" fillId="0" borderId="14" xfId="0" applyFont="1" applyBorder="1" applyAlignment="1">
      <alignment horizontal="left"/>
    </xf>
    <xf numFmtId="0" fontId="52" fillId="0" borderId="11" xfId="0" applyFont="1" applyBorder="1" applyAlignment="1">
      <alignment horizontal="right" vertical="center"/>
    </xf>
    <xf numFmtId="0" fontId="52" fillId="0" borderId="0" xfId="0" applyFont="1" applyAlignment="1">
      <alignment horizontal="right" vertical="center"/>
    </xf>
    <xf numFmtId="0" fontId="52" fillId="0" borderId="11" xfId="0" applyFont="1" applyBorder="1" applyAlignment="1">
      <alignment wrapText="1"/>
    </xf>
    <xf numFmtId="0" fontId="52" fillId="0" borderId="0" xfId="0" applyFont="1" applyAlignment="1">
      <alignment wrapText="1"/>
    </xf>
    <xf numFmtId="0" fontId="52" fillId="0" borderId="12" xfId="0" applyFont="1" applyBorder="1" applyAlignment="1">
      <alignment wrapText="1"/>
    </xf>
    <xf numFmtId="0" fontId="50" fillId="0" borderId="21" xfId="0" applyFont="1" applyBorder="1" applyAlignment="1">
      <alignment horizontal="center"/>
    </xf>
    <xf numFmtId="0" fontId="50" fillId="0" borderId="22" xfId="0" applyFont="1" applyBorder="1" applyAlignment="1">
      <alignment horizontal="center"/>
    </xf>
    <xf numFmtId="0" fontId="50" fillId="0" borderId="57" xfId="0" applyFont="1" applyBorder="1" applyAlignment="1">
      <alignment horizontal="center"/>
    </xf>
    <xf numFmtId="0" fontId="50" fillId="0" borderId="21" xfId="0" applyFont="1" applyBorder="1"/>
    <xf numFmtId="0" fontId="50" fillId="0" borderId="22" xfId="0" applyFont="1" applyBorder="1"/>
    <xf numFmtId="43" fontId="50" fillId="0" borderId="19" xfId="34" applyNumberFormat="1" applyFont="1" applyBorder="1" applyAlignment="1">
      <alignment horizontal="center"/>
    </xf>
    <xf numFmtId="43" fontId="50" fillId="0" borderId="23" xfId="34" applyNumberFormat="1" applyFont="1" applyBorder="1" applyAlignment="1">
      <alignment horizontal="center"/>
    </xf>
    <xf numFmtId="43" fontId="50" fillId="0" borderId="62" xfId="34" applyNumberFormat="1" applyFont="1" applyBorder="1" applyAlignment="1">
      <alignment horizontal="center"/>
    </xf>
    <xf numFmtId="43" fontId="50" fillId="0" borderId="28" xfId="34" applyNumberFormat="1" applyFont="1" applyBorder="1" applyAlignment="1">
      <alignment horizontal="center"/>
    </xf>
    <xf numFmtId="0" fontId="52" fillId="0" borderId="41" xfId="0" applyFont="1" applyBorder="1" applyAlignment="1">
      <alignment horizontal="right"/>
    </xf>
    <xf numFmtId="0" fontId="52" fillId="0" borderId="43" xfId="0" applyFont="1" applyBorder="1" applyAlignment="1">
      <alignment horizontal="right"/>
    </xf>
    <xf numFmtId="0" fontId="52" fillId="0" borderId="44" xfId="0" applyFont="1" applyBorder="1" applyAlignment="1">
      <alignment horizontal="right"/>
    </xf>
    <xf numFmtId="0" fontId="52" fillId="24" borderId="41" xfId="0" applyFont="1" applyFill="1" applyBorder="1" applyAlignment="1">
      <alignment horizontal="right"/>
    </xf>
    <xf numFmtId="0" fontId="52" fillId="24" borderId="43" xfId="0" applyFont="1" applyFill="1" applyBorder="1" applyAlignment="1">
      <alignment horizontal="right"/>
    </xf>
    <xf numFmtId="0" fontId="52" fillId="24" borderId="44" xfId="0" applyFont="1" applyFill="1" applyBorder="1" applyAlignment="1">
      <alignment horizontal="right"/>
    </xf>
    <xf numFmtId="0" fontId="50" fillId="0" borderId="27" xfId="0" applyFont="1" applyBorder="1"/>
    <xf numFmtId="0" fontId="50" fillId="0" borderId="31" xfId="0" applyFont="1" applyBorder="1"/>
    <xf numFmtId="0" fontId="50" fillId="0" borderId="62" xfId="0" applyFont="1" applyBorder="1" applyAlignment="1">
      <alignment horizontal="center"/>
    </xf>
    <xf numFmtId="0" fontId="50" fillId="0" borderId="28" xfId="0" applyFont="1" applyBorder="1" applyAlignment="1">
      <alignment horizontal="center"/>
    </xf>
    <xf numFmtId="0" fontId="52" fillId="24" borderId="34" xfId="0" applyFont="1" applyFill="1" applyBorder="1" applyAlignment="1">
      <alignment horizontal="center"/>
    </xf>
    <xf numFmtId="0" fontId="52" fillId="24" borderId="16" xfId="0" applyFont="1" applyFill="1" applyBorder="1" applyAlignment="1">
      <alignment horizontal="center"/>
    </xf>
    <xf numFmtId="0" fontId="52" fillId="24" borderId="46" xfId="0" applyFont="1" applyFill="1" applyBorder="1" applyAlignment="1">
      <alignment horizontal="center" wrapText="1"/>
    </xf>
    <xf numFmtId="0" fontId="52" fillId="24" borderId="17" xfId="0" applyFont="1" applyFill="1" applyBorder="1" applyAlignment="1">
      <alignment horizontal="center" wrapText="1"/>
    </xf>
    <xf numFmtId="2" fontId="50" fillId="0" borderId="19" xfId="0" applyNumberFormat="1" applyFont="1" applyBorder="1" applyAlignment="1">
      <alignment horizontal="center"/>
    </xf>
    <xf numFmtId="2" fontId="50" fillId="0" borderId="23" xfId="0" applyNumberFormat="1" applyFont="1" applyBorder="1" applyAlignment="1">
      <alignment horizontal="center"/>
    </xf>
    <xf numFmtId="0" fontId="52" fillId="24" borderId="46" xfId="0" applyFont="1" applyFill="1" applyBorder="1" applyAlignment="1">
      <alignment horizontal="center"/>
    </xf>
    <xf numFmtId="0" fontId="52" fillId="24" borderId="17" xfId="0" applyFont="1" applyFill="1" applyBorder="1" applyAlignment="1">
      <alignment horizontal="center"/>
    </xf>
    <xf numFmtId="2" fontId="50" fillId="0" borderId="19" xfId="0" applyNumberFormat="1" applyFont="1" applyBorder="1" applyAlignment="1">
      <alignment horizontal="center" wrapText="1"/>
    </xf>
    <xf numFmtId="2" fontId="50" fillId="0" borderId="23" xfId="0" applyNumberFormat="1" applyFont="1" applyBorder="1" applyAlignment="1">
      <alignment horizontal="center" wrapText="1"/>
    </xf>
    <xf numFmtId="0" fontId="52" fillId="24" borderId="68" xfId="0" applyFont="1" applyFill="1" applyBorder="1" applyAlignment="1">
      <alignment horizontal="center"/>
    </xf>
    <xf numFmtId="0" fontId="52" fillId="24" borderId="67" xfId="0" applyFont="1" applyFill="1" applyBorder="1" applyAlignment="1">
      <alignment horizontal="center"/>
    </xf>
    <xf numFmtId="0" fontId="50" fillId="24" borderId="27" xfId="0" applyFont="1" applyFill="1" applyBorder="1" applyAlignment="1">
      <alignment horizontal="center" vertical="center"/>
    </xf>
    <xf numFmtId="0" fontId="50" fillId="24" borderId="31" xfId="0" applyFont="1" applyFill="1" applyBorder="1" applyAlignment="1">
      <alignment horizontal="center" vertical="center"/>
    </xf>
    <xf numFmtId="0" fontId="50" fillId="24" borderId="70" xfId="0" applyFont="1" applyFill="1" applyBorder="1" applyAlignment="1">
      <alignment horizontal="center" vertical="center"/>
    </xf>
    <xf numFmtId="0" fontId="52" fillId="0" borderId="60" xfId="0" applyFont="1" applyBorder="1" applyAlignment="1">
      <alignment horizontal="left" vertical="center"/>
    </xf>
    <xf numFmtId="0" fontId="52" fillId="0" borderId="59" xfId="0" applyFont="1" applyBorder="1" applyAlignment="1">
      <alignment horizontal="left" vertical="center"/>
    </xf>
    <xf numFmtId="0" fontId="52" fillId="0" borderId="58" xfId="0" applyFont="1" applyBorder="1" applyAlignment="1">
      <alignment horizontal="left" vertical="center"/>
    </xf>
    <xf numFmtId="0" fontId="52" fillId="0" borderId="11" xfId="0" applyFont="1" applyBorder="1" applyAlignment="1">
      <alignment horizontal="left" vertical="center"/>
    </xf>
    <xf numFmtId="0" fontId="52" fillId="0" borderId="0" xfId="0" applyFont="1" applyAlignment="1">
      <alignment horizontal="left" vertical="center"/>
    </xf>
    <xf numFmtId="0" fontId="52" fillId="0" borderId="12" xfId="0" applyFont="1" applyBorder="1" applyAlignment="1">
      <alignment horizontal="left" vertical="center"/>
    </xf>
    <xf numFmtId="0" fontId="52" fillId="0" borderId="13" xfId="0" applyFont="1" applyBorder="1" applyAlignment="1">
      <alignment horizontal="left" vertical="center"/>
    </xf>
    <xf numFmtId="0" fontId="52" fillId="0" borderId="14" xfId="0" applyFont="1" applyBorder="1" applyAlignment="1">
      <alignment horizontal="left" vertical="center"/>
    </xf>
    <xf numFmtId="0" fontId="52" fillId="0" borderId="15" xfId="0" applyFont="1" applyBorder="1" applyAlignment="1">
      <alignment horizontal="left" vertical="center"/>
    </xf>
    <xf numFmtId="0" fontId="50" fillId="0" borderId="28" xfId="0" applyFont="1" applyBorder="1"/>
    <xf numFmtId="0" fontId="50" fillId="0" borderId="62" xfId="0" applyFont="1" applyBorder="1"/>
    <xf numFmtId="2" fontId="50" fillId="0" borderId="62" xfId="0" applyNumberFormat="1" applyFont="1" applyBorder="1" applyAlignment="1">
      <alignment horizontal="center"/>
    </xf>
    <xf numFmtId="2" fontId="50" fillId="0" borderId="28" xfId="0" applyNumberFormat="1" applyFont="1" applyBorder="1" applyAlignment="1">
      <alignment horizontal="center"/>
    </xf>
    <xf numFmtId="0" fontId="51" fillId="0" borderId="80" xfId="254" applyFont="1" applyBorder="1" applyAlignment="1" applyProtection="1">
      <alignment horizontal="center"/>
    </xf>
    <xf numFmtId="0" fontId="51" fillId="0" borderId="51" xfId="254" applyFont="1" applyBorder="1" applyAlignment="1" applyProtection="1">
      <alignment horizontal="center"/>
    </xf>
    <xf numFmtId="0" fontId="52" fillId="0" borderId="78" xfId="0" applyFont="1" applyBorder="1" applyAlignment="1">
      <alignment horizontal="center"/>
    </xf>
    <xf numFmtId="0" fontId="52" fillId="0" borderId="59" xfId="0" applyFont="1" applyBorder="1" applyAlignment="1">
      <alignment horizontal="center"/>
    </xf>
    <xf numFmtId="0" fontId="52" fillId="0" borderId="79" xfId="0" applyFont="1" applyBorder="1" applyAlignment="1">
      <alignment horizontal="center"/>
    </xf>
    <xf numFmtId="0" fontId="52" fillId="0" borderId="75" xfId="0" applyFont="1" applyBorder="1" applyAlignment="1">
      <alignment horizontal="center"/>
    </xf>
    <xf numFmtId="0" fontId="52" fillId="0" borderId="0" xfId="0" applyFont="1" applyAlignment="1">
      <alignment horizontal="center"/>
    </xf>
    <xf numFmtId="0" fontId="52" fillId="0" borderId="45" xfId="0" applyFont="1" applyBorder="1" applyAlignment="1">
      <alignment horizontal="center"/>
    </xf>
    <xf numFmtId="0" fontId="50" fillId="0" borderId="77" xfId="253" applyFont="1" applyBorder="1" applyAlignment="1">
      <alignment horizontal="center" vertical="center"/>
    </xf>
    <xf numFmtId="0" fontId="50" fillId="0" borderId="25" xfId="0" applyFont="1" applyBorder="1" applyAlignment="1">
      <alignment horizontal="center" vertical="center"/>
    </xf>
    <xf numFmtId="0" fontId="52" fillId="24" borderId="34" xfId="0" applyFont="1" applyFill="1" applyBorder="1" applyAlignment="1">
      <alignment horizontal="center" vertical="center" wrapText="1"/>
    </xf>
    <xf numFmtId="0" fontId="52" fillId="24" borderId="16" xfId="0" applyFont="1" applyFill="1" applyBorder="1" applyAlignment="1">
      <alignment horizontal="center" vertical="center" wrapText="1"/>
    </xf>
    <xf numFmtId="0" fontId="52" fillId="24" borderId="26" xfId="0" applyFont="1" applyFill="1" applyBorder="1" applyAlignment="1">
      <alignment horizontal="center" vertical="center" wrapText="1"/>
    </xf>
    <xf numFmtId="0" fontId="50" fillId="0" borderId="76" xfId="253" applyFont="1" applyBorder="1" applyAlignment="1">
      <alignment horizontal="center" vertical="center"/>
    </xf>
    <xf numFmtId="0" fontId="50" fillId="0" borderId="50" xfId="253" applyFont="1" applyBorder="1" applyAlignment="1">
      <alignment horizontal="center" vertical="center"/>
    </xf>
    <xf numFmtId="0" fontId="50" fillId="0" borderId="78" xfId="253" applyFont="1" applyBorder="1" applyAlignment="1">
      <alignment horizontal="center" vertical="center"/>
    </xf>
    <xf numFmtId="0" fontId="50" fillId="0" borderId="59" xfId="253" applyFont="1" applyBorder="1" applyAlignment="1">
      <alignment horizontal="center" vertical="center"/>
    </xf>
    <xf numFmtId="0" fontId="50" fillId="0" borderId="58" xfId="253" applyFont="1" applyBorder="1" applyAlignment="1">
      <alignment horizontal="center" vertical="center"/>
    </xf>
    <xf numFmtId="0" fontId="50" fillId="0" borderId="68" xfId="253" applyFont="1" applyBorder="1" applyAlignment="1">
      <alignment horizontal="center" vertical="center"/>
    </xf>
    <xf numFmtId="0" fontId="50" fillId="0" borderId="56" xfId="253" applyFont="1" applyBorder="1" applyAlignment="1">
      <alignment horizontal="center" vertical="center"/>
    </xf>
    <xf numFmtId="0" fontId="50" fillId="0" borderId="72" xfId="253" applyFont="1" applyBorder="1" applyAlignment="1">
      <alignment horizontal="center" vertical="center"/>
    </xf>
    <xf numFmtId="0" fontId="50" fillId="0" borderId="66" xfId="253" applyFont="1" applyBorder="1" applyAlignment="1">
      <alignment horizontal="center" vertical="center"/>
    </xf>
    <xf numFmtId="0" fontId="50" fillId="0" borderId="55" xfId="253" applyFont="1" applyBorder="1" applyAlignment="1">
      <alignment horizontal="center" vertical="center"/>
    </xf>
    <xf numFmtId="0" fontId="50" fillId="0" borderId="74" xfId="253" applyFont="1" applyBorder="1" applyAlignment="1">
      <alignment horizontal="center" vertical="center"/>
    </xf>
    <xf numFmtId="0" fontId="50" fillId="0" borderId="68" xfId="0" applyFont="1" applyBorder="1" applyAlignment="1">
      <alignment horizontal="center" vertical="center"/>
    </xf>
    <xf numFmtId="0" fontId="50" fillId="0" borderId="56" xfId="0" applyFont="1" applyBorder="1" applyAlignment="1">
      <alignment horizontal="center" vertical="center"/>
    </xf>
    <xf numFmtId="0" fontId="50" fillId="0" borderId="72" xfId="0" applyFont="1" applyBorder="1" applyAlignment="1">
      <alignment horizontal="center" vertical="center"/>
    </xf>
    <xf numFmtId="0" fontId="50" fillId="0" borderId="49" xfId="253" applyFont="1" applyBorder="1" applyAlignment="1">
      <alignment horizontal="center" vertical="center"/>
    </xf>
    <xf numFmtId="0" fontId="52" fillId="24" borderId="34" xfId="0" applyFont="1" applyFill="1" applyBorder="1" applyAlignment="1">
      <alignment horizontal="center" vertical="center"/>
    </xf>
    <xf numFmtId="0" fontId="52" fillId="24" borderId="26" xfId="0" applyFont="1" applyFill="1" applyBorder="1" applyAlignment="1">
      <alignment horizontal="center" vertical="center"/>
    </xf>
    <xf numFmtId="0" fontId="52" fillId="0" borderId="60" xfId="0" applyFont="1" applyBorder="1" applyAlignment="1" applyProtection="1">
      <alignment horizontal="center"/>
      <protection locked="0"/>
    </xf>
    <xf numFmtId="0" fontId="52" fillId="0" borderId="59" xfId="0" applyFont="1" applyBorder="1" applyAlignment="1" applyProtection="1">
      <alignment horizontal="center"/>
      <protection locked="0"/>
    </xf>
    <xf numFmtId="0" fontId="52" fillId="0" borderId="58" xfId="0" applyFont="1" applyBorder="1" applyAlignment="1" applyProtection="1">
      <alignment horizontal="center"/>
      <protection locked="0"/>
    </xf>
    <xf numFmtId="0" fontId="50" fillId="0" borderId="23" xfId="0" applyFont="1" applyBorder="1"/>
    <xf numFmtId="0" fontId="50" fillId="0" borderId="19" xfId="0" applyFont="1" applyBorder="1"/>
    <xf numFmtId="0" fontId="50" fillId="0" borderId="19" xfId="0" applyFont="1" applyBorder="1" applyAlignment="1">
      <alignment horizontal="center"/>
    </xf>
    <xf numFmtId="0" fontId="50" fillId="0" borderId="23" xfId="0" applyFont="1" applyBorder="1" applyAlignment="1">
      <alignment horizontal="center"/>
    </xf>
    <xf numFmtId="173" fontId="50" fillId="0" borderId="19" xfId="34" applyFont="1" applyBorder="1" applyAlignment="1">
      <alignment horizontal="center"/>
    </xf>
    <xf numFmtId="173" fontId="50" fillId="0" borderId="23" xfId="34" applyFont="1" applyBorder="1" applyAlignment="1">
      <alignment horizontal="center"/>
    </xf>
    <xf numFmtId="0" fontId="50" fillId="24" borderId="16" xfId="0" applyFont="1" applyFill="1" applyBorder="1" applyAlignment="1">
      <alignment horizontal="center"/>
    </xf>
    <xf numFmtId="0" fontId="50" fillId="24" borderId="17" xfId="0" applyFont="1" applyFill="1" applyBorder="1" applyAlignment="1">
      <alignment horizontal="center"/>
    </xf>
    <xf numFmtId="0" fontId="7" fillId="0" borderId="85" xfId="0" applyFont="1" applyBorder="1" applyAlignment="1">
      <alignment horizontal="center" wrapText="1"/>
    </xf>
    <xf numFmtId="0" fontId="44" fillId="0" borderId="85" xfId="0" applyFont="1" applyBorder="1" applyAlignment="1">
      <alignment horizontal="center" wrapText="1"/>
    </xf>
    <xf numFmtId="0" fontId="50" fillId="27" borderId="18" xfId="0" applyFont="1" applyFill="1" applyBorder="1" applyAlignment="1">
      <alignment horizontal="center" vertical="center" wrapText="1"/>
    </xf>
    <xf numFmtId="0" fontId="52" fillId="0" borderId="75" xfId="0" applyFont="1" applyBorder="1" applyAlignment="1">
      <alignment horizontal="center" vertical="center" wrapText="1"/>
    </xf>
    <xf numFmtId="0" fontId="52" fillId="0" borderId="0" xfId="0" applyFont="1" applyAlignment="1">
      <alignment horizontal="center" vertical="center" wrapText="1"/>
    </xf>
    <xf numFmtId="0" fontId="52" fillId="0" borderId="45" xfId="0" applyFont="1" applyBorder="1" applyAlignment="1">
      <alignment horizontal="center" vertical="center" wrapText="1"/>
    </xf>
  </cellXfs>
  <cellStyles count="437">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odyStyle" xfId="257" xr:uid="{9A12F0CC-BE6B-4021-BF52-B0BCF9153774}"/>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34" xr:uid="{00000000-0005-0000-0000-000039000000}"/>
    <cellStyle name="Comma 2" xfId="258" xr:uid="{3402F84B-BEE4-4CB4-8C37-84D44AFA12E8}"/>
    <cellStyle name="Comma0" xfId="171" xr:uid="{00000000-0005-0000-0000-00003A000000}"/>
    <cellStyle name="Currency" xfId="172" xr:uid="{00000000-0005-0000-0000-00003B000000}"/>
    <cellStyle name="Currency 2" xfId="420" xr:uid="{D7CC2487-A303-4F3F-AF16-051871028DBB}"/>
    <cellStyle name="Currency0" xfId="173" xr:uid="{00000000-0005-0000-0000-00003C000000}"/>
    <cellStyle name="Date" xfId="174" xr:uid="{00000000-0005-0000-0000-00003D000000}"/>
    <cellStyle name="Encabezado 4 2" xfId="23" xr:uid="{00000000-0005-0000-0000-00003E000000}"/>
    <cellStyle name="Encabezado 4 3" xfId="175" xr:uid="{00000000-0005-0000-0000-00003F000000}"/>
    <cellStyle name="Énfasis 1" xfId="259" xr:uid="{894AC55E-7317-47FD-8234-CFC58E8781D5}"/>
    <cellStyle name="Énfasis 2" xfId="260" xr:uid="{9C101554-06C2-40E5-98BF-2E9F1C03D60D}"/>
    <cellStyle name="Énfasis 3" xfId="261" xr:uid="{71A51586-8CCC-4848-96BF-0109A69418A4}"/>
    <cellStyle name="Énfasis1 - 20%" xfId="262" xr:uid="{E7A88259-83B7-4881-B795-82C92FC3EAA2}"/>
    <cellStyle name="Énfasis1 - 40%" xfId="263" xr:uid="{AD25F224-154A-4ED8-B516-63D0E4472E3C}"/>
    <cellStyle name="Énfasis1 - 60%" xfId="264" xr:uid="{29B8DC70-DC95-490A-94B3-A0A13343A815}"/>
    <cellStyle name="Énfasis1 2" xfId="24" xr:uid="{00000000-0005-0000-0000-000040000000}"/>
    <cellStyle name="Énfasis1 3" xfId="176" xr:uid="{00000000-0005-0000-0000-000041000000}"/>
    <cellStyle name="Énfasis2 - 20%" xfId="265" xr:uid="{AF4D999E-A450-4DEB-A58C-C164B933F7A6}"/>
    <cellStyle name="Énfasis2 - 40%" xfId="266" xr:uid="{A287A836-0761-4FDC-A09D-B2E436DFDD9A}"/>
    <cellStyle name="Énfasis2 - 60%" xfId="267" xr:uid="{2A875930-6CF4-4FF9-84CA-EFF30F871AA8}"/>
    <cellStyle name="Énfasis2 2" xfId="25" xr:uid="{00000000-0005-0000-0000-000042000000}"/>
    <cellStyle name="Énfasis2 3" xfId="177" xr:uid="{00000000-0005-0000-0000-000043000000}"/>
    <cellStyle name="Énfasis3 - 20%" xfId="268" xr:uid="{28169FB1-95FC-490D-91D6-3064F9E6F02D}"/>
    <cellStyle name="Énfasis3 - 40%" xfId="269" xr:uid="{11B7129D-B89A-4B7D-ACC4-C52A61543F4C}"/>
    <cellStyle name="Énfasis3 - 60%" xfId="270" xr:uid="{D85F0231-29D3-4C36-8EF3-63061B8D1C89}"/>
    <cellStyle name="Énfasis3 2" xfId="26" xr:uid="{00000000-0005-0000-0000-000044000000}"/>
    <cellStyle name="Énfasis3 3" xfId="178" xr:uid="{00000000-0005-0000-0000-000045000000}"/>
    <cellStyle name="Énfasis4 - 20%" xfId="271" xr:uid="{E835F15B-B9FB-4FB2-BB67-23E989A56B70}"/>
    <cellStyle name="Énfasis4 - 40%" xfId="272" xr:uid="{35036EDA-E54D-4694-B6AB-5EE43DCDE83C}"/>
    <cellStyle name="Énfasis4 - 60%" xfId="273" xr:uid="{0F0E2705-BC09-439E-8CD3-6905A3BA0834}"/>
    <cellStyle name="Énfasis4 2" xfId="27" xr:uid="{00000000-0005-0000-0000-000046000000}"/>
    <cellStyle name="Énfasis4 3" xfId="179" xr:uid="{00000000-0005-0000-0000-000047000000}"/>
    <cellStyle name="Énfasis5 - 20%" xfId="274" xr:uid="{1991D2A5-6DE9-4D47-AB0B-38FE4FC6BFC9}"/>
    <cellStyle name="Énfasis5 - 40%" xfId="275" xr:uid="{C6113BE1-A013-49E4-B05A-B8F868386070}"/>
    <cellStyle name="Énfasis5 - 60%" xfId="276" xr:uid="{09360D37-D6E7-4A0F-ACA2-A25A34942A25}"/>
    <cellStyle name="Énfasis5 2" xfId="28" xr:uid="{00000000-0005-0000-0000-000048000000}"/>
    <cellStyle name="Énfasis5 3" xfId="180" xr:uid="{00000000-0005-0000-0000-000049000000}"/>
    <cellStyle name="Énfasis6 - 20%" xfId="277" xr:uid="{23F391D0-1DD3-4496-8BA2-E9710486C8C5}"/>
    <cellStyle name="Énfasis6 - 40%" xfId="278" xr:uid="{4AF8DD8B-1BAD-43C3-9FA8-2337CF157EE6}"/>
    <cellStyle name="Énfasis6 - 60%" xfId="279" xr:uid="{DFE26969-E202-47E9-A924-4C35E78880BE}"/>
    <cellStyle name="Énfasis6 2" xfId="29" xr:uid="{00000000-0005-0000-0000-00004A000000}"/>
    <cellStyle name="Énfasis6 3" xfId="181" xr:uid="{00000000-0005-0000-0000-00004B000000}"/>
    <cellStyle name="Entrada 2" xfId="30" xr:uid="{00000000-0005-0000-0000-00004C000000}"/>
    <cellStyle name="Entrada 3" xfId="182" xr:uid="{00000000-0005-0000-0000-00004D000000}"/>
    <cellStyle name="Estilo 1" xfId="31" xr:uid="{00000000-0005-0000-0000-00004E000000}"/>
    <cellStyle name="Euro" xfId="32" xr:uid="{00000000-0005-0000-0000-00004F000000}"/>
    <cellStyle name="Euro 2" xfId="280" xr:uid="{89432797-8D77-46BE-856F-4F8B2196C2D3}"/>
    <cellStyle name="F2" xfId="183" xr:uid="{00000000-0005-0000-0000-000050000000}"/>
    <cellStyle name="F2 2" xfId="281" xr:uid="{D5649AE5-E169-41C0-9D7F-72F322852774}"/>
    <cellStyle name="F3" xfId="184" xr:uid="{00000000-0005-0000-0000-000051000000}"/>
    <cellStyle name="F3 2" xfId="282" xr:uid="{81C9995F-7FF6-4DAE-81F2-A94A3337A94B}"/>
    <cellStyle name="F4" xfId="185" xr:uid="{00000000-0005-0000-0000-000052000000}"/>
    <cellStyle name="F4 2" xfId="283" xr:uid="{8D23E879-B345-4150-BB9B-887DFA23F235}"/>
    <cellStyle name="F5" xfId="186" xr:uid="{00000000-0005-0000-0000-000053000000}"/>
    <cellStyle name="F5 2" xfId="284" xr:uid="{2C6FFFDB-79FF-4750-B425-7B8965AD32D4}"/>
    <cellStyle name="F6" xfId="187" xr:uid="{00000000-0005-0000-0000-000054000000}"/>
    <cellStyle name="F6 2" xfId="285" xr:uid="{7A10C281-0665-44AB-8986-90D2CB2122CC}"/>
    <cellStyle name="F7" xfId="188" xr:uid="{00000000-0005-0000-0000-000055000000}"/>
    <cellStyle name="F7 2" xfId="286" xr:uid="{7B890046-EA84-447C-981E-FE77296D5634}"/>
    <cellStyle name="F8" xfId="189" xr:uid="{00000000-0005-0000-0000-000056000000}"/>
    <cellStyle name="F8 2" xfId="287" xr:uid="{754D3208-6518-43E1-AB81-C5A2F11713C4}"/>
    <cellStyle name="Fixed" xfId="190" xr:uid="{00000000-0005-0000-0000-000057000000}"/>
    <cellStyle name="Heading 1" xfId="191" xr:uid="{00000000-0005-0000-0000-000058000000}"/>
    <cellStyle name="Heading 2" xfId="192" xr:uid="{00000000-0005-0000-0000-000059000000}"/>
    <cellStyle name="Heading1" xfId="193" xr:uid="{00000000-0005-0000-0000-00005A000000}"/>
    <cellStyle name="Heading2" xfId="194" xr:uid="{00000000-0005-0000-0000-00005B000000}"/>
    <cellStyle name="Hipervínculo" xfId="254" builtinId="8"/>
    <cellStyle name="Hipervínculo 2" xfId="374" xr:uid="{9150A79C-2204-4698-AD07-1FA35B8E8D16}"/>
    <cellStyle name="Hipervínculo 3" xfId="288" xr:uid="{ACDC82E9-0ED9-44C1-A6BE-F8257E787387}"/>
    <cellStyle name="Incorrecto 2" xfId="33" xr:uid="{00000000-0005-0000-0000-00005D000000}"/>
    <cellStyle name="Incorrecto 3" xfId="195" xr:uid="{00000000-0005-0000-0000-00005E000000}"/>
    <cellStyle name="MILE DE MILLONES" xfId="196" xr:uid="{00000000-0005-0000-0000-00005F000000}"/>
    <cellStyle name="MILE DE MILLONES 2" xfId="197" xr:uid="{00000000-0005-0000-0000-000060000000}"/>
    <cellStyle name="MILE DE MILLONES_PRESUPUESTO FASE III ABR-2015 Rev3" xfId="198" xr:uid="{00000000-0005-0000-0000-000061000000}"/>
    <cellStyle name="MILES" xfId="199" xr:uid="{00000000-0005-0000-0000-000062000000}"/>
    <cellStyle name="MILES 2" xfId="200" xr:uid="{00000000-0005-0000-0000-000063000000}"/>
    <cellStyle name="Millares [0] 2" xfId="290" xr:uid="{FE988C84-859A-4FFE-B1F5-B622FB736509}"/>
    <cellStyle name="Millares [0] 2 2" xfId="375" xr:uid="{5892B665-909F-4E9C-A0BC-478277BA865E}"/>
    <cellStyle name="Millares [0] 3" xfId="423" xr:uid="{19301E03-A3C8-448C-977E-576E7F0BFBFB}"/>
    <cellStyle name="Millares [2]" xfId="35" xr:uid="{00000000-0005-0000-0000-000065000000}"/>
    <cellStyle name="Millares [2] 2" xfId="201" xr:uid="{00000000-0005-0000-0000-000066000000}"/>
    <cellStyle name="Millares 10" xfId="36" xr:uid="{00000000-0005-0000-0000-000067000000}"/>
    <cellStyle name="Millares 10 2" xfId="37" xr:uid="{00000000-0005-0000-0000-000068000000}"/>
    <cellStyle name="Millares 10 2 2" xfId="376" xr:uid="{63A57597-1BF3-49B2-8986-F42F1437C923}"/>
    <cellStyle name="Millares 10 3" xfId="291" xr:uid="{EDBCE7E0-7F2E-41DD-97B4-95A627AF23BF}"/>
    <cellStyle name="Millares 11" xfId="38" xr:uid="{00000000-0005-0000-0000-000069000000}"/>
    <cellStyle name="Millares 11 2" xfId="202" xr:uid="{00000000-0005-0000-0000-00006A000000}"/>
    <cellStyle name="Millares 11 3" xfId="292" xr:uid="{A259D078-AB01-416A-B425-81E30562262F}"/>
    <cellStyle name="Millares 12" xfId="125" xr:uid="{00000000-0005-0000-0000-00006B000000}"/>
    <cellStyle name="Millares 12 2" xfId="293" xr:uid="{93965CCB-9480-4BE5-B01B-4EE6A47F4B94}"/>
    <cellStyle name="Millares 13" xfId="134" xr:uid="{00000000-0005-0000-0000-00006C000000}"/>
    <cellStyle name="Millares 13 2" xfId="294" xr:uid="{3DA837A3-EB06-439D-9E97-C007EEBBFC25}"/>
    <cellStyle name="Millares 14" xfId="295" xr:uid="{3C85C4AC-8849-4B8F-A622-2AF6FBBE64C3}"/>
    <cellStyle name="Millares 149" xfId="377" xr:uid="{2A89555C-05A3-47FB-BFAB-9E67E7C9DF13}"/>
    <cellStyle name="Millares 149 2" xfId="378" xr:uid="{58D04CBE-E8D2-4311-992F-334CF20E371A}"/>
    <cellStyle name="Millares 149 3" xfId="379" xr:uid="{F0B3B030-7705-4D83-8DBC-C3C75B2748E5}"/>
    <cellStyle name="Millares 15" xfId="296" xr:uid="{220EBB81-E66B-4801-939B-5429F7E3A314}"/>
    <cellStyle name="Millares 16" xfId="297" xr:uid="{4AD773F8-514A-4C1A-AD85-2C16FAB32C62}"/>
    <cellStyle name="Millares 17" xfId="298" xr:uid="{712201AB-C515-4DB9-AC40-9C8938A84157}"/>
    <cellStyle name="Millares 18" xfId="299" xr:uid="{CFB81290-A36C-4FDA-BAE3-84806D8270F6}"/>
    <cellStyle name="Millares 19" xfId="300" xr:uid="{EC15660B-A9EF-4FDD-83C7-ECAF01300B1F}"/>
    <cellStyle name="Millares 2" xfId="39" xr:uid="{00000000-0005-0000-0000-00006D000000}"/>
    <cellStyle name="Millares 2 2" xfId="40" xr:uid="{00000000-0005-0000-0000-00006E000000}"/>
    <cellStyle name="Millares 2 2 2" xfId="302" xr:uid="{B00E5A3A-DF33-4ECD-B2DF-AED6C9446D87}"/>
    <cellStyle name="Millares 2 3" xfId="41" xr:uid="{00000000-0005-0000-0000-00006F000000}"/>
    <cellStyle name="Millares 2 3 2" xfId="303" xr:uid="{7BFF3963-1C71-428B-9986-562111DB83B4}"/>
    <cellStyle name="Millares 2 4" xfId="203" xr:uid="{00000000-0005-0000-0000-000070000000}"/>
    <cellStyle name="Millares 2 5" xfId="42" xr:uid="{00000000-0005-0000-0000-000071000000}"/>
    <cellStyle name="Millares 2 6" xfId="301" xr:uid="{D514A110-D5B6-47DD-B107-EEA710B75A63}"/>
    <cellStyle name="Millares 2_APU´S_NO_PREVISTOS (1)" xfId="204" xr:uid="{00000000-0005-0000-0000-000072000000}"/>
    <cellStyle name="Millares 20" xfId="304" xr:uid="{908AECFD-476F-4F63-8590-61C650737D93}"/>
    <cellStyle name="Millares 21" xfId="305" xr:uid="{98A85773-3C30-4606-9AE0-324B2AAC34EA}"/>
    <cellStyle name="Millares 22" xfId="306" xr:uid="{25D19709-A5F2-4943-831E-8902E4E6C751}"/>
    <cellStyle name="Millares 23" xfId="307" xr:uid="{4731B774-EB9F-4662-9E19-BFD22476CBCC}"/>
    <cellStyle name="Millares 24" xfId="308" xr:uid="{4B72966E-1BC5-4A50-8F0B-36E6A19F9A78}"/>
    <cellStyle name="Millares 25" xfId="309" xr:uid="{C6112CF6-8B06-4D35-872D-C35C9527B546}"/>
    <cellStyle name="Millares 26" xfId="310" xr:uid="{6CCEB3B4-9C47-4C64-8633-25777213CEC6}"/>
    <cellStyle name="Millares 27" xfId="311" xr:uid="{E1CFAAF5-BD13-460E-8C99-F2772D4B7782}"/>
    <cellStyle name="Millares 28" xfId="312" xr:uid="{0EA1B86F-49F5-4C0D-A66C-322C3D847FD5}"/>
    <cellStyle name="Millares 29" xfId="313" xr:uid="{8F376BB9-1CB9-4AB9-9FC1-460A6A0C22C5}"/>
    <cellStyle name="Millares 3" xfId="43" xr:uid="{00000000-0005-0000-0000-000073000000}"/>
    <cellStyle name="Millares 3 2" xfId="44" xr:uid="{00000000-0005-0000-0000-000074000000}"/>
    <cellStyle name="Millares 3 2 2" xfId="381" xr:uid="{46E14E65-9E2E-4335-8789-5DAD82B38335}"/>
    <cellStyle name="Millares 3 2 3" xfId="380" xr:uid="{741EEADF-1D5E-42ED-BE21-0D8C12426AAE}"/>
    <cellStyle name="Millares 3 3" xfId="45" xr:uid="{00000000-0005-0000-0000-000075000000}"/>
    <cellStyle name="Millares 3 3 2" xfId="382" xr:uid="{E27C579C-32CF-403D-9152-71E14BB88B27}"/>
    <cellStyle name="Millares 3 4" xfId="46" xr:uid="{00000000-0005-0000-0000-000076000000}"/>
    <cellStyle name="Millares 3 5" xfId="47" xr:uid="{00000000-0005-0000-0000-000077000000}"/>
    <cellStyle name="Millares 3 6" xfId="314" xr:uid="{FDA66935-1EDB-4B04-835C-BE9E718FDCD3}"/>
    <cellStyle name="Millares 30" xfId="315" xr:uid="{51022E71-7065-4D0E-AA5B-27B19FACDAE7}"/>
    <cellStyle name="Millares 31" xfId="316" xr:uid="{69E99C2C-9FDF-4D61-8CEE-FC8CEB44246B}"/>
    <cellStyle name="Millares 32" xfId="317" xr:uid="{08F3DF5F-B20E-4047-86C5-7B05CD26D27A}"/>
    <cellStyle name="Millares 33" xfId="318" xr:uid="{E0470809-BFCC-4524-90F7-B13B005E86D8}"/>
    <cellStyle name="Millares 34" xfId="424" xr:uid="{AC3BB21B-A5B8-4AF1-9040-76410502B238}"/>
    <cellStyle name="Millares 35" xfId="289" xr:uid="{D36A23CD-6208-45C3-85F4-54312831B53F}"/>
    <cellStyle name="Millares 36" xfId="432" xr:uid="{BE806B6E-A1A9-488B-AC1B-565723CC508A}"/>
    <cellStyle name="Millares 37" xfId="436" xr:uid="{8E380061-A210-4543-B81E-7986663555AF}"/>
    <cellStyle name="Millares 38" xfId="431" xr:uid="{3A768A46-A72D-4507-8622-DEBB8399065C}"/>
    <cellStyle name="Millares 4" xfId="48" xr:uid="{00000000-0005-0000-0000-000078000000}"/>
    <cellStyle name="Millares 4 2" xfId="49" xr:uid="{00000000-0005-0000-0000-000079000000}"/>
    <cellStyle name="Millares 4 2 2" xfId="383" xr:uid="{B4274A0A-851B-4311-BB42-D417EE5F786D}"/>
    <cellStyle name="Millares 4 3" xfId="205" xr:uid="{00000000-0005-0000-0000-00007A000000}"/>
    <cellStyle name="Millares 4 4" xfId="319" xr:uid="{932239AC-9FA6-4436-BA58-88C3B0579FEC}"/>
    <cellStyle name="Millares 4_APU´S_NO_PREVISTOS (1)" xfId="206" xr:uid="{00000000-0005-0000-0000-00007B000000}"/>
    <cellStyle name="Millares 5" xfId="50" xr:uid="{00000000-0005-0000-0000-00007C000000}"/>
    <cellStyle name="Millares 5 2" xfId="207" xr:uid="{00000000-0005-0000-0000-00007D000000}"/>
    <cellStyle name="Millares 5 2 2" xfId="384" xr:uid="{E22AC7B0-09EA-46F4-A368-9D84C05C8B0E}"/>
    <cellStyle name="Millares 5 2 3" xfId="321" xr:uid="{6EED20AD-39CA-4F8B-A144-099B210131E1}"/>
    <cellStyle name="Millares 5 3" xfId="322" xr:uid="{979267E0-A377-4BF5-9F44-78D90EFB958E}"/>
    <cellStyle name="Millares 5 4" xfId="323" xr:uid="{E92B02D2-0D68-4B12-AF52-07CD4F145FFB}"/>
    <cellStyle name="Millares 5 5" xfId="320" xr:uid="{E76A6EE1-713C-4497-8E57-5405ED7F239C}"/>
    <cellStyle name="Millares 6" xfId="51" xr:uid="{00000000-0005-0000-0000-00007E000000}"/>
    <cellStyle name="Millares 6 2" xfId="52" xr:uid="{00000000-0005-0000-0000-00007F000000}"/>
    <cellStyle name="Millares 6 2 2" xfId="386" xr:uid="{969ADBB9-598A-432C-AB8B-F4802944277D}"/>
    <cellStyle name="Millares 6 2 3" xfId="385" xr:uid="{C3F9C042-516A-4D0F-8F84-CA1A60990EB7}"/>
    <cellStyle name="Millares 6 3" xfId="387" xr:uid="{349504F1-3808-4874-A451-3A49B3689281}"/>
    <cellStyle name="Millares 6 4" xfId="324" xr:uid="{E8D5C69C-28B1-4978-AB5F-7DC141912C24}"/>
    <cellStyle name="Millares 7" xfId="53" xr:uid="{00000000-0005-0000-0000-000080000000}"/>
    <cellStyle name="Millares 7 2" xfId="54" xr:uid="{00000000-0005-0000-0000-000081000000}"/>
    <cellStyle name="Millares 7 2 2" xfId="55" xr:uid="{00000000-0005-0000-0000-000082000000}"/>
    <cellStyle name="Millares 7 2 3" xfId="388" xr:uid="{F1575839-AB4E-4421-ACF7-5A5F3728D9C0}"/>
    <cellStyle name="Millares 7 3" xfId="325" xr:uid="{45D76DAB-CC38-44C8-B696-1971E3685415}"/>
    <cellStyle name="Millares 8" xfId="56" xr:uid="{00000000-0005-0000-0000-000083000000}"/>
    <cellStyle name="Millares 8 2" xfId="57" xr:uid="{00000000-0005-0000-0000-000084000000}"/>
    <cellStyle name="Millares 8 2 2" xfId="327" xr:uid="{FF77AF51-083F-4E6B-98C4-8EB3319C6805}"/>
    <cellStyle name="Millares 8 3" xfId="326" xr:uid="{35EF41FA-DD80-45E8-9F46-C570EE7DF8CC}"/>
    <cellStyle name="Millares 9" xfId="58" xr:uid="{00000000-0005-0000-0000-000085000000}"/>
    <cellStyle name="Millares 9 2" xfId="59" xr:uid="{00000000-0005-0000-0000-000086000000}"/>
    <cellStyle name="Millares 9 3" xfId="328" xr:uid="{556DF7F5-CEB3-422F-9E4B-4011BB0BFF03}"/>
    <cellStyle name="Millares_FORMULARIO 4 - M-OFERENTE PPTA ECONOMICA" xfId="60" xr:uid="{00000000-0005-0000-0000-000087000000}"/>
    <cellStyle name="MILLONES" xfId="208" xr:uid="{00000000-0005-0000-0000-000088000000}"/>
    <cellStyle name="MILLONES 2" xfId="209" xr:uid="{00000000-0005-0000-0000-000089000000}"/>
    <cellStyle name="MILLONES_PRESUPUESTO FASE III ABR-2015 Rev3" xfId="210" xr:uid="{00000000-0005-0000-0000-00008A000000}"/>
    <cellStyle name="Moneda" xfId="255" builtinId="4"/>
    <cellStyle name="Moneda [0] 2" xfId="330" xr:uid="{60AC849F-1AA1-46DD-8FDC-554933C15192}"/>
    <cellStyle name="Moneda [0] 2 2" xfId="389" xr:uid="{0802B220-B59E-40BE-81DC-F3AA0EB2605B}"/>
    <cellStyle name="Moneda [0] 2 3" xfId="390" xr:uid="{6EE40DBE-D3EB-42EB-842B-ACC99B529610}"/>
    <cellStyle name="Moneda [0] 3" xfId="331" xr:uid="{CCA404CC-2ABA-4D04-BF69-261801B83F28}"/>
    <cellStyle name="Moneda [0] 4" xfId="332" xr:uid="{B2AFA905-42CE-4626-A1A0-1335B2C72D54}"/>
    <cellStyle name="Moneda [0] 5" xfId="418" xr:uid="{A3B36A17-C38B-4611-804A-5A982D0AF22C}"/>
    <cellStyle name="Moneda 10" xfId="333" xr:uid="{FA2C4053-1C8E-4F1A-9802-CF68A03CCC2E}"/>
    <cellStyle name="Moneda 10 2" xfId="61" xr:uid="{00000000-0005-0000-0000-00008B000000}"/>
    <cellStyle name="Moneda 11" xfId="334" xr:uid="{F0D33AB7-931D-478F-8C47-6472A6FE82BE}"/>
    <cellStyle name="Moneda 12" xfId="335" xr:uid="{2AA4B1C4-89FD-48CD-B163-CA8EC0EEC3B2}"/>
    <cellStyle name="Moneda 13" xfId="336" xr:uid="{ADCC8E95-0AF4-4E4C-98DC-81612112051C}"/>
    <cellStyle name="Moneda 14" xfId="337" xr:uid="{9F032FD2-7210-4FCF-8C6C-511CCFEF1AAA}"/>
    <cellStyle name="Moneda 15" xfId="338" xr:uid="{37EBC3FD-03F9-4521-AC6D-C063C0AF46BA}"/>
    <cellStyle name="Moneda 16" xfId="426" xr:uid="{04ED8B61-3B7E-4F8B-B6BA-9E3C2BD249C6}"/>
    <cellStyle name="Moneda 17" xfId="430" xr:uid="{EC8AAA11-6C7C-4F89-822A-266BC2066B10}"/>
    <cellStyle name="Moneda 18" xfId="329" xr:uid="{6BE754B8-E646-4738-A6C3-8EC64408D766}"/>
    <cellStyle name="Moneda 19" xfId="433" xr:uid="{73D60D50-9C58-450A-9E3C-3CCC369E4961}"/>
    <cellStyle name="Moneda 2" xfId="62" xr:uid="{00000000-0005-0000-0000-00008C000000}"/>
    <cellStyle name="Moneda 2 10" xfId="211" xr:uid="{00000000-0005-0000-0000-00008D000000}"/>
    <cellStyle name="Moneda 2 11" xfId="212" xr:uid="{00000000-0005-0000-0000-00008E000000}"/>
    <cellStyle name="Moneda 2 12" xfId="213" xr:uid="{00000000-0005-0000-0000-00008F000000}"/>
    <cellStyle name="Moneda 2 13" xfId="339" xr:uid="{52925344-C705-4931-9320-339B8DD9F301}"/>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2 3" xfId="371" xr:uid="{42F4C464-6FA8-4B59-918A-2B6C80C0F6BD}"/>
    <cellStyle name="Moneda 2 2 3" xfId="66" xr:uid="{00000000-0005-0000-0000-000094000000}"/>
    <cellStyle name="Moneda 2 2 4" xfId="67" xr:uid="{00000000-0005-0000-0000-000095000000}"/>
    <cellStyle name="Moneda 2 2 5" xfId="68" xr:uid="{00000000-0005-0000-0000-000096000000}"/>
    <cellStyle name="Moneda 2 2 6" xfId="340" xr:uid="{7D198236-7C87-4B7D-BFD2-F9789E16523E}"/>
    <cellStyle name="Moneda 2 2_APU´S_NO_PREVISTOS (1)" xfId="214" xr:uid="{00000000-0005-0000-0000-000097000000}"/>
    <cellStyle name="Moneda 2 3" xfId="69" xr:uid="{00000000-0005-0000-0000-000098000000}"/>
    <cellStyle name="Moneda 2 3 2" xfId="427" xr:uid="{DB232216-6AC4-4C18-8D71-BB97B80EF910}"/>
    <cellStyle name="Moneda 2 4" xfId="215" xr:uid="{00000000-0005-0000-0000-000099000000}"/>
    <cellStyle name="Moneda 2 5" xfId="216" xr:uid="{00000000-0005-0000-0000-00009A000000}"/>
    <cellStyle name="Moneda 2 6" xfId="217" xr:uid="{00000000-0005-0000-0000-00009B000000}"/>
    <cellStyle name="Moneda 2 7" xfId="218" xr:uid="{00000000-0005-0000-0000-00009C000000}"/>
    <cellStyle name="Moneda 2 8" xfId="219" xr:uid="{00000000-0005-0000-0000-00009D000000}"/>
    <cellStyle name="Moneda 2 9" xfId="220" xr:uid="{00000000-0005-0000-0000-00009E000000}"/>
    <cellStyle name="Moneda 2_APU´S_NO_PREVISTOS (1)" xfId="221" xr:uid="{00000000-0005-0000-0000-00009F000000}"/>
    <cellStyle name="Moneda 20" xfId="435" xr:uid="{700E5F72-8EC6-479A-BB55-BC6633D01150}"/>
    <cellStyle name="Moneda 21" xfId="434" xr:uid="{6316280D-213C-4D96-B2E8-17C42EC23B28}"/>
    <cellStyle name="Moneda 3" xfId="70" xr:uid="{00000000-0005-0000-0000-0000A0000000}"/>
    <cellStyle name="Moneda 3 2" xfId="391" xr:uid="{5BEB6FE1-7A6A-4304-A8B0-A3585E7FC978}"/>
    <cellStyle name="Moneda 3 3" xfId="392" xr:uid="{6420BB1F-73B7-43B3-8031-99A2B26D9A47}"/>
    <cellStyle name="Moneda 3 3 2" xfId="393" xr:uid="{120EA457-5CED-4106-BDA0-4AE422AAD026}"/>
    <cellStyle name="Moneda 3 4" xfId="341" xr:uid="{FEA7D998-7123-40A2-8DE5-CFB71A65C2C1}"/>
    <cellStyle name="Moneda 4" xfId="222" xr:uid="{00000000-0005-0000-0000-0000A1000000}"/>
    <cellStyle name="Moneda 4 2" xfId="394" xr:uid="{2BD22766-C73D-45A6-B8F0-35D19F78D94D}"/>
    <cellStyle name="Moneda 4 3" xfId="342" xr:uid="{299927B1-F3D2-4181-845C-A1D5B08D1A57}"/>
    <cellStyle name="Moneda 5" xfId="343" xr:uid="{A542D8C8-EB92-45BA-8B2D-7E53DE73D5AB}"/>
    <cellStyle name="Moneda 5 2" xfId="395" xr:uid="{A430117E-05AE-40CB-91CD-29B3D89CE3F0}"/>
    <cellStyle name="Moneda 6" xfId="344" xr:uid="{BC6D52C0-17BD-4B11-B090-9D92F794684C}"/>
    <cellStyle name="Moneda 6 2" xfId="396" xr:uid="{DFAA9A3C-91C7-4479-B5D9-445E2A42CF58}"/>
    <cellStyle name="Moneda 7" xfId="345" xr:uid="{BFBE509E-0B64-49BB-955B-040CE3A6AB29}"/>
    <cellStyle name="Moneda 8" xfId="346" xr:uid="{9BE88481-A516-4C77-9E18-5A87B875CDC3}"/>
    <cellStyle name="Moneda 9" xfId="347" xr:uid="{0CB6EC7A-0053-4334-8B83-19364B92F572}"/>
    <cellStyle name="Monetario0" xfId="223" xr:uid="{00000000-0005-0000-0000-0000A2000000}"/>
    <cellStyle name="Neutral" xfId="71" builtinId="28" customBuiltin="1"/>
    <cellStyle name="Neutral 2" xfId="72" xr:uid="{00000000-0005-0000-0000-0000A4000000}"/>
    <cellStyle name="Neutral 3" xfId="224" xr:uid="{00000000-0005-0000-0000-0000A5000000}"/>
    <cellStyle name="No. punto" xfId="225" xr:uid="{00000000-0005-0000-0000-0000A6000000}"/>
    <cellStyle name="No. punto 2" xfId="226" xr:uid="{00000000-0005-0000-0000-0000A7000000}"/>
    <cellStyle name="Normal" xfId="0" builtinId="0"/>
    <cellStyle name="Normal 10" xfId="348" xr:uid="{E6EFDBC5-80A8-4266-BB55-FF4875B515F1}"/>
    <cellStyle name="Normal 11" xfId="397" xr:uid="{3B562034-15E3-419E-81C3-B13134FC11AE}"/>
    <cellStyle name="Normal 11 2" xfId="425" xr:uid="{33BD7A96-A75E-46D8-9108-0DA2627A1453}"/>
    <cellStyle name="Normal 12" xfId="398" xr:uid="{2AA7931B-ABDD-49EA-9B08-F6EC90102812}"/>
    <cellStyle name="Normal 13" xfId="399" xr:uid="{6B1E467E-C863-4FEA-9A77-22F338906462}"/>
    <cellStyle name="Normal 14" xfId="400" xr:uid="{E6F1AC62-E64E-4199-AC03-4AC26118C2B9}"/>
    <cellStyle name="Normal 15" xfId="401" xr:uid="{9F84FAE7-5432-4BF9-BFEA-20B4C71BE096}"/>
    <cellStyle name="Normal 16" xfId="402" xr:uid="{17631ACA-8A11-412F-9E9F-86B979B3D550}"/>
    <cellStyle name="Normal 17" xfId="403" xr:uid="{B1EC42F5-CD09-46D0-AD0F-10AAE7B85A80}"/>
    <cellStyle name="Normal 18" xfId="404" xr:uid="{3CE473E0-4A86-414D-8903-87B42D0EB98C}"/>
    <cellStyle name="Normal 19" xfId="405" xr:uid="{0E674D6D-7432-4EDB-962A-8887636DA140}"/>
    <cellStyle name="Normal 19 2" xfId="406" xr:uid="{4D705ED6-3936-4921-A88F-858F793EDF6C}"/>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7" xr:uid="{00000000-0005-0000-0000-0000B2000000}"/>
    <cellStyle name="Normal 2 2 3" xfId="228" xr:uid="{00000000-0005-0000-0000-0000B3000000}"/>
    <cellStyle name="Normal 2 3" xfId="80" xr:uid="{00000000-0005-0000-0000-0000B4000000}"/>
    <cellStyle name="Normal 2 3 2" xfId="229" xr:uid="{00000000-0005-0000-0000-0000B5000000}"/>
    <cellStyle name="Normal 2 3 2 2" xfId="407" xr:uid="{9B1668EB-9C4F-40A8-9197-3B33A7AC72CB}"/>
    <cellStyle name="Normal 2 3 3" xfId="349" xr:uid="{009D9DA1-71DB-4A59-9E4B-7017CF9FC445}"/>
    <cellStyle name="Normal 2 4" xfId="81" xr:uid="{00000000-0005-0000-0000-0000B6000000}"/>
    <cellStyle name="Normal 2 4 2" xfId="350" xr:uid="{45597CC9-F2BA-4A62-9D12-66A402059289}"/>
    <cellStyle name="Normal 2 5" xfId="82" xr:uid="{00000000-0005-0000-0000-0000B7000000}"/>
    <cellStyle name="Normal 2 5 2" xfId="351" xr:uid="{B878FDEC-B926-4B51-88CD-77D567228F33}"/>
    <cellStyle name="Normal 2 6" xfId="83" xr:uid="{00000000-0005-0000-0000-0000B8000000}"/>
    <cellStyle name="Normal 2 6 2" xfId="352" xr:uid="{01281BE1-4576-4A96-9375-00FC3749D63D}"/>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0" xfId="408" xr:uid="{960B721A-857E-48EB-9BA0-83D7C6D62E02}"/>
    <cellStyle name="Normal 21" xfId="409" xr:uid="{91B6EEDD-D045-4116-B7D6-623A50A3774E}"/>
    <cellStyle name="Normal 21 2" xfId="410" xr:uid="{0878CBFA-B173-4E4C-81A8-136E97138A6D}"/>
    <cellStyle name="Normal 22" xfId="256" xr:uid="{4F30370A-64EF-4049-8518-699D0291B40D}"/>
    <cellStyle name="Normal 29" xfId="88" xr:uid="{00000000-0005-0000-0000-0000BD000000}"/>
    <cellStyle name="Normal 3" xfId="89" xr:uid="{00000000-0005-0000-0000-0000BE000000}"/>
    <cellStyle name="Normal 3 10" xfId="419" xr:uid="{8F6EF41D-E869-430C-A62E-0245A6B79674}"/>
    <cellStyle name="Normal 3 11" xfId="130" xr:uid="{00000000-0005-0000-0000-0000BF000000}"/>
    <cellStyle name="Normal 3 2" xfId="90" xr:uid="{00000000-0005-0000-0000-0000C0000000}"/>
    <cellStyle name="Normal 3 2 2" xfId="128" xr:uid="{00000000-0005-0000-0000-0000C1000000}"/>
    <cellStyle name="Normal 3 3" xfId="230" xr:uid="{00000000-0005-0000-0000-0000C2000000}"/>
    <cellStyle name="Normal 3 3 2" xfId="422" xr:uid="{B4E30C4E-EC52-4702-860C-FD86A291EAB0}"/>
    <cellStyle name="Normal 3 3 3" xfId="411" xr:uid="{B0C1B14E-08D8-4C63-BCDD-DFA6D9057E86}"/>
    <cellStyle name="Normal 3 4" xfId="353" xr:uid="{F39391E2-23E0-4248-98F3-E9C25FC9CC6E}"/>
    <cellStyle name="Normal 3 4 2" xfId="429" xr:uid="{C0A664C8-26A8-4BED-A73A-13421449A262}"/>
    <cellStyle name="Normal 3_APU´S_NO_PREVISTOS (1)" xfId="231" xr:uid="{00000000-0005-0000-0000-0000C3000000}"/>
    <cellStyle name="Normal 4" xfId="91" xr:uid="{00000000-0005-0000-0000-0000C4000000}"/>
    <cellStyle name="Normal 4 2" xfId="92" xr:uid="{00000000-0005-0000-0000-0000C5000000}"/>
    <cellStyle name="Normal 4 2 2" xfId="232" xr:uid="{00000000-0005-0000-0000-0000C6000000}"/>
    <cellStyle name="Normal 4 2 2 2" xfId="421" xr:uid="{F906FFAE-C69C-4414-99BE-EC4DD4ECC0A2}"/>
    <cellStyle name="Normal 4 3" xfId="354" xr:uid="{40FDDCF1-23DA-49EF-910C-EAEC48D5958B}"/>
    <cellStyle name="Normal 40" xfId="412" xr:uid="{127E4BD8-8337-4F81-B7CC-1E07B2E4047A}"/>
    <cellStyle name="Normal 40 2" xfId="413" xr:uid="{6862D9B4-BD0A-44F8-B9D4-06F51DE63C7C}"/>
    <cellStyle name="Normal 5" xfId="133" xr:uid="{00000000-0005-0000-0000-0000C7000000}"/>
    <cellStyle name="Normal 5 2" xfId="356" xr:uid="{52B431FD-2016-459A-B655-AB0D0D5723F7}"/>
    <cellStyle name="Normal 5 3" xfId="414" xr:uid="{EDCA869B-BB6B-4243-AD1B-6C289AF6CF9E}"/>
    <cellStyle name="Normal 5 4" xfId="355" xr:uid="{4FD6B046-B89E-484B-8E1A-088D20C7B669}"/>
    <cellStyle name="Normal 6" xfId="233" xr:uid="{00000000-0005-0000-0000-0000C8000000}"/>
    <cellStyle name="Normal 6 2" xfId="234" xr:uid="{00000000-0005-0000-0000-0000C9000000}"/>
    <cellStyle name="Normal 6 3" xfId="357" xr:uid="{EE32B7BE-8C2B-4E2E-9B73-3761689E5C99}"/>
    <cellStyle name="Normal 7" xfId="235" xr:uid="{00000000-0005-0000-0000-0000CA000000}"/>
    <cellStyle name="Normal 7 2" xfId="359" xr:uid="{CCB1A383-D2A1-4FC4-B6C0-2634B8302CD9}"/>
    <cellStyle name="Normal 7 3" xfId="358" xr:uid="{C69C482B-0AD5-47B2-9396-7085D2337A1D}"/>
    <cellStyle name="Normal 8" xfId="236" xr:uid="{00000000-0005-0000-0000-0000CB000000}"/>
    <cellStyle name="Normal 8 2" xfId="361" xr:uid="{27D394F2-CC5F-4DB7-BEA0-9B079D956387}"/>
    <cellStyle name="Normal 8 3" xfId="360" xr:uid="{F8A5823D-F674-4864-A955-8DAC6C885248}"/>
    <cellStyle name="Normal 9" xfId="237" xr:uid="{00000000-0005-0000-0000-0000CC000000}"/>
    <cellStyle name="Normal 9 2" xfId="132" xr:uid="{00000000-0005-0000-0000-0000CD000000}"/>
    <cellStyle name="Normal 9 2 2" xfId="362" xr:uid="{BA72129F-E723-4EE8-A5D3-A4CCACFB7BBE}"/>
    <cellStyle name="Normal_modelo ACTA OBRA y MODIFICACION" xfId="253" xr:uid="{00000000-0005-0000-0000-0000CE000000}"/>
    <cellStyle name="Normal_PTO OFICIAL PREPLIEGO (CORREGIDO) 2" xfId="131" xr:uid="{00000000-0005-0000-0000-0000CF000000}"/>
    <cellStyle name="Notas 2" xfId="93" xr:uid="{00000000-0005-0000-0000-0000D0000000}"/>
    <cellStyle name="Notas 3" xfId="238" xr:uid="{00000000-0005-0000-0000-0000D1000000}"/>
    <cellStyle name="Percent" xfId="95" xr:uid="{00000000-0005-0000-0000-0000D2000000}"/>
    <cellStyle name="Porcentaje 2" xfId="239" xr:uid="{00000000-0005-0000-0000-0000D4000000}"/>
    <cellStyle name="Porcentaje 2 2" xfId="365" xr:uid="{C971BF35-AD87-43BD-9562-FD9675CAFE57}"/>
    <cellStyle name="Porcentaje 2 3" xfId="372" xr:uid="{AE174DF5-C1BA-4C2D-8D89-89499991EEF5}"/>
    <cellStyle name="Porcentaje 2 3 2" xfId="415" xr:uid="{7A2C7857-B433-4ACA-A140-F6F66977C248}"/>
    <cellStyle name="Porcentaje 2 3 3" xfId="428" xr:uid="{76ADED1C-04EE-45CA-BCFE-21131D9A2978}"/>
    <cellStyle name="Porcentaje 2 4" xfId="364" xr:uid="{A16C356F-8C25-46F4-94B5-57E1F8801D01}"/>
    <cellStyle name="Porcentaje 3" xfId="94" xr:uid="{00000000-0005-0000-0000-0000D5000000}"/>
    <cellStyle name="Porcentaje 3 2" xfId="373" xr:uid="{C68C421F-8481-4416-9FB6-6A1AC71DA8C7}"/>
    <cellStyle name="Porcentaje 3 3" xfId="366" xr:uid="{5A84D5B2-62C7-46CF-88CE-03E1E8F28186}"/>
    <cellStyle name="Porcentaje 4" xfId="240" xr:uid="{00000000-0005-0000-0000-0000D6000000}"/>
    <cellStyle name="Porcentaje 4 2" xfId="367" xr:uid="{E095B198-264F-4EC3-8616-705A5FAAAB02}"/>
    <cellStyle name="Porcentaje 5" xfId="241" xr:uid="{00000000-0005-0000-0000-0000D7000000}"/>
    <cellStyle name="Porcentaje 5 2" xfId="242" xr:uid="{00000000-0005-0000-0000-0000D8000000}"/>
    <cellStyle name="Porcentaje 6" xfId="363" xr:uid="{6F3A42F7-4945-429F-B394-6F814B8CA02A}"/>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13" xfId="368" xr:uid="{275B1F82-C2F7-4DD3-8321-925462524AE1}"/>
    <cellStyle name="Porcentual 2 2" xfId="101" xr:uid="{00000000-0005-0000-0000-0000DE000000}"/>
    <cellStyle name="Porcentual 2 2 2" xfId="369" xr:uid="{FBCF2436-4BA9-4C4D-998A-02A9DD648A0E}"/>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3 2" xfId="417" xr:uid="{5E10EBAE-A830-4F23-A901-D422C4509669}"/>
    <cellStyle name="Porcentual 3 3" xfId="416" xr:uid="{526E6DD5-3830-4D02-8ABE-92E12324326A}"/>
    <cellStyle name="Porcentual 4" xfId="110" xr:uid="{00000000-0005-0000-0000-0000E7000000}"/>
    <cellStyle name="Porcentual 4 2" xfId="111" xr:uid="{00000000-0005-0000-0000-0000E8000000}"/>
    <cellStyle name="Porcentual 5" xfId="112" xr:uid="{00000000-0005-0000-0000-0000E9000000}"/>
    <cellStyle name="Porcentual 5 2" xfId="243"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4" xr:uid="{00000000-0005-0000-0000-0000EF000000}"/>
    <cellStyle name="Salida 2" xfId="116" xr:uid="{00000000-0005-0000-0000-0000F0000000}"/>
    <cellStyle name="Salida 3" xfId="245" xr:uid="{00000000-0005-0000-0000-0000F1000000}"/>
    <cellStyle name="Texto de advertencia 2" xfId="117" xr:uid="{00000000-0005-0000-0000-0000F2000000}"/>
    <cellStyle name="Texto de advertencia 3" xfId="246" xr:uid="{00000000-0005-0000-0000-0000F3000000}"/>
    <cellStyle name="Texto explicativo 2" xfId="118" xr:uid="{00000000-0005-0000-0000-0000F4000000}"/>
    <cellStyle name="Texto explicativo 3" xfId="247" xr:uid="{00000000-0005-0000-0000-0000F5000000}"/>
    <cellStyle name="Título 1 2" xfId="119" xr:uid="{00000000-0005-0000-0000-0000F6000000}"/>
    <cellStyle name="Título 1 3" xfId="248" xr:uid="{00000000-0005-0000-0000-0000F7000000}"/>
    <cellStyle name="Título 2 2" xfId="120" xr:uid="{00000000-0005-0000-0000-0000F8000000}"/>
    <cellStyle name="Título 2 3" xfId="249" xr:uid="{00000000-0005-0000-0000-0000F9000000}"/>
    <cellStyle name="Título 3 2" xfId="121" xr:uid="{00000000-0005-0000-0000-0000FA000000}"/>
    <cellStyle name="Título 3 3" xfId="250" xr:uid="{00000000-0005-0000-0000-0000FB000000}"/>
    <cellStyle name="Título 4" xfId="122" xr:uid="{00000000-0005-0000-0000-0000FC000000}"/>
    <cellStyle name="Título 5" xfId="251" xr:uid="{00000000-0005-0000-0000-0000FD000000}"/>
    <cellStyle name="Título de hoja" xfId="370" xr:uid="{5292239C-3157-45A1-9AAD-DE02B807EBD6}"/>
    <cellStyle name="Total" xfId="123" builtinId="25" customBuiltin="1"/>
    <cellStyle name="Total 2" xfId="124" xr:uid="{00000000-0005-0000-0000-0000FF000000}"/>
    <cellStyle name="Total 3" xfId="252"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2.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customXml" Target="../customXml/item3.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alcChain" Target="calcChain.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https://cceficiente.sharepoint.com/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https://cceficiente.sharepoint.com/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https://cceficiente.sharepoint.com/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https://cceficiente.sharepoint.com/Elc001/groups/William/Excel/WINDOWS/TEMP/EST0798.XLS" TargetMode="External"/></Relationships>
</file>

<file path=xl/externalLinks/_rels/externalLink14.xml.rels><?xml version="1.0" encoding="UTF-8" standalone="yes"?>
<Relationships xmlns="http://schemas.openxmlformats.org/package/2006/relationships"><Relationship Id="rId2" Type="http://schemas.microsoft.com/office/2019/04/relationships/externalLinkLongPath" Target="https://cceficiente.sharepoint.com/Elc001/groups/RO%20POR%20ACTIVIDADES/ACTIVIDADES/GCOPME/COORDINACION%20MTO%20PLANTAS/Metalmec&#225;nica/Corrosi&#243;n/CORROSION/CORROSION/CONTRATA/INSPECTO/INSPECTO/2001/Pcr-108/PSI08500/LIQUIDACIONESPERSONAL.xls?C2A2CA59" TargetMode="External"/><Relationship Id="rId1" Type="http://schemas.openxmlformats.org/officeDocument/2006/relationships/externalLinkPath" Target="file:///\\C2A2CA59\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https://cceficiente.sharepoint.com/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https://cceficiente.sharepoint.com/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2" Type="http://schemas.microsoft.com/office/2019/04/relationships/externalLinkLongPath" Target="https://cceficiente.sharepoint.com/Master/luis%20carlos/Documents%20and%20Settings/Administrador/Mis%20documentos/Gabriel%202003/GABRIEL%202002/PROYECTOS/PROYECTOS%20EN%20CURSO/ESTADIO%20MUNICIPAL%20DE%20YOPAL/PRESUPUESTO%20ESTADIO%201.2%20primera%20etapa.xls?EAC0788F" TargetMode="External"/><Relationship Id="rId1" Type="http://schemas.openxmlformats.org/officeDocument/2006/relationships/externalLinkPath" Target="file:///\\EAC0788F\PRESUPUESTO%20ESTADIO%201.2%20primera%20etapa.xls" TargetMode="External"/></Relationships>
</file>

<file path=xl/externalLinks/_rels/externalLink2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V&#237;nculoExternoRecuperado1?BEC298C7" TargetMode="External"/><Relationship Id="rId1" Type="http://schemas.openxmlformats.org/officeDocument/2006/relationships/externalLinkPath" Target="file:///\\BEC298C7\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https://cceficiente.sharepoint.com/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https://cceficiente.sharepoint.com/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https://cceficiente.sharepoint.com/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https://cceficiente.sharepoint.com/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https://cceficiente.sharepoint.com/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https://cceficiente.sharepoint.com/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2" Type="http://schemas.microsoft.com/office/2019/04/relationships/externalLinkLongPath" Target="https://cceficiente.sharepoint.com/INGMARIOR/Ing%20Mario-w/Luis%20Eduardo/Devisab/APUS_TRABAJO%20GOBERNACION/DEVISAB%202011-03-03-04/LA%20GRAN%20VIA%20CACHIPAY%20ANOLAIMA/CANTIDADES%20Y%20PRESUPUESTOS/PRESUPUESTO_LA%20MESA_MESITAS_2011-01-17.xlsx?D8D52EB8" TargetMode="External"/><Relationship Id="rId1" Type="http://schemas.openxmlformats.org/officeDocument/2006/relationships/externalLinkPath" Target="file:///\\D8D52EB8\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https://cceficiente.sharepoint.com/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007.%202025/02.%20Actualizaciones%20sector%20social/01.%20Licitacion%20sector%20social/01.%20Licitacion%20de%20obra%20publica%20Infraestructura%20social/09.%20Envio%20a%20Estandarizar%20Licitaci&#243;n%20P&#250;blica/Factura13?189B9E40" TargetMode="External"/><Relationship Id="rId1" Type="http://schemas.openxmlformats.org/officeDocument/2006/relationships/externalLinkPath" Target="file:///\\189B9E40\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https://cceficiente.sharepoint.com/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https://cceficiente.sharepoint.com/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https://cceficiente.sharepoint.com/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https://cceficiente.sharepoint.com/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https://cceficiente.sharepoint.com/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https://cceficiente.sharepoint.com/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2" Type="http://schemas.microsoft.com/office/2019/04/relationships/externalLinkLongPath" Target="https://cceficiente.sharepoint.com/Acer/c/Mis%20documentos/INFORMES/INFORMES%20TRIMESTRALES/INFORME%20TRIMESTRAL%20DE%20TRABAJO%20DE%20NECESIDADES/DOCUME~1/USER05~1/CONFIG~1/TEMP/ADMINISTRACION%20VIAL%20G2/PRESUPUESTOS/Presupuesto%20remoci&#243;n%20de%20derrumbes.xls?6EF3BCA7" TargetMode="External"/><Relationship Id="rId1" Type="http://schemas.openxmlformats.org/officeDocument/2006/relationships/externalLinkPath" Target="file:///\\6EF3BCA7\Presupuesto%20remoci&#243;n%20de%20derrumbes.xls" TargetMode="External"/></Relationships>
</file>

<file path=xl/externalLinks/_rels/externalLink74.xml.rels><?xml version="1.0" encoding="UTF-8" standalone="yes"?>
<Relationships xmlns="http://schemas.openxmlformats.org/package/2006/relationships"><Relationship Id="rId2" Type="http://schemas.openxmlformats.org/officeDocument/2006/relationships/externalLinkPath" Target="../../../../../../Users/TRAMO%20III/Desktop/Nueva%20carpeta/Documents%20and%20Settings/Adolfo%20Leon/Mis%20documentos/Mis%20documentos/ACTA%20No%2040/ACTA%20No36/CONSORCIO%20acta%20No35/Mis%20documentos/WINDOWS/TEMP/RELACI~1.XLS" TargetMode="External"/><Relationship Id="rId1" Type="http://schemas.openxmlformats.org/officeDocument/2006/relationships/externalLinkPath" Target="/Users/TRAMO%20III/Desktop/Nueva%20carpeta/Documents%20and%20Settings/Adolfo%20Leon/Mis%20documentos/Mis%20documentos/ACTA%20No%2040/ACTA%20No36/CONSORCIO%20acta%20No35/Mis%20documentos/WINDOWS/TEMP/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2" Type="http://schemas.openxmlformats.org/officeDocument/2006/relationships/externalLinkPath" Target="../../../../../../Users/TRAMO%20III/Desktop/Nueva%20carpeta/Users/Subtecnica.PROCOPAL/Documents/MVM/DEVIMED%20S.A/San%20Vicente/HLOPEZA/GERONA/CANTIDADES%20REPOSICION/SUBCIRCUITO%207/REDES7.xls" TargetMode="External"/><Relationship Id="rId1" Type="http://schemas.openxmlformats.org/officeDocument/2006/relationships/externalLinkPath" Target="/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https://cceficiente.sharepoint.com/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Contratacion%20PME%20v021?BEC298C7" TargetMode="External"/><Relationship Id="rId1" Type="http://schemas.openxmlformats.org/officeDocument/2006/relationships/externalLinkPath" Target="file:///\\BEC298C7\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https://cceficiente.sharepoint.com/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https://cceficiente.sharepoint.com/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https://cceficiente.sharepoint.com/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sheetData sheetId="2" refreshError="1"/>
      <sheetData sheetId="3"/>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s>
    <sheetDataSet>
      <sheetData sheetId="0"/>
      <sheetData sheetId="1"/>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sheetData sheetId="1"/>
      <sheetData sheetId="2"/>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s>
    <sheetDataSet>
      <sheetData sheetId="0"/>
      <sheetData sheetId="1"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s>
    <sheetDataSet>
      <sheetData sheetId="0"/>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sheetData sheetId="3" refreshError="1"/>
      <sheetData sheetId="4" refreshError="1"/>
      <sheetData sheetId="5"/>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TOTALES"/>
      <sheetName val="T133-134"/>
      <sheetName val="T132-133"/>
      <sheetName val="T130-131"/>
    </sheetNames>
    <sheetDataSet>
      <sheetData sheetId="0"/>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A1:N739"/>
  <sheetViews>
    <sheetView showGridLines="0" tabSelected="1" view="pageLayout" topLeftCell="A206" zoomScale="56" zoomScaleNormal="100" zoomScaleSheetLayoutView="100" zoomScalePageLayoutView="56" workbookViewId="0">
      <selection activeCell="K729" sqref="K729"/>
    </sheetView>
  </sheetViews>
  <sheetFormatPr baseColWidth="10" defaultColWidth="11.44140625" defaultRowHeight="13.8"/>
  <cols>
    <col min="1" max="2" width="3.44140625" style="235" customWidth="1"/>
    <col min="3" max="3" width="5.109375" style="235" customWidth="1"/>
    <col min="4" max="4" width="15.44140625" style="235" customWidth="1"/>
    <col min="5" max="5" width="16.109375" style="292" customWidth="1"/>
    <col min="6" max="6" width="19.77734375" style="235" bestFit="1" customWidth="1"/>
    <col min="7" max="7" width="73.44140625" style="235" customWidth="1"/>
    <col min="8" max="8" width="9.21875" style="235" bestFit="1" customWidth="1"/>
    <col min="9" max="9" width="18.5546875" style="235" customWidth="1"/>
    <col min="10" max="10" width="23.5546875" style="235" customWidth="1"/>
    <col min="11" max="11" width="30" style="235" customWidth="1"/>
    <col min="12" max="12" width="3.44140625" style="235" customWidth="1"/>
    <col min="13" max="13" width="13.6640625" style="235" bestFit="1" customWidth="1"/>
    <col min="14" max="14" width="20.5546875" style="235" bestFit="1" customWidth="1"/>
    <col min="15" max="16384" width="11.44140625" style="235"/>
  </cols>
  <sheetData>
    <row r="1" spans="1:13" ht="41.4" customHeight="1">
      <c r="A1" s="232"/>
      <c r="B1" s="233"/>
      <c r="C1" s="393" t="s">
        <v>0</v>
      </c>
      <c r="D1" s="394"/>
      <c r="E1" s="394"/>
      <c r="F1" s="394"/>
      <c r="G1" s="294"/>
      <c r="H1" s="294"/>
      <c r="I1" s="294"/>
      <c r="J1" s="294"/>
      <c r="K1" s="294"/>
      <c r="L1" s="234"/>
      <c r="M1" s="232"/>
    </row>
    <row r="2" spans="1:13" ht="15.75" customHeight="1">
      <c r="A2" s="232"/>
      <c r="B2" s="233"/>
      <c r="C2" s="201"/>
      <c r="D2" s="202" t="s">
        <v>1</v>
      </c>
      <c r="E2" s="201"/>
      <c r="F2" s="202"/>
      <c r="G2" s="293"/>
      <c r="H2" s="293"/>
      <c r="I2" s="293"/>
      <c r="J2" s="293"/>
      <c r="K2" s="293"/>
      <c r="L2" s="234"/>
      <c r="M2" s="232"/>
    </row>
    <row r="3" spans="1:13" s="239" customFormat="1" ht="16.2">
      <c r="A3" s="236"/>
      <c r="B3" s="237"/>
      <c r="C3" s="384" t="s">
        <v>2</v>
      </c>
      <c r="D3" s="385"/>
      <c r="E3" s="385"/>
      <c r="F3" s="385"/>
      <c r="G3" s="385"/>
      <c r="H3" s="385"/>
      <c r="I3" s="385"/>
      <c r="J3" s="385"/>
      <c r="K3" s="386"/>
      <c r="L3" s="238"/>
      <c r="M3" s="236"/>
    </row>
    <row r="4" spans="1:13" ht="43.5" customHeight="1">
      <c r="A4" s="232"/>
      <c r="B4" s="240"/>
      <c r="C4" s="387"/>
      <c r="D4" s="388"/>
      <c r="E4" s="388"/>
      <c r="F4" s="388"/>
      <c r="G4" s="388"/>
      <c r="H4" s="388"/>
      <c r="I4" s="388"/>
      <c r="J4" s="388"/>
      <c r="K4" s="389"/>
      <c r="L4" s="234"/>
      <c r="M4" s="232"/>
    </row>
    <row r="5" spans="1:13" ht="42.75" customHeight="1">
      <c r="A5" s="232"/>
      <c r="B5" s="240"/>
      <c r="C5" s="390" t="s">
        <v>3</v>
      </c>
      <c r="D5" s="391"/>
      <c r="E5" s="391"/>
      <c r="F5" s="391"/>
      <c r="G5" s="391"/>
      <c r="H5" s="391"/>
      <c r="I5" s="391"/>
      <c r="J5" s="391"/>
      <c r="K5" s="392"/>
      <c r="L5" s="234"/>
      <c r="M5" s="232"/>
    </row>
    <row r="6" spans="1:13" ht="30" customHeight="1" thickBot="1">
      <c r="A6" s="232"/>
      <c r="B6" s="233"/>
      <c r="C6" s="397"/>
      <c r="D6" s="398"/>
      <c r="E6" s="398"/>
      <c r="F6" s="398"/>
      <c r="G6" s="398"/>
      <c r="H6" s="398"/>
      <c r="I6" s="398"/>
      <c r="J6" s="398"/>
      <c r="K6" s="399"/>
      <c r="L6" s="234"/>
      <c r="M6" s="232"/>
    </row>
    <row r="7" spans="1:13" ht="30" customHeight="1">
      <c r="A7" s="232"/>
      <c r="B7" s="233"/>
      <c r="C7" s="410" t="s">
        <v>4</v>
      </c>
      <c r="D7" s="404" t="s">
        <v>5</v>
      </c>
      <c r="E7" s="412" t="s">
        <v>6</v>
      </c>
      <c r="F7" s="412"/>
      <c r="G7" s="410" t="s">
        <v>7</v>
      </c>
      <c r="H7" s="404" t="s">
        <v>8</v>
      </c>
      <c r="I7" s="404" t="s">
        <v>9</v>
      </c>
      <c r="J7" s="406" t="s">
        <v>10</v>
      </c>
      <c r="K7" s="408" t="s">
        <v>11</v>
      </c>
      <c r="L7" s="234"/>
      <c r="M7" s="232"/>
    </row>
    <row r="8" spans="1:13" ht="30" customHeight="1" thickBot="1">
      <c r="A8" s="232"/>
      <c r="B8" s="233"/>
      <c r="C8" s="411"/>
      <c r="D8" s="405"/>
      <c r="E8" s="241" t="s">
        <v>12</v>
      </c>
      <c r="F8" s="241" t="s">
        <v>13</v>
      </c>
      <c r="G8" s="411"/>
      <c r="H8" s="405"/>
      <c r="I8" s="405"/>
      <c r="J8" s="407"/>
      <c r="K8" s="409"/>
      <c r="L8" s="234"/>
      <c r="M8" s="232"/>
    </row>
    <row r="9" spans="1:13" ht="30" customHeight="1">
      <c r="A9" s="232"/>
      <c r="B9" s="233"/>
      <c r="C9" s="413" t="s">
        <v>98</v>
      </c>
      <c r="D9" s="414"/>
      <c r="E9" s="414"/>
      <c r="F9" s="414"/>
      <c r="G9" s="414"/>
      <c r="H9" s="414"/>
      <c r="I9" s="414"/>
      <c r="J9" s="414"/>
      <c r="K9" s="415"/>
      <c r="L9" s="234"/>
      <c r="M9" s="232"/>
    </row>
    <row r="10" spans="1:13" ht="30" customHeight="1">
      <c r="A10" s="232"/>
      <c r="B10" s="233"/>
      <c r="C10" s="252"/>
      <c r="D10" s="252" t="s">
        <v>99</v>
      </c>
      <c r="E10" s="252"/>
      <c r="F10" s="252"/>
      <c r="G10" s="298" t="s">
        <v>100</v>
      </c>
      <c r="H10" s="252" t="s">
        <v>103</v>
      </c>
      <c r="I10" s="252">
        <v>15049.74</v>
      </c>
      <c r="J10" s="300">
        <v>3926</v>
      </c>
      <c r="K10" s="302">
        <f>ROUND(I10*J10,0)</f>
        <v>59085279</v>
      </c>
      <c r="L10" s="234"/>
      <c r="M10" s="232"/>
    </row>
    <row r="11" spans="1:13" ht="30" customHeight="1">
      <c r="A11" s="232"/>
      <c r="B11" s="233"/>
      <c r="C11" s="242"/>
      <c r="D11" s="295" t="s">
        <v>101</v>
      </c>
      <c r="E11" s="295"/>
      <c r="F11" s="295"/>
      <c r="G11" s="296" t="s">
        <v>102</v>
      </c>
      <c r="H11" s="295" t="s">
        <v>8</v>
      </c>
      <c r="I11" s="299">
        <v>36</v>
      </c>
      <c r="J11" s="301">
        <v>705619</v>
      </c>
      <c r="K11" s="302">
        <f>ROUND(I11*J11,0)</f>
        <v>25402284</v>
      </c>
      <c r="L11" s="234"/>
      <c r="M11" s="232"/>
    </row>
    <row r="12" spans="1:13" ht="30" customHeight="1" thickBot="1">
      <c r="A12" s="232"/>
      <c r="B12" s="233"/>
      <c r="C12" s="381" t="s">
        <v>104</v>
      </c>
      <c r="D12" s="382"/>
      <c r="E12" s="382"/>
      <c r="F12" s="382"/>
      <c r="G12" s="382"/>
      <c r="H12" s="382"/>
      <c r="I12" s="382"/>
      <c r="J12" s="383"/>
      <c r="K12" s="247">
        <f>SUM(K10:K11)</f>
        <v>84487563</v>
      </c>
      <c r="L12" s="234"/>
      <c r="M12" s="232"/>
    </row>
    <row r="13" spans="1:13" ht="30" customHeight="1" thickBot="1">
      <c r="A13" s="232"/>
      <c r="B13" s="233"/>
      <c r="C13" s="416" t="s">
        <v>105</v>
      </c>
      <c r="D13" s="417"/>
      <c r="E13" s="417"/>
      <c r="F13" s="417"/>
      <c r="G13" s="417"/>
      <c r="H13" s="417"/>
      <c r="I13" s="417"/>
      <c r="J13" s="417"/>
      <c r="K13" s="418"/>
      <c r="L13" s="234"/>
      <c r="M13" s="232"/>
    </row>
    <row r="14" spans="1:13" ht="41.4">
      <c r="A14" s="232"/>
      <c r="B14" s="233"/>
      <c r="C14" s="242"/>
      <c r="D14" s="243" t="s">
        <v>106</v>
      </c>
      <c r="E14" s="243"/>
      <c r="F14" s="243"/>
      <c r="G14" s="244" t="s">
        <v>110</v>
      </c>
      <c r="H14" s="243" t="s">
        <v>114</v>
      </c>
      <c r="I14" s="245">
        <v>71.45</v>
      </c>
      <c r="J14" s="246">
        <f>ROUND(60787.88*1.25,0)</f>
        <v>75985</v>
      </c>
      <c r="K14" s="248">
        <f>ROUND(I14*J14,0)</f>
        <v>5429128</v>
      </c>
      <c r="L14" s="234"/>
      <c r="M14" s="232"/>
    </row>
    <row r="15" spans="1:13" ht="27.6">
      <c r="A15" s="232"/>
      <c r="B15" s="233"/>
      <c r="C15" s="242"/>
      <c r="D15" s="243" t="s">
        <v>107</v>
      </c>
      <c r="E15" s="243"/>
      <c r="F15" s="243"/>
      <c r="G15" s="244" t="s">
        <v>111</v>
      </c>
      <c r="H15" s="243" t="s">
        <v>103</v>
      </c>
      <c r="I15" s="245">
        <v>223.75</v>
      </c>
      <c r="J15" s="246">
        <f>ROUND(33979.36*1.25,0)</f>
        <v>42474</v>
      </c>
      <c r="K15" s="248">
        <f t="shared" ref="K15:K17" si="0">ROUND(I15*J15,0)</f>
        <v>9503558</v>
      </c>
      <c r="L15" s="234"/>
      <c r="M15" s="232"/>
    </row>
    <row r="16" spans="1:13" s="232" customFormat="1" ht="27.6">
      <c r="B16" s="233"/>
      <c r="C16" s="242"/>
      <c r="D16" s="249" t="s">
        <v>108</v>
      </c>
      <c r="E16" s="249"/>
      <c r="F16" s="249"/>
      <c r="G16" s="255" t="s">
        <v>112</v>
      </c>
      <c r="H16" s="249" t="s">
        <v>103</v>
      </c>
      <c r="I16" s="245">
        <v>1224.19</v>
      </c>
      <c r="J16" s="246">
        <f>ROUND(58682*1.25,0)</f>
        <v>73353</v>
      </c>
      <c r="K16" s="248">
        <f t="shared" si="0"/>
        <v>89798009</v>
      </c>
      <c r="L16" s="234"/>
    </row>
    <row r="17" spans="1:13" ht="27.6">
      <c r="B17" s="250"/>
      <c r="C17" s="242"/>
      <c r="D17" s="243" t="s">
        <v>109</v>
      </c>
      <c r="E17" s="243"/>
      <c r="F17" s="243"/>
      <c r="G17" s="244" t="s">
        <v>113</v>
      </c>
      <c r="H17" s="243" t="s">
        <v>103</v>
      </c>
      <c r="I17" s="245">
        <v>77</v>
      </c>
      <c r="J17" s="246">
        <f>ROUND(14932.38*1.25,0)</f>
        <v>18665</v>
      </c>
      <c r="K17" s="248">
        <f t="shared" si="0"/>
        <v>1437205</v>
      </c>
      <c r="L17" s="251"/>
    </row>
    <row r="18" spans="1:13" ht="30" customHeight="1" thickBot="1">
      <c r="A18" s="232"/>
      <c r="B18" s="233"/>
      <c r="C18" s="381" t="s">
        <v>115</v>
      </c>
      <c r="D18" s="382"/>
      <c r="E18" s="382"/>
      <c r="F18" s="382"/>
      <c r="G18" s="382"/>
      <c r="H18" s="382"/>
      <c r="I18" s="382"/>
      <c r="J18" s="383"/>
      <c r="K18" s="247">
        <f>SUM(K14:K17)</f>
        <v>106167900</v>
      </c>
      <c r="L18" s="234"/>
      <c r="M18" s="232"/>
    </row>
    <row r="19" spans="1:13" ht="30" customHeight="1" thickBot="1">
      <c r="A19" s="232"/>
      <c r="B19" s="233"/>
      <c r="C19" s="416" t="s">
        <v>116</v>
      </c>
      <c r="D19" s="417"/>
      <c r="E19" s="417"/>
      <c r="F19" s="417"/>
      <c r="G19" s="417"/>
      <c r="H19" s="417"/>
      <c r="I19" s="417"/>
      <c r="J19" s="417"/>
      <c r="K19" s="418"/>
      <c r="L19" s="234"/>
      <c r="M19" s="232"/>
    </row>
    <row r="20" spans="1:13" ht="30" customHeight="1">
      <c r="A20" s="232"/>
      <c r="B20" s="233"/>
      <c r="C20" s="242"/>
      <c r="D20" s="252" t="s">
        <v>117</v>
      </c>
      <c r="E20" s="252"/>
      <c r="F20" s="252"/>
      <c r="G20" s="253" t="s">
        <v>125</v>
      </c>
      <c r="H20" s="252" t="s">
        <v>103</v>
      </c>
      <c r="I20" s="245">
        <v>6764.27</v>
      </c>
      <c r="J20" s="303">
        <f>ROUND(9560*1.25,0)</f>
        <v>11950</v>
      </c>
      <c r="K20" s="304">
        <f>ROUND(I20*J20,0)</f>
        <v>80833027</v>
      </c>
      <c r="L20" s="234"/>
      <c r="M20" s="232"/>
    </row>
    <row r="21" spans="1:13" ht="30" customHeight="1">
      <c r="A21" s="232"/>
      <c r="B21" s="233"/>
      <c r="C21" s="242"/>
      <c r="D21" s="254" t="s">
        <v>118</v>
      </c>
      <c r="E21" s="254"/>
      <c r="F21" s="254"/>
      <c r="G21" s="253" t="s">
        <v>126</v>
      </c>
      <c r="H21" s="252" t="s">
        <v>114</v>
      </c>
      <c r="I21" s="245">
        <v>2660.76</v>
      </c>
      <c r="J21" s="246">
        <f>ROUND(44532.29*1.25,0)</f>
        <v>55665</v>
      </c>
      <c r="K21" s="246">
        <f t="shared" ref="K21:K27" si="1">ROUND(I21*J21,0)</f>
        <v>148111205</v>
      </c>
      <c r="L21" s="234"/>
      <c r="M21" s="232"/>
    </row>
    <row r="22" spans="1:13" ht="30" customHeight="1">
      <c r="A22" s="232"/>
      <c r="B22" s="233"/>
      <c r="C22" s="242"/>
      <c r="D22" s="252" t="s">
        <v>119</v>
      </c>
      <c r="E22" s="252"/>
      <c r="F22" s="252"/>
      <c r="G22" s="253" t="s">
        <v>127</v>
      </c>
      <c r="H22" s="252" t="s">
        <v>114</v>
      </c>
      <c r="I22" s="245">
        <v>3332.4</v>
      </c>
      <c r="J22" s="246">
        <f>ROUND(114453.16*1.25,0)</f>
        <v>143066</v>
      </c>
      <c r="K22" s="246">
        <f t="shared" si="1"/>
        <v>476753138</v>
      </c>
      <c r="L22" s="234"/>
      <c r="M22" s="232"/>
    </row>
    <row r="23" spans="1:13" s="232" customFormat="1" ht="30" customHeight="1">
      <c r="B23" s="233"/>
      <c r="C23" s="242"/>
      <c r="D23" s="249" t="s">
        <v>120</v>
      </c>
      <c r="E23" s="249"/>
      <c r="F23" s="249"/>
      <c r="G23" s="255" t="s">
        <v>128</v>
      </c>
      <c r="H23" s="249" t="s">
        <v>114</v>
      </c>
      <c r="I23" s="245">
        <v>1555.99</v>
      </c>
      <c r="J23" s="246">
        <f>ROUND(57778.44*1.25,0)</f>
        <v>72223</v>
      </c>
      <c r="K23" s="246">
        <f t="shared" si="1"/>
        <v>112378266</v>
      </c>
      <c r="L23" s="234"/>
    </row>
    <row r="24" spans="1:13" ht="30" customHeight="1">
      <c r="A24" s="232"/>
      <c r="B24" s="233"/>
      <c r="C24" s="242"/>
      <c r="D24" s="252" t="s">
        <v>121</v>
      </c>
      <c r="E24" s="252"/>
      <c r="F24" s="252"/>
      <c r="G24" s="253" t="s">
        <v>129</v>
      </c>
      <c r="H24" s="252" t="s">
        <v>114</v>
      </c>
      <c r="I24" s="245">
        <v>195.41</v>
      </c>
      <c r="J24" s="256">
        <f>ROUND(104802.87*1.25,0)</f>
        <v>131004</v>
      </c>
      <c r="K24" s="246">
        <f t="shared" si="1"/>
        <v>25599492</v>
      </c>
      <c r="L24" s="234"/>
      <c r="M24" s="232"/>
    </row>
    <row r="25" spans="1:13" s="232" customFormat="1" ht="30" customHeight="1">
      <c r="B25" s="233"/>
      <c r="C25" s="257"/>
      <c r="D25" s="249" t="s">
        <v>122</v>
      </c>
      <c r="E25" s="249"/>
      <c r="F25" s="249"/>
      <c r="G25" s="255" t="s">
        <v>130</v>
      </c>
      <c r="H25" s="249" t="s">
        <v>114</v>
      </c>
      <c r="I25" s="245">
        <v>2445.6799999999998</v>
      </c>
      <c r="J25" s="256">
        <f>ROUND(18680.07*1.25,0)</f>
        <v>23350</v>
      </c>
      <c r="K25" s="246">
        <f t="shared" si="1"/>
        <v>57106628</v>
      </c>
      <c r="L25" s="234"/>
    </row>
    <row r="26" spans="1:13" ht="30" customHeight="1">
      <c r="A26" s="232"/>
      <c r="B26" s="233"/>
      <c r="C26" s="242"/>
      <c r="D26" s="252" t="s">
        <v>123</v>
      </c>
      <c r="E26" s="243"/>
      <c r="F26" s="252"/>
      <c r="G26" s="253" t="s">
        <v>131</v>
      </c>
      <c r="H26" s="252" t="s">
        <v>103</v>
      </c>
      <c r="I26" s="245">
        <v>103.99</v>
      </c>
      <c r="J26" s="246">
        <f>ROUND(11008.72*1.25,0)</f>
        <v>13761</v>
      </c>
      <c r="K26" s="246">
        <f t="shared" si="1"/>
        <v>1431006</v>
      </c>
      <c r="L26" s="234"/>
      <c r="M26" s="232"/>
    </row>
    <row r="27" spans="1:13" ht="30" customHeight="1">
      <c r="A27" s="232"/>
      <c r="B27" s="233"/>
      <c r="C27" s="242"/>
      <c r="D27" s="252" t="s">
        <v>124</v>
      </c>
      <c r="E27" s="252"/>
      <c r="F27" s="252"/>
      <c r="G27" s="253" t="s">
        <v>132</v>
      </c>
      <c r="H27" s="258" t="s">
        <v>103</v>
      </c>
      <c r="I27" s="245">
        <v>564.09</v>
      </c>
      <c r="J27" s="246">
        <f>ROUND(38206.01*1.25,0)</f>
        <v>47758</v>
      </c>
      <c r="K27" s="246">
        <f t="shared" si="1"/>
        <v>26939810</v>
      </c>
      <c r="L27" s="234"/>
      <c r="M27" s="232"/>
    </row>
    <row r="28" spans="1:13" ht="30" customHeight="1" thickBot="1">
      <c r="A28" s="232"/>
      <c r="B28" s="233"/>
      <c r="C28" s="381" t="s">
        <v>133</v>
      </c>
      <c r="D28" s="382"/>
      <c r="E28" s="382"/>
      <c r="F28" s="382"/>
      <c r="G28" s="382"/>
      <c r="H28" s="382"/>
      <c r="I28" s="382"/>
      <c r="J28" s="383"/>
      <c r="K28" s="259">
        <f>SUM(K20:K27)</f>
        <v>929152572</v>
      </c>
      <c r="L28" s="234"/>
      <c r="M28" s="232"/>
    </row>
    <row r="29" spans="1:13" ht="30" customHeight="1">
      <c r="A29" s="232"/>
      <c r="B29" s="233"/>
      <c r="C29" s="413" t="s">
        <v>134</v>
      </c>
      <c r="D29" s="414"/>
      <c r="E29" s="414"/>
      <c r="F29" s="414"/>
      <c r="G29" s="414"/>
      <c r="H29" s="414"/>
      <c r="I29" s="414"/>
      <c r="J29" s="414"/>
      <c r="K29" s="415"/>
      <c r="L29" s="234"/>
      <c r="M29" s="232"/>
    </row>
    <row r="30" spans="1:13" ht="30" customHeight="1">
      <c r="A30" s="232"/>
      <c r="B30" s="233"/>
      <c r="C30" s="297"/>
      <c r="D30" s="252" t="s">
        <v>135</v>
      </c>
      <c r="E30" s="297"/>
      <c r="F30" s="297"/>
      <c r="G30" s="253" t="s">
        <v>147</v>
      </c>
      <c r="H30" s="252" t="s">
        <v>159</v>
      </c>
      <c r="I30" s="305">
        <v>94645.73</v>
      </c>
      <c r="J30" s="300">
        <f>ROUND(6154.93*1.25,0)</f>
        <v>7694</v>
      </c>
      <c r="K30" s="300">
        <f>ROUND(I30*J30,0)</f>
        <v>728204247</v>
      </c>
      <c r="L30" s="234"/>
      <c r="M30" s="232"/>
    </row>
    <row r="31" spans="1:13" ht="30" customHeight="1">
      <c r="A31" s="232"/>
      <c r="B31" s="233"/>
      <c r="C31" s="297"/>
      <c r="D31" s="252" t="s">
        <v>136</v>
      </c>
      <c r="E31" s="297"/>
      <c r="F31" s="297"/>
      <c r="G31" s="253" t="s">
        <v>148</v>
      </c>
      <c r="H31" s="252" t="s">
        <v>159</v>
      </c>
      <c r="I31" s="305">
        <v>14970.35</v>
      </c>
      <c r="J31" s="300">
        <f>ROUND(7982.47*1.25,0)</f>
        <v>9978</v>
      </c>
      <c r="K31" s="300">
        <f t="shared" ref="K31:K41" si="2">ROUND(I31*J31,0)</f>
        <v>149374152</v>
      </c>
      <c r="L31" s="234"/>
      <c r="M31" s="232"/>
    </row>
    <row r="32" spans="1:13" ht="41.4">
      <c r="A32" s="232"/>
      <c r="B32" s="233"/>
      <c r="C32" s="297"/>
      <c r="D32" s="252" t="s">
        <v>137</v>
      </c>
      <c r="E32" s="297"/>
      <c r="F32" s="297"/>
      <c r="G32" s="253" t="s">
        <v>149</v>
      </c>
      <c r="H32" s="252" t="s">
        <v>159</v>
      </c>
      <c r="I32" s="305">
        <v>80333.13</v>
      </c>
      <c r="J32" s="300">
        <f>ROUND(15064*1.25,0)</f>
        <v>18830</v>
      </c>
      <c r="K32" s="300">
        <f t="shared" si="2"/>
        <v>1512672838</v>
      </c>
      <c r="L32" s="234"/>
      <c r="M32" s="232"/>
    </row>
    <row r="33" spans="1:13" ht="69">
      <c r="A33" s="232"/>
      <c r="B33" s="233"/>
      <c r="C33" s="297"/>
      <c r="D33" s="252" t="s">
        <v>138</v>
      </c>
      <c r="E33" s="297"/>
      <c r="F33" s="297"/>
      <c r="G33" s="253" t="s">
        <v>150</v>
      </c>
      <c r="H33" s="252" t="s">
        <v>114</v>
      </c>
      <c r="I33" s="305">
        <v>497.17</v>
      </c>
      <c r="J33" s="300">
        <f>ROUND(739650.3*1.25,0)</f>
        <v>924563</v>
      </c>
      <c r="K33" s="300">
        <f t="shared" si="2"/>
        <v>459664987</v>
      </c>
      <c r="L33" s="234"/>
      <c r="M33" s="232"/>
    </row>
    <row r="34" spans="1:13" ht="55.2">
      <c r="A34" s="232"/>
      <c r="B34" s="233"/>
      <c r="C34" s="297"/>
      <c r="D34" s="252" t="s">
        <v>139</v>
      </c>
      <c r="E34" s="297"/>
      <c r="F34" s="297"/>
      <c r="G34" s="253" t="s">
        <v>151</v>
      </c>
      <c r="H34" s="252" t="s">
        <v>114</v>
      </c>
      <c r="I34" s="305">
        <v>478.98</v>
      </c>
      <c r="J34" s="300">
        <f>ROUND(831957.16*1.25,0)</f>
        <v>1039946</v>
      </c>
      <c r="K34" s="300">
        <f t="shared" si="2"/>
        <v>498113335</v>
      </c>
      <c r="L34" s="234"/>
      <c r="M34" s="232"/>
    </row>
    <row r="35" spans="1:13" ht="55.2">
      <c r="A35" s="232"/>
      <c r="B35" s="233"/>
      <c r="C35" s="297"/>
      <c r="D35" s="252" t="s">
        <v>140</v>
      </c>
      <c r="E35" s="297"/>
      <c r="F35" s="297"/>
      <c r="G35" s="253" t="s">
        <v>152</v>
      </c>
      <c r="H35" s="252" t="s">
        <v>114</v>
      </c>
      <c r="I35" s="305">
        <v>27.59</v>
      </c>
      <c r="J35" s="300">
        <f>ROUND(902424.85*1.25,0)</f>
        <v>1128031</v>
      </c>
      <c r="K35" s="300">
        <f t="shared" si="2"/>
        <v>31122375</v>
      </c>
      <c r="L35" s="234"/>
      <c r="M35" s="232"/>
    </row>
    <row r="36" spans="1:13" ht="55.2">
      <c r="A36" s="232"/>
      <c r="B36" s="233"/>
      <c r="C36" s="297"/>
      <c r="D36" s="252" t="s">
        <v>141</v>
      </c>
      <c r="E36" s="297"/>
      <c r="F36" s="297"/>
      <c r="G36" s="253" t="s">
        <v>153</v>
      </c>
      <c r="H36" s="252" t="s">
        <v>114</v>
      </c>
      <c r="I36" s="305">
        <v>21.38</v>
      </c>
      <c r="J36" s="300">
        <f>ROUND(452081*1.25,0)</f>
        <v>565101</v>
      </c>
      <c r="K36" s="300">
        <f t="shared" si="2"/>
        <v>12081859</v>
      </c>
      <c r="L36" s="234"/>
      <c r="M36" s="232"/>
    </row>
    <row r="37" spans="1:13" ht="30" customHeight="1">
      <c r="A37" s="232"/>
      <c r="B37" s="233"/>
      <c r="C37" s="297"/>
      <c r="D37" s="252" t="s">
        <v>142</v>
      </c>
      <c r="E37" s="297"/>
      <c r="F37" s="297"/>
      <c r="G37" s="253" t="s">
        <v>154</v>
      </c>
      <c r="H37" s="252" t="s">
        <v>103</v>
      </c>
      <c r="I37" s="305">
        <v>829.01</v>
      </c>
      <c r="J37" s="300">
        <f>ROUND(92447*1.25,0)</f>
        <v>115559</v>
      </c>
      <c r="K37" s="300">
        <f t="shared" si="2"/>
        <v>95799567</v>
      </c>
      <c r="L37" s="234"/>
      <c r="M37" s="232"/>
    </row>
    <row r="38" spans="1:13" ht="30" customHeight="1">
      <c r="A38" s="232"/>
      <c r="B38" s="233"/>
      <c r="C38" s="297"/>
      <c r="D38" s="252" t="s">
        <v>143</v>
      </c>
      <c r="E38" s="297"/>
      <c r="F38" s="297"/>
      <c r="G38" s="253" t="s">
        <v>155</v>
      </c>
      <c r="H38" s="252" t="s">
        <v>160</v>
      </c>
      <c r="I38" s="305">
        <v>8</v>
      </c>
      <c r="J38" s="300">
        <f>ROUND(87849*1.25,0)</f>
        <v>109811</v>
      </c>
      <c r="K38" s="300">
        <f t="shared" si="2"/>
        <v>878488</v>
      </c>
      <c r="L38" s="234"/>
      <c r="M38" s="232"/>
    </row>
    <row r="39" spans="1:13" ht="30" customHeight="1">
      <c r="A39" s="232"/>
      <c r="B39" s="233"/>
      <c r="C39" s="252"/>
      <c r="D39" s="252" t="s">
        <v>144</v>
      </c>
      <c r="E39" s="252"/>
      <c r="F39" s="252"/>
      <c r="G39" s="253" t="s">
        <v>156</v>
      </c>
      <c r="H39" s="252" t="s">
        <v>161</v>
      </c>
      <c r="I39" s="306">
        <v>13.81</v>
      </c>
      <c r="J39" s="307">
        <f>ROUND(60908.86*1.25,0)</f>
        <v>76136</v>
      </c>
      <c r="K39" s="300">
        <f t="shared" si="2"/>
        <v>1051438</v>
      </c>
      <c r="L39" s="234"/>
      <c r="M39" s="232"/>
    </row>
    <row r="40" spans="1:13" ht="30" customHeight="1">
      <c r="A40" s="232"/>
      <c r="B40" s="233"/>
      <c r="C40" s="252"/>
      <c r="D40" s="252" t="s">
        <v>145</v>
      </c>
      <c r="E40" s="252"/>
      <c r="F40" s="252"/>
      <c r="G40" s="253" t="s">
        <v>157</v>
      </c>
      <c r="H40" s="252" t="s">
        <v>114</v>
      </c>
      <c r="I40" s="306">
        <v>40.75</v>
      </c>
      <c r="J40" s="307">
        <f>ROUND(145608.14*1.25,0)</f>
        <v>182010</v>
      </c>
      <c r="K40" s="300">
        <f t="shared" si="2"/>
        <v>7416908</v>
      </c>
      <c r="L40" s="234"/>
      <c r="M40" s="232"/>
    </row>
    <row r="41" spans="1:13" ht="55.2">
      <c r="A41" s="232"/>
      <c r="B41" s="233"/>
      <c r="C41" s="252"/>
      <c r="D41" s="252" t="s">
        <v>146</v>
      </c>
      <c r="E41" s="252"/>
      <c r="F41" s="252"/>
      <c r="G41" s="253" t="s">
        <v>158</v>
      </c>
      <c r="H41" s="252" t="s">
        <v>114</v>
      </c>
      <c r="I41" s="306">
        <v>2.57</v>
      </c>
      <c r="J41" s="307">
        <f>ROUND(933624.85*1.25,0)</f>
        <v>1167031</v>
      </c>
      <c r="K41" s="300">
        <f t="shared" si="2"/>
        <v>2999270</v>
      </c>
      <c r="L41" s="234"/>
      <c r="M41" s="232"/>
    </row>
    <row r="42" spans="1:13" ht="30" customHeight="1" thickBot="1">
      <c r="A42" s="232"/>
      <c r="B42" s="233"/>
      <c r="C42" s="381" t="s">
        <v>162</v>
      </c>
      <c r="D42" s="382"/>
      <c r="E42" s="382"/>
      <c r="F42" s="382"/>
      <c r="G42" s="382"/>
      <c r="H42" s="382"/>
      <c r="I42" s="382"/>
      <c r="J42" s="383"/>
      <c r="K42" s="247">
        <f>SUM(K30:K41)</f>
        <v>3499379464</v>
      </c>
      <c r="L42" s="234"/>
      <c r="M42" s="232"/>
    </row>
    <row r="43" spans="1:13" ht="30" customHeight="1">
      <c r="A43" s="232"/>
      <c r="B43" s="233"/>
      <c r="C43" s="374" t="s">
        <v>163</v>
      </c>
      <c r="D43" s="375"/>
      <c r="E43" s="375"/>
      <c r="F43" s="375"/>
      <c r="G43" s="375"/>
      <c r="H43" s="375"/>
      <c r="I43" s="375"/>
      <c r="J43" s="375"/>
      <c r="K43" s="376"/>
      <c r="L43" s="234"/>
      <c r="M43" s="232"/>
    </row>
    <row r="44" spans="1:13" ht="30" customHeight="1">
      <c r="A44" s="232"/>
      <c r="B44" s="233"/>
      <c r="C44" s="310"/>
      <c r="D44" s="316" t="s">
        <v>164</v>
      </c>
      <c r="E44" s="310"/>
      <c r="F44" s="310"/>
      <c r="G44" s="317" t="s">
        <v>171</v>
      </c>
      <c r="H44" s="252" t="s">
        <v>103</v>
      </c>
      <c r="I44" s="319">
        <v>703.35</v>
      </c>
      <c r="J44" s="322">
        <f>ROUND(106542*1.25,0)</f>
        <v>133178</v>
      </c>
      <c r="K44" s="322">
        <f>ROUND(I44*J44,0)</f>
        <v>93670746</v>
      </c>
      <c r="L44" s="234"/>
      <c r="M44" s="232"/>
    </row>
    <row r="45" spans="1:13" ht="30" customHeight="1">
      <c r="A45" s="232"/>
      <c r="B45" s="233"/>
      <c r="C45" s="310"/>
      <c r="D45" s="316" t="s">
        <v>165</v>
      </c>
      <c r="E45" s="310"/>
      <c r="F45" s="310"/>
      <c r="G45" s="317" t="s">
        <v>172</v>
      </c>
      <c r="H45" s="252" t="s">
        <v>161</v>
      </c>
      <c r="I45" s="319">
        <v>153.97999999999999</v>
      </c>
      <c r="J45" s="322">
        <f>ROUND(40969*1.25,0)</f>
        <v>51211</v>
      </c>
      <c r="K45" s="322">
        <f t="shared" ref="K45:K50" si="3">ROUND(I45*J45,0)</f>
        <v>7885470</v>
      </c>
      <c r="L45" s="234"/>
      <c r="M45" s="232"/>
    </row>
    <row r="46" spans="1:13" ht="30" customHeight="1">
      <c r="A46" s="232"/>
      <c r="B46" s="233"/>
      <c r="C46" s="310"/>
      <c r="D46" s="316" t="s">
        <v>166</v>
      </c>
      <c r="E46" s="310"/>
      <c r="F46" s="310"/>
      <c r="G46" s="317" t="s">
        <v>173</v>
      </c>
      <c r="H46" s="252" t="s">
        <v>103</v>
      </c>
      <c r="I46" s="319">
        <v>885.7</v>
      </c>
      <c r="J46" s="322">
        <f>ROUND(77644.96*1.25,0)</f>
        <v>97056</v>
      </c>
      <c r="K46" s="322">
        <f t="shared" si="3"/>
        <v>85962499</v>
      </c>
      <c r="L46" s="234"/>
      <c r="M46" s="232"/>
    </row>
    <row r="47" spans="1:13" ht="30" customHeight="1">
      <c r="A47" s="232"/>
      <c r="B47" s="233"/>
      <c r="C47" s="310"/>
      <c r="D47" s="316" t="s">
        <v>167</v>
      </c>
      <c r="E47" s="310"/>
      <c r="F47" s="310"/>
      <c r="G47" s="317" t="s">
        <v>174</v>
      </c>
      <c r="H47" s="252" t="s">
        <v>103</v>
      </c>
      <c r="I47" s="319">
        <v>252.64</v>
      </c>
      <c r="J47" s="322">
        <f>ROUND(135625.16*1.25,0)</f>
        <v>169531</v>
      </c>
      <c r="K47" s="322">
        <f t="shared" si="3"/>
        <v>42830312</v>
      </c>
      <c r="L47" s="234"/>
      <c r="M47" s="232"/>
    </row>
    <row r="48" spans="1:13" ht="30" customHeight="1">
      <c r="A48" s="232"/>
      <c r="B48" s="233"/>
      <c r="C48" s="310"/>
      <c r="D48" s="316" t="s">
        <v>168</v>
      </c>
      <c r="E48" s="310"/>
      <c r="F48" s="310"/>
      <c r="G48" s="317" t="s">
        <v>175</v>
      </c>
      <c r="H48" s="252" t="s">
        <v>160</v>
      </c>
      <c r="I48" s="319">
        <v>12</v>
      </c>
      <c r="J48" s="322">
        <f>ROUND(36635.84*1.25,0)</f>
        <v>45795</v>
      </c>
      <c r="K48" s="322">
        <f t="shared" si="3"/>
        <v>549540</v>
      </c>
      <c r="L48" s="234"/>
      <c r="M48" s="232"/>
    </row>
    <row r="49" spans="1:13" ht="30" customHeight="1">
      <c r="A49" s="232"/>
      <c r="B49" s="233"/>
      <c r="C49" s="314"/>
      <c r="D49" s="316" t="s">
        <v>169</v>
      </c>
      <c r="E49" s="315"/>
      <c r="F49" s="315"/>
      <c r="G49" s="318" t="s">
        <v>176</v>
      </c>
      <c r="H49" s="308" t="s">
        <v>161</v>
      </c>
      <c r="I49" s="320">
        <v>5</v>
      </c>
      <c r="J49" s="323">
        <f>ROUND(51618*1.25,0)</f>
        <v>64523</v>
      </c>
      <c r="K49" s="322">
        <f t="shared" si="3"/>
        <v>322615</v>
      </c>
      <c r="L49" s="234"/>
      <c r="M49" s="232"/>
    </row>
    <row r="50" spans="1:13" ht="30" customHeight="1">
      <c r="A50" s="232"/>
      <c r="B50" s="233"/>
      <c r="C50" s="242"/>
      <c r="D50" s="316" t="s">
        <v>170</v>
      </c>
      <c r="E50" s="308"/>
      <c r="F50" s="308"/>
      <c r="G50" s="309" t="s">
        <v>177</v>
      </c>
      <c r="H50" s="308" t="s">
        <v>103</v>
      </c>
      <c r="I50" s="321">
        <v>252.35</v>
      </c>
      <c r="J50" s="301">
        <f>ROUND(67247.2*1.25,0)</f>
        <v>84059</v>
      </c>
      <c r="K50" s="322">
        <f t="shared" si="3"/>
        <v>21212289</v>
      </c>
      <c r="L50" s="234"/>
      <c r="M50" s="232"/>
    </row>
    <row r="51" spans="1:13" ht="30" customHeight="1" thickBot="1">
      <c r="A51" s="232"/>
      <c r="B51" s="233"/>
      <c r="C51" s="381" t="s">
        <v>178</v>
      </c>
      <c r="D51" s="382"/>
      <c r="E51" s="382"/>
      <c r="F51" s="382"/>
      <c r="G51" s="382"/>
      <c r="H51" s="382"/>
      <c r="I51" s="382"/>
      <c r="J51" s="383"/>
      <c r="K51" s="247">
        <f>SUM(K44:K50)</f>
        <v>252433471</v>
      </c>
      <c r="L51" s="234"/>
      <c r="M51" s="232"/>
    </row>
    <row r="52" spans="1:13" ht="30" customHeight="1">
      <c r="A52" s="232"/>
      <c r="B52" s="233"/>
      <c r="C52" s="374" t="s">
        <v>179</v>
      </c>
      <c r="D52" s="375"/>
      <c r="E52" s="375"/>
      <c r="F52" s="375"/>
      <c r="G52" s="375"/>
      <c r="H52" s="375"/>
      <c r="I52" s="375"/>
      <c r="J52" s="375"/>
      <c r="K52" s="376"/>
      <c r="L52" s="234"/>
      <c r="M52" s="232"/>
    </row>
    <row r="53" spans="1:13" ht="30" customHeight="1">
      <c r="A53" s="232"/>
      <c r="B53" s="233"/>
      <c r="C53" s="310"/>
      <c r="D53" s="316" t="s">
        <v>180</v>
      </c>
      <c r="E53" s="310"/>
      <c r="F53" s="310"/>
      <c r="G53" s="317" t="s">
        <v>187</v>
      </c>
      <c r="H53" s="252" t="s">
        <v>103</v>
      </c>
      <c r="I53" s="319">
        <v>287.37</v>
      </c>
      <c r="J53" s="322">
        <f>ROUND(83098*1.25,0)</f>
        <v>103873</v>
      </c>
      <c r="K53" s="322">
        <f>ROUND(I53*J53,0)</f>
        <v>29849984</v>
      </c>
      <c r="L53" s="234"/>
      <c r="M53" s="232"/>
    </row>
    <row r="54" spans="1:13" ht="30" customHeight="1">
      <c r="A54" s="232"/>
      <c r="B54" s="233"/>
      <c r="C54" s="310"/>
      <c r="D54" s="316" t="s">
        <v>181</v>
      </c>
      <c r="E54" s="310"/>
      <c r="F54" s="310"/>
      <c r="G54" s="317" t="s">
        <v>188</v>
      </c>
      <c r="H54" s="252" t="s">
        <v>103</v>
      </c>
      <c r="I54" s="319">
        <v>255.09</v>
      </c>
      <c r="J54" s="322">
        <f>ROUND(181958*1.25,0)</f>
        <v>227448</v>
      </c>
      <c r="K54" s="322">
        <f t="shared" ref="K54:K58" si="4">ROUND(I54*J54,0)</f>
        <v>58019710</v>
      </c>
      <c r="L54" s="234"/>
      <c r="M54" s="232"/>
    </row>
    <row r="55" spans="1:13" ht="30" customHeight="1">
      <c r="A55" s="232"/>
      <c r="B55" s="233"/>
      <c r="C55" s="310"/>
      <c r="D55" s="316" t="s">
        <v>182</v>
      </c>
      <c r="E55" s="310"/>
      <c r="F55" s="310"/>
      <c r="G55" s="317" t="s">
        <v>189</v>
      </c>
      <c r="H55" s="252" t="s">
        <v>161</v>
      </c>
      <c r="I55" s="319">
        <v>67</v>
      </c>
      <c r="J55" s="322">
        <f>ROUND(61103*1.25,0)</f>
        <v>76379</v>
      </c>
      <c r="K55" s="322">
        <f t="shared" si="4"/>
        <v>5117393</v>
      </c>
      <c r="L55" s="234"/>
      <c r="M55" s="232"/>
    </row>
    <row r="56" spans="1:13" ht="78" customHeight="1">
      <c r="A56" s="232"/>
      <c r="B56" s="233"/>
      <c r="C56" s="310"/>
      <c r="D56" s="316" t="s">
        <v>183</v>
      </c>
      <c r="E56" s="310"/>
      <c r="F56" s="310"/>
      <c r="G56" s="317" t="s">
        <v>190</v>
      </c>
      <c r="H56" s="252" t="s">
        <v>103</v>
      </c>
      <c r="I56" s="319">
        <v>420.48</v>
      </c>
      <c r="J56" s="322">
        <f>ROUND(81588.22*1.25,0)</f>
        <v>101985</v>
      </c>
      <c r="K56" s="322">
        <f t="shared" si="4"/>
        <v>42882653</v>
      </c>
      <c r="L56" s="234"/>
      <c r="M56" s="232"/>
    </row>
    <row r="57" spans="1:13" ht="30" customHeight="1">
      <c r="A57" s="232"/>
      <c r="B57" s="233"/>
      <c r="C57" s="310"/>
      <c r="D57" s="316" t="s">
        <v>184</v>
      </c>
      <c r="E57" s="310"/>
      <c r="F57" s="310"/>
      <c r="G57" s="317" t="s">
        <v>191</v>
      </c>
      <c r="H57" s="252" t="s">
        <v>103</v>
      </c>
      <c r="I57" s="319">
        <v>1368.8</v>
      </c>
      <c r="J57" s="322">
        <f>ROUND(29559.81*1.25,0)</f>
        <v>36950</v>
      </c>
      <c r="K57" s="322">
        <f t="shared" si="4"/>
        <v>50577160</v>
      </c>
      <c r="L57" s="234"/>
      <c r="M57" s="232"/>
    </row>
    <row r="58" spans="1:13" ht="30" customHeight="1">
      <c r="A58" s="232"/>
      <c r="B58" s="233"/>
      <c r="C58" s="314"/>
      <c r="D58" s="316" t="s">
        <v>185</v>
      </c>
      <c r="E58" s="315"/>
      <c r="F58" s="315"/>
      <c r="G58" s="318" t="s">
        <v>192</v>
      </c>
      <c r="H58" s="308" t="s">
        <v>103</v>
      </c>
      <c r="I58" s="320">
        <v>2325.9899999999998</v>
      </c>
      <c r="J58" s="323">
        <f>ROUND(27748.13*1.25,0)</f>
        <v>34685</v>
      </c>
      <c r="K58" s="322">
        <f t="shared" si="4"/>
        <v>80676963</v>
      </c>
      <c r="L58" s="234"/>
      <c r="M58" s="232"/>
    </row>
    <row r="59" spans="1:13" ht="30" customHeight="1" thickBot="1">
      <c r="A59" s="232"/>
      <c r="B59" s="233"/>
      <c r="C59" s="381" t="s">
        <v>186</v>
      </c>
      <c r="D59" s="382"/>
      <c r="E59" s="382"/>
      <c r="F59" s="382"/>
      <c r="G59" s="382"/>
      <c r="H59" s="382"/>
      <c r="I59" s="382"/>
      <c r="J59" s="383"/>
      <c r="K59" s="247">
        <f>SUM(K53:K58)</f>
        <v>267123863</v>
      </c>
      <c r="L59" s="234"/>
      <c r="M59" s="232"/>
    </row>
    <row r="60" spans="1:13" ht="30" customHeight="1">
      <c r="A60" s="232"/>
      <c r="B60" s="233"/>
      <c r="C60" s="374" t="s">
        <v>193</v>
      </c>
      <c r="D60" s="375"/>
      <c r="E60" s="375"/>
      <c r="F60" s="375"/>
      <c r="G60" s="375"/>
      <c r="H60" s="375"/>
      <c r="I60" s="375"/>
      <c r="J60" s="375"/>
      <c r="K60" s="376"/>
      <c r="L60" s="234"/>
      <c r="M60" s="232"/>
    </row>
    <row r="61" spans="1:13" ht="41.4">
      <c r="A61" s="232"/>
      <c r="B61" s="233"/>
      <c r="C61" s="324"/>
      <c r="D61" s="252" t="s">
        <v>194</v>
      </c>
      <c r="E61" s="324"/>
      <c r="F61" s="324"/>
      <c r="G61" s="253" t="s">
        <v>206</v>
      </c>
      <c r="H61" s="252" t="s">
        <v>103</v>
      </c>
      <c r="I61" s="325">
        <v>17.239999999999998</v>
      </c>
      <c r="J61" s="326">
        <f>ROUND(70691.7*1.25,0)</f>
        <v>88365</v>
      </c>
      <c r="K61" s="327">
        <f>ROUND(I61*J61,0)</f>
        <v>1523413</v>
      </c>
      <c r="L61" s="234"/>
      <c r="M61" s="232"/>
    </row>
    <row r="62" spans="1:13" ht="97.2" customHeight="1">
      <c r="A62" s="232"/>
      <c r="B62" s="233"/>
      <c r="C62" s="324"/>
      <c r="D62" s="252" t="s">
        <v>195</v>
      </c>
      <c r="E62" s="324"/>
      <c r="F62" s="324"/>
      <c r="G62" s="253" t="s">
        <v>207</v>
      </c>
      <c r="H62" s="252" t="s">
        <v>103</v>
      </c>
      <c r="I62" s="325">
        <v>85.49</v>
      </c>
      <c r="J62" s="326">
        <f>ROUND(141576*1.25,0)</f>
        <v>176970</v>
      </c>
      <c r="K62" s="327">
        <f t="shared" ref="K62:K71" si="5">ROUND(I62*J62,0)</f>
        <v>15129165</v>
      </c>
      <c r="L62" s="234"/>
      <c r="M62" s="232"/>
    </row>
    <row r="63" spans="1:13" ht="53.4" customHeight="1">
      <c r="A63" s="232"/>
      <c r="B63" s="233"/>
      <c r="C63" s="324"/>
      <c r="D63" s="252" t="s">
        <v>196</v>
      </c>
      <c r="E63" s="324"/>
      <c r="F63" s="324"/>
      <c r="G63" s="253" t="s">
        <v>208</v>
      </c>
      <c r="H63" s="252" t="s">
        <v>103</v>
      </c>
      <c r="I63" s="325">
        <v>281.58</v>
      </c>
      <c r="J63" s="326">
        <f>ROUND(105683.18*1.25,0)</f>
        <v>132104</v>
      </c>
      <c r="K63" s="327">
        <f t="shared" si="5"/>
        <v>37197844</v>
      </c>
      <c r="L63" s="234"/>
      <c r="M63" s="232"/>
    </row>
    <row r="64" spans="1:13" ht="54.6" customHeight="1">
      <c r="A64" s="232"/>
      <c r="B64" s="233"/>
      <c r="C64" s="324"/>
      <c r="D64" s="252" t="s">
        <v>197</v>
      </c>
      <c r="E64" s="324"/>
      <c r="F64" s="324"/>
      <c r="G64" s="253" t="s">
        <v>209</v>
      </c>
      <c r="H64" s="252" t="s">
        <v>103</v>
      </c>
      <c r="I64" s="325">
        <v>263.83</v>
      </c>
      <c r="J64" s="326">
        <f>ROUND(105128.18*1.25,0)</f>
        <v>131410</v>
      </c>
      <c r="K64" s="327">
        <f t="shared" si="5"/>
        <v>34669900</v>
      </c>
      <c r="L64" s="234"/>
      <c r="M64" s="232"/>
    </row>
    <row r="65" spans="1:13" ht="38.4" customHeight="1">
      <c r="A65" s="232"/>
      <c r="B65" s="233"/>
      <c r="C65" s="324"/>
      <c r="D65" s="252" t="s">
        <v>198</v>
      </c>
      <c r="E65" s="324"/>
      <c r="F65" s="324"/>
      <c r="G65" s="253" t="s">
        <v>210</v>
      </c>
      <c r="H65" s="252" t="s">
        <v>103</v>
      </c>
      <c r="I65" s="325">
        <v>44.86</v>
      </c>
      <c r="J65" s="326">
        <f>ROUND(70735.71*1.25,0)</f>
        <v>88420</v>
      </c>
      <c r="K65" s="327">
        <f t="shared" si="5"/>
        <v>3966521</v>
      </c>
      <c r="L65" s="234"/>
      <c r="M65" s="232"/>
    </row>
    <row r="66" spans="1:13" ht="27.6">
      <c r="A66" s="232"/>
      <c r="B66" s="233"/>
      <c r="C66" s="324"/>
      <c r="D66" s="252" t="s">
        <v>199</v>
      </c>
      <c r="E66" s="324"/>
      <c r="F66" s="324"/>
      <c r="G66" s="253" t="s">
        <v>211</v>
      </c>
      <c r="H66" s="252" t="s">
        <v>103</v>
      </c>
      <c r="I66" s="325">
        <v>4</v>
      </c>
      <c r="J66" s="326">
        <f>ROUND(82722*1.25,0)</f>
        <v>103403</v>
      </c>
      <c r="K66" s="327">
        <f t="shared" si="5"/>
        <v>413612</v>
      </c>
      <c r="L66" s="234"/>
      <c r="M66" s="232"/>
    </row>
    <row r="67" spans="1:13" ht="52.2" customHeight="1">
      <c r="A67" s="232"/>
      <c r="B67" s="233"/>
      <c r="C67" s="310"/>
      <c r="D67" s="316" t="s">
        <v>200</v>
      </c>
      <c r="E67" s="310"/>
      <c r="F67" s="310"/>
      <c r="G67" s="317" t="s">
        <v>212</v>
      </c>
      <c r="H67" s="252" t="s">
        <v>103</v>
      </c>
      <c r="I67" s="325">
        <v>177.87</v>
      </c>
      <c r="J67" s="322">
        <f>ROUND(274531*1.25,0)</f>
        <v>343164</v>
      </c>
      <c r="K67" s="327">
        <f t="shared" si="5"/>
        <v>61038581</v>
      </c>
      <c r="L67" s="234"/>
      <c r="M67" s="232"/>
    </row>
    <row r="68" spans="1:13" ht="38.4" customHeight="1">
      <c r="A68" s="232"/>
      <c r="B68" s="233"/>
      <c r="C68" s="310"/>
      <c r="D68" s="316" t="s">
        <v>201</v>
      </c>
      <c r="E68" s="310"/>
      <c r="F68" s="310"/>
      <c r="G68" s="317" t="s">
        <v>213</v>
      </c>
      <c r="H68" s="252" t="s">
        <v>103</v>
      </c>
      <c r="I68" s="325">
        <v>1361.95</v>
      </c>
      <c r="J68" s="322">
        <f>ROUND(93794*1.25,0)</f>
        <v>117243</v>
      </c>
      <c r="K68" s="327">
        <f t="shared" si="5"/>
        <v>159679104</v>
      </c>
      <c r="L68" s="234"/>
      <c r="M68" s="232"/>
    </row>
    <row r="69" spans="1:13" ht="36" customHeight="1">
      <c r="A69" s="232"/>
      <c r="B69" s="233"/>
      <c r="C69" s="310"/>
      <c r="D69" s="316" t="s">
        <v>202</v>
      </c>
      <c r="E69" s="310"/>
      <c r="F69" s="310"/>
      <c r="G69" s="317" t="s">
        <v>214</v>
      </c>
      <c r="H69" s="252" t="s">
        <v>161</v>
      </c>
      <c r="I69" s="325">
        <v>130.88</v>
      </c>
      <c r="J69" s="322">
        <f>ROUND(47484.57*1.25,0)</f>
        <v>59356</v>
      </c>
      <c r="K69" s="327">
        <f t="shared" si="5"/>
        <v>7768513</v>
      </c>
      <c r="L69" s="234"/>
      <c r="M69" s="232"/>
    </row>
    <row r="70" spans="1:13" ht="66" customHeight="1">
      <c r="A70" s="232"/>
      <c r="B70" s="233"/>
      <c r="C70" s="310"/>
      <c r="D70" s="316" t="s">
        <v>203</v>
      </c>
      <c r="E70" s="310"/>
      <c r="F70" s="310"/>
      <c r="G70" s="317" t="s">
        <v>215</v>
      </c>
      <c r="H70" s="252" t="s">
        <v>103</v>
      </c>
      <c r="I70" s="325">
        <v>586.48</v>
      </c>
      <c r="J70" s="322">
        <f>ROUND(184052.07*1.25,0)</f>
        <v>230065</v>
      </c>
      <c r="K70" s="327">
        <f t="shared" si="5"/>
        <v>134928521</v>
      </c>
      <c r="L70" s="234"/>
      <c r="M70" s="232"/>
    </row>
    <row r="71" spans="1:13" ht="16.2">
      <c r="A71" s="232"/>
      <c r="B71" s="233"/>
      <c r="C71" s="310"/>
      <c r="D71" s="316" t="s">
        <v>204</v>
      </c>
      <c r="E71" s="310"/>
      <c r="F71" s="310"/>
      <c r="G71" s="317" t="s">
        <v>216</v>
      </c>
      <c r="H71" s="252" t="s">
        <v>103</v>
      </c>
      <c r="I71" s="325">
        <v>145.35</v>
      </c>
      <c r="J71" s="322">
        <f>ROUND(55427*1.25,0)</f>
        <v>69284</v>
      </c>
      <c r="K71" s="327">
        <f t="shared" si="5"/>
        <v>10070429</v>
      </c>
      <c r="L71" s="234"/>
      <c r="M71" s="232"/>
    </row>
    <row r="72" spans="1:13" ht="30" customHeight="1" thickBot="1">
      <c r="A72" s="232"/>
      <c r="B72" s="233"/>
      <c r="C72" s="381" t="s">
        <v>205</v>
      </c>
      <c r="D72" s="382"/>
      <c r="E72" s="382"/>
      <c r="F72" s="382"/>
      <c r="G72" s="382"/>
      <c r="H72" s="382"/>
      <c r="I72" s="382"/>
      <c r="J72" s="383"/>
      <c r="K72" s="247">
        <f>SUM(K61:K71)</f>
        <v>466385603</v>
      </c>
      <c r="L72" s="234"/>
      <c r="M72" s="232"/>
    </row>
    <row r="73" spans="1:13" ht="30" customHeight="1">
      <c r="A73" s="232"/>
      <c r="B73" s="233"/>
      <c r="C73" s="374" t="s">
        <v>217</v>
      </c>
      <c r="D73" s="375"/>
      <c r="E73" s="375"/>
      <c r="F73" s="375"/>
      <c r="G73" s="375"/>
      <c r="H73" s="375"/>
      <c r="I73" s="375"/>
      <c r="J73" s="375"/>
      <c r="K73" s="376"/>
      <c r="L73" s="234"/>
      <c r="M73" s="232"/>
    </row>
    <row r="74" spans="1:13" ht="30" customHeight="1">
      <c r="A74" s="232"/>
      <c r="B74" s="233"/>
      <c r="C74" s="324"/>
      <c r="D74" s="252" t="s">
        <v>218</v>
      </c>
      <c r="E74" s="324"/>
      <c r="F74" s="324"/>
      <c r="G74" s="253" t="s">
        <v>248</v>
      </c>
      <c r="H74" s="252" t="s">
        <v>103</v>
      </c>
      <c r="I74" s="325">
        <v>142.4</v>
      </c>
      <c r="J74" s="326">
        <f>ROUND(128844.11*1.25,0)</f>
        <v>161055</v>
      </c>
      <c r="K74" s="327">
        <f>ROUND(I74*J74,0)</f>
        <v>22934232</v>
      </c>
      <c r="L74" s="234"/>
      <c r="M74" s="232"/>
    </row>
    <row r="75" spans="1:13" ht="30" customHeight="1">
      <c r="A75" s="232"/>
      <c r="B75" s="233"/>
      <c r="C75" s="324"/>
      <c r="D75" s="252" t="s">
        <v>219</v>
      </c>
      <c r="E75" s="324"/>
      <c r="F75" s="324"/>
      <c r="G75" s="253" t="s">
        <v>249</v>
      </c>
      <c r="H75" s="252" t="s">
        <v>103</v>
      </c>
      <c r="I75" s="325">
        <v>61.11</v>
      </c>
      <c r="J75" s="326">
        <f>ROUND(112073*1.25,0)</f>
        <v>140091</v>
      </c>
      <c r="K75" s="327">
        <f t="shared" ref="K75:K103" si="6">ROUND(I75*J75,0)</f>
        <v>8560961</v>
      </c>
      <c r="L75" s="234"/>
      <c r="M75" s="232"/>
    </row>
    <row r="76" spans="1:13" ht="30" customHeight="1">
      <c r="A76" s="232"/>
      <c r="B76" s="233"/>
      <c r="C76" s="324"/>
      <c r="D76" s="252" t="s">
        <v>220</v>
      </c>
      <c r="E76" s="324"/>
      <c r="F76" s="324"/>
      <c r="G76" s="253" t="s">
        <v>250</v>
      </c>
      <c r="H76" s="252" t="s">
        <v>103</v>
      </c>
      <c r="I76" s="325">
        <v>845.51</v>
      </c>
      <c r="J76" s="326">
        <f>ROUND(49463*1.25,0)</f>
        <v>61829</v>
      </c>
      <c r="K76" s="327">
        <f t="shared" si="6"/>
        <v>52277038</v>
      </c>
      <c r="L76" s="234"/>
      <c r="M76" s="232"/>
    </row>
    <row r="77" spans="1:13" ht="55.2">
      <c r="A77" s="232"/>
      <c r="B77" s="233"/>
      <c r="C77" s="324"/>
      <c r="D77" s="252" t="s">
        <v>221</v>
      </c>
      <c r="E77" s="324"/>
      <c r="F77" s="324"/>
      <c r="G77" s="253" t="s">
        <v>251</v>
      </c>
      <c r="H77" s="252" t="s">
        <v>103</v>
      </c>
      <c r="I77" s="325">
        <v>663.74</v>
      </c>
      <c r="J77" s="326">
        <f>ROUND(61164*1.25,0)</f>
        <v>76455</v>
      </c>
      <c r="K77" s="327">
        <f t="shared" si="6"/>
        <v>50746242</v>
      </c>
      <c r="L77" s="234"/>
      <c r="M77" s="232"/>
    </row>
    <row r="78" spans="1:13" ht="30" customHeight="1">
      <c r="A78" s="232"/>
      <c r="B78" s="233"/>
      <c r="C78" s="324"/>
      <c r="D78" s="252" t="s">
        <v>222</v>
      </c>
      <c r="E78" s="324"/>
      <c r="F78" s="324"/>
      <c r="G78" s="253" t="s">
        <v>252</v>
      </c>
      <c r="H78" s="252" t="s">
        <v>103</v>
      </c>
      <c r="I78" s="325">
        <v>275</v>
      </c>
      <c r="J78" s="326">
        <f>ROUND(92318*1.25,0)</f>
        <v>115398</v>
      </c>
      <c r="K78" s="327">
        <f t="shared" si="6"/>
        <v>31734450</v>
      </c>
      <c r="L78" s="234"/>
      <c r="M78" s="232"/>
    </row>
    <row r="79" spans="1:13" ht="30" customHeight="1">
      <c r="A79" s="232"/>
      <c r="B79" s="233"/>
      <c r="C79" s="324"/>
      <c r="D79" s="252" t="s">
        <v>223</v>
      </c>
      <c r="E79" s="324"/>
      <c r="F79" s="324"/>
      <c r="G79" s="253" t="s">
        <v>253</v>
      </c>
      <c r="H79" s="252" t="s">
        <v>103</v>
      </c>
      <c r="I79" s="325">
        <v>58.54</v>
      </c>
      <c r="J79" s="326">
        <f>ROUND(90318*1.25,0)</f>
        <v>112898</v>
      </c>
      <c r="K79" s="327">
        <f t="shared" si="6"/>
        <v>6609049</v>
      </c>
      <c r="L79" s="234"/>
      <c r="M79" s="232"/>
    </row>
    <row r="80" spans="1:13" ht="30" customHeight="1">
      <c r="A80" s="232"/>
      <c r="B80" s="233"/>
      <c r="C80" s="324"/>
      <c r="D80" s="252" t="s">
        <v>224</v>
      </c>
      <c r="E80" s="324"/>
      <c r="F80" s="324"/>
      <c r="G80" s="253" t="s">
        <v>254</v>
      </c>
      <c r="H80" s="252" t="s">
        <v>103</v>
      </c>
      <c r="I80" s="325">
        <v>73.010000000000005</v>
      </c>
      <c r="J80" s="326">
        <f>ROUND(66658*1.25,0)</f>
        <v>83323</v>
      </c>
      <c r="K80" s="327">
        <f t="shared" si="6"/>
        <v>6083412</v>
      </c>
      <c r="L80" s="234"/>
      <c r="M80" s="232"/>
    </row>
    <row r="81" spans="1:13" ht="30" customHeight="1">
      <c r="A81" s="232"/>
      <c r="B81" s="233"/>
      <c r="C81" s="324"/>
      <c r="D81" s="252" t="s">
        <v>225</v>
      </c>
      <c r="E81" s="324"/>
      <c r="F81" s="324"/>
      <c r="G81" s="253" t="s">
        <v>255</v>
      </c>
      <c r="H81" s="252" t="s">
        <v>161</v>
      </c>
      <c r="I81" s="325">
        <v>103.49</v>
      </c>
      <c r="J81" s="326">
        <f>ROUND(45336.18*1.25,0)</f>
        <v>56670</v>
      </c>
      <c r="K81" s="327">
        <f t="shared" si="6"/>
        <v>5864778</v>
      </c>
      <c r="L81" s="234"/>
      <c r="M81" s="232"/>
    </row>
    <row r="82" spans="1:13" ht="30" customHeight="1">
      <c r="A82" s="232"/>
      <c r="B82" s="233"/>
      <c r="C82" s="324"/>
      <c r="D82" s="252" t="s">
        <v>226</v>
      </c>
      <c r="E82" s="324"/>
      <c r="F82" s="324"/>
      <c r="G82" s="253" t="s">
        <v>256</v>
      </c>
      <c r="H82" s="252" t="s">
        <v>161</v>
      </c>
      <c r="I82" s="325">
        <v>90.66</v>
      </c>
      <c r="J82" s="326">
        <f>ROUND(22534*1.25,0)</f>
        <v>28168</v>
      </c>
      <c r="K82" s="327">
        <f t="shared" si="6"/>
        <v>2553711</v>
      </c>
      <c r="L82" s="234"/>
      <c r="M82" s="232"/>
    </row>
    <row r="83" spans="1:13" ht="30" customHeight="1">
      <c r="A83" s="232"/>
      <c r="B83" s="233"/>
      <c r="C83" s="324"/>
      <c r="D83" s="252" t="s">
        <v>227</v>
      </c>
      <c r="E83" s="324"/>
      <c r="F83" s="324"/>
      <c r="G83" s="253" t="s">
        <v>257</v>
      </c>
      <c r="H83" s="252" t="s">
        <v>161</v>
      </c>
      <c r="I83" s="325">
        <v>75.08</v>
      </c>
      <c r="J83" s="326">
        <f>ROUND(22534*1.25,0)</f>
        <v>28168</v>
      </c>
      <c r="K83" s="327">
        <f t="shared" si="6"/>
        <v>2114853</v>
      </c>
      <c r="L83" s="234"/>
      <c r="M83" s="232"/>
    </row>
    <row r="84" spans="1:13" ht="30" customHeight="1">
      <c r="A84" s="232"/>
      <c r="B84" s="233"/>
      <c r="C84" s="324"/>
      <c r="D84" s="252" t="s">
        <v>228</v>
      </c>
      <c r="E84" s="324"/>
      <c r="F84" s="324"/>
      <c r="G84" s="253" t="s">
        <v>258</v>
      </c>
      <c r="H84" s="252" t="s">
        <v>161</v>
      </c>
      <c r="I84" s="325">
        <v>217.97</v>
      </c>
      <c r="J84" s="326">
        <f>ROUND(36674*1.25,0)</f>
        <v>45843</v>
      </c>
      <c r="K84" s="327">
        <f t="shared" si="6"/>
        <v>9992399</v>
      </c>
      <c r="L84" s="234"/>
      <c r="M84" s="232"/>
    </row>
    <row r="85" spans="1:13" ht="30" customHeight="1">
      <c r="A85" s="232"/>
      <c r="B85" s="233"/>
      <c r="C85" s="324"/>
      <c r="D85" s="252" t="s">
        <v>229</v>
      </c>
      <c r="E85" s="324"/>
      <c r="F85" s="324"/>
      <c r="G85" s="253" t="s">
        <v>259</v>
      </c>
      <c r="H85" s="252" t="s">
        <v>161</v>
      </c>
      <c r="I85" s="325">
        <v>7.6</v>
      </c>
      <c r="J85" s="326">
        <f>ROUND(44070.38*1.25,0)</f>
        <v>55088</v>
      </c>
      <c r="K85" s="327">
        <f t="shared" si="6"/>
        <v>418669</v>
      </c>
      <c r="L85" s="234"/>
      <c r="M85" s="232"/>
    </row>
    <row r="86" spans="1:13" ht="41.4">
      <c r="A86" s="232"/>
      <c r="B86" s="233"/>
      <c r="C86" s="324"/>
      <c r="D86" s="252" t="s">
        <v>230</v>
      </c>
      <c r="E86" s="324"/>
      <c r="F86" s="324"/>
      <c r="G86" s="253" t="s">
        <v>260</v>
      </c>
      <c r="H86" s="252" t="s">
        <v>161</v>
      </c>
      <c r="I86" s="325">
        <v>1.8</v>
      </c>
      <c r="J86" s="326">
        <f>ROUND(72103.8*1.25,0)</f>
        <v>90130</v>
      </c>
      <c r="K86" s="327">
        <f t="shared" si="6"/>
        <v>162234</v>
      </c>
      <c r="L86" s="234"/>
      <c r="M86" s="232"/>
    </row>
    <row r="87" spans="1:13" ht="27.6">
      <c r="A87" s="232"/>
      <c r="B87" s="233"/>
      <c r="C87" s="324"/>
      <c r="D87" s="252" t="s">
        <v>231</v>
      </c>
      <c r="E87" s="324"/>
      <c r="F87" s="324"/>
      <c r="G87" s="253" t="s">
        <v>261</v>
      </c>
      <c r="H87" s="252" t="s">
        <v>161</v>
      </c>
      <c r="I87" s="325">
        <v>6087.16</v>
      </c>
      <c r="J87" s="326">
        <f>ROUND(50788.34*1.25,0)</f>
        <v>63485</v>
      </c>
      <c r="K87" s="327">
        <f t="shared" si="6"/>
        <v>386443353</v>
      </c>
      <c r="L87" s="234"/>
      <c r="M87" s="232"/>
    </row>
    <row r="88" spans="1:13" ht="30" customHeight="1">
      <c r="A88" s="232"/>
      <c r="B88" s="233"/>
      <c r="C88" s="324"/>
      <c r="D88" s="252" t="s">
        <v>232</v>
      </c>
      <c r="E88" s="324"/>
      <c r="F88" s="324"/>
      <c r="G88" s="253" t="s">
        <v>262</v>
      </c>
      <c r="H88" s="252" t="s">
        <v>103</v>
      </c>
      <c r="I88" s="325">
        <v>625.59</v>
      </c>
      <c r="J88" s="326">
        <f>ROUND(26575.24*1.25,0)</f>
        <v>33219</v>
      </c>
      <c r="K88" s="327">
        <f t="shared" si="6"/>
        <v>20781474</v>
      </c>
      <c r="L88" s="234"/>
      <c r="M88" s="232"/>
    </row>
    <row r="89" spans="1:13" ht="30" customHeight="1">
      <c r="A89" s="232"/>
      <c r="B89" s="233"/>
      <c r="C89" s="324"/>
      <c r="D89" s="252" t="s">
        <v>233</v>
      </c>
      <c r="E89" s="324"/>
      <c r="F89" s="324"/>
      <c r="G89" s="253" t="s">
        <v>263</v>
      </c>
      <c r="H89" s="252" t="s">
        <v>103</v>
      </c>
      <c r="I89" s="325">
        <v>2860.17</v>
      </c>
      <c r="J89" s="326">
        <f>ROUND(65019.68*1.25,0)</f>
        <v>81275</v>
      </c>
      <c r="K89" s="327">
        <f t="shared" si="6"/>
        <v>232460317</v>
      </c>
      <c r="L89" s="234"/>
      <c r="M89" s="232"/>
    </row>
    <row r="90" spans="1:13" ht="30" customHeight="1">
      <c r="A90" s="232"/>
      <c r="B90" s="233"/>
      <c r="C90" s="324"/>
      <c r="D90" s="252" t="s">
        <v>234</v>
      </c>
      <c r="E90" s="324"/>
      <c r="F90" s="324"/>
      <c r="G90" s="253" t="s">
        <v>264</v>
      </c>
      <c r="H90" s="252" t="s">
        <v>103</v>
      </c>
      <c r="I90" s="325">
        <v>637.54</v>
      </c>
      <c r="J90" s="326">
        <f>ROUND(88351*1.25,0)</f>
        <v>110439</v>
      </c>
      <c r="K90" s="327">
        <f t="shared" si="6"/>
        <v>70409280</v>
      </c>
      <c r="L90" s="234"/>
      <c r="M90" s="232"/>
    </row>
    <row r="91" spans="1:13" ht="41.4">
      <c r="A91" s="232"/>
      <c r="B91" s="233"/>
      <c r="C91" s="324"/>
      <c r="D91" s="252" t="s">
        <v>235</v>
      </c>
      <c r="E91" s="324"/>
      <c r="F91" s="324"/>
      <c r="G91" s="253" t="s">
        <v>265</v>
      </c>
      <c r="H91" s="252" t="s">
        <v>103</v>
      </c>
      <c r="I91" s="325">
        <v>869.48</v>
      </c>
      <c r="J91" s="326">
        <f>ROUND(84597*1.25,0)</f>
        <v>105746</v>
      </c>
      <c r="K91" s="327">
        <f t="shared" si="6"/>
        <v>91944032</v>
      </c>
      <c r="L91" s="234"/>
      <c r="M91" s="232"/>
    </row>
    <row r="92" spans="1:13" ht="41.4">
      <c r="A92" s="232"/>
      <c r="B92" s="233"/>
      <c r="C92" s="324"/>
      <c r="D92" s="252" t="s">
        <v>236</v>
      </c>
      <c r="E92" s="324"/>
      <c r="F92" s="324"/>
      <c r="G92" s="253" t="s">
        <v>266</v>
      </c>
      <c r="H92" s="252" t="s">
        <v>103</v>
      </c>
      <c r="I92" s="325">
        <v>125.54</v>
      </c>
      <c r="J92" s="326">
        <f>ROUND(95007.77*1.25,0)</f>
        <v>118760</v>
      </c>
      <c r="K92" s="327">
        <f t="shared" si="6"/>
        <v>14909130</v>
      </c>
      <c r="L92" s="234"/>
      <c r="M92" s="232"/>
    </row>
    <row r="93" spans="1:13" ht="41.4">
      <c r="A93" s="232"/>
      <c r="B93" s="233"/>
      <c r="C93" s="324"/>
      <c r="D93" s="252" t="s">
        <v>237</v>
      </c>
      <c r="E93" s="324"/>
      <c r="F93" s="324"/>
      <c r="G93" s="253" t="s">
        <v>267</v>
      </c>
      <c r="H93" s="252" t="s">
        <v>103</v>
      </c>
      <c r="I93" s="325">
        <v>668.76</v>
      </c>
      <c r="J93" s="326">
        <f>ROUND(118364.6*1.25,0)</f>
        <v>147956</v>
      </c>
      <c r="K93" s="327">
        <f t="shared" si="6"/>
        <v>98947055</v>
      </c>
      <c r="L93" s="234"/>
      <c r="M93" s="232"/>
    </row>
    <row r="94" spans="1:13" ht="55.2">
      <c r="A94" s="232"/>
      <c r="B94" s="233"/>
      <c r="C94" s="324"/>
      <c r="D94" s="252" t="s">
        <v>238</v>
      </c>
      <c r="E94" s="324"/>
      <c r="F94" s="324"/>
      <c r="G94" s="253" t="s">
        <v>268</v>
      </c>
      <c r="H94" s="252" t="s">
        <v>103</v>
      </c>
      <c r="I94" s="325">
        <v>59.08</v>
      </c>
      <c r="J94" s="326">
        <f>ROUND(128407.77*1.25,0)</f>
        <v>160510</v>
      </c>
      <c r="K94" s="327">
        <f t="shared" si="6"/>
        <v>9482931</v>
      </c>
      <c r="L94" s="234"/>
      <c r="M94" s="232"/>
    </row>
    <row r="95" spans="1:13" ht="30" customHeight="1">
      <c r="A95" s="232"/>
      <c r="B95" s="233"/>
      <c r="C95" s="324"/>
      <c r="D95" s="252" t="s">
        <v>239</v>
      </c>
      <c r="E95" s="324"/>
      <c r="F95" s="324"/>
      <c r="G95" s="253" t="s">
        <v>269</v>
      </c>
      <c r="H95" s="252" t="s">
        <v>103</v>
      </c>
      <c r="I95" s="325">
        <v>1714.2</v>
      </c>
      <c r="J95" s="326">
        <f>ROUND(84870*1.25,0)</f>
        <v>106088</v>
      </c>
      <c r="K95" s="327">
        <f t="shared" si="6"/>
        <v>181856050</v>
      </c>
      <c r="L95" s="234"/>
      <c r="M95" s="232"/>
    </row>
    <row r="96" spans="1:13" ht="30" customHeight="1">
      <c r="A96" s="232"/>
      <c r="B96" s="233"/>
      <c r="C96" s="324"/>
      <c r="D96" s="252" t="s">
        <v>240</v>
      </c>
      <c r="E96" s="324"/>
      <c r="F96" s="324"/>
      <c r="G96" s="253" t="s">
        <v>270</v>
      </c>
      <c r="H96" s="252" t="s">
        <v>103</v>
      </c>
      <c r="I96" s="325">
        <v>104.81</v>
      </c>
      <c r="J96" s="326">
        <f>ROUND(128822.4*1.25,0)</f>
        <v>161028</v>
      </c>
      <c r="K96" s="327">
        <f t="shared" si="6"/>
        <v>16877345</v>
      </c>
      <c r="L96" s="234"/>
      <c r="M96" s="232"/>
    </row>
    <row r="97" spans="1:13" ht="30" customHeight="1">
      <c r="A97" s="232"/>
      <c r="B97" s="233"/>
      <c r="C97" s="324"/>
      <c r="D97" s="252" t="s">
        <v>241</v>
      </c>
      <c r="E97" s="324"/>
      <c r="F97" s="324"/>
      <c r="G97" s="253" t="s">
        <v>271</v>
      </c>
      <c r="H97" s="252" t="s">
        <v>103</v>
      </c>
      <c r="I97" s="325">
        <v>761.92</v>
      </c>
      <c r="J97" s="326">
        <f>ROUND(313431.96*1.25,0)</f>
        <v>391790</v>
      </c>
      <c r="K97" s="327">
        <f t="shared" si="6"/>
        <v>298512637</v>
      </c>
      <c r="L97" s="234"/>
      <c r="M97" s="232"/>
    </row>
    <row r="98" spans="1:13" ht="30" customHeight="1">
      <c r="A98" s="232"/>
      <c r="B98" s="233"/>
      <c r="C98" s="324"/>
      <c r="D98" s="252" t="s">
        <v>242</v>
      </c>
      <c r="E98" s="324"/>
      <c r="F98" s="324"/>
      <c r="G98" s="253" t="s">
        <v>272</v>
      </c>
      <c r="H98" s="252" t="s">
        <v>278</v>
      </c>
      <c r="I98" s="325">
        <v>354.32</v>
      </c>
      <c r="J98" s="326">
        <f>ROUND(73408*1.25,0)</f>
        <v>91760</v>
      </c>
      <c r="K98" s="327">
        <f t="shared" si="6"/>
        <v>32512403</v>
      </c>
      <c r="L98" s="234"/>
      <c r="M98" s="232"/>
    </row>
    <row r="99" spans="1:13" ht="41.4">
      <c r="A99" s="232"/>
      <c r="B99" s="233"/>
      <c r="C99" s="324"/>
      <c r="D99" s="252" t="s">
        <v>243</v>
      </c>
      <c r="E99" s="324"/>
      <c r="F99" s="324"/>
      <c r="G99" s="253" t="s">
        <v>273</v>
      </c>
      <c r="H99" s="252" t="s">
        <v>103</v>
      </c>
      <c r="I99" s="325">
        <v>349.47</v>
      </c>
      <c r="J99" s="326">
        <f>ROUND(137126.86*1.25,0)</f>
        <v>171409</v>
      </c>
      <c r="K99" s="327">
        <f t="shared" si="6"/>
        <v>59902303</v>
      </c>
      <c r="L99" s="234"/>
      <c r="M99" s="232"/>
    </row>
    <row r="100" spans="1:13" ht="30" customHeight="1">
      <c r="A100" s="232"/>
      <c r="B100" s="233"/>
      <c r="C100" s="324"/>
      <c r="D100" s="252" t="s">
        <v>244</v>
      </c>
      <c r="E100" s="324"/>
      <c r="F100" s="324"/>
      <c r="G100" s="253" t="s">
        <v>274</v>
      </c>
      <c r="H100" s="252" t="s">
        <v>278</v>
      </c>
      <c r="I100" s="325">
        <v>95.61</v>
      </c>
      <c r="J100" s="326">
        <f>ROUND(119438.29*1.25,0)</f>
        <v>149298</v>
      </c>
      <c r="K100" s="327">
        <f t="shared" si="6"/>
        <v>14274382</v>
      </c>
      <c r="L100" s="234"/>
      <c r="M100" s="232"/>
    </row>
    <row r="101" spans="1:13" ht="30" customHeight="1">
      <c r="A101" s="232"/>
      <c r="B101" s="233"/>
      <c r="C101" s="324"/>
      <c r="D101" s="252" t="s">
        <v>245</v>
      </c>
      <c r="E101" s="324"/>
      <c r="F101" s="324"/>
      <c r="G101" s="253" t="s">
        <v>275</v>
      </c>
      <c r="H101" s="252" t="s">
        <v>160</v>
      </c>
      <c r="I101" s="325">
        <v>40</v>
      </c>
      <c r="J101" s="326">
        <f>ROUND(126858*1.25,0)</f>
        <v>158573</v>
      </c>
      <c r="K101" s="327">
        <f t="shared" si="6"/>
        <v>6342920</v>
      </c>
      <c r="L101" s="234"/>
      <c r="M101" s="232"/>
    </row>
    <row r="102" spans="1:13" ht="30" customHeight="1">
      <c r="A102" s="232"/>
      <c r="B102" s="233"/>
      <c r="C102" s="324"/>
      <c r="D102" s="252" t="s">
        <v>246</v>
      </c>
      <c r="E102" s="324"/>
      <c r="F102" s="324"/>
      <c r="G102" s="253" t="s">
        <v>276</v>
      </c>
      <c r="H102" s="252" t="s">
        <v>103</v>
      </c>
      <c r="I102" s="325">
        <v>89.1</v>
      </c>
      <c r="J102" s="326">
        <f>ROUND(10122*1.25,0)</f>
        <v>12653</v>
      </c>
      <c r="K102" s="327">
        <f t="shared" si="6"/>
        <v>1127382</v>
      </c>
      <c r="L102" s="234"/>
      <c r="M102" s="232"/>
    </row>
    <row r="103" spans="1:13" ht="55.2">
      <c r="A103" s="232"/>
      <c r="B103" s="233"/>
      <c r="C103" s="324"/>
      <c r="D103" s="252" t="s">
        <v>247</v>
      </c>
      <c r="E103" s="324"/>
      <c r="F103" s="324"/>
      <c r="G103" s="253" t="s">
        <v>277</v>
      </c>
      <c r="H103" s="252" t="s">
        <v>103</v>
      </c>
      <c r="I103" s="325">
        <v>152.1</v>
      </c>
      <c r="J103" s="326">
        <f>ROUND(162848.18*1.25,0)</f>
        <v>203560</v>
      </c>
      <c r="K103" s="327">
        <f t="shared" si="6"/>
        <v>30961476</v>
      </c>
      <c r="L103" s="234"/>
      <c r="M103" s="232"/>
    </row>
    <row r="104" spans="1:13" ht="30" customHeight="1" thickBot="1">
      <c r="A104" s="232"/>
      <c r="B104" s="233"/>
      <c r="C104" s="381" t="s">
        <v>279</v>
      </c>
      <c r="D104" s="382"/>
      <c r="E104" s="382"/>
      <c r="F104" s="382"/>
      <c r="G104" s="382"/>
      <c r="H104" s="382"/>
      <c r="I104" s="382"/>
      <c r="J104" s="383"/>
      <c r="K104" s="247">
        <f>SUM(K74:K103)</f>
        <v>1767796498</v>
      </c>
      <c r="L104" s="234"/>
      <c r="M104" s="232"/>
    </row>
    <row r="105" spans="1:13" ht="30" customHeight="1">
      <c r="A105" s="232"/>
      <c r="B105" s="233"/>
      <c r="C105" s="374" t="s">
        <v>280</v>
      </c>
      <c r="D105" s="375"/>
      <c r="E105" s="375"/>
      <c r="F105" s="375"/>
      <c r="G105" s="375"/>
      <c r="H105" s="375"/>
      <c r="I105" s="375"/>
      <c r="J105" s="375"/>
      <c r="K105" s="376"/>
      <c r="L105" s="234"/>
      <c r="M105" s="232"/>
    </row>
    <row r="106" spans="1:13" ht="30" customHeight="1">
      <c r="A106" s="232"/>
      <c r="B106" s="233"/>
      <c r="C106" s="324"/>
      <c r="D106" s="252" t="s">
        <v>281</v>
      </c>
      <c r="E106" s="324"/>
      <c r="F106" s="324"/>
      <c r="G106" s="253" t="s">
        <v>283</v>
      </c>
      <c r="H106" s="252" t="s">
        <v>103</v>
      </c>
      <c r="I106" s="325">
        <v>1989.02</v>
      </c>
      <c r="J106" s="326">
        <f>ROUND(12710.41*1.25,0)</f>
        <v>15888</v>
      </c>
      <c r="K106" s="327">
        <f>ROUND(I106*J106,0)</f>
        <v>31601550</v>
      </c>
      <c r="L106" s="234"/>
      <c r="M106" s="232"/>
    </row>
    <row r="107" spans="1:13" ht="30" customHeight="1">
      <c r="A107" s="232"/>
      <c r="B107" s="233"/>
      <c r="C107" s="324"/>
      <c r="D107" s="252" t="s">
        <v>282</v>
      </c>
      <c r="E107" s="324"/>
      <c r="F107" s="324"/>
      <c r="G107" s="253" t="s">
        <v>284</v>
      </c>
      <c r="H107" s="252" t="s">
        <v>103</v>
      </c>
      <c r="I107" s="325">
        <v>908.7</v>
      </c>
      <c r="J107" s="326">
        <f>ROUND(21622.05*1.25,0)</f>
        <v>27028</v>
      </c>
      <c r="K107" s="327">
        <f t="shared" ref="K107" si="7">ROUND(I107*J107,0)</f>
        <v>24560344</v>
      </c>
      <c r="L107" s="234"/>
      <c r="M107" s="232"/>
    </row>
    <row r="108" spans="1:13" ht="30" customHeight="1" thickBot="1">
      <c r="A108" s="232"/>
      <c r="B108" s="233"/>
      <c r="C108" s="381" t="s">
        <v>285</v>
      </c>
      <c r="D108" s="382"/>
      <c r="E108" s="382"/>
      <c r="F108" s="382"/>
      <c r="G108" s="382"/>
      <c r="H108" s="382"/>
      <c r="I108" s="382"/>
      <c r="J108" s="383"/>
      <c r="K108" s="247">
        <f>SUM(K106:K107)</f>
        <v>56161894</v>
      </c>
      <c r="L108" s="234"/>
      <c r="M108" s="232"/>
    </row>
    <row r="109" spans="1:13" ht="30" customHeight="1">
      <c r="A109" s="232"/>
      <c r="B109" s="233"/>
      <c r="C109" s="374" t="s">
        <v>286</v>
      </c>
      <c r="D109" s="375"/>
      <c r="E109" s="375"/>
      <c r="F109" s="375"/>
      <c r="G109" s="375"/>
      <c r="H109" s="375"/>
      <c r="I109" s="375"/>
      <c r="J109" s="375"/>
      <c r="K109" s="376"/>
      <c r="L109" s="234"/>
      <c r="M109" s="232"/>
    </row>
    <row r="110" spans="1:13" ht="27.6">
      <c r="A110" s="232"/>
      <c r="B110" s="233"/>
      <c r="C110" s="324"/>
      <c r="D110" s="252" t="s">
        <v>287</v>
      </c>
      <c r="E110" s="324"/>
      <c r="F110" s="324"/>
      <c r="G110" s="253" t="s">
        <v>313</v>
      </c>
      <c r="H110" s="252" t="s">
        <v>103</v>
      </c>
      <c r="I110" s="325">
        <v>309.75</v>
      </c>
      <c r="J110" s="326">
        <f>ROUND(140571.02*1.25,0)</f>
        <v>175714</v>
      </c>
      <c r="K110" s="327">
        <f>ROUND(I110*J110,0)</f>
        <v>54427412</v>
      </c>
      <c r="L110" s="234"/>
      <c r="M110" s="232"/>
    </row>
    <row r="111" spans="1:13" ht="55.2">
      <c r="A111" s="232"/>
      <c r="B111" s="233"/>
      <c r="C111" s="324"/>
      <c r="D111" s="252" t="s">
        <v>288</v>
      </c>
      <c r="E111" s="324"/>
      <c r="F111" s="324"/>
      <c r="G111" s="253" t="s">
        <v>314</v>
      </c>
      <c r="H111" s="252" t="s">
        <v>103</v>
      </c>
      <c r="I111" s="325">
        <v>12.66</v>
      </c>
      <c r="J111" s="326">
        <f>ROUND(497832.92*1.25,0)</f>
        <v>622291</v>
      </c>
      <c r="K111" s="327">
        <f t="shared" ref="K111:K135" si="8">ROUND(I111*J111,0)</f>
        <v>7878204</v>
      </c>
      <c r="L111" s="234"/>
      <c r="M111" s="232"/>
    </row>
    <row r="112" spans="1:13" ht="55.2">
      <c r="A112" s="232"/>
      <c r="B112" s="233"/>
      <c r="C112" s="324"/>
      <c r="D112" s="252" t="s">
        <v>289</v>
      </c>
      <c r="E112" s="324"/>
      <c r="F112" s="324"/>
      <c r="G112" s="253" t="s">
        <v>315</v>
      </c>
      <c r="H112" s="252" t="s">
        <v>103</v>
      </c>
      <c r="I112" s="325">
        <v>144.82</v>
      </c>
      <c r="J112" s="326">
        <f>ROUND(196059.66*1.25,0)</f>
        <v>245075</v>
      </c>
      <c r="K112" s="327">
        <f t="shared" si="8"/>
        <v>35491762</v>
      </c>
      <c r="L112" s="234"/>
      <c r="M112" s="232"/>
    </row>
    <row r="113" spans="1:13" ht="82.8">
      <c r="A113" s="232"/>
      <c r="B113" s="233"/>
      <c r="C113" s="324"/>
      <c r="D113" s="252" t="s">
        <v>290</v>
      </c>
      <c r="E113" s="324"/>
      <c r="F113" s="324"/>
      <c r="G113" s="253" t="s">
        <v>316</v>
      </c>
      <c r="H113" s="252" t="s">
        <v>103</v>
      </c>
      <c r="I113" s="325">
        <v>125.13</v>
      </c>
      <c r="J113" s="326">
        <f>ROUND(444427.06*1.25,0)</f>
        <v>555534</v>
      </c>
      <c r="K113" s="327">
        <f t="shared" si="8"/>
        <v>69513969</v>
      </c>
      <c r="L113" s="234"/>
      <c r="M113" s="232"/>
    </row>
    <row r="114" spans="1:13" ht="55.2">
      <c r="A114" s="232"/>
      <c r="B114" s="233"/>
      <c r="C114" s="324"/>
      <c r="D114" s="252" t="s">
        <v>291</v>
      </c>
      <c r="E114" s="324"/>
      <c r="F114" s="324"/>
      <c r="G114" s="253" t="s">
        <v>317</v>
      </c>
      <c r="H114" s="252" t="s">
        <v>103</v>
      </c>
      <c r="I114" s="325">
        <v>49.99</v>
      </c>
      <c r="J114" s="326">
        <f>ROUND(335238*1.25,0)</f>
        <v>419048</v>
      </c>
      <c r="K114" s="327">
        <f t="shared" si="8"/>
        <v>20948210</v>
      </c>
      <c r="L114" s="234"/>
      <c r="M114" s="232"/>
    </row>
    <row r="115" spans="1:13" ht="55.2">
      <c r="A115" s="232"/>
      <c r="B115" s="233"/>
      <c r="C115" s="324"/>
      <c r="D115" s="252" t="s">
        <v>292</v>
      </c>
      <c r="E115" s="324"/>
      <c r="F115" s="324"/>
      <c r="G115" s="253" t="s">
        <v>318</v>
      </c>
      <c r="H115" s="252" t="s">
        <v>103</v>
      </c>
      <c r="I115" s="325">
        <v>4.05</v>
      </c>
      <c r="J115" s="326">
        <f>ROUND(672946.04*1.25,0)</f>
        <v>841183</v>
      </c>
      <c r="K115" s="327">
        <f t="shared" si="8"/>
        <v>3406791</v>
      </c>
      <c r="L115" s="234"/>
      <c r="M115" s="232"/>
    </row>
    <row r="116" spans="1:13" ht="55.2">
      <c r="A116" s="232"/>
      <c r="B116" s="233"/>
      <c r="C116" s="324"/>
      <c r="D116" s="252" t="s">
        <v>293</v>
      </c>
      <c r="E116" s="324"/>
      <c r="F116" s="324"/>
      <c r="G116" s="253" t="s">
        <v>319</v>
      </c>
      <c r="H116" s="252" t="s">
        <v>103</v>
      </c>
      <c r="I116" s="325">
        <v>9.44</v>
      </c>
      <c r="J116" s="326">
        <f>ROUND(551759.17*1.25,0)</f>
        <v>689699</v>
      </c>
      <c r="K116" s="327">
        <f t="shared" si="8"/>
        <v>6510759</v>
      </c>
      <c r="L116" s="234"/>
      <c r="M116" s="232"/>
    </row>
    <row r="117" spans="1:13" ht="55.2">
      <c r="A117" s="232"/>
      <c r="B117" s="233"/>
      <c r="C117" s="324"/>
      <c r="D117" s="252" t="s">
        <v>294</v>
      </c>
      <c r="E117" s="324"/>
      <c r="F117" s="324"/>
      <c r="G117" s="253" t="s">
        <v>320</v>
      </c>
      <c r="H117" s="252" t="s">
        <v>103</v>
      </c>
      <c r="I117" s="325">
        <v>24.75</v>
      </c>
      <c r="J117" s="326">
        <f>ROUND(673064.35*1.25,0)</f>
        <v>841330</v>
      </c>
      <c r="K117" s="327">
        <f t="shared" si="8"/>
        <v>20822918</v>
      </c>
      <c r="L117" s="234"/>
      <c r="M117" s="232"/>
    </row>
    <row r="118" spans="1:13" ht="41.4">
      <c r="A118" s="232"/>
      <c r="B118" s="233"/>
      <c r="C118" s="324"/>
      <c r="D118" s="252" t="s">
        <v>295</v>
      </c>
      <c r="E118" s="324"/>
      <c r="F118" s="324"/>
      <c r="G118" s="253" t="s">
        <v>321</v>
      </c>
      <c r="H118" s="252" t="s">
        <v>103</v>
      </c>
      <c r="I118" s="325">
        <v>98.28</v>
      </c>
      <c r="J118" s="326">
        <f>ROUND(334404.04*1.25,0)</f>
        <v>418005</v>
      </c>
      <c r="K118" s="327">
        <f t="shared" si="8"/>
        <v>41081531</v>
      </c>
      <c r="L118" s="234"/>
      <c r="M118" s="232"/>
    </row>
    <row r="119" spans="1:13" ht="27.6">
      <c r="A119" s="232"/>
      <c r="B119" s="233"/>
      <c r="C119" s="324"/>
      <c r="D119" s="252" t="s">
        <v>296</v>
      </c>
      <c r="E119" s="324"/>
      <c r="F119" s="324"/>
      <c r="G119" s="253" t="s">
        <v>322</v>
      </c>
      <c r="H119" s="252" t="s">
        <v>103</v>
      </c>
      <c r="I119" s="325">
        <v>7.2</v>
      </c>
      <c r="J119" s="326">
        <f>ROUND(238718.34*1.25,0)</f>
        <v>298398</v>
      </c>
      <c r="K119" s="327">
        <f t="shared" si="8"/>
        <v>2148466</v>
      </c>
      <c r="L119" s="234"/>
      <c r="M119" s="232"/>
    </row>
    <row r="120" spans="1:13" ht="55.2">
      <c r="A120" s="232"/>
      <c r="B120" s="233"/>
      <c r="C120" s="324"/>
      <c r="D120" s="252" t="s">
        <v>297</v>
      </c>
      <c r="E120" s="324"/>
      <c r="F120" s="324"/>
      <c r="G120" s="253" t="s">
        <v>323</v>
      </c>
      <c r="H120" s="252" t="s">
        <v>103</v>
      </c>
      <c r="I120" s="325">
        <v>38.93</v>
      </c>
      <c r="J120" s="326">
        <f>ROUND(589130*1.25,0)</f>
        <v>736413</v>
      </c>
      <c r="K120" s="327">
        <f t="shared" si="8"/>
        <v>28668558</v>
      </c>
      <c r="L120" s="234"/>
      <c r="M120" s="232"/>
    </row>
    <row r="121" spans="1:13" ht="55.2">
      <c r="A121" s="232"/>
      <c r="B121" s="233"/>
      <c r="C121" s="324"/>
      <c r="D121" s="252" t="s">
        <v>298</v>
      </c>
      <c r="E121" s="324"/>
      <c r="F121" s="324"/>
      <c r="G121" s="253" t="s">
        <v>324</v>
      </c>
      <c r="H121" s="252" t="s">
        <v>103</v>
      </c>
      <c r="I121" s="325">
        <v>15.26</v>
      </c>
      <c r="J121" s="326">
        <f>ROUND(677478*1.25,0)</f>
        <v>846848</v>
      </c>
      <c r="K121" s="327">
        <f t="shared" si="8"/>
        <v>12922900</v>
      </c>
      <c r="L121" s="234"/>
      <c r="M121" s="232"/>
    </row>
    <row r="122" spans="1:13" ht="82.8">
      <c r="A122" s="232"/>
      <c r="B122" s="233"/>
      <c r="C122" s="324"/>
      <c r="D122" s="252" t="s">
        <v>299</v>
      </c>
      <c r="E122" s="324"/>
      <c r="F122" s="324"/>
      <c r="G122" s="253" t="s">
        <v>325</v>
      </c>
      <c r="H122" s="252" t="s">
        <v>103</v>
      </c>
      <c r="I122" s="325">
        <v>8.8800000000000008</v>
      </c>
      <c r="J122" s="326">
        <f>ROUND(708072.27*1.25,0)</f>
        <v>885090</v>
      </c>
      <c r="K122" s="327">
        <f t="shared" si="8"/>
        <v>7859599</v>
      </c>
      <c r="L122" s="234"/>
      <c r="M122" s="232"/>
    </row>
    <row r="123" spans="1:13" ht="55.2">
      <c r="A123" s="232"/>
      <c r="B123" s="233"/>
      <c r="C123" s="324"/>
      <c r="D123" s="252" t="s">
        <v>300</v>
      </c>
      <c r="E123" s="324"/>
      <c r="F123" s="324"/>
      <c r="G123" s="253" t="s">
        <v>326</v>
      </c>
      <c r="H123" s="252" t="s">
        <v>103</v>
      </c>
      <c r="I123" s="325">
        <v>17.600000000000001</v>
      </c>
      <c r="J123" s="326">
        <f>ROUND(661631.36*1.25,0)</f>
        <v>827039</v>
      </c>
      <c r="K123" s="327">
        <f t="shared" si="8"/>
        <v>14555886</v>
      </c>
      <c r="L123" s="234"/>
      <c r="M123" s="232"/>
    </row>
    <row r="124" spans="1:13" ht="82.8">
      <c r="A124" s="232"/>
      <c r="B124" s="233"/>
      <c r="C124" s="324"/>
      <c r="D124" s="252" t="s">
        <v>301</v>
      </c>
      <c r="E124" s="324"/>
      <c r="F124" s="324"/>
      <c r="G124" s="253" t="s">
        <v>327</v>
      </c>
      <c r="H124" s="252" t="s">
        <v>103</v>
      </c>
      <c r="I124" s="325">
        <v>12.06</v>
      </c>
      <c r="J124" s="326">
        <f>ROUND(1592112.58*1.25,0)</f>
        <v>1990141</v>
      </c>
      <c r="K124" s="327">
        <f t="shared" si="8"/>
        <v>24001100</v>
      </c>
      <c r="L124" s="234"/>
      <c r="M124" s="232"/>
    </row>
    <row r="125" spans="1:13" ht="69">
      <c r="A125" s="232"/>
      <c r="B125" s="233"/>
      <c r="C125" s="324"/>
      <c r="D125" s="252" t="s">
        <v>302</v>
      </c>
      <c r="E125" s="324"/>
      <c r="F125" s="324"/>
      <c r="G125" s="253" t="s">
        <v>328</v>
      </c>
      <c r="H125" s="252" t="s">
        <v>103</v>
      </c>
      <c r="I125" s="325">
        <v>6.9</v>
      </c>
      <c r="J125" s="326">
        <f>ROUND(769170.34*1.25,0)</f>
        <v>961463</v>
      </c>
      <c r="K125" s="327">
        <f t="shared" si="8"/>
        <v>6634095</v>
      </c>
      <c r="L125" s="234"/>
      <c r="M125" s="232"/>
    </row>
    <row r="126" spans="1:13" ht="55.2">
      <c r="A126" s="232"/>
      <c r="B126" s="233"/>
      <c r="C126" s="324"/>
      <c r="D126" s="252" t="s">
        <v>303</v>
      </c>
      <c r="E126" s="324"/>
      <c r="F126" s="324"/>
      <c r="G126" s="253" t="s">
        <v>329</v>
      </c>
      <c r="H126" s="252" t="s">
        <v>103</v>
      </c>
      <c r="I126" s="325">
        <v>9.6300000000000008</v>
      </c>
      <c r="J126" s="326">
        <f>ROUND(665660.36*1.25,0)</f>
        <v>832075</v>
      </c>
      <c r="K126" s="327">
        <f t="shared" si="8"/>
        <v>8012882</v>
      </c>
      <c r="L126" s="234"/>
      <c r="M126" s="232"/>
    </row>
    <row r="127" spans="1:13" ht="30" customHeight="1">
      <c r="A127" s="232"/>
      <c r="B127" s="233"/>
      <c r="C127" s="324"/>
      <c r="D127" s="252" t="s">
        <v>304</v>
      </c>
      <c r="E127" s="324"/>
      <c r="F127" s="324"/>
      <c r="G127" s="253" t="s">
        <v>330</v>
      </c>
      <c r="H127" s="252" t="s">
        <v>103</v>
      </c>
      <c r="I127" s="325">
        <v>37.5</v>
      </c>
      <c r="J127" s="326">
        <f>ROUND(632642*1.25,0)</f>
        <v>790803</v>
      </c>
      <c r="K127" s="327">
        <f t="shared" si="8"/>
        <v>29655113</v>
      </c>
      <c r="L127" s="234"/>
      <c r="M127" s="232"/>
    </row>
    <row r="128" spans="1:13" ht="55.2">
      <c r="A128" s="232"/>
      <c r="B128" s="233"/>
      <c r="C128" s="324"/>
      <c r="D128" s="252" t="s">
        <v>305</v>
      </c>
      <c r="E128" s="324"/>
      <c r="F128" s="324"/>
      <c r="G128" s="253" t="s">
        <v>331</v>
      </c>
      <c r="H128" s="252" t="s">
        <v>103</v>
      </c>
      <c r="I128" s="325">
        <v>30.78</v>
      </c>
      <c r="J128" s="326">
        <f>ROUND(537763.64*1.25,0)</f>
        <v>672205</v>
      </c>
      <c r="K128" s="327">
        <f t="shared" si="8"/>
        <v>20690470</v>
      </c>
      <c r="L128" s="234"/>
      <c r="M128" s="232"/>
    </row>
    <row r="129" spans="1:13" ht="16.2">
      <c r="A129" s="232"/>
      <c r="B129" s="233"/>
      <c r="C129" s="324"/>
      <c r="D129" s="252" t="s">
        <v>306</v>
      </c>
      <c r="E129" s="324"/>
      <c r="F129" s="324"/>
      <c r="G129" s="253" t="s">
        <v>332</v>
      </c>
      <c r="H129" s="252" t="s">
        <v>103</v>
      </c>
      <c r="I129" s="325">
        <v>92.96</v>
      </c>
      <c r="J129" s="326">
        <f>ROUND(323546.08*1.25,0)</f>
        <v>404433</v>
      </c>
      <c r="K129" s="327">
        <f t="shared" si="8"/>
        <v>37596092</v>
      </c>
      <c r="L129" s="234"/>
      <c r="M129" s="232"/>
    </row>
    <row r="130" spans="1:13" ht="110.4">
      <c r="A130" s="232"/>
      <c r="B130" s="233"/>
      <c r="C130" s="324"/>
      <c r="D130" s="252" t="s">
        <v>307</v>
      </c>
      <c r="E130" s="324"/>
      <c r="F130" s="324"/>
      <c r="G130" s="253" t="s">
        <v>333</v>
      </c>
      <c r="H130" s="252" t="s">
        <v>161</v>
      </c>
      <c r="I130" s="325">
        <v>679.93</v>
      </c>
      <c r="J130" s="326">
        <f>ROUND(200954*1.25,0)</f>
        <v>251193</v>
      </c>
      <c r="K130" s="327">
        <f t="shared" si="8"/>
        <v>170793656</v>
      </c>
      <c r="L130" s="234"/>
      <c r="M130" s="232"/>
    </row>
    <row r="131" spans="1:13" ht="55.2">
      <c r="A131" s="232"/>
      <c r="B131" s="233"/>
      <c r="C131" s="324"/>
      <c r="D131" s="252" t="s">
        <v>308</v>
      </c>
      <c r="E131" s="324"/>
      <c r="F131" s="324"/>
      <c r="G131" s="253" t="s">
        <v>334</v>
      </c>
      <c r="H131" s="252" t="s">
        <v>161</v>
      </c>
      <c r="I131" s="325">
        <v>28.83</v>
      </c>
      <c r="J131" s="326">
        <f>ROUND(302660.01*1.25,0)</f>
        <v>378325</v>
      </c>
      <c r="K131" s="327">
        <f t="shared" si="8"/>
        <v>10907110</v>
      </c>
      <c r="L131" s="234"/>
      <c r="M131" s="232"/>
    </row>
    <row r="132" spans="1:13" ht="30" customHeight="1">
      <c r="A132" s="232"/>
      <c r="B132" s="233"/>
      <c r="C132" s="324"/>
      <c r="D132" s="252" t="s">
        <v>309</v>
      </c>
      <c r="E132" s="324"/>
      <c r="F132" s="324"/>
      <c r="G132" s="253" t="s">
        <v>335</v>
      </c>
      <c r="H132" s="252" t="s">
        <v>161</v>
      </c>
      <c r="I132" s="325">
        <v>56.03</v>
      </c>
      <c r="J132" s="326">
        <f>ROUND(178378*1.25,0)</f>
        <v>222973</v>
      </c>
      <c r="K132" s="327">
        <f t="shared" si="8"/>
        <v>12493177</v>
      </c>
      <c r="L132" s="234"/>
      <c r="M132" s="232"/>
    </row>
    <row r="133" spans="1:13" ht="30" customHeight="1">
      <c r="A133" s="232"/>
      <c r="B133" s="233"/>
      <c r="C133" s="324"/>
      <c r="D133" s="252" t="s">
        <v>310</v>
      </c>
      <c r="E133" s="324"/>
      <c r="F133" s="324"/>
      <c r="G133" s="253" t="s">
        <v>336</v>
      </c>
      <c r="H133" s="252" t="s">
        <v>161</v>
      </c>
      <c r="I133" s="325">
        <v>76.61</v>
      </c>
      <c r="J133" s="326">
        <f>ROUND(79260*1.25,0)</f>
        <v>99075</v>
      </c>
      <c r="K133" s="327">
        <f t="shared" si="8"/>
        <v>7590136</v>
      </c>
      <c r="L133" s="234"/>
      <c r="M133" s="232"/>
    </row>
    <row r="134" spans="1:13" ht="30" customHeight="1">
      <c r="A134" s="232"/>
      <c r="B134" s="233"/>
      <c r="C134" s="324"/>
      <c r="D134" s="252" t="s">
        <v>311</v>
      </c>
      <c r="E134" s="324"/>
      <c r="F134" s="324"/>
      <c r="G134" s="253" t="s">
        <v>337</v>
      </c>
      <c r="H134" s="252" t="s">
        <v>103</v>
      </c>
      <c r="I134" s="325">
        <v>38.200000000000003</v>
      </c>
      <c r="J134" s="326">
        <f>ROUND(325035.07*1.25,0)</f>
        <v>406294</v>
      </c>
      <c r="K134" s="327">
        <f t="shared" si="8"/>
        <v>15520431</v>
      </c>
      <c r="L134" s="234"/>
      <c r="M134" s="232"/>
    </row>
    <row r="135" spans="1:13" ht="30" customHeight="1">
      <c r="A135" s="232"/>
      <c r="B135" s="233"/>
      <c r="C135" s="324"/>
      <c r="D135" s="252" t="s">
        <v>312</v>
      </c>
      <c r="E135" s="324"/>
      <c r="F135" s="324"/>
      <c r="G135" s="253" t="s">
        <v>338</v>
      </c>
      <c r="H135" s="252" t="s">
        <v>161</v>
      </c>
      <c r="I135" s="325">
        <v>29.87</v>
      </c>
      <c r="J135" s="326">
        <f>ROUND(25222.41*1.25,0)</f>
        <v>31528</v>
      </c>
      <c r="K135" s="327">
        <f t="shared" si="8"/>
        <v>941741</v>
      </c>
      <c r="L135" s="234"/>
      <c r="M135" s="232"/>
    </row>
    <row r="136" spans="1:13" ht="30" customHeight="1" thickBot="1">
      <c r="A136" s="232"/>
      <c r="B136" s="233"/>
      <c r="C136" s="381" t="s">
        <v>279</v>
      </c>
      <c r="D136" s="382"/>
      <c r="E136" s="382"/>
      <c r="F136" s="382"/>
      <c r="G136" s="382"/>
      <c r="H136" s="382"/>
      <c r="I136" s="382"/>
      <c r="J136" s="383"/>
      <c r="K136" s="247">
        <f>SUM(K110:K135)</f>
        <v>671072968</v>
      </c>
      <c r="L136" s="234"/>
      <c r="M136" s="232"/>
    </row>
    <row r="137" spans="1:13" ht="30" customHeight="1">
      <c r="A137" s="232"/>
      <c r="B137" s="233"/>
      <c r="C137" s="374" t="s">
        <v>340</v>
      </c>
      <c r="D137" s="375"/>
      <c r="E137" s="375"/>
      <c r="F137" s="375"/>
      <c r="G137" s="375"/>
      <c r="H137" s="375"/>
      <c r="I137" s="375"/>
      <c r="J137" s="375"/>
      <c r="K137" s="376"/>
      <c r="L137" s="234"/>
      <c r="M137" s="232"/>
    </row>
    <row r="138" spans="1:13" ht="30.6">
      <c r="A138" s="232"/>
      <c r="B138" s="233"/>
      <c r="C138" s="324"/>
      <c r="D138" s="316" t="s">
        <v>341</v>
      </c>
      <c r="E138" s="324"/>
      <c r="F138" s="324"/>
      <c r="G138" s="328" t="s">
        <v>347</v>
      </c>
      <c r="H138" s="329" t="s">
        <v>160</v>
      </c>
      <c r="I138" s="325">
        <v>2</v>
      </c>
      <c r="J138" s="326">
        <f>ROUND(439542.07*1.25,0)</f>
        <v>549428</v>
      </c>
      <c r="K138" s="327">
        <f>ROUND(I138*J138,0)</f>
        <v>1098856</v>
      </c>
      <c r="L138" s="234"/>
      <c r="M138" s="232"/>
    </row>
    <row r="139" spans="1:13" ht="30.6">
      <c r="A139" s="232"/>
      <c r="B139" s="233"/>
      <c r="C139" s="324"/>
      <c r="D139" s="316" t="s">
        <v>342</v>
      </c>
      <c r="E139" s="324"/>
      <c r="F139" s="324"/>
      <c r="G139" s="328" t="s">
        <v>348</v>
      </c>
      <c r="H139" s="329" t="s">
        <v>160</v>
      </c>
      <c r="I139" s="325">
        <v>5</v>
      </c>
      <c r="J139" s="326">
        <f>ROUND(484487.19*1.25,0)</f>
        <v>605609</v>
      </c>
      <c r="K139" s="327">
        <f t="shared" ref="K139:K143" si="9">ROUND(I139*J139,0)</f>
        <v>3028045</v>
      </c>
      <c r="L139" s="234"/>
      <c r="M139" s="232"/>
    </row>
    <row r="140" spans="1:13" ht="30.6">
      <c r="A140" s="232"/>
      <c r="B140" s="233"/>
      <c r="C140" s="324"/>
      <c r="D140" s="316" t="s">
        <v>343</v>
      </c>
      <c r="E140" s="324"/>
      <c r="F140" s="324"/>
      <c r="G140" s="328" t="s">
        <v>349</v>
      </c>
      <c r="H140" s="329" t="s">
        <v>160</v>
      </c>
      <c r="I140" s="325">
        <v>1</v>
      </c>
      <c r="J140" s="326">
        <f>ROUND(372124.39*1.25,0)</f>
        <v>465155</v>
      </c>
      <c r="K140" s="327">
        <f t="shared" si="9"/>
        <v>465155</v>
      </c>
      <c r="L140" s="234"/>
      <c r="M140" s="232"/>
    </row>
    <row r="141" spans="1:13" ht="30.6">
      <c r="A141" s="232"/>
      <c r="B141" s="233"/>
      <c r="C141" s="324"/>
      <c r="D141" s="316" t="s">
        <v>344</v>
      </c>
      <c r="E141" s="324"/>
      <c r="F141" s="324"/>
      <c r="G141" s="328" t="s">
        <v>350</v>
      </c>
      <c r="H141" s="329" t="s">
        <v>160</v>
      </c>
      <c r="I141" s="325">
        <v>1</v>
      </c>
      <c r="J141" s="326">
        <f>ROUND(417070*1.25,0)</f>
        <v>521338</v>
      </c>
      <c r="K141" s="327">
        <f t="shared" si="9"/>
        <v>521338</v>
      </c>
      <c r="L141" s="234"/>
      <c r="M141" s="232"/>
    </row>
    <row r="142" spans="1:13" ht="30.6">
      <c r="A142" s="232"/>
      <c r="B142" s="233"/>
      <c r="C142" s="324"/>
      <c r="D142" s="316" t="s">
        <v>345</v>
      </c>
      <c r="E142" s="324"/>
      <c r="F142" s="324"/>
      <c r="G142" s="328" t="s">
        <v>351</v>
      </c>
      <c r="H142" s="329" t="s">
        <v>160</v>
      </c>
      <c r="I142" s="325">
        <v>1</v>
      </c>
      <c r="J142" s="326">
        <f>ROUND(529432.31*1.25,0)</f>
        <v>661790</v>
      </c>
      <c r="K142" s="327">
        <f t="shared" si="9"/>
        <v>661790</v>
      </c>
      <c r="L142" s="234"/>
      <c r="M142" s="232"/>
    </row>
    <row r="143" spans="1:13" ht="30.6">
      <c r="A143" s="232"/>
      <c r="B143" s="233"/>
      <c r="C143" s="324"/>
      <c r="D143" s="316" t="s">
        <v>346</v>
      </c>
      <c r="E143" s="324"/>
      <c r="F143" s="324"/>
      <c r="G143" s="328" t="s">
        <v>352</v>
      </c>
      <c r="H143" s="329" t="s">
        <v>160</v>
      </c>
      <c r="I143" s="325">
        <v>1</v>
      </c>
      <c r="J143" s="326">
        <f>ROUND(578370.91*1.25,0)</f>
        <v>722964</v>
      </c>
      <c r="K143" s="327">
        <f t="shared" si="9"/>
        <v>722964</v>
      </c>
      <c r="L143" s="234"/>
      <c r="M143" s="232"/>
    </row>
    <row r="144" spans="1:13" ht="30" customHeight="1" thickBot="1">
      <c r="A144" s="232"/>
      <c r="B144" s="233"/>
      <c r="C144" s="381" t="s">
        <v>339</v>
      </c>
      <c r="D144" s="382"/>
      <c r="E144" s="382"/>
      <c r="F144" s="382"/>
      <c r="G144" s="382"/>
      <c r="H144" s="382"/>
      <c r="I144" s="382"/>
      <c r="J144" s="383"/>
      <c r="K144" s="247">
        <f>SUM(K138:K143)</f>
        <v>6498148</v>
      </c>
      <c r="L144" s="234"/>
      <c r="M144" s="232"/>
    </row>
    <row r="145" spans="1:13" ht="30" customHeight="1">
      <c r="A145" s="232"/>
      <c r="B145" s="233"/>
      <c r="C145" s="374" t="s">
        <v>353</v>
      </c>
      <c r="D145" s="375"/>
      <c r="E145" s="375"/>
      <c r="F145" s="375"/>
      <c r="G145" s="375"/>
      <c r="H145" s="375"/>
      <c r="I145" s="375"/>
      <c r="J145" s="375"/>
      <c r="K145" s="376"/>
      <c r="L145" s="234"/>
      <c r="M145" s="232"/>
    </row>
    <row r="146" spans="1:13" ht="30" customHeight="1">
      <c r="A146" s="232"/>
      <c r="B146" s="233"/>
      <c r="C146" s="324"/>
      <c r="D146" s="316" t="s">
        <v>355</v>
      </c>
      <c r="E146" s="324"/>
      <c r="F146" s="324"/>
      <c r="G146" s="328" t="s">
        <v>366</v>
      </c>
      <c r="H146" s="329" t="s">
        <v>160</v>
      </c>
      <c r="I146" s="325">
        <v>10</v>
      </c>
      <c r="J146" s="326">
        <f>ROUND(1805993.11*1.25,0)</f>
        <v>2257491</v>
      </c>
      <c r="K146" s="327">
        <f>ROUND(I146*J146,0)</f>
        <v>22574910</v>
      </c>
      <c r="L146" s="234"/>
      <c r="M146" s="232"/>
    </row>
    <row r="147" spans="1:13" ht="30" customHeight="1">
      <c r="A147" s="232"/>
      <c r="B147" s="233"/>
      <c r="C147" s="324"/>
      <c r="D147" s="316" t="s">
        <v>356</v>
      </c>
      <c r="E147" s="324"/>
      <c r="F147" s="324"/>
      <c r="G147" s="328" t="s">
        <v>367</v>
      </c>
      <c r="H147" s="329" t="s">
        <v>160</v>
      </c>
      <c r="I147" s="325">
        <v>4</v>
      </c>
      <c r="J147" s="326">
        <f>ROUND(513478.07*1.25,0)</f>
        <v>641848</v>
      </c>
      <c r="K147" s="327">
        <f t="shared" ref="K147:K156" si="10">ROUND(I147*J147,0)</f>
        <v>2567392</v>
      </c>
      <c r="L147" s="234"/>
      <c r="M147" s="232"/>
    </row>
    <row r="148" spans="1:13" ht="30" customHeight="1">
      <c r="A148" s="232"/>
      <c r="B148" s="233"/>
      <c r="C148" s="324"/>
      <c r="D148" s="316" t="s">
        <v>357</v>
      </c>
      <c r="E148" s="324"/>
      <c r="F148" s="324"/>
      <c r="G148" s="328" t="s">
        <v>368</v>
      </c>
      <c r="H148" s="329" t="s">
        <v>160</v>
      </c>
      <c r="I148" s="325">
        <v>2</v>
      </c>
      <c r="J148" s="326">
        <f>ROUND(404054.07*1.25,0)</f>
        <v>505068</v>
      </c>
      <c r="K148" s="327">
        <f t="shared" si="10"/>
        <v>1010136</v>
      </c>
      <c r="L148" s="234"/>
      <c r="M148" s="232"/>
    </row>
    <row r="149" spans="1:13" ht="30" customHeight="1">
      <c r="A149" s="232"/>
      <c r="B149" s="233"/>
      <c r="C149" s="324"/>
      <c r="D149" s="316" t="s">
        <v>358</v>
      </c>
      <c r="E149" s="324"/>
      <c r="F149" s="324"/>
      <c r="G149" s="328" t="s">
        <v>369</v>
      </c>
      <c r="H149" s="329" t="s">
        <v>160</v>
      </c>
      <c r="I149" s="325">
        <v>2</v>
      </c>
      <c r="J149" s="326">
        <f>ROUND(575654.07*1.25,0)</f>
        <v>719568</v>
      </c>
      <c r="K149" s="327">
        <f t="shared" si="10"/>
        <v>1439136</v>
      </c>
      <c r="L149" s="234"/>
      <c r="M149" s="232"/>
    </row>
    <row r="150" spans="1:13" ht="30" customHeight="1">
      <c r="A150" s="232"/>
      <c r="B150" s="233"/>
      <c r="C150" s="324"/>
      <c r="D150" s="316" t="s">
        <v>359</v>
      </c>
      <c r="E150" s="324"/>
      <c r="F150" s="324"/>
      <c r="G150" s="328" t="s">
        <v>370</v>
      </c>
      <c r="H150" s="329" t="s">
        <v>160</v>
      </c>
      <c r="I150" s="325">
        <v>8</v>
      </c>
      <c r="J150" s="326">
        <f>ROUND(823081.11*1.25,0)</f>
        <v>1028851</v>
      </c>
      <c r="K150" s="327">
        <f t="shared" si="10"/>
        <v>8230808</v>
      </c>
      <c r="L150" s="234"/>
      <c r="M150" s="232"/>
    </row>
    <row r="151" spans="1:13" ht="30" customHeight="1">
      <c r="A151" s="232"/>
      <c r="B151" s="233"/>
      <c r="C151" s="324"/>
      <c r="D151" s="316" t="s">
        <v>360</v>
      </c>
      <c r="E151" s="324"/>
      <c r="F151" s="324"/>
      <c r="G151" s="328" t="s">
        <v>371</v>
      </c>
      <c r="H151" s="329" t="s">
        <v>160</v>
      </c>
      <c r="I151" s="325">
        <v>5</v>
      </c>
      <c r="J151" s="326">
        <f>ROUND(257881.11*1.25,0)</f>
        <v>322351</v>
      </c>
      <c r="K151" s="327">
        <f t="shared" si="10"/>
        <v>1611755</v>
      </c>
      <c r="L151" s="234"/>
      <c r="M151" s="232"/>
    </row>
    <row r="152" spans="1:13" ht="30" customHeight="1">
      <c r="A152" s="232"/>
      <c r="B152" s="233"/>
      <c r="C152" s="324"/>
      <c r="D152" s="316" t="s">
        <v>361</v>
      </c>
      <c r="E152" s="324"/>
      <c r="F152" s="324"/>
      <c r="G152" s="328" t="s">
        <v>372</v>
      </c>
      <c r="H152" s="329" t="s">
        <v>160</v>
      </c>
      <c r="I152" s="325">
        <v>10</v>
      </c>
      <c r="J152" s="326">
        <f>ROUND(1349881.11*1.25,0)</f>
        <v>1687351</v>
      </c>
      <c r="K152" s="327">
        <f t="shared" si="10"/>
        <v>16873510</v>
      </c>
      <c r="L152" s="234"/>
      <c r="M152" s="232"/>
    </row>
    <row r="153" spans="1:13" ht="30" customHeight="1">
      <c r="A153" s="232"/>
      <c r="B153" s="233"/>
      <c r="C153" s="324"/>
      <c r="D153" s="316" t="s">
        <v>362</v>
      </c>
      <c r="E153" s="324"/>
      <c r="F153" s="324"/>
      <c r="G153" s="328" t="s">
        <v>373</v>
      </c>
      <c r="H153" s="329" t="s">
        <v>160</v>
      </c>
      <c r="I153" s="325">
        <v>6</v>
      </c>
      <c r="J153" s="326">
        <f>ROUND(227981.11*1.25,0)</f>
        <v>284976</v>
      </c>
      <c r="K153" s="327">
        <f t="shared" si="10"/>
        <v>1709856</v>
      </c>
      <c r="L153" s="234"/>
      <c r="M153" s="232"/>
    </row>
    <row r="154" spans="1:13" ht="30" customHeight="1">
      <c r="A154" s="232"/>
      <c r="B154" s="233"/>
      <c r="C154" s="324"/>
      <c r="D154" s="316" t="s">
        <v>363</v>
      </c>
      <c r="E154" s="324"/>
      <c r="F154" s="324"/>
      <c r="G154" s="328" t="s">
        <v>374</v>
      </c>
      <c r="H154" s="329" t="s">
        <v>160</v>
      </c>
      <c r="I154" s="325">
        <v>6</v>
      </c>
      <c r="J154" s="326">
        <f>ROUND(903881.11*1.25,0)</f>
        <v>1129851</v>
      </c>
      <c r="K154" s="327">
        <f t="shared" si="10"/>
        <v>6779106</v>
      </c>
      <c r="L154" s="234"/>
      <c r="M154" s="232"/>
    </row>
    <row r="155" spans="1:13" ht="30" customHeight="1">
      <c r="A155" s="232"/>
      <c r="B155" s="233"/>
      <c r="C155" s="324"/>
      <c r="D155" s="316" t="s">
        <v>364</v>
      </c>
      <c r="E155" s="324"/>
      <c r="F155" s="324"/>
      <c r="G155" s="328" t="s">
        <v>375</v>
      </c>
      <c r="H155" s="329" t="s">
        <v>103</v>
      </c>
      <c r="I155" s="325">
        <v>14.08</v>
      </c>
      <c r="J155" s="326">
        <f>ROUND(766904.07*1.25,0)</f>
        <v>958630</v>
      </c>
      <c r="K155" s="327">
        <f t="shared" si="10"/>
        <v>13497510</v>
      </c>
      <c r="L155" s="234"/>
      <c r="M155" s="232"/>
    </row>
    <row r="156" spans="1:13" ht="30" customHeight="1">
      <c r="A156" s="232"/>
      <c r="B156" s="233"/>
      <c r="C156" s="324"/>
      <c r="D156" s="316" t="s">
        <v>365</v>
      </c>
      <c r="E156" s="324"/>
      <c r="F156" s="324"/>
      <c r="G156" s="328" t="s">
        <v>376</v>
      </c>
      <c r="H156" s="329" t="s">
        <v>103</v>
      </c>
      <c r="I156" s="325">
        <v>9.75</v>
      </c>
      <c r="J156" s="326">
        <f>ROUND(125632*1.25,0)</f>
        <v>157040</v>
      </c>
      <c r="K156" s="327">
        <f t="shared" si="10"/>
        <v>1531140</v>
      </c>
      <c r="L156" s="234"/>
      <c r="M156" s="232"/>
    </row>
    <row r="157" spans="1:13" ht="30" customHeight="1" thickBot="1">
      <c r="A157" s="232"/>
      <c r="B157" s="233"/>
      <c r="C157" s="381" t="s">
        <v>354</v>
      </c>
      <c r="D157" s="382"/>
      <c r="E157" s="382"/>
      <c r="F157" s="382"/>
      <c r="G157" s="382"/>
      <c r="H157" s="382"/>
      <c r="I157" s="382"/>
      <c r="J157" s="383"/>
      <c r="K157" s="247">
        <f>SUM(K146:K156)</f>
        <v>77825259</v>
      </c>
      <c r="L157" s="234"/>
      <c r="M157" s="232"/>
    </row>
    <row r="158" spans="1:13" ht="30" customHeight="1">
      <c r="A158" s="232"/>
      <c r="B158" s="233"/>
      <c r="C158" s="374" t="s">
        <v>377</v>
      </c>
      <c r="D158" s="375"/>
      <c r="E158" s="375"/>
      <c r="F158" s="375"/>
      <c r="G158" s="375"/>
      <c r="H158" s="375"/>
      <c r="I158" s="375"/>
      <c r="J158" s="375"/>
      <c r="K158" s="376"/>
      <c r="L158" s="234"/>
      <c r="M158" s="232"/>
    </row>
    <row r="159" spans="1:13" ht="30" customHeight="1">
      <c r="A159" s="232"/>
      <c r="B159" s="233"/>
      <c r="C159" s="324"/>
      <c r="D159" s="316" t="s">
        <v>378</v>
      </c>
      <c r="E159" s="324"/>
      <c r="F159" s="324"/>
      <c r="G159" s="328" t="s">
        <v>388</v>
      </c>
      <c r="H159" s="329" t="s">
        <v>160</v>
      </c>
      <c r="I159" s="325">
        <v>5</v>
      </c>
      <c r="J159" s="326">
        <f>ROUND(6892791.41*1.25,0)</f>
        <v>8615989</v>
      </c>
      <c r="K159" s="327">
        <f>ROUND(I159*J159,0)</f>
        <v>43079945</v>
      </c>
      <c r="L159" s="234"/>
      <c r="M159" s="232"/>
    </row>
    <row r="160" spans="1:13" ht="30" customHeight="1">
      <c r="A160" s="232"/>
      <c r="B160" s="233"/>
      <c r="C160" s="324"/>
      <c r="D160" s="316" t="s">
        <v>379</v>
      </c>
      <c r="E160" s="324"/>
      <c r="F160" s="324"/>
      <c r="G160" s="328" t="s">
        <v>389</v>
      </c>
      <c r="H160" s="329" t="s">
        <v>103</v>
      </c>
      <c r="I160" s="325">
        <v>110.99</v>
      </c>
      <c r="J160" s="326">
        <f>ROUND(30583*1.25,0)</f>
        <v>38229</v>
      </c>
      <c r="K160" s="327">
        <f t="shared" ref="K160:K167" si="11">ROUND(I160*J160,0)</f>
        <v>4243037</v>
      </c>
      <c r="L160" s="234"/>
      <c r="M160" s="232"/>
    </row>
    <row r="161" spans="1:13" ht="30" customHeight="1">
      <c r="A161" s="232"/>
      <c r="B161" s="233"/>
      <c r="C161" s="324"/>
      <c r="D161" s="316" t="s">
        <v>380</v>
      </c>
      <c r="E161" s="324"/>
      <c r="F161" s="324"/>
      <c r="G161" s="328" t="s">
        <v>390</v>
      </c>
      <c r="H161" s="329" t="s">
        <v>103</v>
      </c>
      <c r="I161" s="325">
        <v>70.3</v>
      </c>
      <c r="J161" s="326">
        <f>ROUND(98166.22*1.25,0)</f>
        <v>122708</v>
      </c>
      <c r="K161" s="327">
        <f t="shared" si="11"/>
        <v>8626372</v>
      </c>
      <c r="L161" s="234"/>
      <c r="M161" s="232"/>
    </row>
    <row r="162" spans="1:13" ht="30" customHeight="1">
      <c r="A162" s="232"/>
      <c r="B162" s="233"/>
      <c r="C162" s="324"/>
      <c r="D162" s="316" t="s">
        <v>381</v>
      </c>
      <c r="E162" s="324"/>
      <c r="F162" s="324"/>
      <c r="G162" s="328" t="s">
        <v>391</v>
      </c>
      <c r="H162" s="329" t="s">
        <v>161</v>
      </c>
      <c r="I162" s="325">
        <v>167.44</v>
      </c>
      <c r="J162" s="326">
        <f>ROUND(308764.65*1.25,0)</f>
        <v>385956</v>
      </c>
      <c r="K162" s="327">
        <f t="shared" si="11"/>
        <v>64624473</v>
      </c>
      <c r="L162" s="234"/>
      <c r="M162" s="232"/>
    </row>
    <row r="163" spans="1:13" ht="30" customHeight="1">
      <c r="A163" s="232"/>
      <c r="B163" s="233"/>
      <c r="C163" s="324"/>
      <c r="D163" s="316" t="s">
        <v>382</v>
      </c>
      <c r="E163" s="324"/>
      <c r="F163" s="324"/>
      <c r="G163" s="328" t="s">
        <v>392</v>
      </c>
      <c r="H163" s="329" t="s">
        <v>161</v>
      </c>
      <c r="I163" s="325">
        <v>3.1</v>
      </c>
      <c r="J163" s="326">
        <f>ROUND(68002.48*1.25,0)</f>
        <v>85003</v>
      </c>
      <c r="K163" s="327">
        <f t="shared" si="11"/>
        <v>263509</v>
      </c>
      <c r="L163" s="234"/>
      <c r="M163" s="232"/>
    </row>
    <row r="164" spans="1:13" ht="30" customHeight="1">
      <c r="A164" s="232"/>
      <c r="B164" s="233"/>
      <c r="C164" s="324"/>
      <c r="D164" s="316" t="s">
        <v>383</v>
      </c>
      <c r="E164" s="324"/>
      <c r="F164" s="324"/>
      <c r="G164" s="328" t="s">
        <v>393</v>
      </c>
      <c r="H164" s="329" t="s">
        <v>160</v>
      </c>
      <c r="I164" s="325">
        <v>1</v>
      </c>
      <c r="J164" s="326">
        <f>ROUND(4199386.11*1.25,0)</f>
        <v>5249233</v>
      </c>
      <c r="K164" s="327">
        <f t="shared" si="11"/>
        <v>5249233</v>
      </c>
      <c r="L164" s="234"/>
      <c r="M164" s="232"/>
    </row>
    <row r="165" spans="1:13" ht="30" customHeight="1">
      <c r="A165" s="232"/>
      <c r="B165" s="233"/>
      <c r="C165" s="324"/>
      <c r="D165" s="316" t="s">
        <v>384</v>
      </c>
      <c r="E165" s="324"/>
      <c r="F165" s="324"/>
      <c r="G165" s="328" t="s">
        <v>394</v>
      </c>
      <c r="H165" s="329" t="s">
        <v>160</v>
      </c>
      <c r="I165" s="325">
        <v>1</v>
      </c>
      <c r="J165" s="326">
        <f>ROUND(8713859.6*1.25,0)</f>
        <v>10892325</v>
      </c>
      <c r="K165" s="327">
        <f t="shared" si="11"/>
        <v>10892325</v>
      </c>
      <c r="L165" s="234"/>
      <c r="M165" s="232"/>
    </row>
    <row r="166" spans="1:13" ht="30" customHeight="1">
      <c r="A166" s="232"/>
      <c r="B166" s="233"/>
      <c r="C166" s="324"/>
      <c r="D166" s="316" t="s">
        <v>385</v>
      </c>
      <c r="E166" s="324"/>
      <c r="F166" s="324"/>
      <c r="G166" s="328" t="s">
        <v>395</v>
      </c>
      <c r="H166" s="329" t="s">
        <v>103</v>
      </c>
      <c r="I166" s="325">
        <v>42</v>
      </c>
      <c r="J166" s="326">
        <f>ROUND(105654.23*1.25,0)</f>
        <v>132068</v>
      </c>
      <c r="K166" s="327">
        <f t="shared" si="11"/>
        <v>5546856</v>
      </c>
      <c r="L166" s="234"/>
      <c r="M166" s="232"/>
    </row>
    <row r="167" spans="1:13" ht="30" customHeight="1">
      <c r="A167" s="232"/>
      <c r="B167" s="233"/>
      <c r="C167" s="324"/>
      <c r="D167" s="316" t="s">
        <v>386</v>
      </c>
      <c r="E167" s="324"/>
      <c r="F167" s="324"/>
      <c r="G167" s="328" t="s">
        <v>396</v>
      </c>
      <c r="H167" s="329" t="s">
        <v>161</v>
      </c>
      <c r="I167" s="325">
        <v>90.96</v>
      </c>
      <c r="J167" s="326">
        <f>ROUND(442566.4*1.25,0)</f>
        <v>553208</v>
      </c>
      <c r="K167" s="327">
        <f t="shared" si="11"/>
        <v>50319800</v>
      </c>
      <c r="L167" s="234"/>
      <c r="M167" s="232"/>
    </row>
    <row r="168" spans="1:13" ht="30" customHeight="1" thickBot="1">
      <c r="A168" s="232"/>
      <c r="B168" s="233"/>
      <c r="C168" s="381" t="s">
        <v>387</v>
      </c>
      <c r="D168" s="382"/>
      <c r="E168" s="382"/>
      <c r="F168" s="382"/>
      <c r="G168" s="382"/>
      <c r="H168" s="382"/>
      <c r="I168" s="382"/>
      <c r="J168" s="383"/>
      <c r="K168" s="247">
        <f>SUM(K159:K167)</f>
        <v>192845550</v>
      </c>
      <c r="L168" s="234"/>
      <c r="M168" s="232"/>
    </row>
    <row r="169" spans="1:13" ht="30" customHeight="1" thickBot="1">
      <c r="A169" s="232"/>
      <c r="B169" s="233"/>
      <c r="C169" s="374" t="s">
        <v>397</v>
      </c>
      <c r="D169" s="375"/>
      <c r="E169" s="375"/>
      <c r="F169" s="375"/>
      <c r="G169" s="375"/>
      <c r="H169" s="375"/>
      <c r="I169" s="375"/>
      <c r="J169" s="375"/>
      <c r="K169" s="376"/>
      <c r="L169" s="234"/>
      <c r="M169" s="232"/>
    </row>
    <row r="170" spans="1:13" ht="30" customHeight="1">
      <c r="A170" s="232"/>
      <c r="B170" s="233"/>
      <c r="C170" s="374" t="s">
        <v>398</v>
      </c>
      <c r="D170" s="375"/>
      <c r="E170" s="375"/>
      <c r="F170" s="375"/>
      <c r="G170" s="375"/>
      <c r="H170" s="375"/>
      <c r="I170" s="375"/>
      <c r="J170" s="375"/>
      <c r="K170" s="376"/>
      <c r="L170" s="234"/>
      <c r="M170" s="232"/>
    </row>
    <row r="171" spans="1:13" ht="30" customHeight="1">
      <c r="A171" s="232"/>
      <c r="B171" s="233"/>
      <c r="C171" s="324"/>
      <c r="D171" s="330" t="s">
        <v>399</v>
      </c>
      <c r="E171" s="324"/>
      <c r="F171" s="324"/>
      <c r="G171" s="331" t="s">
        <v>422</v>
      </c>
      <c r="H171" s="332" t="s">
        <v>161</v>
      </c>
      <c r="I171" s="325">
        <v>17.45</v>
      </c>
      <c r="J171" s="326">
        <f>ROUND(10935.95*1.25,0)</f>
        <v>13670</v>
      </c>
      <c r="K171" s="327">
        <f>ROUND(I171*J171,0)</f>
        <v>238542</v>
      </c>
      <c r="L171" s="234"/>
      <c r="M171" s="232"/>
    </row>
    <row r="172" spans="1:13" ht="30" customHeight="1">
      <c r="A172" s="232"/>
      <c r="B172" s="233"/>
      <c r="C172" s="324"/>
      <c r="D172" s="330" t="s">
        <v>400</v>
      </c>
      <c r="E172" s="324"/>
      <c r="F172" s="324"/>
      <c r="G172" s="331" t="s">
        <v>423</v>
      </c>
      <c r="H172" s="332" t="s">
        <v>161</v>
      </c>
      <c r="I172" s="325">
        <v>212.52</v>
      </c>
      <c r="J172" s="326">
        <f>ROUND(10272.83*1.25,0)</f>
        <v>12841</v>
      </c>
      <c r="K172" s="327">
        <f t="shared" ref="K172:K193" si="12">ROUND(I172*J172,0)</f>
        <v>2728969</v>
      </c>
      <c r="L172" s="234"/>
      <c r="M172" s="232"/>
    </row>
    <row r="173" spans="1:13" ht="30" customHeight="1">
      <c r="A173" s="232"/>
      <c r="B173" s="233"/>
      <c r="C173" s="324"/>
      <c r="D173" s="330" t="s">
        <v>401</v>
      </c>
      <c r="E173" s="324"/>
      <c r="F173" s="324"/>
      <c r="G173" s="331" t="s">
        <v>424</v>
      </c>
      <c r="H173" s="332" t="s">
        <v>161</v>
      </c>
      <c r="I173" s="325">
        <v>76.17</v>
      </c>
      <c r="J173" s="326">
        <f>ROUND(12314.25*1.25,0)</f>
        <v>15393</v>
      </c>
      <c r="K173" s="327">
        <f t="shared" si="12"/>
        <v>1172485</v>
      </c>
      <c r="L173" s="234"/>
      <c r="M173" s="232"/>
    </row>
    <row r="174" spans="1:13" ht="30" customHeight="1">
      <c r="A174" s="232"/>
      <c r="B174" s="233"/>
      <c r="C174" s="324"/>
      <c r="D174" s="330" t="s">
        <v>402</v>
      </c>
      <c r="E174" s="324"/>
      <c r="F174" s="324"/>
      <c r="G174" s="331" t="s">
        <v>425</v>
      </c>
      <c r="H174" s="332" t="s">
        <v>161</v>
      </c>
      <c r="I174" s="325">
        <v>10.8</v>
      </c>
      <c r="J174" s="326">
        <f>ROUND(18006*1.25,0)</f>
        <v>22508</v>
      </c>
      <c r="K174" s="327">
        <f t="shared" si="12"/>
        <v>243086</v>
      </c>
      <c r="L174" s="234"/>
      <c r="M174" s="232"/>
    </row>
    <row r="175" spans="1:13" ht="30" customHeight="1">
      <c r="A175" s="232"/>
      <c r="B175" s="233"/>
      <c r="C175" s="324"/>
      <c r="D175" s="330" t="s">
        <v>403</v>
      </c>
      <c r="E175" s="324"/>
      <c r="F175" s="324"/>
      <c r="G175" s="331" t="s">
        <v>426</v>
      </c>
      <c r="H175" s="332" t="s">
        <v>161</v>
      </c>
      <c r="I175" s="325">
        <v>5.32</v>
      </c>
      <c r="J175" s="326">
        <f>ROUND(22027.43*1.25,0)</f>
        <v>27534</v>
      </c>
      <c r="K175" s="327">
        <f t="shared" si="12"/>
        <v>146481</v>
      </c>
      <c r="L175" s="234"/>
      <c r="M175" s="232"/>
    </row>
    <row r="176" spans="1:13" ht="30" customHeight="1">
      <c r="A176" s="232"/>
      <c r="B176" s="233"/>
      <c r="C176" s="324"/>
      <c r="D176" s="330" t="s">
        <v>404</v>
      </c>
      <c r="E176" s="324"/>
      <c r="F176" s="324"/>
      <c r="G176" s="331" t="s">
        <v>427</v>
      </c>
      <c r="H176" s="332" t="s">
        <v>161</v>
      </c>
      <c r="I176" s="325">
        <v>190.07</v>
      </c>
      <c r="J176" s="326">
        <f>ROUND(30829*1.25,0)</f>
        <v>38536</v>
      </c>
      <c r="K176" s="327">
        <f t="shared" si="12"/>
        <v>7324538</v>
      </c>
      <c r="L176" s="234"/>
      <c r="M176" s="232"/>
    </row>
    <row r="177" spans="1:13" ht="30" customHeight="1">
      <c r="A177" s="232"/>
      <c r="B177" s="233"/>
      <c r="C177" s="324"/>
      <c r="D177" s="330" t="s">
        <v>405</v>
      </c>
      <c r="E177" s="324"/>
      <c r="F177" s="324"/>
      <c r="G177" s="331" t="s">
        <v>428</v>
      </c>
      <c r="H177" s="332" t="s">
        <v>161</v>
      </c>
      <c r="I177" s="325">
        <v>36.65</v>
      </c>
      <c r="J177" s="326">
        <f>ROUND(54112.78*1.25,0)</f>
        <v>67641</v>
      </c>
      <c r="K177" s="327">
        <f t="shared" si="12"/>
        <v>2479043</v>
      </c>
      <c r="L177" s="234"/>
      <c r="M177" s="232"/>
    </row>
    <row r="178" spans="1:13" ht="30" customHeight="1">
      <c r="A178" s="232"/>
      <c r="B178" s="233"/>
      <c r="C178" s="324"/>
      <c r="D178" s="330" t="s">
        <v>406</v>
      </c>
      <c r="E178" s="324"/>
      <c r="F178" s="324"/>
      <c r="G178" s="331" t="s">
        <v>429</v>
      </c>
      <c r="H178" s="332" t="s">
        <v>161</v>
      </c>
      <c r="I178" s="325">
        <v>15.16</v>
      </c>
      <c r="J178" s="326">
        <f>ROUND(62902*1.25,0)</f>
        <v>78628</v>
      </c>
      <c r="K178" s="327">
        <f t="shared" si="12"/>
        <v>1192000</v>
      </c>
      <c r="L178" s="234"/>
      <c r="M178" s="232"/>
    </row>
    <row r="179" spans="1:13" ht="30" customHeight="1">
      <c r="A179" s="232"/>
      <c r="B179" s="233"/>
      <c r="C179" s="324"/>
      <c r="D179" s="330" t="s">
        <v>407</v>
      </c>
      <c r="E179" s="324"/>
      <c r="F179" s="324"/>
      <c r="G179" s="331" t="s">
        <v>430</v>
      </c>
      <c r="H179" s="332" t="s">
        <v>160</v>
      </c>
      <c r="I179" s="325">
        <v>3</v>
      </c>
      <c r="J179" s="326">
        <f>ROUND(13510.81*1.25,0)</f>
        <v>16889</v>
      </c>
      <c r="K179" s="327">
        <f t="shared" si="12"/>
        <v>50667</v>
      </c>
      <c r="L179" s="234"/>
      <c r="M179" s="232"/>
    </row>
    <row r="180" spans="1:13" ht="30" customHeight="1">
      <c r="A180" s="232"/>
      <c r="B180" s="233"/>
      <c r="C180" s="324"/>
      <c r="D180" s="330" t="s">
        <v>408</v>
      </c>
      <c r="E180" s="324"/>
      <c r="F180" s="324"/>
      <c r="G180" s="331" t="s">
        <v>431</v>
      </c>
      <c r="H180" s="332" t="s">
        <v>160</v>
      </c>
      <c r="I180" s="325">
        <v>3</v>
      </c>
      <c r="J180" s="326">
        <f>ROUND(16336.81*1.25,0)</f>
        <v>20421</v>
      </c>
      <c r="K180" s="327">
        <f t="shared" si="12"/>
        <v>61263</v>
      </c>
      <c r="L180" s="234"/>
      <c r="M180" s="232"/>
    </row>
    <row r="181" spans="1:13" ht="30" customHeight="1">
      <c r="A181" s="232"/>
      <c r="B181" s="233"/>
      <c r="C181" s="324"/>
      <c r="D181" s="330" t="s">
        <v>409</v>
      </c>
      <c r="E181" s="324"/>
      <c r="F181" s="324"/>
      <c r="G181" s="331" t="s">
        <v>432</v>
      </c>
      <c r="H181" s="332" t="s">
        <v>160</v>
      </c>
      <c r="I181" s="325">
        <v>2</v>
      </c>
      <c r="J181" s="326">
        <f>ROUND(20122*1.25,0)</f>
        <v>25153</v>
      </c>
      <c r="K181" s="327">
        <f t="shared" si="12"/>
        <v>50306</v>
      </c>
      <c r="L181" s="234"/>
      <c r="M181" s="232"/>
    </row>
    <row r="182" spans="1:13" ht="30" customHeight="1">
      <c r="A182" s="232"/>
      <c r="B182" s="233"/>
      <c r="C182" s="324"/>
      <c r="D182" s="330" t="s">
        <v>410</v>
      </c>
      <c r="E182" s="324"/>
      <c r="F182" s="324"/>
      <c r="G182" s="331" t="s">
        <v>433</v>
      </c>
      <c r="H182" s="332" t="s">
        <v>160</v>
      </c>
      <c r="I182" s="325">
        <v>1</v>
      </c>
      <c r="J182" s="326">
        <f>ROUND(23710.81*1.25,0)</f>
        <v>29639</v>
      </c>
      <c r="K182" s="327">
        <f t="shared" si="12"/>
        <v>29639</v>
      </c>
      <c r="L182" s="234"/>
      <c r="M182" s="232"/>
    </row>
    <row r="183" spans="1:13" ht="30" customHeight="1">
      <c r="A183" s="232"/>
      <c r="B183" s="233"/>
      <c r="C183" s="324"/>
      <c r="D183" s="330" t="s">
        <v>411</v>
      </c>
      <c r="E183" s="324"/>
      <c r="F183" s="324"/>
      <c r="G183" s="331" t="s">
        <v>434</v>
      </c>
      <c r="H183" s="332" t="s">
        <v>160</v>
      </c>
      <c r="I183" s="325">
        <v>3</v>
      </c>
      <c r="J183" s="326">
        <f>ROUND(32056.81*1.25,0)</f>
        <v>40071</v>
      </c>
      <c r="K183" s="327">
        <f t="shared" si="12"/>
        <v>120213</v>
      </c>
      <c r="L183" s="234"/>
      <c r="M183" s="232"/>
    </row>
    <row r="184" spans="1:13" ht="30" customHeight="1">
      <c r="A184" s="232"/>
      <c r="B184" s="233"/>
      <c r="C184" s="324"/>
      <c r="D184" s="330" t="s">
        <v>412</v>
      </c>
      <c r="E184" s="324"/>
      <c r="F184" s="324"/>
      <c r="G184" s="331" t="s">
        <v>435</v>
      </c>
      <c r="H184" s="332" t="s">
        <v>160</v>
      </c>
      <c r="I184" s="325">
        <v>2</v>
      </c>
      <c r="J184" s="326">
        <f>ROUND(46070.81*1.25,0)</f>
        <v>57589</v>
      </c>
      <c r="K184" s="327">
        <f t="shared" si="12"/>
        <v>115178</v>
      </c>
      <c r="L184" s="234"/>
      <c r="M184" s="232"/>
    </row>
    <row r="185" spans="1:13" ht="30" customHeight="1">
      <c r="A185" s="232"/>
      <c r="B185" s="233"/>
      <c r="C185" s="324"/>
      <c r="D185" s="330" t="s">
        <v>413</v>
      </c>
      <c r="E185" s="324"/>
      <c r="F185" s="324"/>
      <c r="G185" s="331" t="s">
        <v>436</v>
      </c>
      <c r="H185" s="332" t="s">
        <v>160</v>
      </c>
      <c r="I185" s="325">
        <v>25</v>
      </c>
      <c r="J185" s="326">
        <f>ROUND(4100.23*1.25,0)</f>
        <v>5125</v>
      </c>
      <c r="K185" s="327">
        <f t="shared" si="12"/>
        <v>128125</v>
      </c>
      <c r="L185" s="234"/>
      <c r="M185" s="232"/>
    </row>
    <row r="186" spans="1:13" ht="30" customHeight="1">
      <c r="A186" s="232"/>
      <c r="B186" s="233"/>
      <c r="C186" s="324"/>
      <c r="D186" s="330" t="s">
        <v>414</v>
      </c>
      <c r="E186" s="324"/>
      <c r="F186" s="324"/>
      <c r="G186" s="331" t="s">
        <v>437</v>
      </c>
      <c r="H186" s="332" t="s">
        <v>160</v>
      </c>
      <c r="I186" s="325">
        <v>26</v>
      </c>
      <c r="J186" s="326">
        <f>ROUND(3799.41*1.25,0)</f>
        <v>4749</v>
      </c>
      <c r="K186" s="327">
        <f t="shared" si="12"/>
        <v>123474</v>
      </c>
      <c r="L186" s="234"/>
      <c r="M186" s="232"/>
    </row>
    <row r="187" spans="1:13" ht="30" customHeight="1">
      <c r="A187" s="232"/>
      <c r="B187" s="233"/>
      <c r="C187" s="324"/>
      <c r="D187" s="330" t="s">
        <v>415</v>
      </c>
      <c r="E187" s="324"/>
      <c r="F187" s="324"/>
      <c r="G187" s="331" t="s">
        <v>438</v>
      </c>
      <c r="H187" s="332" t="s">
        <v>160</v>
      </c>
      <c r="I187" s="325">
        <v>7</v>
      </c>
      <c r="J187" s="326">
        <f>ROUND(4937*1.25,0)</f>
        <v>6171</v>
      </c>
      <c r="K187" s="327">
        <f t="shared" si="12"/>
        <v>43197</v>
      </c>
      <c r="L187" s="234"/>
      <c r="M187" s="232"/>
    </row>
    <row r="188" spans="1:13" ht="30" customHeight="1">
      <c r="A188" s="232"/>
      <c r="B188" s="233"/>
      <c r="C188" s="324"/>
      <c r="D188" s="330" t="s">
        <v>416</v>
      </c>
      <c r="E188" s="324"/>
      <c r="F188" s="324"/>
      <c r="G188" s="331" t="s">
        <v>439</v>
      </c>
      <c r="H188" s="332" t="s">
        <v>160</v>
      </c>
      <c r="I188" s="325">
        <v>4</v>
      </c>
      <c r="J188" s="326">
        <f>ROUND(10511.41*1.25,0)</f>
        <v>13139</v>
      </c>
      <c r="K188" s="327">
        <f t="shared" si="12"/>
        <v>52556</v>
      </c>
      <c r="L188" s="234"/>
      <c r="M188" s="232"/>
    </row>
    <row r="189" spans="1:13" ht="30" customHeight="1">
      <c r="A189" s="232"/>
      <c r="B189" s="233"/>
      <c r="C189" s="324"/>
      <c r="D189" s="330" t="s">
        <v>417</v>
      </c>
      <c r="E189" s="324"/>
      <c r="F189" s="324"/>
      <c r="G189" s="331" t="s">
        <v>440</v>
      </c>
      <c r="H189" s="332" t="s">
        <v>160</v>
      </c>
      <c r="I189" s="325">
        <v>29</v>
      </c>
      <c r="J189" s="326">
        <f>ROUND(21030.41*1.25,0)</f>
        <v>26288</v>
      </c>
      <c r="K189" s="327">
        <f t="shared" si="12"/>
        <v>762352</v>
      </c>
      <c r="L189" s="234"/>
      <c r="M189" s="232"/>
    </row>
    <row r="190" spans="1:13" ht="30" customHeight="1">
      <c r="A190" s="232"/>
      <c r="B190" s="233"/>
      <c r="C190" s="324"/>
      <c r="D190" s="330" t="s">
        <v>418</v>
      </c>
      <c r="E190" s="324"/>
      <c r="F190" s="324"/>
      <c r="G190" s="331" t="s">
        <v>441</v>
      </c>
      <c r="H190" s="332" t="s">
        <v>160</v>
      </c>
      <c r="I190" s="325">
        <v>5</v>
      </c>
      <c r="J190" s="326">
        <f>ROUND(32467.41*1.25,0)</f>
        <v>40584</v>
      </c>
      <c r="K190" s="327">
        <f t="shared" si="12"/>
        <v>202920</v>
      </c>
      <c r="L190" s="234"/>
      <c r="M190" s="232"/>
    </row>
    <row r="191" spans="1:13" ht="30" customHeight="1">
      <c r="A191" s="232"/>
      <c r="B191" s="233"/>
      <c r="C191" s="324"/>
      <c r="D191" s="330" t="s">
        <v>419</v>
      </c>
      <c r="E191" s="324"/>
      <c r="F191" s="324"/>
      <c r="G191" s="331" t="s">
        <v>442</v>
      </c>
      <c r="H191" s="332" t="s">
        <v>160</v>
      </c>
      <c r="I191" s="325">
        <v>8</v>
      </c>
      <c r="J191" s="326">
        <f>ROUND(50106.41*1.25,0)</f>
        <v>62633</v>
      </c>
      <c r="K191" s="327">
        <f t="shared" si="12"/>
        <v>501064</v>
      </c>
      <c r="L191" s="234"/>
      <c r="M191" s="232"/>
    </row>
    <row r="192" spans="1:13" ht="30" customHeight="1">
      <c r="A192" s="232"/>
      <c r="B192" s="233"/>
      <c r="C192" s="324"/>
      <c r="D192" s="330" t="s">
        <v>420</v>
      </c>
      <c r="E192" s="324"/>
      <c r="F192" s="324"/>
      <c r="G192" s="331" t="s">
        <v>443</v>
      </c>
      <c r="H192" s="332" t="s">
        <v>114</v>
      </c>
      <c r="I192" s="325">
        <v>4</v>
      </c>
      <c r="J192" s="326">
        <f>ROUND(581532.21*1.25,0)</f>
        <v>726915</v>
      </c>
      <c r="K192" s="327">
        <f t="shared" si="12"/>
        <v>2907660</v>
      </c>
      <c r="L192" s="234"/>
      <c r="M192" s="232"/>
    </row>
    <row r="193" spans="1:13" ht="30" customHeight="1">
      <c r="A193" s="232"/>
      <c r="B193" s="233"/>
      <c r="C193" s="298"/>
      <c r="D193" s="252" t="s">
        <v>421</v>
      </c>
      <c r="E193" s="298"/>
      <c r="F193" s="298"/>
      <c r="G193" s="333" t="s">
        <v>444</v>
      </c>
      <c r="H193" s="335" t="s">
        <v>160</v>
      </c>
      <c r="I193" s="325">
        <v>3</v>
      </c>
      <c r="J193" s="334">
        <f>ROUND(34196*1.25,0)</f>
        <v>42745</v>
      </c>
      <c r="K193" s="327">
        <f t="shared" si="12"/>
        <v>128235</v>
      </c>
      <c r="L193" s="234"/>
      <c r="M193" s="232"/>
    </row>
    <row r="194" spans="1:13" ht="30" customHeight="1" thickBot="1">
      <c r="A194" s="232"/>
      <c r="B194" s="233"/>
      <c r="C194" s="381" t="s">
        <v>445</v>
      </c>
      <c r="D194" s="382"/>
      <c r="E194" s="382"/>
      <c r="F194" s="382"/>
      <c r="G194" s="382"/>
      <c r="H194" s="382"/>
      <c r="I194" s="382"/>
      <c r="J194" s="383"/>
      <c r="K194" s="360">
        <f>SUM(K171:K193)</f>
        <v>20801993</v>
      </c>
      <c r="L194" s="234"/>
      <c r="M194" s="232"/>
    </row>
    <row r="195" spans="1:13" ht="30" customHeight="1">
      <c r="A195" s="232"/>
      <c r="B195" s="233"/>
      <c r="C195" s="374" t="s">
        <v>446</v>
      </c>
      <c r="D195" s="375"/>
      <c r="E195" s="375"/>
      <c r="F195" s="375"/>
      <c r="G195" s="375"/>
      <c r="H195" s="375"/>
      <c r="I195" s="375"/>
      <c r="J195" s="375"/>
      <c r="K195" s="376"/>
      <c r="L195" s="234"/>
      <c r="M195" s="232"/>
    </row>
    <row r="196" spans="1:13" ht="30" customHeight="1">
      <c r="A196" s="232"/>
      <c r="B196" s="233"/>
      <c r="C196" s="324"/>
      <c r="D196" s="330" t="s">
        <v>447</v>
      </c>
      <c r="E196" s="324"/>
      <c r="F196" s="324"/>
      <c r="G196" s="331" t="s">
        <v>454</v>
      </c>
      <c r="H196" s="332" t="s">
        <v>160</v>
      </c>
      <c r="I196" s="325">
        <v>3</v>
      </c>
      <c r="J196" s="326">
        <f>ROUND(35744.07*1.25,0)</f>
        <v>44680</v>
      </c>
      <c r="K196" s="327">
        <f>ROUND(I196*J196,0)</f>
        <v>134040</v>
      </c>
      <c r="L196" s="234"/>
      <c r="M196" s="232"/>
    </row>
    <row r="197" spans="1:13" ht="30" customHeight="1">
      <c r="A197" s="232"/>
      <c r="B197" s="233"/>
      <c r="C197" s="324"/>
      <c r="D197" s="330" t="s">
        <v>448</v>
      </c>
      <c r="E197" s="324"/>
      <c r="F197" s="324"/>
      <c r="G197" s="331" t="s">
        <v>455</v>
      </c>
      <c r="H197" s="332" t="s">
        <v>160</v>
      </c>
      <c r="I197" s="325">
        <v>20</v>
      </c>
      <c r="J197" s="326">
        <f>ROUND(36120.24*1.25,0)</f>
        <v>45150</v>
      </c>
      <c r="K197" s="327">
        <f t="shared" ref="K197:K202" si="13">ROUND(I197*J197,0)</f>
        <v>903000</v>
      </c>
      <c r="L197" s="234"/>
      <c r="M197" s="232"/>
    </row>
    <row r="198" spans="1:13" ht="30" customHeight="1">
      <c r="A198" s="232"/>
      <c r="B198" s="233"/>
      <c r="C198" s="324"/>
      <c r="D198" s="330" t="s">
        <v>449</v>
      </c>
      <c r="E198" s="324"/>
      <c r="F198" s="324"/>
      <c r="G198" s="331" t="s">
        <v>456</v>
      </c>
      <c r="H198" s="332" t="s">
        <v>160</v>
      </c>
      <c r="I198" s="325">
        <v>2</v>
      </c>
      <c r="J198" s="326">
        <f>ROUND(165571.07*1.25,0)</f>
        <v>206964</v>
      </c>
      <c r="K198" s="327">
        <f t="shared" si="13"/>
        <v>413928</v>
      </c>
      <c r="L198" s="234"/>
      <c r="M198" s="232"/>
    </row>
    <row r="199" spans="1:13" ht="30" customHeight="1">
      <c r="A199" s="232"/>
      <c r="B199" s="233"/>
      <c r="C199" s="324"/>
      <c r="D199" s="330" t="s">
        <v>450</v>
      </c>
      <c r="E199" s="324"/>
      <c r="F199" s="324"/>
      <c r="G199" s="331" t="s">
        <v>457</v>
      </c>
      <c r="H199" s="332" t="s">
        <v>160</v>
      </c>
      <c r="I199" s="325">
        <v>5</v>
      </c>
      <c r="J199" s="326">
        <f>ROUND(46079.07*1.25,0)</f>
        <v>57599</v>
      </c>
      <c r="K199" s="327">
        <f t="shared" si="13"/>
        <v>287995</v>
      </c>
      <c r="L199" s="234"/>
      <c r="M199" s="232"/>
    </row>
    <row r="200" spans="1:13" ht="30" customHeight="1">
      <c r="A200" s="232"/>
      <c r="B200" s="233"/>
      <c r="C200" s="324"/>
      <c r="D200" s="330" t="s">
        <v>451</v>
      </c>
      <c r="E200" s="324"/>
      <c r="F200" s="324"/>
      <c r="G200" s="331" t="s">
        <v>458</v>
      </c>
      <c r="H200" s="332" t="s">
        <v>160</v>
      </c>
      <c r="I200" s="325">
        <v>6</v>
      </c>
      <c r="J200" s="326">
        <f>ROUND(35086.07*1.25,0)</f>
        <v>43858</v>
      </c>
      <c r="K200" s="327">
        <f t="shared" si="13"/>
        <v>263148</v>
      </c>
      <c r="L200" s="234"/>
      <c r="M200" s="232"/>
    </row>
    <row r="201" spans="1:13" ht="30" customHeight="1">
      <c r="A201" s="232"/>
      <c r="B201" s="233"/>
      <c r="C201" s="324"/>
      <c r="D201" s="330" t="s">
        <v>452</v>
      </c>
      <c r="E201" s="324"/>
      <c r="F201" s="324"/>
      <c r="G201" s="331" t="s">
        <v>459</v>
      </c>
      <c r="H201" s="332" t="s">
        <v>160</v>
      </c>
      <c r="I201" s="325">
        <v>10</v>
      </c>
      <c r="J201" s="326">
        <f>ROUND(35086.07*1.25,0)</f>
        <v>43858</v>
      </c>
      <c r="K201" s="327">
        <f t="shared" si="13"/>
        <v>438580</v>
      </c>
      <c r="L201" s="234"/>
      <c r="M201" s="232"/>
    </row>
    <row r="202" spans="1:13" ht="30" customHeight="1">
      <c r="A202" s="232"/>
      <c r="B202" s="233"/>
      <c r="C202" s="324"/>
      <c r="D202" s="330" t="s">
        <v>453</v>
      </c>
      <c r="E202" s="324"/>
      <c r="F202" s="324"/>
      <c r="G202" s="331" t="s">
        <v>460</v>
      </c>
      <c r="H202" s="332" t="s">
        <v>160</v>
      </c>
      <c r="I202" s="325">
        <v>7</v>
      </c>
      <c r="J202" s="326">
        <f>ROUND(45151*1.25,0)</f>
        <v>56439</v>
      </c>
      <c r="K202" s="327">
        <f t="shared" si="13"/>
        <v>395073</v>
      </c>
      <c r="L202" s="234"/>
      <c r="M202" s="232"/>
    </row>
    <row r="203" spans="1:13" ht="30" customHeight="1" thickBot="1">
      <c r="A203" s="232"/>
      <c r="B203" s="233"/>
      <c r="C203" s="381" t="s">
        <v>461</v>
      </c>
      <c r="D203" s="382"/>
      <c r="E203" s="382"/>
      <c r="F203" s="382"/>
      <c r="G203" s="382"/>
      <c r="H203" s="382"/>
      <c r="I203" s="382"/>
      <c r="J203" s="383"/>
      <c r="K203" s="360">
        <f>SUM(K196:K202)</f>
        <v>2835764</v>
      </c>
      <c r="L203" s="234"/>
      <c r="M203" s="232"/>
    </row>
    <row r="204" spans="1:13" ht="30" customHeight="1">
      <c r="A204" s="232"/>
      <c r="B204" s="233"/>
      <c r="C204" s="374" t="s">
        <v>462</v>
      </c>
      <c r="D204" s="375"/>
      <c r="E204" s="375"/>
      <c r="F204" s="375"/>
      <c r="G204" s="375"/>
      <c r="H204" s="375"/>
      <c r="I204" s="375"/>
      <c r="J204" s="375"/>
      <c r="K204" s="376"/>
      <c r="L204" s="234"/>
      <c r="M204" s="232"/>
    </row>
    <row r="205" spans="1:13" ht="30" customHeight="1">
      <c r="A205" s="232"/>
      <c r="B205" s="233"/>
      <c r="C205" s="324"/>
      <c r="D205" s="330" t="s">
        <v>463</v>
      </c>
      <c r="E205" s="324"/>
      <c r="F205" s="324"/>
      <c r="G205" s="331" t="s">
        <v>475</v>
      </c>
      <c r="H205" s="332" t="s">
        <v>160</v>
      </c>
      <c r="I205" s="325">
        <v>1</v>
      </c>
      <c r="J205" s="326">
        <f>ROUND(620348.66*1.25,0)</f>
        <v>775436</v>
      </c>
      <c r="K205" s="327">
        <f>ROUND(I205*J205,0)</f>
        <v>775436</v>
      </c>
      <c r="L205" s="234"/>
      <c r="M205" s="232"/>
    </row>
    <row r="206" spans="1:13" ht="30" customHeight="1">
      <c r="A206" s="232"/>
      <c r="B206" s="233"/>
      <c r="C206" s="324"/>
      <c r="D206" s="330" t="s">
        <v>464</v>
      </c>
      <c r="E206" s="324"/>
      <c r="F206" s="324"/>
      <c r="G206" s="331" t="s">
        <v>476</v>
      </c>
      <c r="H206" s="332" t="s">
        <v>160</v>
      </c>
      <c r="I206" s="325">
        <v>1</v>
      </c>
      <c r="J206" s="326">
        <f>ROUND(203348.66*1.25,0)</f>
        <v>254186</v>
      </c>
      <c r="K206" s="327">
        <f t="shared" ref="K206:K216" si="14">ROUND(I206*J206,0)</f>
        <v>254186</v>
      </c>
      <c r="L206" s="234"/>
      <c r="M206" s="232"/>
    </row>
    <row r="207" spans="1:13" ht="30" customHeight="1">
      <c r="A207" s="232"/>
      <c r="B207" s="233"/>
      <c r="C207" s="324"/>
      <c r="D207" s="330" t="s">
        <v>465</v>
      </c>
      <c r="E207" s="324"/>
      <c r="F207" s="324"/>
      <c r="G207" s="331" t="s">
        <v>477</v>
      </c>
      <c r="H207" s="332" t="s">
        <v>160</v>
      </c>
      <c r="I207" s="325">
        <v>1</v>
      </c>
      <c r="J207" s="326">
        <f>ROUND(133348.66*1.25,0)</f>
        <v>166686</v>
      </c>
      <c r="K207" s="327">
        <f t="shared" si="14"/>
        <v>166686</v>
      </c>
      <c r="L207" s="234"/>
      <c r="M207" s="232"/>
    </row>
    <row r="208" spans="1:13" ht="30" customHeight="1">
      <c r="A208" s="232"/>
      <c r="B208" s="233"/>
      <c r="C208" s="324"/>
      <c r="D208" s="330" t="s">
        <v>466</v>
      </c>
      <c r="E208" s="324"/>
      <c r="F208" s="324"/>
      <c r="G208" s="331" t="s">
        <v>478</v>
      </c>
      <c r="H208" s="332" t="s">
        <v>160</v>
      </c>
      <c r="I208" s="325">
        <v>3</v>
      </c>
      <c r="J208" s="326">
        <f>ROUND(655354.07*1.25,0)</f>
        <v>819193</v>
      </c>
      <c r="K208" s="327">
        <f t="shared" si="14"/>
        <v>2457579</v>
      </c>
      <c r="L208" s="234"/>
      <c r="M208" s="232"/>
    </row>
    <row r="209" spans="1:13" ht="30" customHeight="1">
      <c r="A209" s="232"/>
      <c r="B209" s="233"/>
      <c r="C209" s="324"/>
      <c r="D209" s="330" t="s">
        <v>467</v>
      </c>
      <c r="E209" s="324"/>
      <c r="F209" s="324"/>
      <c r="G209" s="331" t="s">
        <v>479</v>
      </c>
      <c r="H209" s="332" t="s">
        <v>160</v>
      </c>
      <c r="I209" s="325">
        <v>1</v>
      </c>
      <c r="J209" s="326">
        <f>ROUND(22044.15*1.25,0)</f>
        <v>27555</v>
      </c>
      <c r="K209" s="327">
        <f t="shared" si="14"/>
        <v>27555</v>
      </c>
      <c r="L209" s="234"/>
      <c r="M209" s="232"/>
    </row>
    <row r="210" spans="1:13" ht="30" customHeight="1">
      <c r="A210" s="232"/>
      <c r="B210" s="233"/>
      <c r="C210" s="324"/>
      <c r="D210" s="330" t="s">
        <v>468</v>
      </c>
      <c r="E210" s="324"/>
      <c r="F210" s="324"/>
      <c r="G210" s="331" t="s">
        <v>480</v>
      </c>
      <c r="H210" s="332" t="s">
        <v>160</v>
      </c>
      <c r="I210" s="325">
        <v>1</v>
      </c>
      <c r="J210" s="326">
        <f>ROUND(364594.81*1.25,0)</f>
        <v>455744</v>
      </c>
      <c r="K210" s="327">
        <f t="shared" si="14"/>
        <v>455744</v>
      </c>
      <c r="L210" s="234"/>
      <c r="M210" s="232"/>
    </row>
    <row r="211" spans="1:13" ht="30" customHeight="1">
      <c r="A211" s="232"/>
      <c r="B211" s="233"/>
      <c r="C211" s="324"/>
      <c r="D211" s="330" t="s">
        <v>469</v>
      </c>
      <c r="E211" s="324"/>
      <c r="F211" s="324"/>
      <c r="G211" s="331" t="s">
        <v>481</v>
      </c>
      <c r="H211" s="332" t="s">
        <v>160</v>
      </c>
      <c r="I211" s="325">
        <v>1</v>
      </c>
      <c r="J211" s="326">
        <f>ROUND(12648.81*1.25,0)</f>
        <v>15811</v>
      </c>
      <c r="K211" s="327">
        <f t="shared" si="14"/>
        <v>15811</v>
      </c>
      <c r="L211" s="234"/>
      <c r="M211" s="232"/>
    </row>
    <row r="212" spans="1:13" ht="30" customHeight="1">
      <c r="A212" s="232"/>
      <c r="B212" s="233"/>
      <c r="C212" s="324"/>
      <c r="D212" s="330" t="s">
        <v>470</v>
      </c>
      <c r="E212" s="324"/>
      <c r="F212" s="324"/>
      <c r="G212" s="331" t="s">
        <v>482</v>
      </c>
      <c r="H212" s="332" t="s">
        <v>160</v>
      </c>
      <c r="I212" s="325">
        <v>2</v>
      </c>
      <c r="J212" s="326">
        <f>ROUND(55210.81*1.25,0)</f>
        <v>69014</v>
      </c>
      <c r="K212" s="327">
        <f t="shared" si="14"/>
        <v>138028</v>
      </c>
      <c r="L212" s="234"/>
      <c r="M212" s="232"/>
    </row>
    <row r="213" spans="1:13" ht="30" customHeight="1">
      <c r="A213" s="232"/>
      <c r="B213" s="233"/>
      <c r="C213" s="324"/>
      <c r="D213" s="330" t="s">
        <v>471</v>
      </c>
      <c r="E213" s="324"/>
      <c r="F213" s="324"/>
      <c r="G213" s="331" t="s">
        <v>423</v>
      </c>
      <c r="H213" s="332" t="s">
        <v>161</v>
      </c>
      <c r="I213" s="325">
        <v>5</v>
      </c>
      <c r="J213" s="326">
        <f>ROUND(10272.83*1.25,0)</f>
        <v>12841</v>
      </c>
      <c r="K213" s="327">
        <f t="shared" si="14"/>
        <v>64205</v>
      </c>
      <c r="L213" s="234"/>
      <c r="M213" s="232"/>
    </row>
    <row r="214" spans="1:13" ht="30" customHeight="1">
      <c r="A214" s="232"/>
      <c r="B214" s="233"/>
      <c r="C214" s="324"/>
      <c r="D214" s="330" t="s">
        <v>472</v>
      </c>
      <c r="E214" s="324"/>
      <c r="F214" s="324"/>
      <c r="G214" s="331" t="s">
        <v>429</v>
      </c>
      <c r="H214" s="332" t="s">
        <v>161</v>
      </c>
      <c r="I214" s="325">
        <v>10</v>
      </c>
      <c r="J214" s="326">
        <f>ROUND(62902*1.25,0)</f>
        <v>78628</v>
      </c>
      <c r="K214" s="327">
        <f t="shared" si="14"/>
        <v>786280</v>
      </c>
      <c r="L214" s="234"/>
      <c r="M214" s="232"/>
    </row>
    <row r="215" spans="1:13" ht="30" customHeight="1">
      <c r="A215" s="232"/>
      <c r="B215" s="233"/>
      <c r="C215" s="324"/>
      <c r="D215" s="330" t="s">
        <v>473</v>
      </c>
      <c r="E215" s="324"/>
      <c r="F215" s="324"/>
      <c r="G215" s="331" t="s">
        <v>437</v>
      </c>
      <c r="H215" s="332" t="s">
        <v>160</v>
      </c>
      <c r="I215" s="325">
        <v>2</v>
      </c>
      <c r="J215" s="326">
        <f>ROUND(3799.41*1.25,0)</f>
        <v>4749</v>
      </c>
      <c r="K215" s="327">
        <f t="shared" si="14"/>
        <v>9498</v>
      </c>
      <c r="L215" s="234"/>
      <c r="M215" s="232"/>
    </row>
    <row r="216" spans="1:13" ht="30" customHeight="1">
      <c r="A216" s="232"/>
      <c r="B216" s="233"/>
      <c r="C216" s="324"/>
      <c r="D216" s="330" t="s">
        <v>474</v>
      </c>
      <c r="E216" s="324"/>
      <c r="F216" s="324"/>
      <c r="G216" s="331" t="s">
        <v>442</v>
      </c>
      <c r="H216" s="332" t="s">
        <v>160</v>
      </c>
      <c r="I216" s="325">
        <v>12</v>
      </c>
      <c r="J216" s="326">
        <f>ROUND(50106.41*1.25,0)</f>
        <v>62633</v>
      </c>
      <c r="K216" s="327">
        <f t="shared" si="14"/>
        <v>751596</v>
      </c>
      <c r="L216" s="234"/>
      <c r="M216" s="232"/>
    </row>
    <row r="217" spans="1:13" ht="30" customHeight="1" thickBot="1">
      <c r="A217" s="232"/>
      <c r="B217" s="233"/>
      <c r="C217" s="381" t="s">
        <v>483</v>
      </c>
      <c r="D217" s="382"/>
      <c r="E217" s="382"/>
      <c r="F217" s="382"/>
      <c r="G217" s="382"/>
      <c r="H217" s="382"/>
      <c r="I217" s="382"/>
      <c r="J217" s="383"/>
      <c r="K217" s="360">
        <f>SUM(K205:K216)</f>
        <v>5902604</v>
      </c>
      <c r="L217" s="234"/>
      <c r="M217" s="232"/>
    </row>
    <row r="218" spans="1:13" ht="30" customHeight="1" thickBot="1">
      <c r="A218" s="232"/>
      <c r="B218" s="233"/>
      <c r="C218" s="381" t="s">
        <v>484</v>
      </c>
      <c r="D218" s="382"/>
      <c r="E218" s="382"/>
      <c r="F218" s="382"/>
      <c r="G218" s="382"/>
      <c r="H218" s="382"/>
      <c r="I218" s="382"/>
      <c r="J218" s="383"/>
      <c r="K218" s="247">
        <f>K194+K203+K217</f>
        <v>29540361</v>
      </c>
      <c r="L218" s="234"/>
      <c r="M218" s="232"/>
    </row>
    <row r="219" spans="1:13" ht="30" customHeight="1" thickBot="1">
      <c r="A219" s="232"/>
      <c r="B219" s="233"/>
      <c r="C219" s="374" t="s">
        <v>485</v>
      </c>
      <c r="D219" s="375"/>
      <c r="E219" s="375"/>
      <c r="F219" s="375"/>
      <c r="G219" s="375"/>
      <c r="H219" s="375"/>
      <c r="I219" s="375"/>
      <c r="J219" s="375"/>
      <c r="K219" s="376"/>
      <c r="L219" s="234"/>
      <c r="M219" s="232"/>
    </row>
    <row r="220" spans="1:13" ht="30" customHeight="1">
      <c r="A220" s="232"/>
      <c r="B220" s="233"/>
      <c r="C220" s="374" t="s">
        <v>486</v>
      </c>
      <c r="D220" s="375"/>
      <c r="E220" s="375"/>
      <c r="F220" s="375"/>
      <c r="G220" s="375"/>
      <c r="H220" s="375"/>
      <c r="I220" s="375"/>
      <c r="J220" s="375"/>
      <c r="K220" s="376"/>
      <c r="L220" s="234"/>
      <c r="M220" s="232"/>
    </row>
    <row r="221" spans="1:13" ht="30" customHeight="1">
      <c r="A221" s="232"/>
      <c r="B221" s="233"/>
      <c r="C221" s="324"/>
      <c r="D221" s="330" t="s">
        <v>487</v>
      </c>
      <c r="E221" s="324"/>
      <c r="F221" s="324"/>
      <c r="G221" s="331" t="s">
        <v>495</v>
      </c>
      <c r="H221" s="332" t="s">
        <v>161</v>
      </c>
      <c r="I221" s="325">
        <v>300</v>
      </c>
      <c r="J221" s="326">
        <f>ROUND(29960.81*1.25,0)</f>
        <v>37451</v>
      </c>
      <c r="K221" s="327">
        <f>ROUND(I221*J221,0)</f>
        <v>11235300</v>
      </c>
      <c r="L221" s="234"/>
      <c r="M221" s="232"/>
    </row>
    <row r="222" spans="1:13" ht="30" customHeight="1">
      <c r="A222" s="232"/>
      <c r="B222" s="233"/>
      <c r="C222" s="324"/>
      <c r="D222" s="330" t="s">
        <v>488</v>
      </c>
      <c r="E222" s="324"/>
      <c r="F222" s="324"/>
      <c r="G222" s="331" t="s">
        <v>496</v>
      </c>
      <c r="H222" s="332" t="s">
        <v>160</v>
      </c>
      <c r="I222" s="325">
        <v>6</v>
      </c>
      <c r="J222" s="326">
        <f>ROUND(39262.41*1.25,0)</f>
        <v>49078</v>
      </c>
      <c r="K222" s="327">
        <f t="shared" ref="K222:K228" si="15">ROUND(I222*J222,0)</f>
        <v>294468</v>
      </c>
      <c r="L222" s="234"/>
      <c r="M222" s="232"/>
    </row>
    <row r="223" spans="1:13" ht="30" customHeight="1">
      <c r="A223" s="232"/>
      <c r="B223" s="233"/>
      <c r="C223" s="324"/>
      <c r="D223" s="330" t="s">
        <v>489</v>
      </c>
      <c r="E223" s="324"/>
      <c r="F223" s="324"/>
      <c r="G223" s="331" t="s">
        <v>497</v>
      </c>
      <c r="H223" s="332" t="s">
        <v>161</v>
      </c>
      <c r="I223" s="325">
        <v>66.349999999999994</v>
      </c>
      <c r="J223" s="326">
        <f>ROUND(43096.28*1.25,0)</f>
        <v>53870</v>
      </c>
      <c r="K223" s="327">
        <f t="shared" si="15"/>
        <v>3574275</v>
      </c>
      <c r="L223" s="234"/>
      <c r="M223" s="232"/>
    </row>
    <row r="224" spans="1:13" ht="30" customHeight="1">
      <c r="A224" s="232"/>
      <c r="B224" s="233"/>
      <c r="C224" s="324"/>
      <c r="D224" s="330" t="s">
        <v>490</v>
      </c>
      <c r="E224" s="324"/>
      <c r="F224" s="324"/>
      <c r="G224" s="331" t="s">
        <v>498</v>
      </c>
      <c r="H224" s="332" t="s">
        <v>161</v>
      </c>
      <c r="I224" s="325">
        <v>189.45</v>
      </c>
      <c r="J224" s="326">
        <f>ROUND(85863.91*1.25,0)</f>
        <v>107330</v>
      </c>
      <c r="K224" s="327">
        <f t="shared" si="15"/>
        <v>20333669</v>
      </c>
      <c r="L224" s="234"/>
      <c r="M224" s="232"/>
    </row>
    <row r="225" spans="1:13" ht="30" customHeight="1">
      <c r="A225" s="232"/>
      <c r="B225" s="233"/>
      <c r="C225" s="324"/>
      <c r="D225" s="330" t="s">
        <v>491</v>
      </c>
      <c r="E225" s="324"/>
      <c r="F225" s="324"/>
      <c r="G225" s="331" t="s">
        <v>499</v>
      </c>
      <c r="H225" s="332" t="s">
        <v>161</v>
      </c>
      <c r="I225" s="325">
        <v>12</v>
      </c>
      <c r="J225" s="326">
        <f>ROUND(150305*1.25,0)</f>
        <v>187881</v>
      </c>
      <c r="K225" s="327">
        <f t="shared" si="15"/>
        <v>2254572</v>
      </c>
      <c r="L225" s="234"/>
      <c r="M225" s="232"/>
    </row>
    <row r="226" spans="1:13" ht="30" customHeight="1">
      <c r="A226" s="232"/>
      <c r="B226" s="233"/>
      <c r="C226" s="324"/>
      <c r="D226" s="330" t="s">
        <v>492</v>
      </c>
      <c r="E226" s="324"/>
      <c r="F226" s="324"/>
      <c r="G226" s="331" t="s">
        <v>500</v>
      </c>
      <c r="H226" s="332" t="s">
        <v>160</v>
      </c>
      <c r="I226" s="325">
        <v>15</v>
      </c>
      <c r="J226" s="326">
        <f>ROUND(684808.26*1.25,0)</f>
        <v>856010</v>
      </c>
      <c r="K226" s="327">
        <f t="shared" si="15"/>
        <v>12840150</v>
      </c>
      <c r="L226" s="234"/>
      <c r="M226" s="232"/>
    </row>
    <row r="227" spans="1:13" ht="30" customHeight="1">
      <c r="A227" s="232"/>
      <c r="B227" s="233"/>
      <c r="C227" s="324"/>
      <c r="D227" s="330" t="s">
        <v>493</v>
      </c>
      <c r="E227" s="324"/>
      <c r="F227" s="324"/>
      <c r="G227" s="331" t="s">
        <v>501</v>
      </c>
      <c r="H227" s="332" t="s">
        <v>160</v>
      </c>
      <c r="I227" s="325">
        <v>1</v>
      </c>
      <c r="J227" s="326">
        <f>ROUND(1924575.93*1.25,0)</f>
        <v>2405720</v>
      </c>
      <c r="K227" s="327">
        <f t="shared" si="15"/>
        <v>2405720</v>
      </c>
      <c r="L227" s="234"/>
      <c r="M227" s="232"/>
    </row>
    <row r="228" spans="1:13" ht="30" customHeight="1">
      <c r="A228" s="232"/>
      <c r="B228" s="233"/>
      <c r="C228" s="324"/>
      <c r="D228" s="330" t="s">
        <v>494</v>
      </c>
      <c r="E228" s="324"/>
      <c r="F228" s="324"/>
      <c r="G228" s="331" t="s">
        <v>502</v>
      </c>
      <c r="H228" s="332" t="s">
        <v>161</v>
      </c>
      <c r="I228" s="325">
        <v>300</v>
      </c>
      <c r="J228" s="326">
        <f>ROUND(279.16*1.25,0)</f>
        <v>349</v>
      </c>
      <c r="K228" s="327">
        <f t="shared" si="15"/>
        <v>104700</v>
      </c>
      <c r="L228" s="234"/>
      <c r="M228" s="232"/>
    </row>
    <row r="229" spans="1:13" ht="30" customHeight="1" thickBot="1">
      <c r="A229" s="232"/>
      <c r="B229" s="233"/>
      <c r="C229" s="380" t="s">
        <v>503</v>
      </c>
      <c r="D229" s="380"/>
      <c r="E229" s="380"/>
      <c r="F229" s="380"/>
      <c r="G229" s="380"/>
      <c r="H229" s="380"/>
      <c r="I229" s="380"/>
      <c r="J229" s="380"/>
      <c r="K229" s="327">
        <f>SUM(K221:K228)</f>
        <v>53042854</v>
      </c>
      <c r="L229" s="234"/>
      <c r="M229" s="232"/>
    </row>
    <row r="230" spans="1:13" ht="30" customHeight="1">
      <c r="A230" s="232"/>
      <c r="B230" s="233"/>
      <c r="C230" s="374" t="s">
        <v>504</v>
      </c>
      <c r="D230" s="375"/>
      <c r="E230" s="375"/>
      <c r="F230" s="375"/>
      <c r="G230" s="375"/>
      <c r="H230" s="375"/>
      <c r="I230" s="375"/>
      <c r="J230" s="375"/>
      <c r="K230" s="376"/>
      <c r="L230" s="234"/>
      <c r="M230" s="232"/>
    </row>
    <row r="231" spans="1:13" ht="30" customHeight="1">
      <c r="A231" s="232"/>
      <c r="B231" s="233"/>
      <c r="C231" s="324"/>
      <c r="D231" s="330" t="s">
        <v>507</v>
      </c>
      <c r="E231" s="324"/>
      <c r="F231" s="324"/>
      <c r="G231" s="331" t="s">
        <v>454</v>
      </c>
      <c r="H231" s="332" t="s">
        <v>160</v>
      </c>
      <c r="I231" s="325">
        <v>3</v>
      </c>
      <c r="J231" s="326">
        <f>ROUND(38299.63*1.25,0)</f>
        <v>47875</v>
      </c>
      <c r="K231" s="327">
        <f>ROUND(I231*J231,0)</f>
        <v>143625</v>
      </c>
      <c r="L231" s="234"/>
      <c r="M231" s="232"/>
    </row>
    <row r="232" spans="1:13" ht="30" customHeight="1">
      <c r="A232" s="232"/>
      <c r="B232" s="233"/>
      <c r="C232" s="324"/>
      <c r="D232" s="330" t="s">
        <v>508</v>
      </c>
      <c r="E232" s="324"/>
      <c r="F232" s="324"/>
      <c r="G232" s="331" t="s">
        <v>455</v>
      </c>
      <c r="H232" s="332" t="s">
        <v>160</v>
      </c>
      <c r="I232" s="325">
        <v>20</v>
      </c>
      <c r="J232" s="326">
        <f>ROUND(53827*1.25,0)</f>
        <v>67284</v>
      </c>
      <c r="K232" s="327">
        <f t="shared" ref="K232:K238" si="16">ROUND(I232*J232,0)</f>
        <v>1345680</v>
      </c>
      <c r="L232" s="234"/>
      <c r="M232" s="232"/>
    </row>
    <row r="233" spans="1:13" ht="30" customHeight="1">
      <c r="A233" s="232"/>
      <c r="B233" s="233"/>
      <c r="C233" s="324"/>
      <c r="D233" s="330" t="s">
        <v>509</v>
      </c>
      <c r="E233" s="324"/>
      <c r="F233" s="324"/>
      <c r="G233" s="331" t="s">
        <v>456</v>
      </c>
      <c r="H233" s="332" t="s">
        <v>160</v>
      </c>
      <c r="I233" s="325">
        <v>2</v>
      </c>
      <c r="J233" s="326">
        <f>ROUND(49139.22*1.25,0)</f>
        <v>61424</v>
      </c>
      <c r="K233" s="327">
        <f t="shared" si="16"/>
        <v>122848</v>
      </c>
      <c r="L233" s="234"/>
      <c r="M233" s="232"/>
    </row>
    <row r="234" spans="1:13" ht="30" customHeight="1">
      <c r="A234" s="232"/>
      <c r="B234" s="233"/>
      <c r="C234" s="324"/>
      <c r="D234" s="330" t="s">
        <v>510</v>
      </c>
      <c r="E234" s="324"/>
      <c r="F234" s="324"/>
      <c r="G234" s="331" t="s">
        <v>457</v>
      </c>
      <c r="H234" s="332" t="s">
        <v>160</v>
      </c>
      <c r="I234" s="325">
        <v>5</v>
      </c>
      <c r="J234" s="326">
        <f>ROUND(75190.85*1.25,0)</f>
        <v>93989</v>
      </c>
      <c r="K234" s="327">
        <f t="shared" si="16"/>
        <v>469945</v>
      </c>
      <c r="L234" s="234"/>
      <c r="M234" s="232"/>
    </row>
    <row r="235" spans="1:13" ht="30" customHeight="1">
      <c r="A235" s="232"/>
      <c r="B235" s="233"/>
      <c r="C235" s="324"/>
      <c r="D235" s="330" t="s">
        <v>511</v>
      </c>
      <c r="E235" s="324"/>
      <c r="F235" s="324"/>
      <c r="G235" s="331" t="s">
        <v>458</v>
      </c>
      <c r="H235" s="332" t="s">
        <v>160</v>
      </c>
      <c r="I235" s="325">
        <v>6</v>
      </c>
      <c r="J235" s="326">
        <f>ROUND(72375.44*1.25,0)</f>
        <v>90469</v>
      </c>
      <c r="K235" s="327">
        <f t="shared" si="16"/>
        <v>542814</v>
      </c>
      <c r="L235" s="234"/>
      <c r="M235" s="232"/>
    </row>
    <row r="236" spans="1:13" ht="30" customHeight="1">
      <c r="A236" s="232"/>
      <c r="B236" s="233"/>
      <c r="C236" s="324"/>
      <c r="D236" s="330" t="s">
        <v>512</v>
      </c>
      <c r="E236" s="324"/>
      <c r="F236" s="324"/>
      <c r="G236" s="331" t="s">
        <v>459</v>
      </c>
      <c r="H236" s="332" t="s">
        <v>160</v>
      </c>
      <c r="I236" s="325">
        <v>10</v>
      </c>
      <c r="J236" s="326">
        <f>ROUND(72375.44*1.25,0)</f>
        <v>90469</v>
      </c>
      <c r="K236" s="327">
        <f t="shared" si="16"/>
        <v>904690</v>
      </c>
      <c r="L236" s="234"/>
      <c r="M236" s="232"/>
    </row>
    <row r="237" spans="1:13" ht="30" customHeight="1">
      <c r="A237" s="232"/>
      <c r="B237" s="233"/>
      <c r="C237" s="324"/>
      <c r="D237" s="330" t="s">
        <v>513</v>
      </c>
      <c r="E237" s="324"/>
      <c r="F237" s="324"/>
      <c r="G237" s="331" t="s">
        <v>460</v>
      </c>
      <c r="H237" s="332" t="s">
        <v>160</v>
      </c>
      <c r="I237" s="325">
        <v>7</v>
      </c>
      <c r="J237" s="326">
        <f>ROUND(72375.44*1.25,0)</f>
        <v>90469</v>
      </c>
      <c r="K237" s="327">
        <f t="shared" si="16"/>
        <v>633283</v>
      </c>
      <c r="L237" s="234"/>
      <c r="M237" s="232"/>
    </row>
    <row r="238" spans="1:13" ht="30" customHeight="1">
      <c r="A238" s="232"/>
      <c r="B238" s="233"/>
      <c r="C238" s="324"/>
      <c r="D238" s="330" t="s">
        <v>514</v>
      </c>
      <c r="E238" s="324"/>
      <c r="F238" s="324"/>
      <c r="G238" s="331" t="s">
        <v>515</v>
      </c>
      <c r="H238" s="332" t="s">
        <v>160</v>
      </c>
      <c r="I238" s="325">
        <v>19</v>
      </c>
      <c r="J238" s="326">
        <f>ROUND(46531.22*1.25,0)</f>
        <v>58164</v>
      </c>
      <c r="K238" s="327">
        <f t="shared" si="16"/>
        <v>1105116</v>
      </c>
      <c r="L238" s="234"/>
      <c r="M238" s="232"/>
    </row>
    <row r="239" spans="1:13" ht="30" customHeight="1" thickBot="1">
      <c r="A239" s="232"/>
      <c r="B239" s="233"/>
      <c r="C239" s="380" t="s">
        <v>505</v>
      </c>
      <c r="D239" s="380"/>
      <c r="E239" s="380"/>
      <c r="F239" s="380"/>
      <c r="G239" s="380"/>
      <c r="H239" s="380"/>
      <c r="I239" s="380"/>
      <c r="J239" s="380"/>
      <c r="K239" s="327">
        <f>SUM(K231:K238)</f>
        <v>5268001</v>
      </c>
      <c r="L239" s="234"/>
      <c r="M239" s="232"/>
    </row>
    <row r="240" spans="1:13" ht="30" customHeight="1">
      <c r="A240" s="232"/>
      <c r="B240" s="233"/>
      <c r="C240" s="374" t="s">
        <v>506</v>
      </c>
      <c r="D240" s="375"/>
      <c r="E240" s="375"/>
      <c r="F240" s="375"/>
      <c r="G240" s="375"/>
      <c r="H240" s="375"/>
      <c r="I240" s="375"/>
      <c r="J240" s="375"/>
      <c r="K240" s="376"/>
      <c r="L240" s="234"/>
      <c r="M240" s="232"/>
    </row>
    <row r="241" spans="1:13" ht="30" customHeight="1">
      <c r="A241" s="232"/>
      <c r="B241" s="233"/>
      <c r="C241" s="324"/>
      <c r="D241" s="330" t="s">
        <v>516</v>
      </c>
      <c r="E241" s="324"/>
      <c r="F241" s="324"/>
      <c r="G241" s="331" t="s">
        <v>523</v>
      </c>
      <c r="H241" s="332" t="s">
        <v>161</v>
      </c>
      <c r="I241" s="325">
        <v>5</v>
      </c>
      <c r="J241" s="326">
        <f>ROUND(62902*1.25,0)</f>
        <v>78628</v>
      </c>
      <c r="K241" s="327">
        <f>ROUND(I241*J241,0)</f>
        <v>393140</v>
      </c>
      <c r="L241" s="234"/>
      <c r="M241" s="232"/>
    </row>
    <row r="242" spans="1:13" ht="30" customHeight="1">
      <c r="A242" s="232"/>
      <c r="B242" s="233"/>
      <c r="C242" s="324"/>
      <c r="D242" s="330" t="s">
        <v>517</v>
      </c>
      <c r="E242" s="324"/>
      <c r="F242" s="324"/>
      <c r="G242" s="331" t="s">
        <v>524</v>
      </c>
      <c r="H242" s="332" t="s">
        <v>160</v>
      </c>
      <c r="I242" s="325">
        <v>1</v>
      </c>
      <c r="J242" s="326">
        <f>ROUND(634510.81*1.25,0)</f>
        <v>793139</v>
      </c>
      <c r="K242" s="327">
        <f t="shared" ref="K242:K247" si="17">ROUND(I242*J242,0)</f>
        <v>793139</v>
      </c>
      <c r="L242" s="234"/>
      <c r="M242" s="232"/>
    </row>
    <row r="243" spans="1:13" ht="30" customHeight="1">
      <c r="A243" s="232"/>
      <c r="B243" s="233"/>
      <c r="C243" s="324"/>
      <c r="D243" s="330" t="s">
        <v>518</v>
      </c>
      <c r="E243" s="324"/>
      <c r="F243" s="324"/>
      <c r="G243" s="331" t="s">
        <v>525</v>
      </c>
      <c r="H243" s="332" t="s">
        <v>160</v>
      </c>
      <c r="I243" s="325">
        <v>1</v>
      </c>
      <c r="J243" s="326">
        <f>ROUND(32605*1.25,0)</f>
        <v>40756</v>
      </c>
      <c r="K243" s="327">
        <f t="shared" si="17"/>
        <v>40756</v>
      </c>
      <c r="L243" s="234"/>
      <c r="M243" s="232"/>
    </row>
    <row r="244" spans="1:13" ht="30" customHeight="1">
      <c r="A244" s="232"/>
      <c r="B244" s="233"/>
      <c r="C244" s="324"/>
      <c r="D244" s="330" t="s">
        <v>519</v>
      </c>
      <c r="E244" s="324"/>
      <c r="F244" s="324"/>
      <c r="G244" s="331" t="s">
        <v>526</v>
      </c>
      <c r="H244" s="332" t="s">
        <v>160</v>
      </c>
      <c r="I244" s="325">
        <v>1</v>
      </c>
      <c r="J244" s="326">
        <f>ROUND(55210.81*1.25,0)</f>
        <v>69014</v>
      </c>
      <c r="K244" s="327">
        <f t="shared" si="17"/>
        <v>69014</v>
      </c>
      <c r="L244" s="234"/>
      <c r="M244" s="232"/>
    </row>
    <row r="245" spans="1:13" ht="30" customHeight="1">
      <c r="A245" s="232"/>
      <c r="B245" s="233"/>
      <c r="C245" s="324"/>
      <c r="D245" s="330" t="s">
        <v>520</v>
      </c>
      <c r="E245" s="324"/>
      <c r="F245" s="324"/>
      <c r="G245" s="331" t="s">
        <v>527</v>
      </c>
      <c r="H245" s="332" t="s">
        <v>160</v>
      </c>
      <c r="I245" s="325">
        <v>1</v>
      </c>
      <c r="J245" s="326">
        <f>ROUND(66682.41*1.25,0)</f>
        <v>83353</v>
      </c>
      <c r="K245" s="327">
        <f t="shared" si="17"/>
        <v>83353</v>
      </c>
      <c r="L245" s="234"/>
      <c r="M245" s="232"/>
    </row>
    <row r="246" spans="1:13" ht="30" customHeight="1">
      <c r="A246" s="232"/>
      <c r="B246" s="233"/>
      <c r="C246" s="324"/>
      <c r="D246" s="330" t="s">
        <v>521</v>
      </c>
      <c r="E246" s="324"/>
      <c r="F246" s="324"/>
      <c r="G246" s="331" t="s">
        <v>500</v>
      </c>
      <c r="H246" s="332" t="s">
        <v>160</v>
      </c>
      <c r="I246" s="325">
        <v>1</v>
      </c>
      <c r="J246" s="326">
        <f>ROUND(778408.26*1.25,0)</f>
        <v>973010</v>
      </c>
      <c r="K246" s="327">
        <f t="shared" si="17"/>
        <v>973010</v>
      </c>
      <c r="L246" s="234"/>
      <c r="M246" s="232"/>
    </row>
    <row r="247" spans="1:13" ht="30" customHeight="1">
      <c r="A247" s="232"/>
      <c r="B247" s="233"/>
      <c r="C247" s="324"/>
      <c r="D247" s="330" t="s">
        <v>522</v>
      </c>
      <c r="E247" s="324"/>
      <c r="F247" s="324"/>
      <c r="G247" s="331" t="s">
        <v>528</v>
      </c>
      <c r="H247" s="332" t="s">
        <v>160</v>
      </c>
      <c r="I247" s="325">
        <v>1</v>
      </c>
      <c r="J247" s="326">
        <f>ROUND(5234035.18*1.25,0)</f>
        <v>6542544</v>
      </c>
      <c r="K247" s="327">
        <f t="shared" si="17"/>
        <v>6542544</v>
      </c>
      <c r="L247" s="234"/>
      <c r="M247" s="232"/>
    </row>
    <row r="248" spans="1:13" ht="30" customHeight="1">
      <c r="A248" s="232"/>
      <c r="B248" s="233"/>
      <c r="C248" s="380" t="s">
        <v>483</v>
      </c>
      <c r="D248" s="380"/>
      <c r="E248" s="380"/>
      <c r="F248" s="380"/>
      <c r="G248" s="380"/>
      <c r="H248" s="380"/>
      <c r="I248" s="380"/>
      <c r="J248" s="380"/>
      <c r="K248" s="327">
        <f>SUM(K241:K247)</f>
        <v>8894956</v>
      </c>
      <c r="L248" s="234"/>
      <c r="M248" s="232"/>
    </row>
    <row r="249" spans="1:13" ht="30" customHeight="1" thickBot="1">
      <c r="A249" s="232"/>
      <c r="B249" s="233"/>
      <c r="C249" s="381" t="s">
        <v>530</v>
      </c>
      <c r="D249" s="382"/>
      <c r="E249" s="382"/>
      <c r="F249" s="382"/>
      <c r="G249" s="382"/>
      <c r="H249" s="382"/>
      <c r="I249" s="382"/>
      <c r="J249" s="383"/>
      <c r="K249" s="247">
        <f>K229+K239+K248</f>
        <v>67205811</v>
      </c>
      <c r="L249" s="234"/>
      <c r="M249" s="232"/>
    </row>
    <row r="250" spans="1:13" ht="30" customHeight="1" thickBot="1">
      <c r="A250" s="232"/>
      <c r="B250" s="233"/>
      <c r="C250" s="374" t="s">
        <v>529</v>
      </c>
      <c r="D250" s="375"/>
      <c r="E250" s="375"/>
      <c r="F250" s="375"/>
      <c r="G250" s="375"/>
      <c r="H250" s="375"/>
      <c r="I250" s="375"/>
      <c r="J250" s="375"/>
      <c r="K250" s="376"/>
      <c r="L250" s="234"/>
      <c r="M250" s="232"/>
    </row>
    <row r="251" spans="1:13" ht="30" customHeight="1">
      <c r="A251" s="232"/>
      <c r="B251" s="233"/>
      <c r="C251" s="374" t="s">
        <v>531</v>
      </c>
      <c r="D251" s="375"/>
      <c r="E251" s="375"/>
      <c r="F251" s="375"/>
      <c r="G251" s="375"/>
      <c r="H251" s="375"/>
      <c r="I251" s="375"/>
      <c r="J251" s="375"/>
      <c r="K251" s="376"/>
      <c r="L251" s="234"/>
      <c r="M251" s="232"/>
    </row>
    <row r="252" spans="1:13" ht="30" customHeight="1">
      <c r="A252" s="232"/>
      <c r="B252" s="233"/>
      <c r="C252" s="324"/>
      <c r="D252" s="330" t="s">
        <v>532</v>
      </c>
      <c r="E252" s="324"/>
      <c r="F252" s="324"/>
      <c r="G252" s="331" t="s">
        <v>541</v>
      </c>
      <c r="H252" s="332" t="s">
        <v>161</v>
      </c>
      <c r="I252" s="325">
        <v>25.5</v>
      </c>
      <c r="J252" s="326">
        <f>ROUND(150305*1.25,0)</f>
        <v>187881</v>
      </c>
      <c r="K252" s="327">
        <f>ROUND(I252*J252,0)</f>
        <v>4790966</v>
      </c>
      <c r="L252" s="234"/>
      <c r="M252" s="232"/>
    </row>
    <row r="253" spans="1:13" ht="30" customHeight="1">
      <c r="A253" s="232"/>
      <c r="B253" s="233"/>
      <c r="C253" s="324"/>
      <c r="D253" s="330" t="s">
        <v>533</v>
      </c>
      <c r="E253" s="324"/>
      <c r="F253" s="324"/>
      <c r="G253" s="331" t="s">
        <v>542</v>
      </c>
      <c r="H253" s="332" t="s">
        <v>161</v>
      </c>
      <c r="I253" s="325">
        <v>23.14</v>
      </c>
      <c r="J253" s="326">
        <f>ROUND(231944*1.25,0)</f>
        <v>289930</v>
      </c>
      <c r="K253" s="327">
        <f t="shared" ref="K253:K260" si="18">ROUND(I253*J253,0)</f>
        <v>6708980</v>
      </c>
      <c r="L253" s="234"/>
      <c r="M253" s="232"/>
    </row>
    <row r="254" spans="1:13" ht="30" customHeight="1">
      <c r="A254" s="232"/>
      <c r="B254" s="233"/>
      <c r="C254" s="324"/>
      <c r="D254" s="330" t="s">
        <v>534</v>
      </c>
      <c r="E254" s="324"/>
      <c r="F254" s="324"/>
      <c r="G254" s="331" t="s">
        <v>543</v>
      </c>
      <c r="H254" s="332" t="s">
        <v>160</v>
      </c>
      <c r="I254" s="325">
        <v>2</v>
      </c>
      <c r="J254" s="326">
        <f>ROUND(994067.72*1.25,0)</f>
        <v>1242585</v>
      </c>
      <c r="K254" s="327">
        <f t="shared" si="18"/>
        <v>2485170</v>
      </c>
      <c r="L254" s="234"/>
      <c r="M254" s="232"/>
    </row>
    <row r="255" spans="1:13" ht="30" customHeight="1">
      <c r="A255" s="232"/>
      <c r="B255" s="233"/>
      <c r="C255" s="324"/>
      <c r="D255" s="330" t="s">
        <v>535</v>
      </c>
      <c r="E255" s="324"/>
      <c r="F255" s="324"/>
      <c r="G255" s="331" t="s">
        <v>544</v>
      </c>
      <c r="H255" s="332" t="s">
        <v>160</v>
      </c>
      <c r="I255" s="325">
        <v>2</v>
      </c>
      <c r="J255" s="326">
        <f>ROUND(437551.17*1.25,0)</f>
        <v>546939</v>
      </c>
      <c r="K255" s="327">
        <f t="shared" si="18"/>
        <v>1093878</v>
      </c>
      <c r="L255" s="234"/>
      <c r="M255" s="232"/>
    </row>
    <row r="256" spans="1:13" ht="30" customHeight="1">
      <c r="A256" s="232"/>
      <c r="B256" s="233"/>
      <c r="C256" s="324"/>
      <c r="D256" s="330" t="s">
        <v>536</v>
      </c>
      <c r="E256" s="324"/>
      <c r="F256" s="324"/>
      <c r="G256" s="331" t="s">
        <v>545</v>
      </c>
      <c r="H256" s="332" t="s">
        <v>161</v>
      </c>
      <c r="I256" s="325">
        <v>171.63</v>
      </c>
      <c r="J256" s="326">
        <f>ROUND(134724.19*1.25,0)</f>
        <v>168405</v>
      </c>
      <c r="K256" s="327">
        <f t="shared" si="18"/>
        <v>28903350</v>
      </c>
      <c r="L256" s="234"/>
      <c r="M256" s="232"/>
    </row>
    <row r="257" spans="1:13" ht="30" customHeight="1">
      <c r="A257" s="232"/>
      <c r="B257" s="233"/>
      <c r="C257" s="324"/>
      <c r="D257" s="330" t="s">
        <v>537</v>
      </c>
      <c r="E257" s="324"/>
      <c r="F257" s="324"/>
      <c r="G257" s="331" t="s">
        <v>546</v>
      </c>
      <c r="H257" s="332" t="s">
        <v>161</v>
      </c>
      <c r="I257" s="325">
        <v>23</v>
      </c>
      <c r="J257" s="326">
        <f>ROUND(146298*1.25,0)</f>
        <v>182873</v>
      </c>
      <c r="K257" s="327">
        <f t="shared" si="18"/>
        <v>4206079</v>
      </c>
      <c r="L257" s="234"/>
      <c r="M257" s="232"/>
    </row>
    <row r="258" spans="1:13" ht="30" customHeight="1">
      <c r="A258" s="232"/>
      <c r="B258" s="233"/>
      <c r="C258" s="324"/>
      <c r="D258" s="330" t="s">
        <v>538</v>
      </c>
      <c r="E258" s="324"/>
      <c r="F258" s="324"/>
      <c r="G258" s="331" t="s">
        <v>547</v>
      </c>
      <c r="H258" s="332" t="s">
        <v>161</v>
      </c>
      <c r="I258" s="325">
        <v>157.49</v>
      </c>
      <c r="J258" s="326">
        <f>ROUND(123822*1.25,0)</f>
        <v>154778</v>
      </c>
      <c r="K258" s="327">
        <f t="shared" si="18"/>
        <v>24375987</v>
      </c>
      <c r="L258" s="234"/>
      <c r="M258" s="232"/>
    </row>
    <row r="259" spans="1:13" ht="30" customHeight="1">
      <c r="A259" s="232"/>
      <c r="B259" s="233"/>
      <c r="C259" s="324"/>
      <c r="D259" s="330" t="s">
        <v>539</v>
      </c>
      <c r="E259" s="324"/>
      <c r="F259" s="324"/>
      <c r="G259" s="331" t="s">
        <v>548</v>
      </c>
      <c r="H259" s="332" t="s">
        <v>160</v>
      </c>
      <c r="I259" s="325">
        <v>3</v>
      </c>
      <c r="J259" s="326">
        <f>ROUND(166866*1.25,0)</f>
        <v>208583</v>
      </c>
      <c r="K259" s="327">
        <f t="shared" si="18"/>
        <v>625749</v>
      </c>
      <c r="L259" s="234"/>
      <c r="M259" s="232"/>
    </row>
    <row r="260" spans="1:13" ht="30" customHeight="1">
      <c r="A260" s="232"/>
      <c r="B260" s="233"/>
      <c r="C260" s="324"/>
      <c r="D260" s="330" t="s">
        <v>540</v>
      </c>
      <c r="E260" s="324"/>
      <c r="F260" s="324"/>
      <c r="G260" s="331" t="s">
        <v>549</v>
      </c>
      <c r="H260" s="332" t="s">
        <v>161</v>
      </c>
      <c r="I260" s="325">
        <v>17.8</v>
      </c>
      <c r="J260" s="326">
        <f>ROUND(318262.28*1.25,0)</f>
        <v>397828</v>
      </c>
      <c r="K260" s="327">
        <f t="shared" si="18"/>
        <v>7081338</v>
      </c>
      <c r="L260" s="234"/>
      <c r="M260" s="232"/>
    </row>
    <row r="261" spans="1:13" ht="30" customHeight="1" thickBot="1">
      <c r="A261" s="232"/>
      <c r="B261" s="233"/>
      <c r="C261" s="380" t="s">
        <v>550</v>
      </c>
      <c r="D261" s="380"/>
      <c r="E261" s="380"/>
      <c r="F261" s="380"/>
      <c r="G261" s="380"/>
      <c r="H261" s="380"/>
      <c r="I261" s="380"/>
      <c r="J261" s="380"/>
      <c r="K261" s="327">
        <f>SUM(K252:K260)</f>
        <v>80271497</v>
      </c>
      <c r="L261" s="234"/>
      <c r="M261" s="232"/>
    </row>
    <row r="262" spans="1:13" ht="30" customHeight="1">
      <c r="A262" s="232"/>
      <c r="B262" s="233"/>
      <c r="C262" s="374" t="s">
        <v>551</v>
      </c>
      <c r="D262" s="375"/>
      <c r="E262" s="375"/>
      <c r="F262" s="375"/>
      <c r="G262" s="375"/>
      <c r="H262" s="375"/>
      <c r="I262" s="375"/>
      <c r="J262" s="375"/>
      <c r="K262" s="376"/>
      <c r="L262" s="234"/>
      <c r="M262" s="232"/>
    </row>
    <row r="263" spans="1:13" ht="30" customHeight="1">
      <c r="A263" s="232"/>
      <c r="B263" s="233"/>
      <c r="C263" s="324"/>
      <c r="D263" s="330" t="s">
        <v>552</v>
      </c>
      <c r="E263" s="324"/>
      <c r="F263" s="324"/>
      <c r="G263" s="331" t="s">
        <v>556</v>
      </c>
      <c r="H263" s="332" t="s">
        <v>161</v>
      </c>
      <c r="I263" s="325">
        <v>137.30000000000001</v>
      </c>
      <c r="J263" s="326">
        <f>ROUND(56851*1.25,0)</f>
        <v>71064</v>
      </c>
      <c r="K263" s="327">
        <f>ROUND(I263*J263,0)</f>
        <v>9757087</v>
      </c>
      <c r="L263" s="234"/>
      <c r="M263" s="232"/>
    </row>
    <row r="264" spans="1:13" ht="30" customHeight="1">
      <c r="A264" s="232"/>
      <c r="B264" s="233"/>
      <c r="C264" s="324"/>
      <c r="D264" s="330" t="s">
        <v>553</v>
      </c>
      <c r="E264" s="324"/>
      <c r="F264" s="324"/>
      <c r="G264" s="331" t="s">
        <v>557</v>
      </c>
      <c r="H264" s="332" t="s">
        <v>161</v>
      </c>
      <c r="I264" s="325">
        <v>130</v>
      </c>
      <c r="J264" s="326">
        <f>ROUND(43096.28*1.25,0)</f>
        <v>53870</v>
      </c>
      <c r="K264" s="327">
        <f t="shared" ref="K264:K266" si="19">ROUND(I264*J264,0)</f>
        <v>7003100</v>
      </c>
      <c r="L264" s="234"/>
      <c r="M264" s="232"/>
    </row>
    <row r="265" spans="1:13" ht="30" customHeight="1">
      <c r="A265" s="232"/>
      <c r="B265" s="233"/>
      <c r="C265" s="324"/>
      <c r="D265" s="330" t="s">
        <v>554</v>
      </c>
      <c r="E265" s="324"/>
      <c r="F265" s="324"/>
      <c r="G265" s="331" t="s">
        <v>558</v>
      </c>
      <c r="H265" s="332" t="s">
        <v>160</v>
      </c>
      <c r="I265" s="325">
        <v>52</v>
      </c>
      <c r="J265" s="326">
        <f>ROUND(39262.41*1.25,0)</f>
        <v>49078</v>
      </c>
      <c r="K265" s="327">
        <f t="shared" si="19"/>
        <v>2552056</v>
      </c>
      <c r="L265" s="234"/>
      <c r="M265" s="232"/>
    </row>
    <row r="266" spans="1:13" ht="30" customHeight="1">
      <c r="A266" s="232"/>
      <c r="B266" s="233"/>
      <c r="C266" s="324"/>
      <c r="D266" s="330" t="s">
        <v>555</v>
      </c>
      <c r="E266" s="324"/>
      <c r="F266" s="324"/>
      <c r="G266" s="331" t="s">
        <v>559</v>
      </c>
      <c r="H266" s="332" t="s">
        <v>160</v>
      </c>
      <c r="I266" s="325">
        <v>26</v>
      </c>
      <c r="J266" s="326">
        <f>ROUND(31505.1*1.25,0)</f>
        <v>39381</v>
      </c>
      <c r="K266" s="327">
        <f t="shared" si="19"/>
        <v>1023906</v>
      </c>
      <c r="L266" s="234"/>
      <c r="M266" s="232"/>
    </row>
    <row r="267" spans="1:13" ht="30" customHeight="1">
      <c r="A267" s="232"/>
      <c r="B267" s="233"/>
      <c r="C267" s="380" t="s">
        <v>550</v>
      </c>
      <c r="D267" s="380"/>
      <c r="E267" s="380"/>
      <c r="F267" s="380"/>
      <c r="G267" s="380"/>
      <c r="H267" s="380"/>
      <c r="I267" s="380"/>
      <c r="J267" s="380"/>
      <c r="K267" s="327">
        <f>SUM(K263:K266)</f>
        <v>20336149</v>
      </c>
      <c r="L267" s="234"/>
      <c r="M267" s="232"/>
    </row>
    <row r="268" spans="1:13" ht="30" customHeight="1" thickBot="1">
      <c r="A268" s="232"/>
      <c r="B268" s="233"/>
      <c r="C268" s="380" t="s">
        <v>560</v>
      </c>
      <c r="D268" s="380"/>
      <c r="E268" s="380"/>
      <c r="F268" s="380"/>
      <c r="G268" s="380"/>
      <c r="H268" s="380"/>
      <c r="I268" s="380"/>
      <c r="J268" s="380"/>
      <c r="K268" s="361">
        <f>K261+K267</f>
        <v>100607646</v>
      </c>
      <c r="L268" s="234"/>
      <c r="M268" s="232"/>
    </row>
    <row r="269" spans="1:13" ht="30" customHeight="1" thickBot="1">
      <c r="A269" s="232"/>
      <c r="B269" s="233"/>
      <c r="C269" s="374" t="s">
        <v>561</v>
      </c>
      <c r="D269" s="375"/>
      <c r="E269" s="375"/>
      <c r="F269" s="375"/>
      <c r="G269" s="375"/>
      <c r="H269" s="375"/>
      <c r="I269" s="375"/>
      <c r="J269" s="375"/>
      <c r="K269" s="376"/>
      <c r="L269" s="234"/>
      <c r="M269" s="232"/>
    </row>
    <row r="270" spans="1:13" ht="30" customHeight="1">
      <c r="A270" s="232"/>
      <c r="B270" s="233"/>
      <c r="C270" s="374" t="s">
        <v>562</v>
      </c>
      <c r="D270" s="375"/>
      <c r="E270" s="375"/>
      <c r="F270" s="375"/>
      <c r="G270" s="375"/>
      <c r="H270" s="375"/>
      <c r="I270" s="375"/>
      <c r="J270" s="375"/>
      <c r="K270" s="376"/>
      <c r="L270" s="234"/>
      <c r="M270" s="232"/>
    </row>
    <row r="271" spans="1:13" ht="30" customHeight="1">
      <c r="A271" s="232"/>
      <c r="B271" s="233"/>
      <c r="C271" s="324"/>
      <c r="D271" s="330" t="s">
        <v>564</v>
      </c>
      <c r="E271" s="324"/>
      <c r="F271" s="324"/>
      <c r="G271" s="331" t="s">
        <v>578</v>
      </c>
      <c r="H271" s="332" t="s">
        <v>161</v>
      </c>
      <c r="I271" s="325">
        <v>470</v>
      </c>
      <c r="J271" s="326">
        <f>ROUND(30829*1.25,0)</f>
        <v>38536</v>
      </c>
      <c r="K271" s="327">
        <f>ROUND(I271*J271,0)</f>
        <v>18111920</v>
      </c>
      <c r="L271" s="234"/>
      <c r="M271" s="232"/>
    </row>
    <row r="272" spans="1:13" ht="30" customHeight="1">
      <c r="A272" s="232"/>
      <c r="B272" s="233"/>
      <c r="C272" s="324"/>
      <c r="D272" s="330" t="s">
        <v>565</v>
      </c>
      <c r="E272" s="324"/>
      <c r="F272" s="324"/>
      <c r="G272" s="331" t="s">
        <v>579</v>
      </c>
      <c r="H272" s="332" t="s">
        <v>161</v>
      </c>
      <c r="I272" s="325">
        <v>990</v>
      </c>
      <c r="J272" s="326">
        <f>ROUND(16587.75*1.25,0)</f>
        <v>20735</v>
      </c>
      <c r="K272" s="327">
        <f t="shared" ref="K272:K284" si="20">ROUND(I272*J272,0)</f>
        <v>20527650</v>
      </c>
      <c r="L272" s="234"/>
      <c r="M272" s="232"/>
    </row>
    <row r="273" spans="1:13" ht="30" customHeight="1">
      <c r="A273" s="232"/>
      <c r="B273" s="233"/>
      <c r="C273" s="324"/>
      <c r="D273" s="330" t="s">
        <v>566</v>
      </c>
      <c r="E273" s="324"/>
      <c r="F273" s="324"/>
      <c r="G273" s="331" t="s">
        <v>580</v>
      </c>
      <c r="H273" s="332" t="s">
        <v>160</v>
      </c>
      <c r="I273" s="325">
        <v>82</v>
      </c>
      <c r="J273" s="326">
        <f>ROUND(12605*1.25,0)</f>
        <v>15756</v>
      </c>
      <c r="K273" s="327">
        <f t="shared" si="20"/>
        <v>1291992</v>
      </c>
      <c r="L273" s="234"/>
      <c r="M273" s="232"/>
    </row>
    <row r="274" spans="1:13" ht="30" customHeight="1">
      <c r="A274" s="232"/>
      <c r="B274" s="233"/>
      <c r="C274" s="324"/>
      <c r="D274" s="330" t="s">
        <v>567</v>
      </c>
      <c r="E274" s="324"/>
      <c r="F274" s="324"/>
      <c r="G274" s="331" t="s">
        <v>581</v>
      </c>
      <c r="H274" s="332" t="s">
        <v>160</v>
      </c>
      <c r="I274" s="325">
        <v>5</v>
      </c>
      <c r="J274" s="326">
        <f>ROUND(22110.81*1.25,0)</f>
        <v>27639</v>
      </c>
      <c r="K274" s="327">
        <f t="shared" si="20"/>
        <v>138195</v>
      </c>
      <c r="L274" s="234"/>
      <c r="M274" s="232"/>
    </row>
    <row r="275" spans="1:13" ht="30" customHeight="1">
      <c r="A275" s="232"/>
      <c r="B275" s="233"/>
      <c r="C275" s="324"/>
      <c r="D275" s="330" t="s">
        <v>568</v>
      </c>
      <c r="E275" s="324"/>
      <c r="F275" s="324"/>
      <c r="G275" s="331" t="s">
        <v>582</v>
      </c>
      <c r="H275" s="332" t="s">
        <v>160</v>
      </c>
      <c r="I275" s="325">
        <v>94</v>
      </c>
      <c r="J275" s="326">
        <f>ROUND(21030.41*1.25,0)</f>
        <v>26288</v>
      </c>
      <c r="K275" s="327">
        <f t="shared" si="20"/>
        <v>2471072</v>
      </c>
      <c r="L275" s="234"/>
      <c r="M275" s="232"/>
    </row>
    <row r="276" spans="1:13" ht="30" customHeight="1">
      <c r="A276" s="232"/>
      <c r="B276" s="233"/>
      <c r="C276" s="324"/>
      <c r="D276" s="330" t="s">
        <v>569</v>
      </c>
      <c r="E276" s="324"/>
      <c r="F276" s="324"/>
      <c r="G276" s="331" t="s">
        <v>583</v>
      </c>
      <c r="H276" s="332" t="s">
        <v>160</v>
      </c>
      <c r="I276" s="325">
        <v>6</v>
      </c>
      <c r="J276" s="326">
        <f>ROUND(21030.41*1.25,0)</f>
        <v>26288</v>
      </c>
      <c r="K276" s="327">
        <f t="shared" si="20"/>
        <v>157728</v>
      </c>
      <c r="L276" s="234"/>
      <c r="M276" s="232"/>
    </row>
    <row r="277" spans="1:13" ht="30" customHeight="1">
      <c r="A277" s="232"/>
      <c r="B277" s="233"/>
      <c r="C277" s="324"/>
      <c r="D277" s="330" t="s">
        <v>570</v>
      </c>
      <c r="E277" s="324"/>
      <c r="F277" s="324"/>
      <c r="G277" s="331" t="s">
        <v>584</v>
      </c>
      <c r="H277" s="332" t="s">
        <v>160</v>
      </c>
      <c r="I277" s="325">
        <v>10</v>
      </c>
      <c r="J277" s="326">
        <f>ROUND(21030.41*1.25,0)</f>
        <v>26288</v>
      </c>
      <c r="K277" s="327">
        <f t="shared" si="20"/>
        <v>262880</v>
      </c>
      <c r="L277" s="234"/>
      <c r="M277" s="232"/>
    </row>
    <row r="278" spans="1:13" ht="30" customHeight="1">
      <c r="A278" s="232"/>
      <c r="B278" s="233"/>
      <c r="C278" s="324"/>
      <c r="D278" s="330" t="s">
        <v>571</v>
      </c>
      <c r="E278" s="324"/>
      <c r="F278" s="324"/>
      <c r="G278" s="331" t="s">
        <v>585</v>
      </c>
      <c r="H278" s="332" t="s">
        <v>160</v>
      </c>
      <c r="I278" s="325">
        <v>2</v>
      </c>
      <c r="J278" s="326">
        <f>ROUND(298122*1.25,0)</f>
        <v>372653</v>
      </c>
      <c r="K278" s="327">
        <f t="shared" si="20"/>
        <v>745306</v>
      </c>
      <c r="L278" s="234"/>
      <c r="M278" s="232"/>
    </row>
    <row r="279" spans="1:13" ht="30" customHeight="1">
      <c r="A279" s="232"/>
      <c r="B279" s="233"/>
      <c r="C279" s="324"/>
      <c r="D279" s="330" t="s">
        <v>572</v>
      </c>
      <c r="E279" s="324"/>
      <c r="F279" s="324"/>
      <c r="G279" s="331" t="s">
        <v>586</v>
      </c>
      <c r="H279" s="332" t="s">
        <v>160</v>
      </c>
      <c r="I279" s="325">
        <v>1</v>
      </c>
      <c r="J279" s="326">
        <f>ROUND(325624.84*1.25,0)</f>
        <v>407031</v>
      </c>
      <c r="K279" s="327">
        <f t="shared" si="20"/>
        <v>407031</v>
      </c>
      <c r="L279" s="234"/>
      <c r="M279" s="232"/>
    </row>
    <row r="280" spans="1:13" ht="30" customHeight="1">
      <c r="A280" s="232"/>
      <c r="B280" s="233"/>
      <c r="C280" s="324"/>
      <c r="D280" s="330" t="s">
        <v>573</v>
      </c>
      <c r="E280" s="324"/>
      <c r="F280" s="324"/>
      <c r="G280" s="331" t="s">
        <v>587</v>
      </c>
      <c r="H280" s="332" t="s">
        <v>160</v>
      </c>
      <c r="I280" s="325">
        <v>5</v>
      </c>
      <c r="J280" s="326">
        <f>ROUND(1064310.81*1.25,0)</f>
        <v>1330389</v>
      </c>
      <c r="K280" s="327">
        <f t="shared" si="20"/>
        <v>6651945</v>
      </c>
      <c r="L280" s="234"/>
      <c r="M280" s="232"/>
    </row>
    <row r="281" spans="1:13" ht="30" customHeight="1">
      <c r="A281" s="232"/>
      <c r="B281" s="233"/>
      <c r="C281" s="324"/>
      <c r="D281" s="330" t="s">
        <v>574</v>
      </c>
      <c r="E281" s="324"/>
      <c r="F281" s="324"/>
      <c r="G281" s="331" t="s">
        <v>588</v>
      </c>
      <c r="H281" s="332" t="s">
        <v>160</v>
      </c>
      <c r="I281" s="325">
        <v>1</v>
      </c>
      <c r="J281" s="326">
        <f>ROUND(659340.81*1.25,0)</f>
        <v>824176</v>
      </c>
      <c r="K281" s="327">
        <f t="shared" si="20"/>
        <v>824176</v>
      </c>
      <c r="L281" s="234"/>
      <c r="M281" s="232"/>
    </row>
    <row r="282" spans="1:13" ht="30" customHeight="1">
      <c r="A282" s="232"/>
      <c r="B282" s="233"/>
      <c r="C282" s="324"/>
      <c r="D282" s="330" t="s">
        <v>575</v>
      </c>
      <c r="E282" s="324"/>
      <c r="F282" s="324"/>
      <c r="G282" s="331" t="s">
        <v>589</v>
      </c>
      <c r="H282" s="332" t="s">
        <v>160</v>
      </c>
      <c r="I282" s="325">
        <v>1</v>
      </c>
      <c r="J282" s="326">
        <f>ROUND(1016710.81*1.25,0)</f>
        <v>1270889</v>
      </c>
      <c r="K282" s="327">
        <f t="shared" si="20"/>
        <v>1270889</v>
      </c>
      <c r="L282" s="234"/>
      <c r="M282" s="232"/>
    </row>
    <row r="283" spans="1:13" ht="30" customHeight="1">
      <c r="A283" s="232"/>
      <c r="B283" s="233"/>
      <c r="C283" s="324"/>
      <c r="D283" s="330" t="s">
        <v>576</v>
      </c>
      <c r="E283" s="324"/>
      <c r="F283" s="324"/>
      <c r="G283" s="331" t="s">
        <v>590</v>
      </c>
      <c r="H283" s="332" t="s">
        <v>161</v>
      </c>
      <c r="I283" s="325">
        <v>240</v>
      </c>
      <c r="J283" s="326">
        <f>ROUND(12314.25*1.25,0)</f>
        <v>15393</v>
      </c>
      <c r="K283" s="327">
        <f t="shared" si="20"/>
        <v>3694320</v>
      </c>
      <c r="L283" s="234"/>
      <c r="M283" s="232"/>
    </row>
    <row r="284" spans="1:13" ht="30" customHeight="1">
      <c r="A284" s="232"/>
      <c r="B284" s="233"/>
      <c r="C284" s="324"/>
      <c r="D284" s="330" t="s">
        <v>577</v>
      </c>
      <c r="E284" s="324"/>
      <c r="F284" s="324"/>
      <c r="G284" s="331" t="s">
        <v>591</v>
      </c>
      <c r="H284" s="332" t="s">
        <v>160</v>
      </c>
      <c r="I284" s="325">
        <v>1</v>
      </c>
      <c r="J284" s="326">
        <f>ROUND(723510.81*1.25,0)</f>
        <v>904389</v>
      </c>
      <c r="K284" s="327">
        <f t="shared" si="20"/>
        <v>904389</v>
      </c>
      <c r="L284" s="234"/>
      <c r="M284" s="232"/>
    </row>
    <row r="285" spans="1:13" ht="30" customHeight="1" thickBot="1">
      <c r="A285" s="232"/>
      <c r="B285" s="233"/>
      <c r="C285" s="380" t="s">
        <v>563</v>
      </c>
      <c r="D285" s="380"/>
      <c r="E285" s="380"/>
      <c r="F285" s="380"/>
      <c r="G285" s="380"/>
      <c r="H285" s="380"/>
      <c r="I285" s="380"/>
      <c r="J285" s="380"/>
      <c r="K285" s="327">
        <f>SUM(K271:K284)</f>
        <v>57459493</v>
      </c>
      <c r="L285" s="234"/>
      <c r="M285" s="232"/>
    </row>
    <row r="286" spans="1:13" ht="30" customHeight="1">
      <c r="A286" s="232"/>
      <c r="B286" s="233"/>
      <c r="C286" s="374" t="s">
        <v>592</v>
      </c>
      <c r="D286" s="375"/>
      <c r="E286" s="375"/>
      <c r="F286" s="375"/>
      <c r="G286" s="375"/>
      <c r="H286" s="375"/>
      <c r="I286" s="375"/>
      <c r="J286" s="375"/>
      <c r="K286" s="376"/>
      <c r="L286" s="234"/>
      <c r="M286" s="232"/>
    </row>
    <row r="287" spans="1:13" ht="30" customHeight="1">
      <c r="A287" s="232"/>
      <c r="B287" s="233"/>
      <c r="C287" s="324"/>
      <c r="D287" s="330" t="s">
        <v>593</v>
      </c>
      <c r="E287" s="324"/>
      <c r="F287" s="324"/>
      <c r="G287" s="331" t="s">
        <v>594</v>
      </c>
      <c r="H287" s="332" t="s">
        <v>161</v>
      </c>
      <c r="I287" s="325">
        <v>5300</v>
      </c>
      <c r="J287" s="326">
        <f>ROUND(600.74*1.25,0)</f>
        <v>751</v>
      </c>
      <c r="K287" s="327">
        <f>ROUND(I287*J287,0)</f>
        <v>3980300</v>
      </c>
      <c r="L287" s="234"/>
      <c r="M287" s="232"/>
    </row>
    <row r="288" spans="1:13" ht="30" customHeight="1" thickBot="1">
      <c r="A288" s="232"/>
      <c r="B288" s="233"/>
      <c r="C288" s="380" t="s">
        <v>563</v>
      </c>
      <c r="D288" s="380"/>
      <c r="E288" s="380"/>
      <c r="F288" s="380"/>
      <c r="G288" s="380"/>
      <c r="H288" s="380"/>
      <c r="I288" s="380"/>
      <c r="J288" s="380"/>
      <c r="K288" s="327">
        <f>SUM(K287)</f>
        <v>3980300</v>
      </c>
      <c r="L288" s="234"/>
      <c r="M288" s="232"/>
    </row>
    <row r="289" spans="1:13" ht="30" customHeight="1">
      <c r="A289" s="232"/>
      <c r="B289" s="233"/>
      <c r="C289" s="374" t="s">
        <v>595</v>
      </c>
      <c r="D289" s="375"/>
      <c r="E289" s="375"/>
      <c r="F289" s="375"/>
      <c r="G289" s="375"/>
      <c r="H289" s="375"/>
      <c r="I289" s="375"/>
      <c r="J289" s="375"/>
      <c r="K289" s="376"/>
      <c r="L289" s="234"/>
      <c r="M289" s="232"/>
    </row>
    <row r="290" spans="1:13" ht="30" customHeight="1">
      <c r="A290" s="232"/>
      <c r="B290" s="233"/>
      <c r="C290" s="324"/>
      <c r="D290" s="330" t="s">
        <v>596</v>
      </c>
      <c r="E290" s="324"/>
      <c r="F290" s="324"/>
      <c r="G290" s="331" t="s">
        <v>597</v>
      </c>
      <c r="H290" s="332" t="s">
        <v>160</v>
      </c>
      <c r="I290" s="325">
        <v>82</v>
      </c>
      <c r="J290" s="326">
        <f>ROUND(95710.81*1.25,0)</f>
        <v>119639</v>
      </c>
      <c r="K290" s="327">
        <f>ROUND(I290*J290,0)</f>
        <v>9810398</v>
      </c>
      <c r="L290" s="234"/>
      <c r="M290" s="232"/>
    </row>
    <row r="291" spans="1:13" ht="30" customHeight="1">
      <c r="A291" s="232"/>
      <c r="B291" s="233"/>
      <c r="C291" s="380" t="s">
        <v>598</v>
      </c>
      <c r="D291" s="380"/>
      <c r="E291" s="380"/>
      <c r="F291" s="380"/>
      <c r="G291" s="380"/>
      <c r="H291" s="380"/>
      <c r="I291" s="380"/>
      <c r="J291" s="380"/>
      <c r="K291" s="327">
        <f>SUM(K290)</f>
        <v>9810398</v>
      </c>
      <c r="L291" s="234"/>
      <c r="M291" s="232"/>
    </row>
    <row r="292" spans="1:13" ht="30" customHeight="1" thickBot="1">
      <c r="A292" s="232"/>
      <c r="B292" s="233"/>
      <c r="C292" s="380" t="s">
        <v>599</v>
      </c>
      <c r="D292" s="380"/>
      <c r="E292" s="380"/>
      <c r="F292" s="380"/>
      <c r="G292" s="380"/>
      <c r="H292" s="380"/>
      <c r="I292" s="380"/>
      <c r="J292" s="380"/>
      <c r="K292" s="361">
        <f>K285+K288+K291</f>
        <v>71250191</v>
      </c>
      <c r="L292" s="234"/>
      <c r="M292" s="232"/>
    </row>
    <row r="293" spans="1:13" ht="30" customHeight="1" thickBot="1">
      <c r="A293" s="232"/>
      <c r="B293" s="233"/>
      <c r="C293" s="374" t="s">
        <v>600</v>
      </c>
      <c r="D293" s="375"/>
      <c r="E293" s="375"/>
      <c r="F293" s="375"/>
      <c r="G293" s="375"/>
      <c r="H293" s="375"/>
      <c r="I293" s="375"/>
      <c r="J293" s="375"/>
      <c r="K293" s="376"/>
      <c r="L293" s="234"/>
      <c r="M293" s="232"/>
    </row>
    <row r="294" spans="1:13" ht="30" customHeight="1">
      <c r="A294" s="232"/>
      <c r="B294" s="233"/>
      <c r="C294" s="374" t="s">
        <v>601</v>
      </c>
      <c r="D294" s="375"/>
      <c r="E294" s="375"/>
      <c r="F294" s="375"/>
      <c r="G294" s="375"/>
      <c r="H294" s="375"/>
      <c r="I294" s="375"/>
      <c r="J294" s="375"/>
      <c r="K294" s="376"/>
      <c r="L294" s="234"/>
      <c r="M294" s="232"/>
    </row>
    <row r="295" spans="1:13" ht="30" customHeight="1">
      <c r="A295" s="232"/>
      <c r="B295" s="233"/>
      <c r="C295" s="324"/>
      <c r="D295" s="330" t="s">
        <v>602</v>
      </c>
      <c r="E295" s="324"/>
      <c r="F295" s="324"/>
      <c r="G295" s="331" t="s">
        <v>613</v>
      </c>
      <c r="H295" s="332" t="s">
        <v>161</v>
      </c>
      <c r="I295" s="325">
        <v>23.3</v>
      </c>
      <c r="J295" s="326">
        <f>ROUND(133753.02*1.25,0)</f>
        <v>167191</v>
      </c>
      <c r="K295" s="327">
        <f>ROUND(I295*J295,0)</f>
        <v>3895550</v>
      </c>
      <c r="L295" s="234"/>
      <c r="M295" s="232"/>
    </row>
    <row r="296" spans="1:13" ht="30" customHeight="1">
      <c r="A296" s="232"/>
      <c r="B296" s="233"/>
      <c r="C296" s="324"/>
      <c r="D296" s="330" t="s">
        <v>603</v>
      </c>
      <c r="E296" s="324"/>
      <c r="F296" s="324"/>
      <c r="G296" s="331" t="s">
        <v>614</v>
      </c>
      <c r="H296" s="332" t="s">
        <v>161</v>
      </c>
      <c r="I296" s="325">
        <v>50</v>
      </c>
      <c r="J296" s="326">
        <f>ROUND(93587.13*1.25,0)</f>
        <v>116984</v>
      </c>
      <c r="K296" s="327">
        <f t="shared" ref="K296:K305" si="21">ROUND(I296*J296,0)</f>
        <v>5849200</v>
      </c>
      <c r="L296" s="234"/>
      <c r="M296" s="232"/>
    </row>
    <row r="297" spans="1:13" ht="30" customHeight="1">
      <c r="A297" s="232"/>
      <c r="B297" s="233"/>
      <c r="C297" s="324"/>
      <c r="D297" s="330" t="s">
        <v>604</v>
      </c>
      <c r="E297" s="324"/>
      <c r="F297" s="324"/>
      <c r="G297" s="331" t="s">
        <v>615</v>
      </c>
      <c r="H297" s="332" t="s">
        <v>161</v>
      </c>
      <c r="I297" s="325">
        <v>30</v>
      </c>
      <c r="J297" s="326">
        <f>ROUND(77183.44*1.25,0)</f>
        <v>96479</v>
      </c>
      <c r="K297" s="327">
        <f t="shared" si="21"/>
        <v>2894370</v>
      </c>
      <c r="L297" s="234"/>
      <c r="M297" s="232"/>
    </row>
    <row r="298" spans="1:13" ht="30" customHeight="1">
      <c r="A298" s="232"/>
      <c r="B298" s="233"/>
      <c r="C298" s="324"/>
      <c r="D298" s="330" t="s">
        <v>605</v>
      </c>
      <c r="E298" s="324"/>
      <c r="F298" s="324"/>
      <c r="G298" s="331" t="s">
        <v>616</v>
      </c>
      <c r="H298" s="332" t="s">
        <v>161</v>
      </c>
      <c r="I298" s="325">
        <v>10</v>
      </c>
      <c r="J298" s="326">
        <f>ROUND(42252.94*1.25,0)</f>
        <v>52816</v>
      </c>
      <c r="K298" s="327">
        <f t="shared" si="21"/>
        <v>528160</v>
      </c>
      <c r="L298" s="234"/>
      <c r="M298" s="232"/>
    </row>
    <row r="299" spans="1:13" ht="30" customHeight="1">
      <c r="A299" s="232"/>
      <c r="B299" s="233"/>
      <c r="C299" s="324"/>
      <c r="D299" s="330" t="s">
        <v>606</v>
      </c>
      <c r="E299" s="324"/>
      <c r="F299" s="324"/>
      <c r="G299" s="331" t="s">
        <v>617</v>
      </c>
      <c r="H299" s="332" t="s">
        <v>160</v>
      </c>
      <c r="I299" s="325">
        <v>10</v>
      </c>
      <c r="J299" s="326">
        <f>ROUND(267027.04*1.25,0)</f>
        <v>333784</v>
      </c>
      <c r="K299" s="327">
        <f t="shared" si="21"/>
        <v>3337840</v>
      </c>
      <c r="L299" s="234"/>
      <c r="M299" s="232"/>
    </row>
    <row r="300" spans="1:13" ht="30" customHeight="1">
      <c r="A300" s="232"/>
      <c r="B300" s="233"/>
      <c r="C300" s="324"/>
      <c r="D300" s="330" t="s">
        <v>607</v>
      </c>
      <c r="E300" s="324"/>
      <c r="F300" s="324"/>
      <c r="G300" s="331" t="s">
        <v>618</v>
      </c>
      <c r="H300" s="332" t="s">
        <v>160</v>
      </c>
      <c r="I300" s="325">
        <v>2</v>
      </c>
      <c r="J300" s="326">
        <f>ROUND(138705*1.25,0)</f>
        <v>173381</v>
      </c>
      <c r="K300" s="327">
        <f t="shared" si="21"/>
        <v>346762</v>
      </c>
      <c r="L300" s="234"/>
      <c r="M300" s="232"/>
    </row>
    <row r="301" spans="1:13" ht="30" customHeight="1">
      <c r="A301" s="232"/>
      <c r="B301" s="233"/>
      <c r="C301" s="324"/>
      <c r="D301" s="330" t="s">
        <v>608</v>
      </c>
      <c r="E301" s="324"/>
      <c r="F301" s="324"/>
      <c r="G301" s="331" t="s">
        <v>619</v>
      </c>
      <c r="H301" s="332" t="s">
        <v>160</v>
      </c>
      <c r="I301" s="325">
        <v>8</v>
      </c>
      <c r="J301" s="326">
        <f>ROUND(119618.91*1.25,0)</f>
        <v>149524</v>
      </c>
      <c r="K301" s="327">
        <f t="shared" si="21"/>
        <v>1196192</v>
      </c>
      <c r="L301" s="234"/>
      <c r="M301" s="232"/>
    </row>
    <row r="302" spans="1:13" ht="30" customHeight="1">
      <c r="A302" s="232"/>
      <c r="B302" s="233"/>
      <c r="C302" s="324"/>
      <c r="D302" s="330" t="s">
        <v>609</v>
      </c>
      <c r="E302" s="324"/>
      <c r="F302" s="324"/>
      <c r="G302" s="331" t="s">
        <v>620</v>
      </c>
      <c r="H302" s="332" t="s">
        <v>160</v>
      </c>
      <c r="I302" s="325">
        <v>2</v>
      </c>
      <c r="J302" s="326">
        <f>ROUND(136397*1.25,0)</f>
        <v>170496</v>
      </c>
      <c r="K302" s="327">
        <f t="shared" si="21"/>
        <v>340992</v>
      </c>
      <c r="L302" s="234"/>
      <c r="M302" s="232"/>
    </row>
    <row r="303" spans="1:13" ht="30" customHeight="1">
      <c r="A303" s="232"/>
      <c r="B303" s="233"/>
      <c r="C303" s="324"/>
      <c r="D303" s="330" t="s">
        <v>610</v>
      </c>
      <c r="E303" s="324"/>
      <c r="F303" s="324"/>
      <c r="G303" s="331" t="s">
        <v>621</v>
      </c>
      <c r="H303" s="332" t="s">
        <v>160</v>
      </c>
      <c r="I303" s="325">
        <v>1</v>
      </c>
      <c r="J303" s="326">
        <f>ROUND(807967.39*1.25,0)</f>
        <v>1009959</v>
      </c>
      <c r="K303" s="327">
        <f t="shared" si="21"/>
        <v>1009959</v>
      </c>
      <c r="L303" s="234"/>
      <c r="M303" s="232"/>
    </row>
    <row r="304" spans="1:13" ht="30" customHeight="1">
      <c r="A304" s="232"/>
      <c r="B304" s="233"/>
      <c r="C304" s="324"/>
      <c r="D304" s="330" t="s">
        <v>611</v>
      </c>
      <c r="E304" s="324"/>
      <c r="F304" s="324"/>
      <c r="G304" s="331" t="s">
        <v>622</v>
      </c>
      <c r="H304" s="332" t="s">
        <v>161</v>
      </c>
      <c r="I304" s="325">
        <v>246</v>
      </c>
      <c r="J304" s="326">
        <f>ROUND(122019.22*1.25,0)</f>
        <v>152524</v>
      </c>
      <c r="K304" s="327">
        <f t="shared" si="21"/>
        <v>37520904</v>
      </c>
      <c r="L304" s="234"/>
      <c r="M304" s="232"/>
    </row>
    <row r="305" spans="1:13" ht="30" customHeight="1">
      <c r="A305" s="232"/>
      <c r="B305" s="233"/>
      <c r="C305" s="324"/>
      <c r="D305" s="330" t="s">
        <v>612</v>
      </c>
      <c r="E305" s="324"/>
      <c r="F305" s="324"/>
      <c r="G305" s="331" t="s">
        <v>623</v>
      </c>
      <c r="H305" s="332" t="s">
        <v>160</v>
      </c>
      <c r="I305" s="325">
        <v>6</v>
      </c>
      <c r="J305" s="326">
        <f>ROUND(1594892.7*1.25,0)</f>
        <v>1993616</v>
      </c>
      <c r="K305" s="327">
        <f t="shared" si="21"/>
        <v>11961696</v>
      </c>
      <c r="L305" s="234"/>
      <c r="M305" s="232"/>
    </row>
    <row r="306" spans="1:13" ht="30" customHeight="1" thickBot="1">
      <c r="A306" s="232"/>
      <c r="B306" s="233"/>
      <c r="C306" s="380" t="s">
        <v>563</v>
      </c>
      <c r="D306" s="380"/>
      <c r="E306" s="380"/>
      <c r="F306" s="380"/>
      <c r="G306" s="380"/>
      <c r="H306" s="380"/>
      <c r="I306" s="380"/>
      <c r="J306" s="380"/>
      <c r="K306" s="327">
        <f>SUM(K295:K305)</f>
        <v>68881625</v>
      </c>
      <c r="L306" s="234"/>
      <c r="M306" s="232"/>
    </row>
    <row r="307" spans="1:13" ht="30" customHeight="1">
      <c r="A307" s="232"/>
      <c r="B307" s="233"/>
      <c r="C307" s="374" t="s">
        <v>624</v>
      </c>
      <c r="D307" s="375"/>
      <c r="E307" s="375"/>
      <c r="F307" s="375"/>
      <c r="G307" s="375"/>
      <c r="H307" s="375"/>
      <c r="I307" s="375"/>
      <c r="J307" s="375"/>
      <c r="K307" s="376"/>
      <c r="L307" s="234"/>
      <c r="M307" s="232"/>
    </row>
    <row r="308" spans="1:13" ht="48.6" customHeight="1">
      <c r="A308" s="232"/>
      <c r="B308" s="233"/>
      <c r="C308" s="324"/>
      <c r="D308" s="330" t="s">
        <v>625</v>
      </c>
      <c r="E308" s="324"/>
      <c r="F308" s="324"/>
      <c r="G308" s="331" t="s">
        <v>626</v>
      </c>
      <c r="H308" s="332" t="s">
        <v>160</v>
      </c>
      <c r="I308" s="325">
        <v>4</v>
      </c>
      <c r="J308" s="326">
        <f>ROUND(1872985*1.25,0)</f>
        <v>2341231</v>
      </c>
      <c r="K308" s="327">
        <f>ROUND(I308*J308,0)</f>
        <v>9364924</v>
      </c>
      <c r="L308" s="234"/>
      <c r="M308" s="232"/>
    </row>
    <row r="309" spans="1:13" ht="30" customHeight="1" thickBot="1">
      <c r="A309" s="232"/>
      <c r="B309" s="233"/>
      <c r="C309" s="380" t="s">
        <v>627</v>
      </c>
      <c r="D309" s="380"/>
      <c r="E309" s="380"/>
      <c r="F309" s="380"/>
      <c r="G309" s="380"/>
      <c r="H309" s="380"/>
      <c r="I309" s="380"/>
      <c r="J309" s="380"/>
      <c r="K309" s="327">
        <f>SUM(K308)</f>
        <v>9364924</v>
      </c>
      <c r="L309" s="234"/>
      <c r="M309" s="232"/>
    </row>
    <row r="310" spans="1:13" ht="30" customHeight="1">
      <c r="A310" s="232"/>
      <c r="B310" s="233"/>
      <c r="C310" s="374" t="s">
        <v>628</v>
      </c>
      <c r="D310" s="375"/>
      <c r="E310" s="375"/>
      <c r="F310" s="375"/>
      <c r="G310" s="375"/>
      <c r="H310" s="375"/>
      <c r="I310" s="375"/>
      <c r="J310" s="375"/>
      <c r="K310" s="376"/>
      <c r="L310" s="234"/>
      <c r="M310" s="232"/>
    </row>
    <row r="311" spans="1:13" ht="30" customHeight="1">
      <c r="A311" s="232"/>
      <c r="B311" s="233"/>
      <c r="C311" s="324"/>
      <c r="D311" s="330" t="s">
        <v>629</v>
      </c>
      <c r="E311" s="324"/>
      <c r="F311" s="324"/>
      <c r="G311" s="331" t="s">
        <v>630</v>
      </c>
      <c r="H311" s="332" t="s">
        <v>160</v>
      </c>
      <c r="I311" s="325">
        <v>1</v>
      </c>
      <c r="J311" s="326">
        <f>ROUND(1205800.11*1.25,0)</f>
        <v>1507250</v>
      </c>
      <c r="K311" s="327">
        <f>ROUND(I311*J311,0)</f>
        <v>1507250</v>
      </c>
      <c r="L311" s="234"/>
      <c r="M311" s="232"/>
    </row>
    <row r="312" spans="1:13" ht="30" customHeight="1">
      <c r="A312" s="232"/>
      <c r="B312" s="233"/>
      <c r="C312" s="380" t="s">
        <v>631</v>
      </c>
      <c r="D312" s="380"/>
      <c r="E312" s="380"/>
      <c r="F312" s="380"/>
      <c r="G312" s="380"/>
      <c r="H312" s="380"/>
      <c r="I312" s="380"/>
      <c r="J312" s="380"/>
      <c r="K312" s="327">
        <f>SUM(K311)</f>
        <v>1507250</v>
      </c>
      <c r="L312" s="234"/>
      <c r="M312" s="232"/>
    </row>
    <row r="313" spans="1:13" ht="30" customHeight="1" thickBot="1">
      <c r="A313" s="232"/>
      <c r="B313" s="233"/>
      <c r="C313" s="380" t="s">
        <v>632</v>
      </c>
      <c r="D313" s="380"/>
      <c r="E313" s="380"/>
      <c r="F313" s="380"/>
      <c r="G313" s="380"/>
      <c r="H313" s="380"/>
      <c r="I313" s="380"/>
      <c r="J313" s="380"/>
      <c r="K313" s="361">
        <f>K306+K309+K312</f>
        <v>79753799</v>
      </c>
      <c r="L313" s="234"/>
      <c r="M313" s="232"/>
    </row>
    <row r="314" spans="1:13" ht="30" customHeight="1" thickBot="1">
      <c r="A314" s="232"/>
      <c r="B314" s="233"/>
      <c r="C314" s="374" t="s">
        <v>633</v>
      </c>
      <c r="D314" s="375"/>
      <c r="E314" s="375"/>
      <c r="F314" s="375"/>
      <c r="G314" s="375"/>
      <c r="H314" s="375"/>
      <c r="I314" s="375"/>
      <c r="J314" s="375"/>
      <c r="K314" s="376"/>
      <c r="L314" s="234"/>
      <c r="M314" s="232"/>
    </row>
    <row r="315" spans="1:13" ht="30" customHeight="1">
      <c r="A315" s="232"/>
      <c r="B315" s="233"/>
      <c r="C315" s="374" t="s">
        <v>634</v>
      </c>
      <c r="D315" s="375"/>
      <c r="E315" s="375"/>
      <c r="F315" s="375"/>
      <c r="G315" s="375"/>
      <c r="H315" s="375"/>
      <c r="I315" s="375"/>
      <c r="J315" s="375"/>
      <c r="K315" s="376"/>
      <c r="L315" s="234"/>
      <c r="M315" s="232"/>
    </row>
    <row r="316" spans="1:13" ht="27.6">
      <c r="A316" s="232"/>
      <c r="B316" s="233"/>
      <c r="C316" s="298"/>
      <c r="D316" s="298" t="s">
        <v>635</v>
      </c>
      <c r="E316" s="298"/>
      <c r="F316" s="298"/>
      <c r="G316" s="253" t="s">
        <v>646</v>
      </c>
      <c r="H316" s="252" t="s">
        <v>160</v>
      </c>
      <c r="I316" s="325">
        <v>2</v>
      </c>
      <c r="J316" s="334">
        <f>ROUND(805483.45*1.25,0)</f>
        <v>1006854</v>
      </c>
      <c r="K316" s="340">
        <f>ROUND(I316*J316,0)</f>
        <v>2013708</v>
      </c>
      <c r="L316" s="234"/>
      <c r="M316" s="232"/>
    </row>
    <row r="317" spans="1:13" ht="27.6">
      <c r="A317" s="232"/>
      <c r="B317" s="233"/>
      <c r="C317" s="298"/>
      <c r="D317" s="298" t="s">
        <v>636</v>
      </c>
      <c r="E317" s="298"/>
      <c r="F317" s="298"/>
      <c r="G317" s="253" t="s">
        <v>647</v>
      </c>
      <c r="H317" s="252" t="s">
        <v>160</v>
      </c>
      <c r="I317" s="325">
        <v>2</v>
      </c>
      <c r="J317" s="334">
        <f>ROUND(2018530.35*1.25,0)</f>
        <v>2523163</v>
      </c>
      <c r="K317" s="340">
        <f t="shared" ref="K317:K326" si="22">ROUND(I317*J317,0)</f>
        <v>5046326</v>
      </c>
      <c r="L317" s="234"/>
      <c r="M317" s="232"/>
    </row>
    <row r="318" spans="1:13" ht="30" customHeight="1">
      <c r="A318" s="232"/>
      <c r="B318" s="233"/>
      <c r="C318" s="298"/>
      <c r="D318" s="298" t="s">
        <v>637</v>
      </c>
      <c r="E318" s="298"/>
      <c r="F318" s="298"/>
      <c r="G318" s="253" t="s">
        <v>648</v>
      </c>
      <c r="H318" s="252" t="s">
        <v>161</v>
      </c>
      <c r="I318" s="325">
        <v>14</v>
      </c>
      <c r="J318" s="334">
        <f>ROUND(96952.55*1.25,0)</f>
        <v>121191</v>
      </c>
      <c r="K318" s="340">
        <f t="shared" si="22"/>
        <v>1696674</v>
      </c>
      <c r="L318" s="234"/>
      <c r="M318" s="232"/>
    </row>
    <row r="319" spans="1:13" ht="30" customHeight="1">
      <c r="A319" s="232"/>
      <c r="B319" s="233"/>
      <c r="C319" s="298"/>
      <c r="D319" s="298" t="s">
        <v>638</v>
      </c>
      <c r="E319" s="298"/>
      <c r="F319" s="298"/>
      <c r="G319" s="253" t="s">
        <v>649</v>
      </c>
      <c r="H319" s="252" t="s">
        <v>161</v>
      </c>
      <c r="I319" s="325">
        <v>14</v>
      </c>
      <c r="J319" s="334">
        <f>ROUND(75150*1.25,0)</f>
        <v>93938</v>
      </c>
      <c r="K319" s="340">
        <f t="shared" si="22"/>
        <v>1315132</v>
      </c>
      <c r="L319" s="234"/>
      <c r="M319" s="232"/>
    </row>
    <row r="320" spans="1:13" ht="30" customHeight="1">
      <c r="A320" s="232"/>
      <c r="B320" s="233"/>
      <c r="C320" s="298"/>
      <c r="D320" s="298" t="s">
        <v>639</v>
      </c>
      <c r="E320" s="298"/>
      <c r="F320" s="298"/>
      <c r="G320" s="253" t="s">
        <v>650</v>
      </c>
      <c r="H320" s="252" t="s">
        <v>103</v>
      </c>
      <c r="I320" s="325">
        <v>16</v>
      </c>
      <c r="J320" s="334">
        <f>ROUND(48162.07*1.25,0)</f>
        <v>60203</v>
      </c>
      <c r="K320" s="340">
        <f t="shared" si="22"/>
        <v>963248</v>
      </c>
      <c r="L320" s="234"/>
      <c r="M320" s="232"/>
    </row>
    <row r="321" spans="1:13" ht="55.2">
      <c r="A321" s="232"/>
      <c r="B321" s="233"/>
      <c r="C321" s="298"/>
      <c r="D321" s="298" t="s">
        <v>640</v>
      </c>
      <c r="E321" s="298"/>
      <c r="F321" s="298"/>
      <c r="G321" s="253" t="s">
        <v>651</v>
      </c>
      <c r="H321" s="252" t="s">
        <v>161</v>
      </c>
      <c r="I321" s="325">
        <v>3.8</v>
      </c>
      <c r="J321" s="334">
        <f>ROUND(377084.13*1.25,0)</f>
        <v>471355</v>
      </c>
      <c r="K321" s="340">
        <f t="shared" si="22"/>
        <v>1791149</v>
      </c>
      <c r="L321" s="234"/>
      <c r="M321" s="232"/>
    </row>
    <row r="322" spans="1:13" ht="41.4">
      <c r="A322" s="232"/>
      <c r="B322" s="233"/>
      <c r="C322" s="298"/>
      <c r="D322" s="298" t="s">
        <v>641</v>
      </c>
      <c r="E322" s="298"/>
      <c r="F322" s="298"/>
      <c r="G322" s="253" t="s">
        <v>652</v>
      </c>
      <c r="H322" s="252" t="s">
        <v>160</v>
      </c>
      <c r="I322" s="325">
        <v>1</v>
      </c>
      <c r="J322" s="334">
        <f>ROUND(1053484.64*1.25,0)</f>
        <v>1316856</v>
      </c>
      <c r="K322" s="340">
        <f t="shared" si="22"/>
        <v>1316856</v>
      </c>
      <c r="L322" s="234"/>
      <c r="M322" s="232"/>
    </row>
    <row r="323" spans="1:13" ht="41.4">
      <c r="A323" s="232"/>
      <c r="B323" s="233"/>
      <c r="C323" s="298"/>
      <c r="D323" s="298" t="s">
        <v>642</v>
      </c>
      <c r="E323" s="298"/>
      <c r="F323" s="298"/>
      <c r="G323" s="253" t="s">
        <v>653</v>
      </c>
      <c r="H323" s="252" t="s">
        <v>160</v>
      </c>
      <c r="I323" s="325">
        <v>1</v>
      </c>
      <c r="J323" s="334">
        <f>ROUND(1375881*1.25,0)</f>
        <v>1719851</v>
      </c>
      <c r="K323" s="340">
        <f t="shared" si="22"/>
        <v>1719851</v>
      </c>
      <c r="L323" s="234"/>
      <c r="M323" s="232"/>
    </row>
    <row r="324" spans="1:13" ht="41.4">
      <c r="A324" s="232"/>
      <c r="B324" s="233"/>
      <c r="C324" s="298"/>
      <c r="D324" s="298" t="s">
        <v>643</v>
      </c>
      <c r="E324" s="298"/>
      <c r="F324" s="298"/>
      <c r="G324" s="253" t="s">
        <v>654</v>
      </c>
      <c r="H324" s="252" t="s">
        <v>160</v>
      </c>
      <c r="I324" s="325">
        <v>3</v>
      </c>
      <c r="J324" s="334">
        <f>ROUND(231403.03*1.25,0)</f>
        <v>289254</v>
      </c>
      <c r="K324" s="340">
        <f t="shared" si="22"/>
        <v>867762</v>
      </c>
      <c r="L324" s="234"/>
      <c r="M324" s="232"/>
    </row>
    <row r="325" spans="1:13" ht="41.4">
      <c r="A325" s="232"/>
      <c r="B325" s="233"/>
      <c r="C325" s="298"/>
      <c r="D325" s="298" t="s">
        <v>644</v>
      </c>
      <c r="E325" s="298"/>
      <c r="F325" s="298"/>
      <c r="G325" s="253" t="s">
        <v>655</v>
      </c>
      <c r="H325" s="252" t="s">
        <v>160</v>
      </c>
      <c r="I325" s="325">
        <v>3</v>
      </c>
      <c r="J325" s="334">
        <f>ROUND(253728*1.25,0)</f>
        <v>317160</v>
      </c>
      <c r="K325" s="340">
        <f t="shared" si="22"/>
        <v>951480</v>
      </c>
      <c r="L325" s="234"/>
      <c r="M325" s="232"/>
    </row>
    <row r="326" spans="1:13" ht="69">
      <c r="A326" s="232"/>
      <c r="B326" s="233"/>
      <c r="C326" s="298"/>
      <c r="D326" s="298" t="s">
        <v>645</v>
      </c>
      <c r="E326" s="298"/>
      <c r="F326" s="298"/>
      <c r="G326" s="253" t="s">
        <v>656</v>
      </c>
      <c r="H326" s="252" t="s">
        <v>160</v>
      </c>
      <c r="I326" s="325">
        <v>1</v>
      </c>
      <c r="J326" s="334">
        <f>ROUND(628471.15*1.25,0)</f>
        <v>785589</v>
      </c>
      <c r="K326" s="340">
        <f t="shared" si="22"/>
        <v>785589</v>
      </c>
      <c r="L326" s="234"/>
      <c r="M326" s="232"/>
    </row>
    <row r="327" spans="1:13" ht="30" customHeight="1" thickBot="1">
      <c r="A327" s="232"/>
      <c r="B327" s="233"/>
      <c r="C327" s="380" t="s">
        <v>657</v>
      </c>
      <c r="D327" s="380"/>
      <c r="E327" s="380"/>
      <c r="F327" s="380"/>
      <c r="G327" s="380"/>
      <c r="H327" s="380"/>
      <c r="I327" s="380"/>
      <c r="J327" s="380"/>
      <c r="K327" s="339">
        <f>SUM(K316:K326)</f>
        <v>18467775</v>
      </c>
      <c r="L327" s="234"/>
      <c r="M327" s="232"/>
    </row>
    <row r="328" spans="1:13" ht="30" customHeight="1">
      <c r="A328" s="232"/>
      <c r="B328" s="233"/>
      <c r="C328" s="374" t="s">
        <v>658</v>
      </c>
      <c r="D328" s="375"/>
      <c r="E328" s="375"/>
      <c r="F328" s="375"/>
      <c r="G328" s="375"/>
      <c r="H328" s="375"/>
      <c r="I328" s="375"/>
      <c r="J328" s="375"/>
      <c r="K328" s="376"/>
      <c r="L328" s="234"/>
      <c r="M328" s="232"/>
    </row>
    <row r="329" spans="1:13" ht="41.4">
      <c r="A329" s="232"/>
      <c r="B329" s="233"/>
      <c r="C329" s="298"/>
      <c r="D329" s="298" t="s">
        <v>659</v>
      </c>
      <c r="E329" s="298"/>
      <c r="F329" s="298"/>
      <c r="G329" s="253" t="s">
        <v>663</v>
      </c>
      <c r="H329" s="252" t="s">
        <v>161</v>
      </c>
      <c r="I329" s="325">
        <v>16</v>
      </c>
      <c r="J329" s="334">
        <f>ROUND(178484.07*1.25,0)</f>
        <v>223105</v>
      </c>
      <c r="K329" s="340">
        <f>ROUND(I329*J329,0)</f>
        <v>3569680</v>
      </c>
      <c r="L329" s="234"/>
      <c r="M329" s="232"/>
    </row>
    <row r="330" spans="1:13" ht="30" customHeight="1">
      <c r="A330" s="232"/>
      <c r="B330" s="233"/>
      <c r="C330" s="298"/>
      <c r="D330" s="298" t="s">
        <v>660</v>
      </c>
      <c r="E330" s="298"/>
      <c r="F330" s="298"/>
      <c r="G330" s="253" t="s">
        <v>664</v>
      </c>
      <c r="H330" s="252" t="s">
        <v>160</v>
      </c>
      <c r="I330" s="325">
        <v>3</v>
      </c>
      <c r="J330" s="334">
        <f>ROUND(383630.35*1.25,0)</f>
        <v>479538</v>
      </c>
      <c r="K330" s="340">
        <f t="shared" ref="K330:K332" si="23">ROUND(I330*J330,0)</f>
        <v>1438614</v>
      </c>
      <c r="L330" s="234"/>
      <c r="M330" s="232"/>
    </row>
    <row r="331" spans="1:13" ht="30" customHeight="1">
      <c r="A331" s="232"/>
      <c r="B331" s="233"/>
      <c r="C331" s="298"/>
      <c r="D331" s="298" t="s">
        <v>661</v>
      </c>
      <c r="E331" s="298"/>
      <c r="F331" s="298"/>
      <c r="G331" s="253" t="s">
        <v>665</v>
      </c>
      <c r="H331" s="252" t="s">
        <v>160</v>
      </c>
      <c r="I331" s="325">
        <v>3</v>
      </c>
      <c r="J331" s="334">
        <f>ROUND(310487.09*1.25,0)</f>
        <v>388109</v>
      </c>
      <c r="K331" s="340">
        <f t="shared" si="23"/>
        <v>1164327</v>
      </c>
      <c r="L331" s="234"/>
      <c r="M331" s="232"/>
    </row>
    <row r="332" spans="1:13" ht="69">
      <c r="A332" s="232"/>
      <c r="B332" s="233"/>
      <c r="C332" s="298"/>
      <c r="D332" s="298" t="s">
        <v>662</v>
      </c>
      <c r="E332" s="298"/>
      <c r="F332" s="298"/>
      <c r="G332" s="253" t="s">
        <v>666</v>
      </c>
      <c r="H332" s="252" t="s">
        <v>160</v>
      </c>
      <c r="I332" s="325">
        <v>1</v>
      </c>
      <c r="J332" s="334">
        <f>ROUND(2783358*1.25,0)</f>
        <v>3479198</v>
      </c>
      <c r="K332" s="340">
        <f t="shared" si="23"/>
        <v>3479198</v>
      </c>
      <c r="L332" s="234"/>
      <c r="M332" s="232"/>
    </row>
    <row r="333" spans="1:13" ht="30" customHeight="1" thickBot="1">
      <c r="A333" s="232"/>
      <c r="B333" s="233"/>
      <c r="C333" s="380" t="s">
        <v>667</v>
      </c>
      <c r="D333" s="380"/>
      <c r="E333" s="380"/>
      <c r="F333" s="380"/>
      <c r="G333" s="380"/>
      <c r="H333" s="380"/>
      <c r="I333" s="380"/>
      <c r="J333" s="380"/>
      <c r="K333" s="339">
        <f>SUM(K329:K332)</f>
        <v>9651819</v>
      </c>
      <c r="L333" s="234"/>
      <c r="M333" s="232"/>
    </row>
    <row r="334" spans="1:13" ht="30" customHeight="1">
      <c r="A334" s="232"/>
      <c r="B334" s="233"/>
      <c r="C334" s="374" t="s">
        <v>668</v>
      </c>
      <c r="D334" s="375"/>
      <c r="E334" s="375"/>
      <c r="F334" s="375"/>
      <c r="G334" s="375"/>
      <c r="H334" s="375"/>
      <c r="I334" s="375"/>
      <c r="J334" s="375"/>
      <c r="K334" s="376"/>
      <c r="L334" s="234"/>
      <c r="M334" s="232"/>
    </row>
    <row r="335" spans="1:13" ht="69">
      <c r="A335" s="232"/>
      <c r="B335" s="233"/>
      <c r="C335" s="298"/>
      <c r="D335" s="298" t="s">
        <v>669</v>
      </c>
      <c r="E335" s="298"/>
      <c r="F335" s="298"/>
      <c r="G335" s="253" t="s">
        <v>670</v>
      </c>
      <c r="H335" s="252" t="s">
        <v>160</v>
      </c>
      <c r="I335" s="325">
        <v>1</v>
      </c>
      <c r="J335" s="334">
        <f>ROUND(570451*1.25,0)</f>
        <v>713064</v>
      </c>
      <c r="K335" s="340">
        <f>ROUND(I335*J335,0)</f>
        <v>713064</v>
      </c>
      <c r="L335" s="234"/>
      <c r="M335" s="232"/>
    </row>
    <row r="336" spans="1:13" ht="30.6" customHeight="1" thickBot="1">
      <c r="A336" s="232"/>
      <c r="B336" s="233"/>
      <c r="C336" s="380" t="s">
        <v>671</v>
      </c>
      <c r="D336" s="380"/>
      <c r="E336" s="380"/>
      <c r="F336" s="380"/>
      <c r="G336" s="380"/>
      <c r="H336" s="380"/>
      <c r="I336" s="380"/>
      <c r="J336" s="380"/>
      <c r="K336" s="339">
        <f>SUM(K335)</f>
        <v>713064</v>
      </c>
      <c r="L336" s="234"/>
      <c r="M336" s="232"/>
    </row>
    <row r="337" spans="1:13" ht="30" customHeight="1">
      <c r="A337" s="232"/>
      <c r="B337" s="233"/>
      <c r="C337" s="374" t="s">
        <v>672</v>
      </c>
      <c r="D337" s="375"/>
      <c r="E337" s="375"/>
      <c r="F337" s="375"/>
      <c r="G337" s="375"/>
      <c r="H337" s="375"/>
      <c r="I337" s="375"/>
      <c r="J337" s="375"/>
      <c r="K337" s="376"/>
      <c r="L337" s="234"/>
      <c r="M337" s="232"/>
    </row>
    <row r="338" spans="1:13" ht="30" customHeight="1">
      <c r="A338" s="232"/>
      <c r="B338" s="233"/>
      <c r="C338" s="298"/>
      <c r="D338" s="298" t="s">
        <v>673</v>
      </c>
      <c r="E338" s="298"/>
      <c r="F338" s="298"/>
      <c r="G338" s="253" t="s">
        <v>680</v>
      </c>
      <c r="H338" s="252" t="s">
        <v>161</v>
      </c>
      <c r="I338" s="325">
        <v>46</v>
      </c>
      <c r="J338" s="334">
        <f>ROUND(38287.04*1.25,0)</f>
        <v>47859</v>
      </c>
      <c r="K338" s="340">
        <f>ROUND(I338*J338,0)</f>
        <v>2201514</v>
      </c>
      <c r="L338" s="234"/>
      <c r="M338" s="232"/>
    </row>
    <row r="339" spans="1:13" ht="30" customHeight="1">
      <c r="A339" s="232"/>
      <c r="B339" s="233"/>
      <c r="C339" s="298"/>
      <c r="D339" s="298" t="s">
        <v>674</v>
      </c>
      <c r="E339" s="298"/>
      <c r="F339" s="298"/>
      <c r="G339" s="253" t="s">
        <v>681</v>
      </c>
      <c r="H339" s="252" t="s">
        <v>160</v>
      </c>
      <c r="I339" s="325">
        <v>5</v>
      </c>
      <c r="J339" s="334">
        <f>ROUND(319982.07*1.25,0)</f>
        <v>399978</v>
      </c>
      <c r="K339" s="340">
        <f t="shared" ref="K339:K344" si="24">ROUND(I339*J339,0)</f>
        <v>1999890</v>
      </c>
      <c r="L339" s="234"/>
      <c r="M339" s="232"/>
    </row>
    <row r="340" spans="1:13" ht="30" customHeight="1">
      <c r="A340" s="232"/>
      <c r="B340" s="233"/>
      <c r="C340" s="298"/>
      <c r="D340" s="298" t="s">
        <v>675</v>
      </c>
      <c r="E340" s="298"/>
      <c r="F340" s="298"/>
      <c r="G340" s="253" t="s">
        <v>682</v>
      </c>
      <c r="H340" s="252" t="s">
        <v>160</v>
      </c>
      <c r="I340" s="325">
        <v>8</v>
      </c>
      <c r="J340" s="334">
        <f>ROUND(85733*1.25,0)</f>
        <v>107166</v>
      </c>
      <c r="K340" s="340">
        <f t="shared" si="24"/>
        <v>857328</v>
      </c>
      <c r="L340" s="234"/>
      <c r="M340" s="232"/>
    </row>
    <row r="341" spans="1:13" ht="30" customHeight="1">
      <c r="A341" s="232"/>
      <c r="B341" s="233"/>
      <c r="C341" s="298"/>
      <c r="D341" s="298" t="s">
        <v>676</v>
      </c>
      <c r="E341" s="298"/>
      <c r="F341" s="298"/>
      <c r="G341" s="253" t="s">
        <v>683</v>
      </c>
      <c r="H341" s="252" t="s">
        <v>161</v>
      </c>
      <c r="I341" s="325">
        <v>5</v>
      </c>
      <c r="J341" s="334">
        <f>ROUND(18844*1.25,0)</f>
        <v>23555</v>
      </c>
      <c r="K341" s="340">
        <f t="shared" si="24"/>
        <v>117775</v>
      </c>
      <c r="L341" s="234"/>
      <c r="M341" s="232"/>
    </row>
    <row r="342" spans="1:13" ht="27.6">
      <c r="A342" s="232"/>
      <c r="B342" s="233"/>
      <c r="C342" s="298"/>
      <c r="D342" s="298" t="s">
        <v>677</v>
      </c>
      <c r="E342" s="298"/>
      <c r="F342" s="298"/>
      <c r="G342" s="253" t="s">
        <v>684</v>
      </c>
      <c r="H342" s="252" t="s">
        <v>161</v>
      </c>
      <c r="I342" s="325">
        <v>120</v>
      </c>
      <c r="J342" s="334">
        <f>ROUND(5093.01*1.25,0)</f>
        <v>6366</v>
      </c>
      <c r="K342" s="340">
        <f t="shared" si="24"/>
        <v>763920</v>
      </c>
      <c r="L342" s="234"/>
      <c r="M342" s="232"/>
    </row>
    <row r="343" spans="1:13" ht="41.4">
      <c r="A343" s="232"/>
      <c r="B343" s="233"/>
      <c r="C343" s="298"/>
      <c r="D343" s="298" t="s">
        <v>678</v>
      </c>
      <c r="E343" s="298"/>
      <c r="F343" s="298"/>
      <c r="G343" s="253" t="s">
        <v>685</v>
      </c>
      <c r="H343" s="252" t="s">
        <v>160</v>
      </c>
      <c r="I343" s="325">
        <v>2</v>
      </c>
      <c r="J343" s="334">
        <f>ROUND(517223.27*1.25,0)</f>
        <v>646529</v>
      </c>
      <c r="K343" s="340">
        <f t="shared" si="24"/>
        <v>1293058</v>
      </c>
      <c r="L343" s="234"/>
      <c r="M343" s="232"/>
    </row>
    <row r="344" spans="1:13" ht="30" customHeight="1">
      <c r="A344" s="232"/>
      <c r="B344" s="233"/>
      <c r="C344" s="298"/>
      <c r="D344" s="298" t="s">
        <v>679</v>
      </c>
      <c r="E344" s="298"/>
      <c r="F344" s="298"/>
      <c r="G344" s="253" t="s">
        <v>686</v>
      </c>
      <c r="H344" s="252" t="s">
        <v>160</v>
      </c>
      <c r="I344" s="325">
        <v>1</v>
      </c>
      <c r="J344" s="334">
        <f>ROUND(185133*1.25,0)</f>
        <v>231416</v>
      </c>
      <c r="K344" s="340">
        <f t="shared" si="24"/>
        <v>231416</v>
      </c>
      <c r="L344" s="234"/>
      <c r="M344" s="232"/>
    </row>
    <row r="345" spans="1:13" ht="30" customHeight="1">
      <c r="A345" s="232"/>
      <c r="B345" s="233"/>
      <c r="C345" s="380" t="s">
        <v>687</v>
      </c>
      <c r="D345" s="380"/>
      <c r="E345" s="380"/>
      <c r="F345" s="380"/>
      <c r="G345" s="380"/>
      <c r="H345" s="380"/>
      <c r="I345" s="380"/>
      <c r="J345" s="380"/>
      <c r="K345" s="339">
        <f>SUM(K338:K344)</f>
        <v>7464901</v>
      </c>
      <c r="L345" s="234"/>
      <c r="M345" s="232"/>
    </row>
    <row r="346" spans="1:13" ht="30" customHeight="1" thickBot="1">
      <c r="A346" s="232"/>
      <c r="B346" s="233"/>
      <c r="C346" s="380" t="s">
        <v>688</v>
      </c>
      <c r="D346" s="380"/>
      <c r="E346" s="380"/>
      <c r="F346" s="380"/>
      <c r="G346" s="380"/>
      <c r="H346" s="380"/>
      <c r="I346" s="380"/>
      <c r="J346" s="380"/>
      <c r="K346" s="357">
        <f>K327+K333+K336+K345</f>
        <v>36297559</v>
      </c>
      <c r="L346" s="234"/>
      <c r="M346" s="232"/>
    </row>
    <row r="347" spans="1:13" ht="30" customHeight="1" thickBot="1">
      <c r="A347" s="232"/>
      <c r="B347" s="233"/>
      <c r="C347" s="374" t="s">
        <v>689</v>
      </c>
      <c r="D347" s="375"/>
      <c r="E347" s="375"/>
      <c r="F347" s="375"/>
      <c r="G347" s="375"/>
      <c r="H347" s="375"/>
      <c r="I347" s="375"/>
      <c r="J347" s="375"/>
      <c r="K347" s="376"/>
      <c r="L347" s="234"/>
      <c r="M347" s="232"/>
    </row>
    <row r="348" spans="1:13" ht="30" customHeight="1">
      <c r="A348" s="232"/>
      <c r="B348" s="233"/>
      <c r="C348" s="374" t="s">
        <v>690</v>
      </c>
      <c r="D348" s="375"/>
      <c r="E348" s="375"/>
      <c r="F348" s="375"/>
      <c r="G348" s="375"/>
      <c r="H348" s="375"/>
      <c r="I348" s="375"/>
      <c r="J348" s="375"/>
      <c r="K348" s="376"/>
      <c r="L348" s="234"/>
      <c r="M348" s="232"/>
    </row>
    <row r="349" spans="1:13" ht="82.8">
      <c r="A349" s="232"/>
      <c r="B349" s="233"/>
      <c r="C349" s="298"/>
      <c r="D349" s="252" t="s">
        <v>691</v>
      </c>
      <c r="E349" s="298"/>
      <c r="F349" s="298"/>
      <c r="G349" s="253" t="s">
        <v>724</v>
      </c>
      <c r="H349" s="252" t="s">
        <v>160</v>
      </c>
      <c r="I349" s="325">
        <v>6</v>
      </c>
      <c r="J349" s="341">
        <f>ROUND(184515.27*1.25,0)</f>
        <v>230644</v>
      </c>
      <c r="K349" s="340">
        <f>I349*J349</f>
        <v>1383864</v>
      </c>
      <c r="L349" s="234"/>
      <c r="M349" s="232"/>
    </row>
    <row r="350" spans="1:13" ht="124.2">
      <c r="A350" s="232"/>
      <c r="B350" s="233"/>
      <c r="C350" s="298"/>
      <c r="D350" s="252" t="s">
        <v>692</v>
      </c>
      <c r="E350" s="298"/>
      <c r="F350" s="298"/>
      <c r="G350" s="253" t="s">
        <v>725</v>
      </c>
      <c r="H350" s="252" t="s">
        <v>161</v>
      </c>
      <c r="I350" s="325">
        <v>194</v>
      </c>
      <c r="J350" s="341">
        <f>ROUND(41630*1.25,0)</f>
        <v>52038</v>
      </c>
      <c r="K350" s="340">
        <f t="shared" ref="K350:K380" si="25">I350*J350</f>
        <v>10095372</v>
      </c>
      <c r="L350" s="234"/>
      <c r="M350" s="232"/>
    </row>
    <row r="351" spans="1:13" ht="220.8">
      <c r="A351" s="232"/>
      <c r="B351" s="233"/>
      <c r="C351" s="298"/>
      <c r="D351" s="252" t="s">
        <v>693</v>
      </c>
      <c r="E351" s="298"/>
      <c r="F351" s="298"/>
      <c r="G351" s="253" t="s">
        <v>726</v>
      </c>
      <c r="H351" s="252" t="s">
        <v>160</v>
      </c>
      <c r="I351" s="325">
        <v>89</v>
      </c>
      <c r="J351" s="341">
        <f>ROUND(114698*1.25,0)</f>
        <v>143373</v>
      </c>
      <c r="K351" s="340">
        <f t="shared" si="25"/>
        <v>12760197</v>
      </c>
      <c r="L351" s="234"/>
      <c r="M351" s="232"/>
    </row>
    <row r="352" spans="1:13" ht="55.2">
      <c r="A352" s="232"/>
      <c r="B352" s="233"/>
      <c r="C352" s="298"/>
      <c r="D352" s="252" t="s">
        <v>694</v>
      </c>
      <c r="E352" s="298"/>
      <c r="F352" s="298"/>
      <c r="G352" s="253" t="s">
        <v>727</v>
      </c>
      <c r="H352" s="252" t="s">
        <v>160</v>
      </c>
      <c r="I352" s="325">
        <v>2</v>
      </c>
      <c r="J352" s="341">
        <f>ROUND(353327.41*1.25,0)</f>
        <v>441659</v>
      </c>
      <c r="K352" s="340">
        <f t="shared" si="25"/>
        <v>883318</v>
      </c>
      <c r="L352" s="234"/>
      <c r="M352" s="232"/>
    </row>
    <row r="353" spans="1:13" ht="55.2">
      <c r="A353" s="232"/>
      <c r="B353" s="233"/>
      <c r="C353" s="298"/>
      <c r="D353" s="252" t="s">
        <v>695</v>
      </c>
      <c r="E353" s="298"/>
      <c r="F353" s="298"/>
      <c r="G353" s="253" t="s">
        <v>728</v>
      </c>
      <c r="H353" s="252" t="s">
        <v>160</v>
      </c>
      <c r="I353" s="325">
        <v>1</v>
      </c>
      <c r="J353" s="341">
        <f>ROUND(353327.41*1.25,0)</f>
        <v>441659</v>
      </c>
      <c r="K353" s="340">
        <f t="shared" si="25"/>
        <v>441659</v>
      </c>
      <c r="L353" s="234"/>
      <c r="M353" s="232"/>
    </row>
    <row r="354" spans="1:13" ht="55.2">
      <c r="A354" s="232"/>
      <c r="B354" s="233"/>
      <c r="C354" s="298"/>
      <c r="D354" s="252" t="s">
        <v>696</v>
      </c>
      <c r="E354" s="298"/>
      <c r="F354" s="298"/>
      <c r="G354" s="253" t="s">
        <v>729</v>
      </c>
      <c r="H354" s="252" t="s">
        <v>160</v>
      </c>
      <c r="I354" s="325">
        <v>1</v>
      </c>
      <c r="J354" s="341">
        <f>ROUND(353327.41*1.25,0)</f>
        <v>441659</v>
      </c>
      <c r="K354" s="340">
        <f t="shared" si="25"/>
        <v>441659</v>
      </c>
      <c r="L354" s="234"/>
      <c r="M354" s="232"/>
    </row>
    <row r="355" spans="1:13" ht="55.2">
      <c r="A355" s="232"/>
      <c r="B355" s="233"/>
      <c r="C355" s="298"/>
      <c r="D355" s="252" t="s">
        <v>697</v>
      </c>
      <c r="E355" s="298"/>
      <c r="F355" s="298"/>
      <c r="G355" s="253" t="s">
        <v>730</v>
      </c>
      <c r="H355" s="252" t="s">
        <v>160</v>
      </c>
      <c r="I355" s="325">
        <v>1</v>
      </c>
      <c r="J355" s="341">
        <f>ROUND(354408.21*1.25,0)</f>
        <v>443010</v>
      </c>
      <c r="K355" s="340">
        <f t="shared" si="25"/>
        <v>443010</v>
      </c>
      <c r="L355" s="234"/>
      <c r="M355" s="232"/>
    </row>
    <row r="356" spans="1:13" ht="55.2">
      <c r="A356" s="232"/>
      <c r="B356" s="233"/>
      <c r="C356" s="298"/>
      <c r="D356" s="252" t="s">
        <v>698</v>
      </c>
      <c r="E356" s="298"/>
      <c r="F356" s="298"/>
      <c r="G356" s="253" t="s">
        <v>731</v>
      </c>
      <c r="H356" s="252" t="s">
        <v>160</v>
      </c>
      <c r="I356" s="325">
        <v>1</v>
      </c>
      <c r="J356" s="341">
        <f>ROUND(365227.41*1.25,0)</f>
        <v>456534</v>
      </c>
      <c r="K356" s="340">
        <f t="shared" si="25"/>
        <v>456534</v>
      </c>
      <c r="L356" s="234"/>
      <c r="M356" s="232"/>
    </row>
    <row r="357" spans="1:13" ht="41.4">
      <c r="A357" s="232"/>
      <c r="B357" s="233"/>
      <c r="C357" s="298"/>
      <c r="D357" s="252" t="s">
        <v>699</v>
      </c>
      <c r="E357" s="298"/>
      <c r="F357" s="298"/>
      <c r="G357" s="253" t="s">
        <v>732</v>
      </c>
      <c r="H357" s="252" t="s">
        <v>160</v>
      </c>
      <c r="I357" s="325">
        <v>57</v>
      </c>
      <c r="J357" s="341">
        <f>ROUND(18974.21*1.25,0)</f>
        <v>23718</v>
      </c>
      <c r="K357" s="340">
        <f t="shared" si="25"/>
        <v>1351926</v>
      </c>
      <c r="L357" s="234"/>
      <c r="M357" s="232"/>
    </row>
    <row r="358" spans="1:13" ht="179.4">
      <c r="A358" s="232"/>
      <c r="B358" s="233"/>
      <c r="C358" s="298"/>
      <c r="D358" s="252" t="s">
        <v>700</v>
      </c>
      <c r="E358" s="298"/>
      <c r="F358" s="298"/>
      <c r="G358" s="253" t="s">
        <v>733</v>
      </c>
      <c r="H358" s="252" t="s">
        <v>160</v>
      </c>
      <c r="I358" s="325">
        <v>2</v>
      </c>
      <c r="J358" s="341">
        <f>ROUND(766843.7*1.25,0)</f>
        <v>958555</v>
      </c>
      <c r="K358" s="340">
        <f t="shared" si="25"/>
        <v>1917110</v>
      </c>
      <c r="L358" s="234"/>
      <c r="M358" s="232"/>
    </row>
    <row r="359" spans="1:13" ht="179.4">
      <c r="A359" s="232"/>
      <c r="B359" s="233"/>
      <c r="C359" s="298"/>
      <c r="D359" s="252" t="s">
        <v>701</v>
      </c>
      <c r="E359" s="298"/>
      <c r="F359" s="298"/>
      <c r="G359" s="253" t="s">
        <v>734</v>
      </c>
      <c r="H359" s="252" t="s">
        <v>160</v>
      </c>
      <c r="I359" s="325">
        <v>1</v>
      </c>
      <c r="J359" s="341">
        <f>ROUND(1035887.76*1.25,0)</f>
        <v>1294860</v>
      </c>
      <c r="K359" s="340">
        <f t="shared" si="25"/>
        <v>1294860</v>
      </c>
      <c r="L359" s="234"/>
      <c r="M359" s="232"/>
    </row>
    <row r="360" spans="1:13" ht="234.6">
      <c r="A360" s="232"/>
      <c r="B360" s="233"/>
      <c r="C360" s="298"/>
      <c r="D360" s="252" t="s">
        <v>702</v>
      </c>
      <c r="E360" s="298"/>
      <c r="F360" s="298"/>
      <c r="G360" s="253" t="s">
        <v>735</v>
      </c>
      <c r="H360" s="252" t="s">
        <v>160</v>
      </c>
      <c r="I360" s="325">
        <v>1</v>
      </c>
      <c r="J360" s="341">
        <f>ROUND(203619*1.25,0)</f>
        <v>254524</v>
      </c>
      <c r="K360" s="340">
        <f t="shared" si="25"/>
        <v>254524</v>
      </c>
      <c r="L360" s="234"/>
      <c r="M360" s="232"/>
    </row>
    <row r="361" spans="1:13" ht="234.6">
      <c r="A361" s="232"/>
      <c r="B361" s="233"/>
      <c r="C361" s="298"/>
      <c r="D361" s="252" t="s">
        <v>703</v>
      </c>
      <c r="E361" s="298"/>
      <c r="F361" s="298"/>
      <c r="G361" s="253" t="s">
        <v>736</v>
      </c>
      <c r="H361" s="252" t="s">
        <v>160</v>
      </c>
      <c r="I361" s="325">
        <v>1</v>
      </c>
      <c r="J361" s="341">
        <f>ROUND(115628.66*1.25,0)</f>
        <v>144536</v>
      </c>
      <c r="K361" s="340">
        <f t="shared" si="25"/>
        <v>144536</v>
      </c>
      <c r="L361" s="234"/>
      <c r="M361" s="232"/>
    </row>
    <row r="362" spans="1:13" ht="220.8">
      <c r="A362" s="232"/>
      <c r="B362" s="233"/>
      <c r="C362" s="298"/>
      <c r="D362" s="252" t="s">
        <v>704</v>
      </c>
      <c r="E362" s="298"/>
      <c r="F362" s="298"/>
      <c r="G362" s="253" t="s">
        <v>737</v>
      </c>
      <c r="H362" s="252" t="s">
        <v>160</v>
      </c>
      <c r="I362" s="325">
        <v>2</v>
      </c>
      <c r="J362" s="341">
        <f>ROUND(221659*1.25,0)</f>
        <v>277074</v>
      </c>
      <c r="K362" s="340">
        <f t="shared" si="25"/>
        <v>554148</v>
      </c>
      <c r="L362" s="234"/>
      <c r="M362" s="232"/>
    </row>
    <row r="363" spans="1:13" ht="41.4">
      <c r="A363" s="232"/>
      <c r="B363" s="233"/>
      <c r="C363" s="298"/>
      <c r="D363" s="252" t="s">
        <v>705</v>
      </c>
      <c r="E363" s="298"/>
      <c r="F363" s="298"/>
      <c r="G363" s="253" t="s">
        <v>738</v>
      </c>
      <c r="H363" s="252" t="s">
        <v>160</v>
      </c>
      <c r="I363" s="325">
        <v>2</v>
      </c>
      <c r="J363" s="341">
        <f>ROUND(15173.01*1.25,0)</f>
        <v>18966</v>
      </c>
      <c r="K363" s="340">
        <f t="shared" si="25"/>
        <v>37932</v>
      </c>
      <c r="L363" s="234"/>
      <c r="M363" s="232"/>
    </row>
    <row r="364" spans="1:13" ht="41.4">
      <c r="A364" s="232"/>
      <c r="B364" s="233"/>
      <c r="C364" s="298"/>
      <c r="D364" s="252" t="s">
        <v>706</v>
      </c>
      <c r="E364" s="298"/>
      <c r="F364" s="298"/>
      <c r="G364" s="253" t="s">
        <v>739</v>
      </c>
      <c r="H364" s="252" t="s">
        <v>160</v>
      </c>
      <c r="I364" s="325">
        <v>4</v>
      </c>
      <c r="J364" s="341">
        <f>ROUND(27305.01*1.25,0)</f>
        <v>34131</v>
      </c>
      <c r="K364" s="340">
        <f t="shared" si="25"/>
        <v>136524</v>
      </c>
      <c r="L364" s="234"/>
      <c r="M364" s="232"/>
    </row>
    <row r="365" spans="1:13" ht="124.2">
      <c r="A365" s="232"/>
      <c r="B365" s="233"/>
      <c r="C365" s="298"/>
      <c r="D365" s="252" t="s">
        <v>707</v>
      </c>
      <c r="E365" s="298"/>
      <c r="F365" s="298"/>
      <c r="G365" s="253" t="s">
        <v>740</v>
      </c>
      <c r="H365" s="252" t="s">
        <v>161</v>
      </c>
      <c r="I365" s="325">
        <v>254</v>
      </c>
      <c r="J365" s="341">
        <f>ROUND(127630.43*1.25,0)</f>
        <v>159538</v>
      </c>
      <c r="K365" s="340">
        <f t="shared" si="25"/>
        <v>40522652</v>
      </c>
      <c r="L365" s="234"/>
      <c r="M365" s="232"/>
    </row>
    <row r="366" spans="1:13" ht="234.6">
      <c r="A366" s="232"/>
      <c r="B366" s="233"/>
      <c r="C366" s="298"/>
      <c r="D366" s="252" t="s">
        <v>708</v>
      </c>
      <c r="E366" s="298"/>
      <c r="F366" s="298"/>
      <c r="G366" s="253" t="s">
        <v>741</v>
      </c>
      <c r="H366" s="252" t="s">
        <v>160</v>
      </c>
      <c r="I366" s="325">
        <v>1</v>
      </c>
      <c r="J366" s="341">
        <f>ROUND(235650*1.25,0)</f>
        <v>294563</v>
      </c>
      <c r="K366" s="340">
        <f t="shared" si="25"/>
        <v>294563</v>
      </c>
      <c r="L366" s="234"/>
      <c r="M366" s="232"/>
    </row>
    <row r="367" spans="1:13" ht="234.6">
      <c r="A367" s="232"/>
      <c r="B367" s="233"/>
      <c r="C367" s="298"/>
      <c r="D367" s="252" t="s">
        <v>709</v>
      </c>
      <c r="E367" s="298"/>
      <c r="F367" s="298"/>
      <c r="G367" s="253" t="s">
        <v>742</v>
      </c>
      <c r="H367" s="252" t="s">
        <v>160</v>
      </c>
      <c r="I367" s="325">
        <v>1</v>
      </c>
      <c r="J367" s="341">
        <f>ROUND(124876.02*1.25,0)</f>
        <v>156095</v>
      </c>
      <c r="K367" s="340">
        <f t="shared" si="25"/>
        <v>156095</v>
      </c>
      <c r="L367" s="234"/>
      <c r="M367" s="232"/>
    </row>
    <row r="368" spans="1:13" ht="41.4">
      <c r="A368" s="232"/>
      <c r="B368" s="233"/>
      <c r="C368" s="298"/>
      <c r="D368" s="252" t="s">
        <v>710</v>
      </c>
      <c r="E368" s="298"/>
      <c r="F368" s="298"/>
      <c r="G368" s="253" t="s">
        <v>743</v>
      </c>
      <c r="H368" s="252" t="s">
        <v>160</v>
      </c>
      <c r="I368" s="325">
        <v>2</v>
      </c>
      <c r="J368" s="341">
        <f>ROUND(47471.33*1.25,0)</f>
        <v>59339</v>
      </c>
      <c r="K368" s="340">
        <f t="shared" si="25"/>
        <v>118678</v>
      </c>
      <c r="L368" s="234"/>
      <c r="M368" s="232"/>
    </row>
    <row r="369" spans="1:13" ht="179.4">
      <c r="A369" s="232"/>
      <c r="B369" s="233"/>
      <c r="C369" s="298"/>
      <c r="D369" s="252" t="s">
        <v>711</v>
      </c>
      <c r="E369" s="298"/>
      <c r="F369" s="298"/>
      <c r="G369" s="253" t="s">
        <v>744</v>
      </c>
      <c r="H369" s="252" t="s">
        <v>160</v>
      </c>
      <c r="I369" s="325">
        <v>2</v>
      </c>
      <c r="J369" s="341">
        <f>ROUND(604972.54*1.25,0)</f>
        <v>756216</v>
      </c>
      <c r="K369" s="340">
        <f t="shared" si="25"/>
        <v>1512432</v>
      </c>
      <c r="L369" s="234"/>
      <c r="M369" s="232"/>
    </row>
    <row r="370" spans="1:13" ht="138">
      <c r="A370" s="232"/>
      <c r="B370" s="233"/>
      <c r="C370" s="298"/>
      <c r="D370" s="252" t="s">
        <v>712</v>
      </c>
      <c r="E370" s="298"/>
      <c r="F370" s="298"/>
      <c r="G370" s="253" t="s">
        <v>745</v>
      </c>
      <c r="H370" s="252" t="s">
        <v>161</v>
      </c>
      <c r="I370" s="325">
        <v>85</v>
      </c>
      <c r="J370" s="341">
        <f>ROUND(71291.81*1.25,0)</f>
        <v>89115</v>
      </c>
      <c r="K370" s="340">
        <f t="shared" si="25"/>
        <v>7574775</v>
      </c>
      <c r="L370" s="234"/>
      <c r="M370" s="232"/>
    </row>
    <row r="371" spans="1:13" ht="41.4">
      <c r="A371" s="232"/>
      <c r="B371" s="233"/>
      <c r="C371" s="298"/>
      <c r="D371" s="252" t="s">
        <v>713</v>
      </c>
      <c r="E371" s="298"/>
      <c r="F371" s="298"/>
      <c r="G371" s="253" t="s">
        <v>746</v>
      </c>
      <c r="H371" s="252" t="s">
        <v>160</v>
      </c>
      <c r="I371" s="325">
        <v>1</v>
      </c>
      <c r="J371" s="341">
        <f>ROUND(559133*1.25,0)</f>
        <v>698916</v>
      </c>
      <c r="K371" s="340">
        <f t="shared" si="25"/>
        <v>698916</v>
      </c>
      <c r="L371" s="234"/>
      <c r="M371" s="232"/>
    </row>
    <row r="372" spans="1:13" ht="41.4">
      <c r="A372" s="232"/>
      <c r="B372" s="233"/>
      <c r="C372" s="298"/>
      <c r="D372" s="252" t="s">
        <v>714</v>
      </c>
      <c r="E372" s="298"/>
      <c r="F372" s="298"/>
      <c r="G372" s="253" t="s">
        <v>747</v>
      </c>
      <c r="H372" s="252" t="s">
        <v>160</v>
      </c>
      <c r="I372" s="325">
        <v>2</v>
      </c>
      <c r="J372" s="341">
        <f>ROUND(541763.27*1.25,0)</f>
        <v>677204</v>
      </c>
      <c r="K372" s="340">
        <f t="shared" si="25"/>
        <v>1354408</v>
      </c>
      <c r="L372" s="234"/>
      <c r="M372" s="232"/>
    </row>
    <row r="373" spans="1:13" ht="165.6">
      <c r="A373" s="232"/>
      <c r="B373" s="233"/>
      <c r="C373" s="298"/>
      <c r="D373" s="252" t="s">
        <v>715</v>
      </c>
      <c r="E373" s="298"/>
      <c r="F373" s="298"/>
      <c r="G373" s="253" t="s">
        <v>748</v>
      </c>
      <c r="H373" s="252" t="s">
        <v>161</v>
      </c>
      <c r="I373" s="325">
        <v>4</v>
      </c>
      <c r="J373" s="341">
        <f>ROUND(372413*1.25,0)</f>
        <v>465516</v>
      </c>
      <c r="K373" s="340">
        <f t="shared" si="25"/>
        <v>1862064</v>
      </c>
      <c r="L373" s="234"/>
      <c r="M373" s="232"/>
    </row>
    <row r="374" spans="1:13" ht="165.6">
      <c r="A374" s="232"/>
      <c r="B374" s="233"/>
      <c r="C374" s="298"/>
      <c r="D374" s="252" t="s">
        <v>716</v>
      </c>
      <c r="E374" s="298"/>
      <c r="F374" s="298"/>
      <c r="G374" s="253" t="s">
        <v>749</v>
      </c>
      <c r="H374" s="252" t="s">
        <v>161</v>
      </c>
      <c r="I374" s="325">
        <v>46</v>
      </c>
      <c r="J374" s="341">
        <f>ROUND(29369*1.25,0)</f>
        <v>36711</v>
      </c>
      <c r="K374" s="340">
        <f t="shared" si="25"/>
        <v>1688706</v>
      </c>
      <c r="L374" s="234"/>
      <c r="M374" s="232"/>
    </row>
    <row r="375" spans="1:13" ht="96.6">
      <c r="A375" s="232"/>
      <c r="B375" s="233"/>
      <c r="C375" s="298"/>
      <c r="D375" s="252" t="s">
        <v>717</v>
      </c>
      <c r="E375" s="298"/>
      <c r="F375" s="298"/>
      <c r="G375" s="253" t="s">
        <v>750</v>
      </c>
      <c r="H375" s="252" t="s">
        <v>160</v>
      </c>
      <c r="I375" s="325">
        <v>1</v>
      </c>
      <c r="J375" s="341">
        <f>ROUND(457142.47*1.25,0)</f>
        <v>571428</v>
      </c>
      <c r="K375" s="340">
        <f t="shared" si="25"/>
        <v>571428</v>
      </c>
      <c r="L375" s="234"/>
      <c r="M375" s="232"/>
    </row>
    <row r="376" spans="1:13" ht="82.8">
      <c r="A376" s="232"/>
      <c r="B376" s="233"/>
      <c r="C376" s="298"/>
      <c r="D376" s="252" t="s">
        <v>718</v>
      </c>
      <c r="E376" s="298"/>
      <c r="F376" s="298"/>
      <c r="G376" s="253" t="s">
        <v>751</v>
      </c>
      <c r="H376" s="252" t="s">
        <v>160</v>
      </c>
      <c r="I376" s="325">
        <v>17</v>
      </c>
      <c r="J376" s="341">
        <f>ROUND(498335.84*1.25,0)</f>
        <v>622920</v>
      </c>
      <c r="K376" s="340">
        <f t="shared" si="25"/>
        <v>10589640</v>
      </c>
      <c r="L376" s="234"/>
      <c r="M376" s="232"/>
    </row>
    <row r="377" spans="1:13" ht="55.2">
      <c r="A377" s="232"/>
      <c r="B377" s="233"/>
      <c r="C377" s="298"/>
      <c r="D377" s="252" t="s">
        <v>719</v>
      </c>
      <c r="E377" s="298"/>
      <c r="F377" s="298"/>
      <c r="G377" s="253" t="s">
        <v>752</v>
      </c>
      <c r="H377" s="252" t="s">
        <v>160</v>
      </c>
      <c r="I377" s="325">
        <v>66</v>
      </c>
      <c r="J377" s="341">
        <f>ROUND(83424.39*1.25,0)</f>
        <v>104280</v>
      </c>
      <c r="K377" s="340">
        <f t="shared" si="25"/>
        <v>6882480</v>
      </c>
      <c r="L377" s="234"/>
      <c r="M377" s="232"/>
    </row>
    <row r="378" spans="1:13" ht="41.4">
      <c r="A378" s="232"/>
      <c r="B378" s="233"/>
      <c r="C378" s="298"/>
      <c r="D378" s="252" t="s">
        <v>720</v>
      </c>
      <c r="E378" s="298"/>
      <c r="F378" s="298"/>
      <c r="G378" s="253" t="s">
        <v>753</v>
      </c>
      <c r="H378" s="252" t="s">
        <v>161</v>
      </c>
      <c r="I378" s="325">
        <v>482</v>
      </c>
      <c r="J378" s="341">
        <f>ROUND(14071.33*1.25,0)</f>
        <v>17589</v>
      </c>
      <c r="K378" s="340">
        <f t="shared" si="25"/>
        <v>8477898</v>
      </c>
      <c r="L378" s="234"/>
      <c r="M378" s="232"/>
    </row>
    <row r="379" spans="1:13" ht="41.4">
      <c r="A379" s="232"/>
      <c r="B379" s="233"/>
      <c r="C379" s="298"/>
      <c r="D379" s="252" t="s">
        <v>721</v>
      </c>
      <c r="E379" s="298"/>
      <c r="F379" s="298"/>
      <c r="G379" s="253" t="s">
        <v>754</v>
      </c>
      <c r="H379" s="252" t="s">
        <v>161</v>
      </c>
      <c r="I379" s="325">
        <v>66</v>
      </c>
      <c r="J379" s="341">
        <f>ROUND(5097*1.25,0)</f>
        <v>6371</v>
      </c>
      <c r="K379" s="340">
        <f t="shared" si="25"/>
        <v>420486</v>
      </c>
      <c r="L379" s="234"/>
      <c r="M379" s="232"/>
    </row>
    <row r="380" spans="1:13" ht="55.2">
      <c r="A380" s="232"/>
      <c r="B380" s="233"/>
      <c r="C380" s="298"/>
      <c r="D380" s="252" t="s">
        <v>722</v>
      </c>
      <c r="E380" s="298"/>
      <c r="F380" s="298"/>
      <c r="G380" s="253" t="s">
        <v>755</v>
      </c>
      <c r="H380" s="252" t="s">
        <v>161</v>
      </c>
      <c r="I380" s="325">
        <v>216</v>
      </c>
      <c r="J380" s="341">
        <f>ROUND(5093.01*1.25,0)</f>
        <v>6366</v>
      </c>
      <c r="K380" s="340">
        <f t="shared" si="25"/>
        <v>1375056</v>
      </c>
      <c r="L380" s="234"/>
      <c r="M380" s="232"/>
    </row>
    <row r="381" spans="1:13" ht="30" customHeight="1" thickBot="1">
      <c r="A381" s="232"/>
      <c r="B381" s="233"/>
      <c r="C381" s="380" t="s">
        <v>723</v>
      </c>
      <c r="D381" s="380"/>
      <c r="E381" s="380"/>
      <c r="F381" s="380"/>
      <c r="G381" s="380"/>
      <c r="H381" s="380"/>
      <c r="I381" s="380"/>
      <c r="J381" s="380"/>
      <c r="K381" s="339">
        <f>SUM(K349:K380)</f>
        <v>116697450</v>
      </c>
      <c r="L381" s="234"/>
      <c r="M381" s="232"/>
    </row>
    <row r="382" spans="1:13" ht="30" customHeight="1">
      <c r="A382" s="232"/>
      <c r="B382" s="233"/>
      <c r="C382" s="374" t="s">
        <v>756</v>
      </c>
      <c r="D382" s="375"/>
      <c r="E382" s="375"/>
      <c r="F382" s="375"/>
      <c r="G382" s="375"/>
      <c r="H382" s="375"/>
      <c r="I382" s="375"/>
      <c r="J382" s="375"/>
      <c r="K382" s="376"/>
      <c r="L382" s="234"/>
      <c r="M382" s="232"/>
    </row>
    <row r="383" spans="1:13" ht="179.4">
      <c r="A383" s="232"/>
      <c r="B383" s="233"/>
      <c r="C383" s="298"/>
      <c r="D383" s="298" t="s">
        <v>758</v>
      </c>
      <c r="E383" s="298"/>
      <c r="F383" s="298"/>
      <c r="G383" s="253" t="s">
        <v>767</v>
      </c>
      <c r="H383" s="252" t="s">
        <v>160</v>
      </c>
      <c r="I383" s="325">
        <v>246</v>
      </c>
      <c r="J383" s="341">
        <f>ROUND(106066.42*1.25,0)</f>
        <v>132583</v>
      </c>
      <c r="K383" s="340">
        <f>ROUND(I383*J383,0)</f>
        <v>32615418</v>
      </c>
      <c r="L383" s="234"/>
      <c r="M383" s="232"/>
    </row>
    <row r="384" spans="1:13" ht="124.2">
      <c r="A384" s="232"/>
      <c r="B384" s="233"/>
      <c r="C384" s="298"/>
      <c r="D384" s="298" t="s">
        <v>759</v>
      </c>
      <c r="E384" s="298"/>
      <c r="F384" s="298"/>
      <c r="G384" s="253" t="s">
        <v>768</v>
      </c>
      <c r="H384" s="252" t="s">
        <v>160</v>
      </c>
      <c r="I384" s="325">
        <v>58</v>
      </c>
      <c r="J384" s="342">
        <f>ROUND(70222.92*1.25,0)</f>
        <v>87779</v>
      </c>
      <c r="K384" s="340">
        <f t="shared" ref="K384:K391" si="26">ROUND(I384*J384,0)</f>
        <v>5091182</v>
      </c>
      <c r="L384" s="234"/>
      <c r="M384" s="232"/>
    </row>
    <row r="385" spans="1:13" ht="220.8">
      <c r="A385" s="232"/>
      <c r="B385" s="233"/>
      <c r="C385" s="298"/>
      <c r="D385" s="298" t="s">
        <v>760</v>
      </c>
      <c r="E385" s="298"/>
      <c r="F385" s="298"/>
      <c r="G385" s="253" t="s">
        <v>769</v>
      </c>
      <c r="H385" s="252" t="s">
        <v>160</v>
      </c>
      <c r="I385" s="325">
        <v>31</v>
      </c>
      <c r="J385" s="342">
        <f>ROUND(130750.36*1.25,0)</f>
        <v>163438</v>
      </c>
      <c r="K385" s="340">
        <f t="shared" si="26"/>
        <v>5066578</v>
      </c>
      <c r="L385" s="234"/>
      <c r="M385" s="232"/>
    </row>
    <row r="386" spans="1:13" ht="179.4">
      <c r="A386" s="232"/>
      <c r="B386" s="233"/>
      <c r="C386" s="298"/>
      <c r="D386" s="298" t="s">
        <v>761</v>
      </c>
      <c r="E386" s="298"/>
      <c r="F386" s="298"/>
      <c r="G386" s="253" t="s">
        <v>770</v>
      </c>
      <c r="H386" s="252" t="s">
        <v>160</v>
      </c>
      <c r="I386" s="325">
        <v>27</v>
      </c>
      <c r="J386" s="342">
        <f>ROUND(81904.06*1.25,0)</f>
        <v>102380</v>
      </c>
      <c r="K386" s="340">
        <f t="shared" si="26"/>
        <v>2764260</v>
      </c>
      <c r="L386" s="234"/>
      <c r="M386" s="232"/>
    </row>
    <row r="387" spans="1:13" ht="193.2">
      <c r="A387" s="232"/>
      <c r="B387" s="233"/>
      <c r="C387" s="298"/>
      <c r="D387" s="298" t="s">
        <v>762</v>
      </c>
      <c r="E387" s="298"/>
      <c r="F387" s="298"/>
      <c r="G387" s="253" t="s">
        <v>771</v>
      </c>
      <c r="H387" s="252" t="s">
        <v>160</v>
      </c>
      <c r="I387" s="325">
        <v>9</v>
      </c>
      <c r="J387" s="342">
        <f>ROUND(101394*1.25,0)</f>
        <v>126743</v>
      </c>
      <c r="K387" s="340">
        <f t="shared" si="26"/>
        <v>1140687</v>
      </c>
      <c r="L387" s="234"/>
      <c r="M387" s="232"/>
    </row>
    <row r="388" spans="1:13" ht="193.2">
      <c r="A388" s="232"/>
      <c r="B388" s="233"/>
      <c r="C388" s="298"/>
      <c r="D388" s="298" t="s">
        <v>763</v>
      </c>
      <c r="E388" s="298"/>
      <c r="F388" s="298"/>
      <c r="G388" s="253" t="s">
        <v>772</v>
      </c>
      <c r="H388" s="252" t="s">
        <v>160</v>
      </c>
      <c r="I388" s="325">
        <v>1</v>
      </c>
      <c r="J388" s="342">
        <f>ROUND(138194.06*1.25,0)</f>
        <v>172743</v>
      </c>
      <c r="K388" s="340">
        <f t="shared" si="26"/>
        <v>172743</v>
      </c>
      <c r="L388" s="234"/>
      <c r="M388" s="232"/>
    </row>
    <row r="389" spans="1:13" ht="207">
      <c r="A389" s="232"/>
      <c r="B389" s="233"/>
      <c r="C389" s="298"/>
      <c r="D389" s="298" t="s">
        <v>764</v>
      </c>
      <c r="E389" s="298"/>
      <c r="F389" s="298"/>
      <c r="G389" s="253" t="s">
        <v>773</v>
      </c>
      <c r="H389" s="252" t="s">
        <v>160</v>
      </c>
      <c r="I389" s="325">
        <v>4</v>
      </c>
      <c r="J389" s="342">
        <f>ROUND(97886*1.25,0)</f>
        <v>122358</v>
      </c>
      <c r="K389" s="340">
        <f t="shared" si="26"/>
        <v>489432</v>
      </c>
      <c r="L389" s="234"/>
      <c r="M389" s="232"/>
    </row>
    <row r="390" spans="1:13" ht="220.8">
      <c r="A390" s="232"/>
      <c r="B390" s="233"/>
      <c r="C390" s="298"/>
      <c r="D390" s="298" t="s">
        <v>765</v>
      </c>
      <c r="E390" s="298"/>
      <c r="F390" s="298"/>
      <c r="G390" s="253" t="s">
        <v>774</v>
      </c>
      <c r="H390" s="252" t="s">
        <v>160</v>
      </c>
      <c r="I390" s="325">
        <v>4</v>
      </c>
      <c r="J390" s="342">
        <f>ROUND(97886*1.25,0)</f>
        <v>122358</v>
      </c>
      <c r="K390" s="340">
        <f t="shared" si="26"/>
        <v>489432</v>
      </c>
      <c r="L390" s="234"/>
      <c r="M390" s="232"/>
    </row>
    <row r="391" spans="1:13" ht="207">
      <c r="A391" s="232"/>
      <c r="B391" s="233"/>
      <c r="C391" s="298"/>
      <c r="D391" s="298" t="s">
        <v>766</v>
      </c>
      <c r="E391" s="298"/>
      <c r="F391" s="298"/>
      <c r="G391" s="253" t="s">
        <v>775</v>
      </c>
      <c r="H391" s="252" t="s">
        <v>160</v>
      </c>
      <c r="I391" s="325">
        <v>18</v>
      </c>
      <c r="J391" s="342">
        <f>ROUND(97886*1.25,0)</f>
        <v>122358</v>
      </c>
      <c r="K391" s="340">
        <f t="shared" si="26"/>
        <v>2202444</v>
      </c>
      <c r="L391" s="234"/>
      <c r="M391" s="232"/>
    </row>
    <row r="392" spans="1:13" ht="30" customHeight="1" thickBot="1">
      <c r="A392" s="232"/>
      <c r="B392" s="233"/>
      <c r="C392" s="380" t="s">
        <v>757</v>
      </c>
      <c r="D392" s="380"/>
      <c r="E392" s="380"/>
      <c r="F392" s="380"/>
      <c r="G392" s="380"/>
      <c r="H392" s="380"/>
      <c r="I392" s="380"/>
      <c r="J392" s="380"/>
      <c r="K392" s="339">
        <f>SUM(K383:K391)</f>
        <v>50032176</v>
      </c>
      <c r="L392" s="234"/>
      <c r="M392" s="232"/>
    </row>
    <row r="393" spans="1:13" ht="30" customHeight="1">
      <c r="A393" s="232"/>
      <c r="B393" s="233"/>
      <c r="C393" s="374" t="s">
        <v>776</v>
      </c>
      <c r="D393" s="375"/>
      <c r="E393" s="375"/>
      <c r="F393" s="375"/>
      <c r="G393" s="375"/>
      <c r="H393" s="375"/>
      <c r="I393" s="375"/>
      <c r="J393" s="375"/>
      <c r="K393" s="376"/>
      <c r="L393" s="234"/>
      <c r="M393" s="232"/>
    </row>
    <row r="394" spans="1:13" ht="82.8">
      <c r="A394" s="232"/>
      <c r="B394" s="233"/>
      <c r="C394" s="298"/>
      <c r="D394" s="252" t="s">
        <v>777</v>
      </c>
      <c r="E394" s="298"/>
      <c r="F394" s="298"/>
      <c r="G394" s="253" t="s">
        <v>800</v>
      </c>
      <c r="H394" s="252" t="s">
        <v>160</v>
      </c>
      <c r="I394" s="325">
        <v>8</v>
      </c>
      <c r="J394" s="341">
        <f>ROUND(42287.04*1.25,0)</f>
        <v>52859</v>
      </c>
      <c r="K394" s="340">
        <f>ROUND(I394*J394,0)</f>
        <v>422872</v>
      </c>
      <c r="L394" s="234"/>
      <c r="M394" s="232"/>
    </row>
    <row r="395" spans="1:13" ht="41.4">
      <c r="A395" s="232"/>
      <c r="B395" s="233"/>
      <c r="C395" s="298"/>
      <c r="D395" s="252" t="s">
        <v>778</v>
      </c>
      <c r="E395" s="298"/>
      <c r="F395" s="298"/>
      <c r="G395" s="253" t="s">
        <v>801</v>
      </c>
      <c r="H395" s="252" t="s">
        <v>160</v>
      </c>
      <c r="I395" s="325">
        <v>4</v>
      </c>
      <c r="J395" s="341">
        <f>ROUND(45287.04*1.25,0)</f>
        <v>56609</v>
      </c>
      <c r="K395" s="340">
        <f t="shared" ref="K395:K416" si="27">ROUND(I395*J395,0)</f>
        <v>226436</v>
      </c>
      <c r="L395" s="234"/>
      <c r="M395" s="232"/>
    </row>
    <row r="396" spans="1:13" ht="41.4">
      <c r="A396" s="232"/>
      <c r="B396" s="233"/>
      <c r="C396" s="298"/>
      <c r="D396" s="252" t="s">
        <v>779</v>
      </c>
      <c r="E396" s="298"/>
      <c r="F396" s="298"/>
      <c r="G396" s="253" t="s">
        <v>802</v>
      </c>
      <c r="H396" s="252" t="s">
        <v>160</v>
      </c>
      <c r="I396" s="325">
        <v>15</v>
      </c>
      <c r="J396" s="341">
        <f>ROUND(52287.04*1.25,0)</f>
        <v>65359</v>
      </c>
      <c r="K396" s="340">
        <f t="shared" si="27"/>
        <v>980385</v>
      </c>
      <c r="L396" s="234"/>
      <c r="M396" s="232"/>
    </row>
    <row r="397" spans="1:13" ht="41.4">
      <c r="A397" s="232"/>
      <c r="B397" s="233"/>
      <c r="C397" s="298"/>
      <c r="D397" s="252" t="s">
        <v>780</v>
      </c>
      <c r="E397" s="298"/>
      <c r="F397" s="298"/>
      <c r="G397" s="253" t="s">
        <v>803</v>
      </c>
      <c r="H397" s="252" t="s">
        <v>160</v>
      </c>
      <c r="I397" s="325">
        <v>14</v>
      </c>
      <c r="J397" s="341">
        <f>ROUND(67287.04*1.25,0)</f>
        <v>84109</v>
      </c>
      <c r="K397" s="340">
        <f t="shared" si="27"/>
        <v>1177526</v>
      </c>
      <c r="L397" s="234"/>
      <c r="M397" s="232"/>
    </row>
    <row r="398" spans="1:13" ht="41.4">
      <c r="A398" s="232"/>
      <c r="B398" s="233"/>
      <c r="C398" s="298"/>
      <c r="D398" s="252" t="s">
        <v>781</v>
      </c>
      <c r="E398" s="298"/>
      <c r="F398" s="298"/>
      <c r="G398" s="253" t="s">
        <v>804</v>
      </c>
      <c r="H398" s="252" t="s">
        <v>160</v>
      </c>
      <c r="I398" s="325">
        <v>18</v>
      </c>
      <c r="J398" s="341">
        <f>ROUND(80603.04*1.25,0)</f>
        <v>100754</v>
      </c>
      <c r="K398" s="340">
        <f t="shared" si="27"/>
        <v>1813572</v>
      </c>
      <c r="L398" s="234"/>
      <c r="M398" s="232"/>
    </row>
    <row r="399" spans="1:13" ht="55.2">
      <c r="A399" s="232"/>
      <c r="B399" s="233"/>
      <c r="C399" s="298"/>
      <c r="D399" s="252" t="s">
        <v>782</v>
      </c>
      <c r="E399" s="298"/>
      <c r="F399" s="298"/>
      <c r="G399" s="253" t="s">
        <v>805</v>
      </c>
      <c r="H399" s="252" t="s">
        <v>160</v>
      </c>
      <c r="I399" s="325">
        <v>24</v>
      </c>
      <c r="J399" s="341">
        <f>ROUND(88287.04*1.25,0)</f>
        <v>110359</v>
      </c>
      <c r="K399" s="340">
        <f t="shared" si="27"/>
        <v>2648616</v>
      </c>
      <c r="L399" s="234"/>
      <c r="M399" s="232"/>
    </row>
    <row r="400" spans="1:13" ht="82.8">
      <c r="A400" s="232"/>
      <c r="B400" s="233"/>
      <c r="C400" s="298"/>
      <c r="D400" s="252" t="s">
        <v>783</v>
      </c>
      <c r="E400" s="298"/>
      <c r="F400" s="298"/>
      <c r="G400" s="253" t="s">
        <v>806</v>
      </c>
      <c r="H400" s="252" t="s">
        <v>160</v>
      </c>
      <c r="I400" s="325">
        <v>14</v>
      </c>
      <c r="J400" s="341">
        <f>ROUND(104529.04*1.25,0)</f>
        <v>130661</v>
      </c>
      <c r="K400" s="340">
        <f t="shared" si="27"/>
        <v>1829254</v>
      </c>
      <c r="L400" s="234"/>
      <c r="M400" s="232"/>
    </row>
    <row r="401" spans="1:13" ht="55.2">
      <c r="A401" s="232"/>
      <c r="B401" s="233"/>
      <c r="C401" s="298"/>
      <c r="D401" s="252" t="s">
        <v>784</v>
      </c>
      <c r="E401" s="298"/>
      <c r="F401" s="298"/>
      <c r="G401" s="253" t="s">
        <v>807</v>
      </c>
      <c r="H401" s="252" t="s">
        <v>160</v>
      </c>
      <c r="I401" s="325">
        <v>94</v>
      </c>
      <c r="J401" s="341">
        <f>ROUND(130636.63*1.25,0)</f>
        <v>163296</v>
      </c>
      <c r="K401" s="340">
        <f t="shared" si="27"/>
        <v>15349824</v>
      </c>
      <c r="L401" s="234"/>
      <c r="M401" s="232"/>
    </row>
    <row r="402" spans="1:13" ht="82.8">
      <c r="A402" s="232"/>
      <c r="B402" s="233"/>
      <c r="C402" s="298"/>
      <c r="D402" s="252" t="s">
        <v>785</v>
      </c>
      <c r="E402" s="298"/>
      <c r="F402" s="298"/>
      <c r="G402" s="253" t="s">
        <v>808</v>
      </c>
      <c r="H402" s="252" t="s">
        <v>160</v>
      </c>
      <c r="I402" s="325">
        <v>2</v>
      </c>
      <c r="J402" s="341">
        <f>ROUND(140229.04*1.25,0)</f>
        <v>175286</v>
      </c>
      <c r="K402" s="340">
        <f t="shared" si="27"/>
        <v>350572</v>
      </c>
      <c r="L402" s="234"/>
      <c r="M402" s="232"/>
    </row>
    <row r="403" spans="1:13" ht="69">
      <c r="A403" s="232"/>
      <c r="B403" s="233"/>
      <c r="C403" s="298"/>
      <c r="D403" s="252" t="s">
        <v>786</v>
      </c>
      <c r="E403" s="298"/>
      <c r="F403" s="298"/>
      <c r="G403" s="253" t="s">
        <v>809</v>
      </c>
      <c r="H403" s="252" t="s">
        <v>160</v>
      </c>
      <c r="I403" s="325">
        <v>10</v>
      </c>
      <c r="J403" s="341">
        <f>ROUND(167803.23*1.25,0)</f>
        <v>209754</v>
      </c>
      <c r="K403" s="340">
        <f t="shared" si="27"/>
        <v>2097540</v>
      </c>
      <c r="L403" s="234"/>
      <c r="M403" s="232"/>
    </row>
    <row r="404" spans="1:13" ht="41.4">
      <c r="A404" s="232"/>
      <c r="B404" s="233"/>
      <c r="C404" s="298"/>
      <c r="D404" s="252" t="s">
        <v>787</v>
      </c>
      <c r="E404" s="298"/>
      <c r="F404" s="298"/>
      <c r="G404" s="253" t="s">
        <v>810</v>
      </c>
      <c r="H404" s="252" t="s">
        <v>160</v>
      </c>
      <c r="I404" s="325">
        <v>58</v>
      </c>
      <c r="J404" s="341">
        <f>ROUND(162895.09*1.25,0)</f>
        <v>203619</v>
      </c>
      <c r="K404" s="340">
        <f t="shared" si="27"/>
        <v>11809902</v>
      </c>
      <c r="L404" s="234"/>
      <c r="M404" s="232"/>
    </row>
    <row r="405" spans="1:13" ht="27.6">
      <c r="A405" s="232"/>
      <c r="B405" s="233"/>
      <c r="C405" s="298"/>
      <c r="D405" s="252" t="s">
        <v>788</v>
      </c>
      <c r="E405" s="298"/>
      <c r="F405" s="298"/>
      <c r="G405" s="253" t="s">
        <v>811</v>
      </c>
      <c r="H405" s="252" t="s">
        <v>160</v>
      </c>
      <c r="I405" s="325">
        <v>4</v>
      </c>
      <c r="J405" s="341">
        <f>ROUND(188000*1.25,0)</f>
        <v>235000</v>
      </c>
      <c r="K405" s="340">
        <f t="shared" si="27"/>
        <v>940000</v>
      </c>
      <c r="L405" s="234"/>
      <c r="M405" s="232"/>
    </row>
    <row r="406" spans="1:13" ht="69">
      <c r="A406" s="232"/>
      <c r="B406" s="233"/>
      <c r="C406" s="298"/>
      <c r="D406" s="252" t="s">
        <v>789</v>
      </c>
      <c r="E406" s="298"/>
      <c r="F406" s="298"/>
      <c r="G406" s="253" t="s">
        <v>812</v>
      </c>
      <c r="H406" s="252" t="s">
        <v>160</v>
      </c>
      <c r="I406" s="325">
        <v>12</v>
      </c>
      <c r="J406" s="341">
        <f>ROUND(286428.52*1.25,0)</f>
        <v>358036</v>
      </c>
      <c r="K406" s="340">
        <f t="shared" si="27"/>
        <v>4296432</v>
      </c>
      <c r="L406" s="234"/>
      <c r="M406" s="232"/>
    </row>
    <row r="407" spans="1:13" ht="69">
      <c r="A407" s="232"/>
      <c r="B407" s="233"/>
      <c r="C407" s="298"/>
      <c r="D407" s="252" t="s">
        <v>790</v>
      </c>
      <c r="E407" s="298"/>
      <c r="F407" s="298"/>
      <c r="G407" s="253" t="s">
        <v>813</v>
      </c>
      <c r="H407" s="252" t="s">
        <v>160</v>
      </c>
      <c r="I407" s="325">
        <v>34</v>
      </c>
      <c r="J407" s="341">
        <f>ROUND(256642.4*1.25,0)</f>
        <v>320803</v>
      </c>
      <c r="K407" s="340">
        <f t="shared" si="27"/>
        <v>10907302</v>
      </c>
      <c r="L407" s="234"/>
      <c r="M407" s="232"/>
    </row>
    <row r="408" spans="1:13" ht="55.2">
      <c r="A408" s="232"/>
      <c r="B408" s="233"/>
      <c r="C408" s="298"/>
      <c r="D408" s="252" t="s">
        <v>791</v>
      </c>
      <c r="E408" s="298"/>
      <c r="F408" s="298"/>
      <c r="G408" s="253" t="s">
        <v>814</v>
      </c>
      <c r="H408" s="252" t="s">
        <v>160</v>
      </c>
      <c r="I408" s="325">
        <v>48</v>
      </c>
      <c r="J408" s="341">
        <f>ROUND(318675.78*1.25,0)</f>
        <v>398345</v>
      </c>
      <c r="K408" s="340">
        <f t="shared" si="27"/>
        <v>19120560</v>
      </c>
      <c r="L408" s="234"/>
      <c r="M408" s="232"/>
    </row>
    <row r="409" spans="1:13" ht="55.2">
      <c r="A409" s="232"/>
      <c r="B409" s="233"/>
      <c r="C409" s="298"/>
      <c r="D409" s="252" t="s">
        <v>792</v>
      </c>
      <c r="E409" s="298"/>
      <c r="F409" s="298"/>
      <c r="G409" s="253" t="s">
        <v>815</v>
      </c>
      <c r="H409" s="252" t="s">
        <v>160</v>
      </c>
      <c r="I409" s="325">
        <v>22</v>
      </c>
      <c r="J409" s="341">
        <f>ROUND(318699.62*1.25,0)</f>
        <v>398375</v>
      </c>
      <c r="K409" s="340">
        <f t="shared" si="27"/>
        <v>8764250</v>
      </c>
      <c r="L409" s="234"/>
      <c r="M409" s="232"/>
    </row>
    <row r="410" spans="1:13" ht="55.2">
      <c r="A410" s="232"/>
      <c r="B410" s="233"/>
      <c r="C410" s="298"/>
      <c r="D410" s="252" t="s">
        <v>793</v>
      </c>
      <c r="E410" s="298"/>
      <c r="F410" s="298"/>
      <c r="G410" s="253" t="s">
        <v>816</v>
      </c>
      <c r="H410" s="252" t="s">
        <v>160</v>
      </c>
      <c r="I410" s="325">
        <v>18</v>
      </c>
      <c r="J410" s="341">
        <f>ROUND(367811.09*1.25,0)</f>
        <v>459764</v>
      </c>
      <c r="K410" s="340">
        <f t="shared" si="27"/>
        <v>8275752</v>
      </c>
      <c r="L410" s="234"/>
      <c r="M410" s="232"/>
    </row>
    <row r="411" spans="1:13" ht="55.2">
      <c r="A411" s="232"/>
      <c r="B411" s="233"/>
      <c r="C411" s="298"/>
      <c r="D411" s="252" t="s">
        <v>794</v>
      </c>
      <c r="E411" s="298"/>
      <c r="F411" s="298"/>
      <c r="G411" s="253" t="s">
        <v>817</v>
      </c>
      <c r="H411" s="252" t="s">
        <v>160</v>
      </c>
      <c r="I411" s="325">
        <v>31</v>
      </c>
      <c r="J411" s="341">
        <f>ROUND(406499.37*1.25,0)</f>
        <v>508124</v>
      </c>
      <c r="K411" s="340">
        <f t="shared" si="27"/>
        <v>15751844</v>
      </c>
      <c r="L411" s="234"/>
      <c r="M411" s="232"/>
    </row>
    <row r="412" spans="1:13" ht="41.4">
      <c r="A412" s="232"/>
      <c r="B412" s="233"/>
      <c r="C412" s="298"/>
      <c r="D412" s="252" t="s">
        <v>795</v>
      </c>
      <c r="E412" s="298"/>
      <c r="F412" s="298"/>
      <c r="G412" s="253" t="s">
        <v>818</v>
      </c>
      <c r="H412" s="252" t="s">
        <v>160</v>
      </c>
      <c r="I412" s="325">
        <v>12</v>
      </c>
      <c r="J412" s="341">
        <f>ROUND(420625.04*1.25,0)</f>
        <v>525781</v>
      </c>
      <c r="K412" s="340">
        <f t="shared" si="27"/>
        <v>6309372</v>
      </c>
      <c r="L412" s="234"/>
      <c r="M412" s="232"/>
    </row>
    <row r="413" spans="1:13" ht="41.4">
      <c r="A413" s="232"/>
      <c r="B413" s="233"/>
      <c r="C413" s="298"/>
      <c r="D413" s="252" t="s">
        <v>796</v>
      </c>
      <c r="E413" s="298"/>
      <c r="F413" s="298"/>
      <c r="G413" s="253" t="s">
        <v>819</v>
      </c>
      <c r="H413" s="252" t="s">
        <v>160</v>
      </c>
      <c r="I413" s="325">
        <v>4</v>
      </c>
      <c r="J413" s="341">
        <f>ROUND(431618.44*1.25,0)</f>
        <v>539523</v>
      </c>
      <c r="K413" s="340">
        <f t="shared" si="27"/>
        <v>2158092</v>
      </c>
      <c r="L413" s="234"/>
      <c r="M413" s="232"/>
    </row>
    <row r="414" spans="1:13" ht="82.8">
      <c r="A414" s="232"/>
      <c r="B414" s="233"/>
      <c r="C414" s="298"/>
      <c r="D414" s="252" t="s">
        <v>797</v>
      </c>
      <c r="E414" s="298"/>
      <c r="F414" s="298"/>
      <c r="G414" s="253" t="s">
        <v>820</v>
      </c>
      <c r="H414" s="252" t="s">
        <v>160</v>
      </c>
      <c r="I414" s="325">
        <v>4</v>
      </c>
      <c r="J414" s="341">
        <f>ROUND(662318.44*1.25,0)</f>
        <v>827898</v>
      </c>
      <c r="K414" s="340">
        <f t="shared" si="27"/>
        <v>3311592</v>
      </c>
      <c r="L414" s="234"/>
      <c r="M414" s="232"/>
    </row>
    <row r="415" spans="1:13" ht="69">
      <c r="A415" s="232"/>
      <c r="B415" s="233"/>
      <c r="C415" s="298"/>
      <c r="D415" s="252" t="s">
        <v>798</v>
      </c>
      <c r="E415" s="298"/>
      <c r="F415" s="298"/>
      <c r="G415" s="253" t="s">
        <v>821</v>
      </c>
      <c r="H415" s="252" t="s">
        <v>160</v>
      </c>
      <c r="I415" s="325">
        <v>24</v>
      </c>
      <c r="J415" s="341">
        <f>ROUND(709578.39*1.25,0)</f>
        <v>886973</v>
      </c>
      <c r="K415" s="340">
        <f t="shared" si="27"/>
        <v>21287352</v>
      </c>
      <c r="L415" s="234"/>
      <c r="M415" s="232"/>
    </row>
    <row r="416" spans="1:13" ht="96.6">
      <c r="A416" s="232"/>
      <c r="B416" s="233"/>
      <c r="C416" s="298"/>
      <c r="D416" s="252" t="s">
        <v>799</v>
      </c>
      <c r="E416" s="298"/>
      <c r="F416" s="298"/>
      <c r="G416" s="253" t="s">
        <v>822</v>
      </c>
      <c r="H416" s="252" t="s">
        <v>823</v>
      </c>
      <c r="I416" s="325">
        <v>16</v>
      </c>
      <c r="J416" s="341">
        <f>ROUND(2341411.11*1.25,0)</f>
        <v>2926764</v>
      </c>
      <c r="K416" s="340">
        <f t="shared" si="27"/>
        <v>46828224</v>
      </c>
      <c r="L416" s="234"/>
      <c r="M416" s="232"/>
    </row>
    <row r="417" spans="1:13" ht="30" customHeight="1" thickBot="1">
      <c r="A417" s="232"/>
      <c r="B417" s="233"/>
      <c r="C417" s="380" t="s">
        <v>824</v>
      </c>
      <c r="D417" s="380"/>
      <c r="E417" s="380"/>
      <c r="F417" s="380"/>
      <c r="G417" s="380"/>
      <c r="H417" s="380"/>
      <c r="I417" s="380"/>
      <c r="J417" s="380"/>
      <c r="K417" s="339">
        <f>SUM(K394:K416)</f>
        <v>186657271</v>
      </c>
      <c r="L417" s="234"/>
      <c r="M417" s="232"/>
    </row>
    <row r="418" spans="1:13" ht="30" customHeight="1">
      <c r="A418" s="232"/>
      <c r="B418" s="233"/>
      <c r="C418" s="374" t="s">
        <v>825</v>
      </c>
      <c r="D418" s="375"/>
      <c r="E418" s="375"/>
      <c r="F418" s="375"/>
      <c r="G418" s="375"/>
      <c r="H418" s="375"/>
      <c r="I418" s="375"/>
      <c r="J418" s="375"/>
      <c r="K418" s="376"/>
      <c r="L418" s="234"/>
      <c r="M418" s="232"/>
    </row>
    <row r="419" spans="1:13" ht="207">
      <c r="A419" s="232"/>
      <c r="B419" s="233"/>
      <c r="C419" s="298"/>
      <c r="D419" s="298" t="s">
        <v>827</v>
      </c>
      <c r="E419" s="298"/>
      <c r="F419" s="298"/>
      <c r="G419" s="253" t="s">
        <v>833</v>
      </c>
      <c r="H419" s="252" t="s">
        <v>160</v>
      </c>
      <c r="I419" s="325">
        <v>36</v>
      </c>
      <c r="J419" s="341">
        <f>ROUND(127820.29*1.25,0)</f>
        <v>159775</v>
      </c>
      <c r="K419" s="340">
        <f>ROUND(I419*J419,0)</f>
        <v>5751900</v>
      </c>
      <c r="L419" s="234"/>
      <c r="M419" s="232"/>
    </row>
    <row r="420" spans="1:13" ht="41.4">
      <c r="A420" s="232"/>
      <c r="B420" s="233"/>
      <c r="C420" s="298"/>
      <c r="D420" s="298" t="s">
        <v>828</v>
      </c>
      <c r="E420" s="298"/>
      <c r="F420" s="298"/>
      <c r="G420" s="253" t="s">
        <v>834</v>
      </c>
      <c r="H420" s="252" t="s">
        <v>57</v>
      </c>
      <c r="I420" s="325">
        <v>2</v>
      </c>
      <c r="J420" s="341">
        <f>ROUND(272680.21*1.25,0)</f>
        <v>340850</v>
      </c>
      <c r="K420" s="340">
        <f t="shared" ref="K420:K424" si="28">ROUND(I420*J420,0)</f>
        <v>681700</v>
      </c>
      <c r="L420" s="234"/>
      <c r="M420" s="232"/>
    </row>
    <row r="421" spans="1:13" ht="69">
      <c r="A421" s="232"/>
      <c r="B421" s="233"/>
      <c r="C421" s="298"/>
      <c r="D421" s="298" t="s">
        <v>829</v>
      </c>
      <c r="E421" s="298"/>
      <c r="F421" s="298"/>
      <c r="G421" s="253" t="s">
        <v>835</v>
      </c>
      <c r="H421" s="252" t="s">
        <v>161</v>
      </c>
      <c r="I421" s="325">
        <v>12</v>
      </c>
      <c r="J421" s="341">
        <f>ROUND(93211.17*1.25,0)</f>
        <v>116514</v>
      </c>
      <c r="K421" s="340">
        <f t="shared" si="28"/>
        <v>1398168</v>
      </c>
      <c r="L421" s="234"/>
      <c r="M421" s="232"/>
    </row>
    <row r="422" spans="1:13" ht="41.4">
      <c r="A422" s="232"/>
      <c r="B422" s="233"/>
      <c r="C422" s="298"/>
      <c r="D422" s="298" t="s">
        <v>830</v>
      </c>
      <c r="E422" s="298"/>
      <c r="F422" s="298"/>
      <c r="G422" s="253" t="s">
        <v>836</v>
      </c>
      <c r="H422" s="252" t="s">
        <v>160</v>
      </c>
      <c r="I422" s="325">
        <v>2</v>
      </c>
      <c r="J422" s="341">
        <f>ROUND(31427.04*1.25,0)</f>
        <v>39284</v>
      </c>
      <c r="K422" s="340">
        <f t="shared" si="28"/>
        <v>78568</v>
      </c>
      <c r="L422" s="234"/>
      <c r="M422" s="232"/>
    </row>
    <row r="423" spans="1:13" ht="41.4">
      <c r="A423" s="232"/>
      <c r="B423" s="233"/>
      <c r="C423" s="298"/>
      <c r="D423" s="298" t="s">
        <v>831</v>
      </c>
      <c r="E423" s="298"/>
      <c r="F423" s="298"/>
      <c r="G423" s="253" t="s">
        <v>837</v>
      </c>
      <c r="H423" s="252" t="s">
        <v>160</v>
      </c>
      <c r="I423" s="325">
        <v>9</v>
      </c>
      <c r="J423" s="341">
        <f>ROUND(29427.04*1.25,0)</f>
        <v>36784</v>
      </c>
      <c r="K423" s="340">
        <f t="shared" si="28"/>
        <v>331056</v>
      </c>
      <c r="L423" s="234"/>
      <c r="M423" s="232"/>
    </row>
    <row r="424" spans="1:13" ht="41.4">
      <c r="A424" s="232"/>
      <c r="B424" s="233"/>
      <c r="C424" s="298"/>
      <c r="D424" s="298" t="s">
        <v>832</v>
      </c>
      <c r="E424" s="298"/>
      <c r="F424" s="298"/>
      <c r="G424" s="253" t="s">
        <v>838</v>
      </c>
      <c r="H424" s="252" t="s">
        <v>160</v>
      </c>
      <c r="I424" s="325">
        <v>1</v>
      </c>
      <c r="J424" s="341">
        <f>ROUND(30427.04*1.25,0)</f>
        <v>38034</v>
      </c>
      <c r="K424" s="340">
        <f t="shared" si="28"/>
        <v>38034</v>
      </c>
      <c r="L424" s="234"/>
      <c r="M424" s="232"/>
    </row>
    <row r="425" spans="1:13" ht="30" customHeight="1" thickBot="1">
      <c r="A425" s="232"/>
      <c r="B425" s="233"/>
      <c r="C425" s="380" t="s">
        <v>826</v>
      </c>
      <c r="D425" s="380"/>
      <c r="E425" s="380"/>
      <c r="F425" s="380"/>
      <c r="G425" s="380"/>
      <c r="H425" s="380"/>
      <c r="I425" s="380"/>
      <c r="J425" s="380"/>
      <c r="K425" s="339">
        <f>SUM(K419:K424)</f>
        <v>8279426</v>
      </c>
      <c r="L425" s="234"/>
      <c r="M425" s="232"/>
    </row>
    <row r="426" spans="1:13" ht="30" customHeight="1">
      <c r="A426" s="232"/>
      <c r="B426" s="233"/>
      <c r="C426" s="374" t="s">
        <v>839</v>
      </c>
      <c r="D426" s="375"/>
      <c r="E426" s="375"/>
      <c r="F426" s="375"/>
      <c r="G426" s="375"/>
      <c r="H426" s="375"/>
      <c r="I426" s="375"/>
      <c r="J426" s="375"/>
      <c r="K426" s="376"/>
      <c r="L426" s="234"/>
      <c r="M426" s="232"/>
    </row>
    <row r="427" spans="1:13" ht="179.4">
      <c r="A427" s="232"/>
      <c r="B427" s="233"/>
      <c r="C427" s="298"/>
      <c r="D427" s="298" t="s">
        <v>840</v>
      </c>
      <c r="E427" s="298"/>
      <c r="F427" s="298"/>
      <c r="G427" s="253" t="s">
        <v>852</v>
      </c>
      <c r="H427" s="252" t="s">
        <v>160</v>
      </c>
      <c r="I427" s="325">
        <v>6</v>
      </c>
      <c r="J427" s="341">
        <f>ROUND(364161.14*1.25,0)</f>
        <v>455201</v>
      </c>
      <c r="K427" s="340">
        <f>ROUND(I427*J427,0)</f>
        <v>2731206</v>
      </c>
      <c r="L427" s="234"/>
      <c r="M427" s="232"/>
    </row>
    <row r="428" spans="1:13" ht="27.6">
      <c r="A428" s="232"/>
      <c r="B428" s="233"/>
      <c r="C428" s="298"/>
      <c r="D428" s="298" t="s">
        <v>841</v>
      </c>
      <c r="E428" s="298"/>
      <c r="F428" s="298"/>
      <c r="G428" s="253" t="s">
        <v>853</v>
      </c>
      <c r="H428" s="252" t="s">
        <v>160</v>
      </c>
      <c r="I428" s="325">
        <v>21</v>
      </c>
      <c r="J428" s="341">
        <f>ROUND(50704.07*1.25,0)</f>
        <v>63380</v>
      </c>
      <c r="K428" s="340">
        <f t="shared" ref="K428:K438" si="29">ROUND(I428*J428,0)</f>
        <v>1330980</v>
      </c>
      <c r="L428" s="234"/>
      <c r="M428" s="232"/>
    </row>
    <row r="429" spans="1:13" ht="41.4">
      <c r="A429" s="232"/>
      <c r="B429" s="233"/>
      <c r="C429" s="298"/>
      <c r="D429" s="298" t="s">
        <v>842</v>
      </c>
      <c r="E429" s="298"/>
      <c r="F429" s="298"/>
      <c r="G429" s="253" t="s">
        <v>854</v>
      </c>
      <c r="H429" s="252" t="s">
        <v>823</v>
      </c>
      <c r="I429" s="325">
        <v>1</v>
      </c>
      <c r="J429" s="341">
        <f>ROUND(583608.01*1.25,0)</f>
        <v>729510</v>
      </c>
      <c r="K429" s="340">
        <f t="shared" si="29"/>
        <v>729510</v>
      </c>
      <c r="L429" s="234"/>
      <c r="M429" s="232"/>
    </row>
    <row r="430" spans="1:13" ht="193.2">
      <c r="A430" s="232"/>
      <c r="B430" s="233"/>
      <c r="C430" s="298"/>
      <c r="D430" s="298" t="s">
        <v>843</v>
      </c>
      <c r="E430" s="298"/>
      <c r="F430" s="298"/>
      <c r="G430" s="253" t="s">
        <v>855</v>
      </c>
      <c r="H430" s="252" t="s">
        <v>160</v>
      </c>
      <c r="I430" s="325">
        <v>10</v>
      </c>
      <c r="J430" s="341">
        <f>ROUND(474752.21*1.25,0)</f>
        <v>593440</v>
      </c>
      <c r="K430" s="340">
        <f t="shared" si="29"/>
        <v>5934400</v>
      </c>
      <c r="L430" s="234"/>
      <c r="M430" s="232"/>
    </row>
    <row r="431" spans="1:13" ht="82.8">
      <c r="A431" s="232"/>
      <c r="B431" s="233"/>
      <c r="C431" s="298"/>
      <c r="D431" s="298" t="s">
        <v>844</v>
      </c>
      <c r="E431" s="298"/>
      <c r="F431" s="298"/>
      <c r="G431" s="253" t="s">
        <v>856</v>
      </c>
      <c r="H431" s="252" t="s">
        <v>160</v>
      </c>
      <c r="I431" s="325">
        <v>4</v>
      </c>
      <c r="J431" s="341">
        <f>ROUND(55086*1.25,0)</f>
        <v>68858</v>
      </c>
      <c r="K431" s="340">
        <f t="shared" si="29"/>
        <v>275432</v>
      </c>
      <c r="L431" s="234"/>
      <c r="M431" s="232"/>
    </row>
    <row r="432" spans="1:13" ht="55.2">
      <c r="A432" s="232"/>
      <c r="B432" s="233"/>
      <c r="C432" s="298"/>
      <c r="D432" s="298" t="s">
        <v>845</v>
      </c>
      <c r="E432" s="298"/>
      <c r="F432" s="298"/>
      <c r="G432" s="253" t="s">
        <v>857</v>
      </c>
      <c r="H432" s="252" t="s">
        <v>865</v>
      </c>
      <c r="I432" s="325">
        <v>11</v>
      </c>
      <c r="J432" s="341">
        <f>ROUND(52590*1.25,0)</f>
        <v>65738</v>
      </c>
      <c r="K432" s="340">
        <f t="shared" si="29"/>
        <v>723118</v>
      </c>
      <c r="L432" s="234"/>
      <c r="M432" s="232"/>
    </row>
    <row r="433" spans="1:13" ht="27.6">
      <c r="A433" s="232"/>
      <c r="B433" s="233"/>
      <c r="C433" s="298"/>
      <c r="D433" s="298" t="s">
        <v>846</v>
      </c>
      <c r="E433" s="298"/>
      <c r="F433" s="298"/>
      <c r="G433" s="253" t="s">
        <v>858</v>
      </c>
      <c r="H433" s="252" t="s">
        <v>823</v>
      </c>
      <c r="I433" s="325">
        <v>32</v>
      </c>
      <c r="J433" s="341">
        <f>ROUND(25277.04*1.25,0)</f>
        <v>31596</v>
      </c>
      <c r="K433" s="340">
        <f t="shared" si="29"/>
        <v>1011072</v>
      </c>
      <c r="L433" s="234"/>
      <c r="M433" s="232"/>
    </row>
    <row r="434" spans="1:13" ht="82.8">
      <c r="A434" s="232"/>
      <c r="B434" s="233"/>
      <c r="C434" s="298"/>
      <c r="D434" s="298" t="s">
        <v>847</v>
      </c>
      <c r="E434" s="298"/>
      <c r="F434" s="298"/>
      <c r="G434" s="253" t="s">
        <v>859</v>
      </c>
      <c r="H434" s="252" t="s">
        <v>160</v>
      </c>
      <c r="I434" s="325">
        <v>2</v>
      </c>
      <c r="J434" s="341">
        <f>ROUND(44454*1.25,0)</f>
        <v>55568</v>
      </c>
      <c r="K434" s="340">
        <f t="shared" si="29"/>
        <v>111136</v>
      </c>
      <c r="L434" s="234"/>
      <c r="M434" s="232"/>
    </row>
    <row r="435" spans="1:13" ht="82.8">
      <c r="A435" s="232"/>
      <c r="B435" s="233"/>
      <c r="C435" s="298"/>
      <c r="D435" s="298" t="s">
        <v>848</v>
      </c>
      <c r="E435" s="298"/>
      <c r="F435" s="298"/>
      <c r="G435" s="253" t="s">
        <v>860</v>
      </c>
      <c r="H435" s="252" t="s">
        <v>160</v>
      </c>
      <c r="I435" s="325">
        <v>1</v>
      </c>
      <c r="J435" s="341">
        <f>ROUND(323055.3*1.25,0)</f>
        <v>403819</v>
      </c>
      <c r="K435" s="340">
        <f t="shared" si="29"/>
        <v>403819</v>
      </c>
      <c r="L435" s="234"/>
      <c r="M435" s="232"/>
    </row>
    <row r="436" spans="1:13" ht="41.4">
      <c r="A436" s="232"/>
      <c r="B436" s="233"/>
      <c r="C436" s="298"/>
      <c r="D436" s="298" t="s">
        <v>849</v>
      </c>
      <c r="E436" s="298"/>
      <c r="F436" s="298"/>
      <c r="G436" s="253" t="s">
        <v>861</v>
      </c>
      <c r="H436" s="252" t="s">
        <v>160</v>
      </c>
      <c r="I436" s="325">
        <v>3</v>
      </c>
      <c r="J436" s="341">
        <f>ROUND(597254.07*1.25,0)</f>
        <v>746568</v>
      </c>
      <c r="K436" s="340">
        <f t="shared" si="29"/>
        <v>2239704</v>
      </c>
      <c r="L436" s="234"/>
      <c r="M436" s="232"/>
    </row>
    <row r="437" spans="1:13" ht="55.2">
      <c r="A437" s="232"/>
      <c r="B437" s="233"/>
      <c r="C437" s="298"/>
      <c r="D437" s="298" t="s">
        <v>850</v>
      </c>
      <c r="E437" s="298"/>
      <c r="F437" s="298"/>
      <c r="G437" s="253" t="s">
        <v>862</v>
      </c>
      <c r="H437" s="252" t="s">
        <v>161</v>
      </c>
      <c r="I437" s="325">
        <v>6</v>
      </c>
      <c r="J437" s="341">
        <f>ROUND(9282.4*1.25,0)</f>
        <v>11603</v>
      </c>
      <c r="K437" s="340">
        <f t="shared" si="29"/>
        <v>69618</v>
      </c>
      <c r="L437" s="234"/>
      <c r="M437" s="232"/>
    </row>
    <row r="438" spans="1:13" ht="27.6">
      <c r="A438" s="232"/>
      <c r="B438" s="233"/>
      <c r="C438" s="298"/>
      <c r="D438" s="298" t="s">
        <v>851</v>
      </c>
      <c r="E438" s="298"/>
      <c r="F438" s="298"/>
      <c r="G438" s="253" t="s">
        <v>863</v>
      </c>
      <c r="H438" s="252" t="s">
        <v>160</v>
      </c>
      <c r="I438" s="325">
        <v>3</v>
      </c>
      <c r="J438" s="341">
        <f>ROUND(129562*1.25,0)</f>
        <v>161953</v>
      </c>
      <c r="K438" s="340">
        <f t="shared" si="29"/>
        <v>485859</v>
      </c>
      <c r="L438" s="234"/>
      <c r="M438" s="232"/>
    </row>
    <row r="439" spans="1:13" ht="30" customHeight="1" thickBot="1">
      <c r="A439" s="232"/>
      <c r="B439" s="233"/>
      <c r="C439" s="380" t="s">
        <v>864</v>
      </c>
      <c r="D439" s="380"/>
      <c r="E439" s="380"/>
      <c r="F439" s="380"/>
      <c r="G439" s="380"/>
      <c r="H439" s="380"/>
      <c r="I439" s="380"/>
      <c r="J439" s="380"/>
      <c r="K439" s="339">
        <f>SUM(K427:K438)</f>
        <v>16045854</v>
      </c>
      <c r="L439" s="234"/>
      <c r="M439" s="232"/>
    </row>
    <row r="440" spans="1:13" ht="30" customHeight="1">
      <c r="A440" s="232"/>
      <c r="B440" s="233"/>
      <c r="C440" s="374" t="s">
        <v>866</v>
      </c>
      <c r="D440" s="375"/>
      <c r="E440" s="375"/>
      <c r="F440" s="375"/>
      <c r="G440" s="375"/>
      <c r="H440" s="375"/>
      <c r="I440" s="375"/>
      <c r="J440" s="375"/>
      <c r="K440" s="376"/>
      <c r="L440" s="234"/>
      <c r="M440" s="232"/>
    </row>
    <row r="441" spans="1:13" ht="41.4">
      <c r="A441" s="232"/>
      <c r="B441" s="233"/>
      <c r="C441" s="298"/>
      <c r="D441" s="298" t="s">
        <v>867</v>
      </c>
      <c r="E441" s="298"/>
      <c r="F441" s="298"/>
      <c r="G441" s="253" t="s">
        <v>875</v>
      </c>
      <c r="H441" s="252" t="s">
        <v>160</v>
      </c>
      <c r="I441" s="325">
        <v>17</v>
      </c>
      <c r="J441" s="341">
        <f>ROUND(147162.92*1.25,0)</f>
        <v>183954</v>
      </c>
      <c r="K441" s="340">
        <f>ROUND(I441*J441,0)</f>
        <v>3127218</v>
      </c>
      <c r="L441" s="234"/>
      <c r="M441" s="232"/>
    </row>
    <row r="442" spans="1:13" ht="55.2">
      <c r="A442" s="232"/>
      <c r="B442" s="233"/>
      <c r="C442" s="298"/>
      <c r="D442" s="298" t="s">
        <v>868</v>
      </c>
      <c r="E442" s="298"/>
      <c r="F442" s="298"/>
      <c r="G442" s="253" t="s">
        <v>876</v>
      </c>
      <c r="H442" s="252" t="s">
        <v>278</v>
      </c>
      <c r="I442" s="325">
        <v>178</v>
      </c>
      <c r="J442" s="341">
        <f>ROUND(7165.11*1.25,0)</f>
        <v>8956</v>
      </c>
      <c r="K442" s="340">
        <f t="shared" ref="K442:K448" si="30">ROUND(I442*J442,0)</f>
        <v>1594168</v>
      </c>
      <c r="L442" s="234"/>
      <c r="M442" s="232"/>
    </row>
    <row r="443" spans="1:13" ht="41.4">
      <c r="A443" s="232"/>
      <c r="B443" s="233"/>
      <c r="C443" s="298"/>
      <c r="D443" s="298" t="s">
        <v>869</v>
      </c>
      <c r="E443" s="298"/>
      <c r="F443" s="298"/>
      <c r="G443" s="253" t="s">
        <v>877</v>
      </c>
      <c r="H443" s="252" t="s">
        <v>278</v>
      </c>
      <c r="I443" s="325">
        <v>165</v>
      </c>
      <c r="J443" s="341">
        <f>ROUND(32509*1.25,0)</f>
        <v>40636</v>
      </c>
      <c r="K443" s="340">
        <f t="shared" si="30"/>
        <v>6704940</v>
      </c>
      <c r="L443" s="234"/>
      <c r="M443" s="232"/>
    </row>
    <row r="444" spans="1:13" ht="41.4">
      <c r="A444" s="232"/>
      <c r="B444" s="233"/>
      <c r="C444" s="298"/>
      <c r="D444" s="298" t="s">
        <v>870</v>
      </c>
      <c r="E444" s="298"/>
      <c r="F444" s="298"/>
      <c r="G444" s="253" t="s">
        <v>878</v>
      </c>
      <c r="H444" s="252" t="s">
        <v>278</v>
      </c>
      <c r="I444" s="325">
        <v>123</v>
      </c>
      <c r="J444" s="341">
        <f>ROUND(30375.46*1.25,0)</f>
        <v>37969</v>
      </c>
      <c r="K444" s="340">
        <f t="shared" si="30"/>
        <v>4670187</v>
      </c>
      <c r="L444" s="234"/>
      <c r="M444" s="232"/>
    </row>
    <row r="445" spans="1:13" ht="27.6">
      <c r="A445" s="232"/>
      <c r="B445" s="233"/>
      <c r="C445" s="298"/>
      <c r="D445" s="298" t="s">
        <v>871</v>
      </c>
      <c r="E445" s="298"/>
      <c r="F445" s="298"/>
      <c r="G445" s="253" t="s">
        <v>879</v>
      </c>
      <c r="H445" s="252" t="s">
        <v>160</v>
      </c>
      <c r="I445" s="325">
        <v>18</v>
      </c>
      <c r="J445" s="341">
        <f>ROUND(53732*1.25,0)</f>
        <v>67165</v>
      </c>
      <c r="K445" s="340">
        <f t="shared" si="30"/>
        <v>1208970</v>
      </c>
      <c r="L445" s="234"/>
      <c r="M445" s="232"/>
    </row>
    <row r="446" spans="1:13" ht="27.6">
      <c r="A446" s="232"/>
      <c r="B446" s="233"/>
      <c r="C446" s="298"/>
      <c r="D446" s="298" t="s">
        <v>872</v>
      </c>
      <c r="E446" s="298"/>
      <c r="F446" s="298"/>
      <c r="G446" s="253" t="s">
        <v>880</v>
      </c>
      <c r="H446" s="252" t="s">
        <v>160</v>
      </c>
      <c r="I446" s="325">
        <v>8</v>
      </c>
      <c r="J446" s="341">
        <f>ROUND(77415.34*1.25,0)</f>
        <v>96769</v>
      </c>
      <c r="K446" s="340">
        <f t="shared" si="30"/>
        <v>774152</v>
      </c>
      <c r="L446" s="234"/>
      <c r="M446" s="232"/>
    </row>
    <row r="447" spans="1:13" ht="27.6">
      <c r="A447" s="232"/>
      <c r="B447" s="233"/>
      <c r="C447" s="298"/>
      <c r="D447" s="298" t="s">
        <v>873</v>
      </c>
      <c r="E447" s="298"/>
      <c r="F447" s="298"/>
      <c r="G447" s="253" t="s">
        <v>881</v>
      </c>
      <c r="H447" s="252" t="s">
        <v>161</v>
      </c>
      <c r="I447" s="325">
        <v>16</v>
      </c>
      <c r="J447" s="341">
        <f>ROUND(31036.96*1.25,0)</f>
        <v>38796</v>
      </c>
      <c r="K447" s="340">
        <f t="shared" si="30"/>
        <v>620736</v>
      </c>
      <c r="L447" s="234"/>
      <c r="M447" s="232"/>
    </row>
    <row r="448" spans="1:13" ht="82.8">
      <c r="A448" s="232"/>
      <c r="B448" s="233"/>
      <c r="C448" s="298"/>
      <c r="D448" s="298" t="s">
        <v>874</v>
      </c>
      <c r="E448" s="298"/>
      <c r="F448" s="298"/>
      <c r="G448" s="253" t="s">
        <v>882</v>
      </c>
      <c r="H448" s="252" t="s">
        <v>161</v>
      </c>
      <c r="I448" s="325">
        <v>6</v>
      </c>
      <c r="J448" s="341">
        <f>ROUND(43412.04*1.25,0)</f>
        <v>54265</v>
      </c>
      <c r="K448" s="340">
        <f t="shared" si="30"/>
        <v>325590</v>
      </c>
      <c r="L448" s="234"/>
      <c r="M448" s="232"/>
    </row>
    <row r="449" spans="1:13" ht="30" customHeight="1" thickBot="1">
      <c r="A449" s="232"/>
      <c r="B449" s="233"/>
      <c r="C449" s="380" t="s">
        <v>883</v>
      </c>
      <c r="D449" s="380"/>
      <c r="E449" s="380"/>
      <c r="F449" s="380"/>
      <c r="G449" s="380"/>
      <c r="H449" s="380"/>
      <c r="I449" s="380"/>
      <c r="J449" s="380"/>
      <c r="K449" s="339">
        <f>SUM(K441:K448)</f>
        <v>19025961</v>
      </c>
      <c r="L449" s="234"/>
      <c r="M449" s="232"/>
    </row>
    <row r="450" spans="1:13" ht="30" customHeight="1">
      <c r="A450" s="232"/>
      <c r="B450" s="233"/>
      <c r="C450" s="374" t="s">
        <v>884</v>
      </c>
      <c r="D450" s="375"/>
      <c r="E450" s="375"/>
      <c r="F450" s="375"/>
      <c r="G450" s="375"/>
      <c r="H450" s="375"/>
      <c r="I450" s="375"/>
      <c r="J450" s="375"/>
      <c r="K450" s="376"/>
      <c r="L450" s="234"/>
      <c r="M450" s="232"/>
    </row>
    <row r="451" spans="1:13" ht="41.4">
      <c r="A451" s="232"/>
      <c r="B451" s="233"/>
      <c r="C451" s="298"/>
      <c r="D451" s="298" t="s">
        <v>885</v>
      </c>
      <c r="E451" s="298"/>
      <c r="F451" s="298"/>
      <c r="G451" s="253" t="s">
        <v>901</v>
      </c>
      <c r="H451" s="252" t="s">
        <v>160</v>
      </c>
      <c r="I451" s="325">
        <v>13</v>
      </c>
      <c r="J451" s="341">
        <f>ROUND(781815.15*1.25,0)</f>
        <v>977269</v>
      </c>
      <c r="K451" s="340">
        <f>ROUND(I451*J451,0)</f>
        <v>12704497</v>
      </c>
      <c r="L451" s="234"/>
      <c r="M451" s="232"/>
    </row>
    <row r="452" spans="1:13" ht="41.4">
      <c r="A452" s="232"/>
      <c r="B452" s="233"/>
      <c r="C452" s="298"/>
      <c r="D452" s="298" t="s">
        <v>886</v>
      </c>
      <c r="E452" s="298"/>
      <c r="F452" s="298"/>
      <c r="G452" s="253" t="s">
        <v>902</v>
      </c>
      <c r="H452" s="252" t="s">
        <v>161</v>
      </c>
      <c r="I452" s="325">
        <v>21</v>
      </c>
      <c r="J452" s="341">
        <f>ROUND(142690*1.25,0)</f>
        <v>178363</v>
      </c>
      <c r="K452" s="340">
        <f t="shared" ref="K452:K466" si="31">ROUND(I452*J452,0)</f>
        <v>3745623</v>
      </c>
      <c r="L452" s="234"/>
      <c r="M452" s="232"/>
    </row>
    <row r="453" spans="1:13" ht="41.4">
      <c r="A453" s="232"/>
      <c r="B453" s="233"/>
      <c r="C453" s="298"/>
      <c r="D453" s="298" t="s">
        <v>887</v>
      </c>
      <c r="E453" s="298"/>
      <c r="F453" s="298"/>
      <c r="G453" s="253" t="s">
        <v>903</v>
      </c>
      <c r="H453" s="252" t="s">
        <v>161</v>
      </c>
      <c r="I453" s="325">
        <v>21</v>
      </c>
      <c r="J453" s="341">
        <f>ROUND(105016.28*1.25,0)</f>
        <v>131270</v>
      </c>
      <c r="K453" s="340">
        <f t="shared" si="31"/>
        <v>2756670</v>
      </c>
      <c r="L453" s="234"/>
      <c r="M453" s="232"/>
    </row>
    <row r="454" spans="1:13" ht="41.4">
      <c r="A454" s="232"/>
      <c r="B454" s="233"/>
      <c r="C454" s="298"/>
      <c r="D454" s="298" t="s">
        <v>888</v>
      </c>
      <c r="E454" s="298"/>
      <c r="F454" s="298"/>
      <c r="G454" s="253" t="s">
        <v>904</v>
      </c>
      <c r="H454" s="252" t="s">
        <v>161</v>
      </c>
      <c r="I454" s="325">
        <v>22</v>
      </c>
      <c r="J454" s="341">
        <f>ROUND(102831.15*1.25,0)</f>
        <v>128539</v>
      </c>
      <c r="K454" s="340">
        <f t="shared" si="31"/>
        <v>2827858</v>
      </c>
      <c r="L454" s="234"/>
      <c r="M454" s="232"/>
    </row>
    <row r="455" spans="1:13" ht="41.4">
      <c r="A455" s="232"/>
      <c r="B455" s="233"/>
      <c r="C455" s="298"/>
      <c r="D455" s="298" t="s">
        <v>889</v>
      </c>
      <c r="E455" s="298"/>
      <c r="F455" s="298"/>
      <c r="G455" s="253" t="s">
        <v>905</v>
      </c>
      <c r="H455" s="252" t="s">
        <v>161</v>
      </c>
      <c r="I455" s="325">
        <v>22</v>
      </c>
      <c r="J455" s="341">
        <f>ROUND(91754.9*1.25,0)</f>
        <v>114694</v>
      </c>
      <c r="K455" s="340">
        <f t="shared" si="31"/>
        <v>2523268</v>
      </c>
      <c r="L455" s="234"/>
      <c r="M455" s="232"/>
    </row>
    <row r="456" spans="1:13" ht="41.4">
      <c r="A456" s="232"/>
      <c r="B456" s="233"/>
      <c r="C456" s="298"/>
      <c r="D456" s="298" t="s">
        <v>890</v>
      </c>
      <c r="E456" s="298"/>
      <c r="F456" s="298"/>
      <c r="G456" s="253" t="s">
        <v>906</v>
      </c>
      <c r="H456" s="252" t="s">
        <v>161</v>
      </c>
      <c r="I456" s="325">
        <v>38</v>
      </c>
      <c r="J456" s="341">
        <f>ROUND(83964.99*1.25,0)</f>
        <v>104956</v>
      </c>
      <c r="K456" s="340">
        <f t="shared" si="31"/>
        <v>3988328</v>
      </c>
      <c r="L456" s="234"/>
      <c r="M456" s="232"/>
    </row>
    <row r="457" spans="1:13" ht="41.4">
      <c r="A457" s="232"/>
      <c r="B457" s="233"/>
      <c r="C457" s="298"/>
      <c r="D457" s="298" t="s">
        <v>891</v>
      </c>
      <c r="E457" s="298"/>
      <c r="F457" s="298"/>
      <c r="G457" s="253" t="s">
        <v>907</v>
      </c>
      <c r="H457" s="252" t="s">
        <v>161</v>
      </c>
      <c r="I457" s="325">
        <v>19</v>
      </c>
      <c r="J457" s="341">
        <f>ROUND(63135.32*1.25,0)</f>
        <v>78919</v>
      </c>
      <c r="K457" s="340">
        <f t="shared" si="31"/>
        <v>1499461</v>
      </c>
      <c r="L457" s="234"/>
      <c r="M457" s="232"/>
    </row>
    <row r="458" spans="1:13" ht="41.4">
      <c r="A458" s="232"/>
      <c r="B458" s="233"/>
      <c r="C458" s="298"/>
      <c r="D458" s="298" t="s">
        <v>892</v>
      </c>
      <c r="E458" s="298"/>
      <c r="F458" s="298"/>
      <c r="G458" s="253" t="s">
        <v>908</v>
      </c>
      <c r="H458" s="252" t="s">
        <v>161</v>
      </c>
      <c r="I458" s="325">
        <v>167</v>
      </c>
      <c r="J458" s="341">
        <f>ROUND(24048*1.25,0)</f>
        <v>30060</v>
      </c>
      <c r="K458" s="340">
        <f t="shared" si="31"/>
        <v>5020020</v>
      </c>
      <c r="L458" s="234"/>
      <c r="M458" s="232"/>
    </row>
    <row r="459" spans="1:13" ht="41.4">
      <c r="A459" s="232"/>
      <c r="B459" s="233"/>
      <c r="C459" s="298"/>
      <c r="D459" s="298" t="s">
        <v>893</v>
      </c>
      <c r="E459" s="298"/>
      <c r="F459" s="298"/>
      <c r="G459" s="253" t="s">
        <v>909</v>
      </c>
      <c r="H459" s="252" t="s">
        <v>160</v>
      </c>
      <c r="I459" s="325">
        <v>56</v>
      </c>
      <c r="J459" s="341">
        <f>ROUND(436269*1.25,0)</f>
        <v>545336</v>
      </c>
      <c r="K459" s="340">
        <f t="shared" si="31"/>
        <v>30538816</v>
      </c>
      <c r="L459" s="234"/>
      <c r="M459" s="232"/>
    </row>
    <row r="460" spans="1:13" ht="41.4">
      <c r="A460" s="232"/>
      <c r="B460" s="233"/>
      <c r="C460" s="298"/>
      <c r="D460" s="298" t="s">
        <v>894</v>
      </c>
      <c r="E460" s="298"/>
      <c r="F460" s="298"/>
      <c r="G460" s="253" t="s">
        <v>910</v>
      </c>
      <c r="H460" s="252" t="s">
        <v>161</v>
      </c>
      <c r="I460" s="325">
        <v>21</v>
      </c>
      <c r="J460" s="341">
        <f>ROUND(73335.28*1.25,0)</f>
        <v>91669</v>
      </c>
      <c r="K460" s="340">
        <f t="shared" si="31"/>
        <v>1925049</v>
      </c>
      <c r="L460" s="234"/>
      <c r="M460" s="232"/>
    </row>
    <row r="461" spans="1:13" ht="27.6">
      <c r="A461" s="232"/>
      <c r="B461" s="233"/>
      <c r="C461" s="298"/>
      <c r="D461" s="298" t="s">
        <v>895</v>
      </c>
      <c r="E461" s="298"/>
      <c r="F461" s="298"/>
      <c r="G461" s="253" t="s">
        <v>911</v>
      </c>
      <c r="H461" s="252" t="s">
        <v>161</v>
      </c>
      <c r="I461" s="325">
        <v>443</v>
      </c>
      <c r="J461" s="341">
        <f>ROUND(53605.08*1.25,0)</f>
        <v>67006</v>
      </c>
      <c r="K461" s="340">
        <f t="shared" si="31"/>
        <v>29683658</v>
      </c>
      <c r="L461" s="234"/>
      <c r="M461" s="232"/>
    </row>
    <row r="462" spans="1:13" ht="96.6">
      <c r="A462" s="232"/>
      <c r="B462" s="233"/>
      <c r="C462" s="298"/>
      <c r="D462" s="298" t="s">
        <v>896</v>
      </c>
      <c r="E462" s="298"/>
      <c r="F462" s="298"/>
      <c r="G462" s="253" t="s">
        <v>912</v>
      </c>
      <c r="H462" s="252" t="s">
        <v>161</v>
      </c>
      <c r="I462" s="325">
        <v>178.5</v>
      </c>
      <c r="J462" s="341">
        <f>ROUND(48939.36*1.25,0)</f>
        <v>61174</v>
      </c>
      <c r="K462" s="340">
        <f t="shared" si="31"/>
        <v>10919559</v>
      </c>
      <c r="L462" s="234"/>
      <c r="M462" s="232"/>
    </row>
    <row r="463" spans="1:13" ht="96.6">
      <c r="A463" s="232"/>
      <c r="B463" s="233"/>
      <c r="C463" s="298"/>
      <c r="D463" s="298" t="s">
        <v>897</v>
      </c>
      <c r="E463" s="298"/>
      <c r="F463" s="298"/>
      <c r="G463" s="253" t="s">
        <v>913</v>
      </c>
      <c r="H463" s="252" t="s">
        <v>161</v>
      </c>
      <c r="I463" s="325">
        <v>41</v>
      </c>
      <c r="J463" s="341">
        <f>ROUND(36393*1.25,0)</f>
        <v>45491</v>
      </c>
      <c r="K463" s="340">
        <f t="shared" si="31"/>
        <v>1865131</v>
      </c>
      <c r="L463" s="234"/>
      <c r="M463" s="232"/>
    </row>
    <row r="464" spans="1:13" ht="27.6">
      <c r="A464" s="232"/>
      <c r="B464" s="233"/>
      <c r="C464" s="298"/>
      <c r="D464" s="298" t="s">
        <v>898</v>
      </c>
      <c r="E464" s="298"/>
      <c r="F464" s="298"/>
      <c r="G464" s="253" t="s">
        <v>914</v>
      </c>
      <c r="H464" s="252" t="s">
        <v>160</v>
      </c>
      <c r="I464" s="325">
        <v>1</v>
      </c>
      <c r="J464" s="341">
        <f>ROUND(971019.01*1.25,0)</f>
        <v>1213774</v>
      </c>
      <c r="K464" s="340">
        <f t="shared" si="31"/>
        <v>1213774</v>
      </c>
      <c r="L464" s="234"/>
      <c r="M464" s="232"/>
    </row>
    <row r="465" spans="1:13" ht="55.2">
      <c r="A465" s="232"/>
      <c r="B465" s="233"/>
      <c r="C465" s="298"/>
      <c r="D465" s="298" t="s">
        <v>899</v>
      </c>
      <c r="E465" s="298"/>
      <c r="F465" s="298"/>
      <c r="G465" s="253" t="s">
        <v>915</v>
      </c>
      <c r="H465" s="252" t="s">
        <v>160</v>
      </c>
      <c r="I465" s="325">
        <v>3</v>
      </c>
      <c r="J465" s="341">
        <f>ROUND(515922.93*1.25,0)</f>
        <v>644904</v>
      </c>
      <c r="K465" s="340">
        <f t="shared" si="31"/>
        <v>1934712</v>
      </c>
      <c r="L465" s="234"/>
      <c r="M465" s="232"/>
    </row>
    <row r="466" spans="1:13" ht="41.4">
      <c r="A466" s="232"/>
      <c r="B466" s="233"/>
      <c r="C466" s="298"/>
      <c r="D466" s="298" t="s">
        <v>900</v>
      </c>
      <c r="E466" s="298"/>
      <c r="F466" s="298"/>
      <c r="G466" s="253" t="s">
        <v>916</v>
      </c>
      <c r="H466" s="252" t="s">
        <v>161</v>
      </c>
      <c r="I466" s="325">
        <v>16</v>
      </c>
      <c r="J466" s="341">
        <f>ROUND(6745*1.25,0)</f>
        <v>8431</v>
      </c>
      <c r="K466" s="340">
        <f t="shared" si="31"/>
        <v>134896</v>
      </c>
      <c r="L466" s="234"/>
      <c r="M466" s="232"/>
    </row>
    <row r="467" spans="1:13" ht="30" customHeight="1" thickBot="1">
      <c r="A467" s="232"/>
      <c r="B467" s="233"/>
      <c r="C467" s="380" t="s">
        <v>917</v>
      </c>
      <c r="D467" s="380"/>
      <c r="E467" s="380"/>
      <c r="F467" s="380"/>
      <c r="G467" s="380"/>
      <c r="H467" s="380"/>
      <c r="I467" s="380"/>
      <c r="J467" s="380"/>
      <c r="K467" s="339">
        <f>SUM(K451:K466)</f>
        <v>113281320</v>
      </c>
      <c r="L467" s="234"/>
      <c r="M467" s="232"/>
    </row>
    <row r="468" spans="1:13" ht="30" customHeight="1">
      <c r="A468" s="232"/>
      <c r="B468" s="233"/>
      <c r="C468" s="374" t="s">
        <v>918</v>
      </c>
      <c r="D468" s="375"/>
      <c r="E468" s="375"/>
      <c r="F468" s="375"/>
      <c r="G468" s="375"/>
      <c r="H468" s="375"/>
      <c r="I468" s="375"/>
      <c r="J468" s="375"/>
      <c r="K468" s="376"/>
      <c r="L468" s="234"/>
      <c r="M468" s="232"/>
    </row>
    <row r="469" spans="1:13" ht="64.8" customHeight="1">
      <c r="A469" s="232"/>
      <c r="B469" s="233"/>
      <c r="C469" s="298"/>
      <c r="D469" s="298" t="s">
        <v>919</v>
      </c>
      <c r="E469" s="298"/>
      <c r="F469" s="298"/>
      <c r="G469" s="343" t="s">
        <v>932</v>
      </c>
      <c r="H469" s="252" t="s">
        <v>160</v>
      </c>
      <c r="I469" s="325">
        <v>6</v>
      </c>
      <c r="J469" s="341">
        <f>ROUND(497662.41*1.25,0)</f>
        <v>622078</v>
      </c>
      <c r="K469" s="340">
        <f>ROUND(I469*J469,0)</f>
        <v>3732468</v>
      </c>
      <c r="L469" s="234"/>
      <c r="M469" s="232"/>
    </row>
    <row r="470" spans="1:13" ht="30" customHeight="1">
      <c r="A470" s="232"/>
      <c r="B470" s="233"/>
      <c r="C470" s="298"/>
      <c r="D470" s="298" t="s">
        <v>920</v>
      </c>
      <c r="E470" s="298"/>
      <c r="F470" s="298"/>
      <c r="G470" s="343" t="s">
        <v>933</v>
      </c>
      <c r="H470" s="252" t="s">
        <v>160</v>
      </c>
      <c r="I470" s="325">
        <v>6</v>
      </c>
      <c r="J470" s="341">
        <f>ROUND(149956*1.25,0)</f>
        <v>187445</v>
      </c>
      <c r="K470" s="340">
        <f t="shared" ref="K470:K481" si="32">ROUND(I470*J470,0)</f>
        <v>1124670</v>
      </c>
      <c r="L470" s="234"/>
      <c r="M470" s="232"/>
    </row>
    <row r="471" spans="1:13" ht="66.599999999999994" customHeight="1">
      <c r="A471" s="232"/>
      <c r="B471" s="233"/>
      <c r="C471" s="298"/>
      <c r="D471" s="298" t="s">
        <v>921</v>
      </c>
      <c r="E471" s="298"/>
      <c r="F471" s="298"/>
      <c r="G471" s="343" t="s">
        <v>934</v>
      </c>
      <c r="H471" s="252" t="s">
        <v>160</v>
      </c>
      <c r="I471" s="325">
        <v>1</v>
      </c>
      <c r="J471" s="341">
        <f>ROUND(1156045*1.25,0)</f>
        <v>1445056</v>
      </c>
      <c r="K471" s="340">
        <f t="shared" si="32"/>
        <v>1445056</v>
      </c>
      <c r="L471" s="234"/>
      <c r="M471" s="232"/>
    </row>
    <row r="472" spans="1:13" ht="54.6" customHeight="1">
      <c r="A472" s="232"/>
      <c r="B472" s="233"/>
      <c r="C472" s="298"/>
      <c r="D472" s="298" t="s">
        <v>922</v>
      </c>
      <c r="E472" s="298"/>
      <c r="F472" s="298"/>
      <c r="G472" s="343" t="s">
        <v>935</v>
      </c>
      <c r="H472" s="252" t="s">
        <v>160</v>
      </c>
      <c r="I472" s="325">
        <v>1</v>
      </c>
      <c r="J472" s="341">
        <f>ROUND(2069602*1.25,0)</f>
        <v>2587003</v>
      </c>
      <c r="K472" s="340">
        <f t="shared" si="32"/>
        <v>2587003</v>
      </c>
      <c r="L472" s="234"/>
      <c r="M472" s="232"/>
    </row>
    <row r="473" spans="1:13" ht="24" customHeight="1">
      <c r="A473" s="232"/>
      <c r="B473" s="233"/>
      <c r="C473" s="298"/>
      <c r="D473" s="298" t="s">
        <v>923</v>
      </c>
      <c r="E473" s="298"/>
      <c r="F473" s="298"/>
      <c r="G473" s="343" t="s">
        <v>936</v>
      </c>
      <c r="H473" s="252" t="s">
        <v>160</v>
      </c>
      <c r="I473" s="325">
        <v>4</v>
      </c>
      <c r="J473" s="341">
        <f>ROUND(1812942*1.25,0)</f>
        <v>2266178</v>
      </c>
      <c r="K473" s="340">
        <f t="shared" si="32"/>
        <v>9064712</v>
      </c>
      <c r="L473" s="234"/>
      <c r="M473" s="232"/>
    </row>
    <row r="474" spans="1:13" ht="43.8" customHeight="1">
      <c r="A474" s="232"/>
      <c r="B474" s="233"/>
      <c r="C474" s="298"/>
      <c r="D474" s="298" t="s">
        <v>924</v>
      </c>
      <c r="E474" s="298"/>
      <c r="F474" s="298"/>
      <c r="G474" s="343" t="s">
        <v>937</v>
      </c>
      <c r="H474" s="252" t="s">
        <v>160</v>
      </c>
      <c r="I474" s="325">
        <v>1</v>
      </c>
      <c r="J474" s="341">
        <f>ROUND(167257.14*1.25,0)</f>
        <v>209071</v>
      </c>
      <c r="K474" s="340">
        <f t="shared" si="32"/>
        <v>209071</v>
      </c>
      <c r="L474" s="234"/>
      <c r="M474" s="232"/>
    </row>
    <row r="475" spans="1:13" ht="46.8" customHeight="1">
      <c r="A475" s="232"/>
      <c r="B475" s="233"/>
      <c r="C475" s="298"/>
      <c r="D475" s="298" t="s">
        <v>925</v>
      </c>
      <c r="E475" s="298"/>
      <c r="F475" s="298"/>
      <c r="G475" s="343" t="s">
        <v>938</v>
      </c>
      <c r="H475" s="252" t="s">
        <v>160</v>
      </c>
      <c r="I475" s="325">
        <v>2</v>
      </c>
      <c r="J475" s="341">
        <f>ROUND(2215834.1*1.25,0)</f>
        <v>2769793</v>
      </c>
      <c r="K475" s="340">
        <f t="shared" si="32"/>
        <v>5539586</v>
      </c>
      <c r="L475" s="234"/>
      <c r="M475" s="232"/>
    </row>
    <row r="476" spans="1:13" ht="30" customHeight="1">
      <c r="A476" s="232"/>
      <c r="B476" s="233"/>
      <c r="C476" s="298"/>
      <c r="D476" s="298" t="s">
        <v>926</v>
      </c>
      <c r="E476" s="298"/>
      <c r="F476" s="298"/>
      <c r="G476" s="343" t="s">
        <v>939</v>
      </c>
      <c r="H476" s="252" t="s">
        <v>160</v>
      </c>
      <c r="I476" s="325">
        <v>2</v>
      </c>
      <c r="J476" s="341">
        <f>ROUND(418483*1.25,0)</f>
        <v>523104</v>
      </c>
      <c r="K476" s="340">
        <f t="shared" si="32"/>
        <v>1046208</v>
      </c>
      <c r="L476" s="234"/>
      <c r="M476" s="232"/>
    </row>
    <row r="477" spans="1:13" ht="45" customHeight="1">
      <c r="A477" s="232"/>
      <c r="B477" s="233"/>
      <c r="C477" s="298"/>
      <c r="D477" s="298" t="s">
        <v>927</v>
      </c>
      <c r="E477" s="298"/>
      <c r="F477" s="298"/>
      <c r="G477" s="343" t="s">
        <v>940</v>
      </c>
      <c r="H477" s="252" t="s">
        <v>160</v>
      </c>
      <c r="I477" s="325">
        <v>1</v>
      </c>
      <c r="J477" s="341">
        <f>ROUND(1399090.11*1.25,0)</f>
        <v>1748863</v>
      </c>
      <c r="K477" s="340">
        <f t="shared" si="32"/>
        <v>1748863</v>
      </c>
      <c r="L477" s="234"/>
      <c r="M477" s="232"/>
    </row>
    <row r="478" spans="1:13" ht="30" customHeight="1">
      <c r="A478" s="232"/>
      <c r="B478" s="233"/>
      <c r="C478" s="298"/>
      <c r="D478" s="298" t="s">
        <v>928</v>
      </c>
      <c r="E478" s="298"/>
      <c r="F478" s="298"/>
      <c r="G478" s="343" t="s">
        <v>941</v>
      </c>
      <c r="H478" s="252" t="s">
        <v>160</v>
      </c>
      <c r="I478" s="325">
        <v>1</v>
      </c>
      <c r="J478" s="341">
        <f>ROUND(1718308.84*1.25,0)</f>
        <v>2147886</v>
      </c>
      <c r="K478" s="340">
        <f t="shared" si="32"/>
        <v>2147886</v>
      </c>
      <c r="L478" s="234"/>
      <c r="M478" s="232"/>
    </row>
    <row r="479" spans="1:13" ht="48.6" customHeight="1">
      <c r="A479" s="232"/>
      <c r="B479" s="233"/>
      <c r="C479" s="298"/>
      <c r="D479" s="298" t="s">
        <v>929</v>
      </c>
      <c r="E479" s="298"/>
      <c r="F479" s="298"/>
      <c r="G479" s="343" t="s">
        <v>942</v>
      </c>
      <c r="H479" s="252" t="s">
        <v>160</v>
      </c>
      <c r="I479" s="325">
        <v>1</v>
      </c>
      <c r="J479" s="341">
        <f>ROUND(2245116.81*1.25,0)</f>
        <v>2806396</v>
      </c>
      <c r="K479" s="340">
        <f t="shared" si="32"/>
        <v>2806396</v>
      </c>
      <c r="L479" s="234"/>
      <c r="M479" s="232"/>
    </row>
    <row r="480" spans="1:13" ht="30" customHeight="1">
      <c r="A480" s="232"/>
      <c r="B480" s="233"/>
      <c r="C480" s="298"/>
      <c r="D480" s="298" t="s">
        <v>930</v>
      </c>
      <c r="E480" s="298"/>
      <c r="F480" s="298"/>
      <c r="G480" s="343" t="s">
        <v>943</v>
      </c>
      <c r="H480" s="252" t="s">
        <v>160</v>
      </c>
      <c r="I480" s="325">
        <v>3</v>
      </c>
      <c r="J480" s="341">
        <f>ROUND(381086*1.25,0)</f>
        <v>476358</v>
      </c>
      <c r="K480" s="340">
        <f t="shared" si="32"/>
        <v>1429074</v>
      </c>
      <c r="L480" s="234"/>
      <c r="M480" s="232"/>
    </row>
    <row r="481" spans="1:13" ht="45.6" customHeight="1">
      <c r="A481" s="232"/>
      <c r="B481" s="233"/>
      <c r="C481" s="298"/>
      <c r="D481" s="298" t="s">
        <v>931</v>
      </c>
      <c r="E481" s="298"/>
      <c r="F481" s="298"/>
      <c r="G481" s="343" t="s">
        <v>944</v>
      </c>
      <c r="H481" s="252" t="s">
        <v>160</v>
      </c>
      <c r="I481" s="325">
        <v>3</v>
      </c>
      <c r="J481" s="341">
        <f>ROUND(445480.18*1.25,0)</f>
        <v>556850</v>
      </c>
      <c r="K481" s="340">
        <f t="shared" si="32"/>
        <v>1670550</v>
      </c>
      <c r="L481" s="234"/>
      <c r="M481" s="232"/>
    </row>
    <row r="482" spans="1:13" ht="30" customHeight="1" thickBot="1">
      <c r="A482" s="232"/>
      <c r="B482" s="233"/>
      <c r="C482" s="380" t="s">
        <v>945</v>
      </c>
      <c r="D482" s="380"/>
      <c r="E482" s="380"/>
      <c r="F482" s="380"/>
      <c r="G482" s="380"/>
      <c r="H482" s="380"/>
      <c r="I482" s="380"/>
      <c r="J482" s="380"/>
      <c r="K482" s="339">
        <f>SUM(K469:K481)</f>
        <v>34551543</v>
      </c>
      <c r="L482" s="234"/>
      <c r="M482" s="232"/>
    </row>
    <row r="483" spans="1:13" ht="30" customHeight="1">
      <c r="A483" s="232"/>
      <c r="B483" s="233"/>
      <c r="C483" s="374" t="s">
        <v>946</v>
      </c>
      <c r="D483" s="375"/>
      <c r="E483" s="375"/>
      <c r="F483" s="375"/>
      <c r="G483" s="375"/>
      <c r="H483" s="375"/>
      <c r="I483" s="375"/>
      <c r="J483" s="375"/>
      <c r="K483" s="376"/>
      <c r="L483" s="234"/>
      <c r="M483" s="232"/>
    </row>
    <row r="484" spans="1:13" ht="20.399999999999999">
      <c r="A484" s="232"/>
      <c r="B484" s="233"/>
      <c r="C484" s="298"/>
      <c r="D484" s="298" t="s">
        <v>947</v>
      </c>
      <c r="E484" s="298"/>
      <c r="F484" s="298"/>
      <c r="G484" s="343" t="s">
        <v>948</v>
      </c>
      <c r="H484" s="350" t="s">
        <v>823</v>
      </c>
      <c r="I484" s="351">
        <v>1</v>
      </c>
      <c r="J484" s="341">
        <f>ROUND(738686.84*1.25,0)</f>
        <v>923359</v>
      </c>
      <c r="K484" s="340">
        <f>ROUND(I484*J484,0)</f>
        <v>923359</v>
      </c>
      <c r="L484" s="234"/>
      <c r="M484" s="232"/>
    </row>
    <row r="485" spans="1:13" ht="30" customHeight="1" thickBot="1">
      <c r="A485" s="232"/>
      <c r="B485" s="233"/>
      <c r="C485" s="380" t="s">
        <v>949</v>
      </c>
      <c r="D485" s="380"/>
      <c r="E485" s="380"/>
      <c r="F485" s="380"/>
      <c r="G485" s="380"/>
      <c r="H485" s="380"/>
      <c r="I485" s="380"/>
      <c r="J485" s="380"/>
      <c r="K485" s="339">
        <f>SUM(K484)</f>
        <v>923359</v>
      </c>
      <c r="L485" s="234"/>
      <c r="M485" s="232"/>
    </row>
    <row r="486" spans="1:13" ht="30" customHeight="1">
      <c r="A486" s="232"/>
      <c r="B486" s="233"/>
      <c r="C486" s="374" t="s">
        <v>950</v>
      </c>
      <c r="D486" s="375"/>
      <c r="E486" s="375"/>
      <c r="F486" s="375"/>
      <c r="G486" s="375"/>
      <c r="H486" s="375"/>
      <c r="I486" s="375"/>
      <c r="J486" s="375"/>
      <c r="K486" s="376"/>
      <c r="L486" s="234"/>
      <c r="M486" s="232"/>
    </row>
    <row r="487" spans="1:13" ht="30" customHeight="1">
      <c r="A487" s="232"/>
      <c r="B487" s="233"/>
      <c r="C487" s="324"/>
      <c r="D487" s="298" t="s">
        <v>952</v>
      </c>
      <c r="E487" s="324"/>
      <c r="F487" s="324"/>
      <c r="G487" s="298" t="s">
        <v>955</v>
      </c>
      <c r="H487" s="252" t="s">
        <v>161</v>
      </c>
      <c r="I487" s="349">
        <v>789</v>
      </c>
      <c r="J487" s="347">
        <f>ROUND(4436.38*1.25,0)</f>
        <v>5545</v>
      </c>
      <c r="K487" s="326">
        <f>ROUND(I487*J487,0)</f>
        <v>4375005</v>
      </c>
      <c r="L487" s="234"/>
      <c r="M487" s="232"/>
    </row>
    <row r="488" spans="1:13" ht="30" customHeight="1">
      <c r="A488" s="232"/>
      <c r="B488" s="233"/>
      <c r="C488" s="324"/>
      <c r="D488" s="298" t="s">
        <v>953</v>
      </c>
      <c r="E488" s="324"/>
      <c r="F488" s="324"/>
      <c r="G488" s="298" t="s">
        <v>956</v>
      </c>
      <c r="H488" s="252" t="s">
        <v>161</v>
      </c>
      <c r="I488" s="349">
        <v>315</v>
      </c>
      <c r="J488" s="347">
        <f>ROUND(3714.38*1.25,0)</f>
        <v>4643</v>
      </c>
      <c r="K488" s="326">
        <f t="shared" ref="K488:K489" si="33">ROUND(I488*J488,0)</f>
        <v>1462545</v>
      </c>
      <c r="L488" s="234"/>
      <c r="M488" s="232"/>
    </row>
    <row r="489" spans="1:13" ht="30" customHeight="1">
      <c r="A489" s="232"/>
      <c r="B489" s="233"/>
      <c r="C489" s="298"/>
      <c r="D489" s="298" t="s">
        <v>954</v>
      </c>
      <c r="E489" s="298"/>
      <c r="F489" s="298"/>
      <c r="G489" s="346" t="s">
        <v>957</v>
      </c>
      <c r="H489" s="345" t="s">
        <v>161</v>
      </c>
      <c r="I489" s="344">
        <v>64</v>
      </c>
      <c r="J489" s="348">
        <f>ROUND(11191.38*1.25,0)</f>
        <v>13989</v>
      </c>
      <c r="K489" s="326">
        <f t="shared" si="33"/>
        <v>895296</v>
      </c>
      <c r="L489" s="234"/>
      <c r="M489" s="232"/>
    </row>
    <row r="490" spans="1:13" ht="30" customHeight="1" thickBot="1">
      <c r="A490" s="232"/>
      <c r="B490" s="233"/>
      <c r="C490" s="380" t="s">
        <v>951</v>
      </c>
      <c r="D490" s="380"/>
      <c r="E490" s="380"/>
      <c r="F490" s="380"/>
      <c r="G490" s="380"/>
      <c r="H490" s="380"/>
      <c r="I490" s="380"/>
      <c r="J490" s="380"/>
      <c r="K490" s="339">
        <f>SUM(K487:K489)</f>
        <v>6732846</v>
      </c>
      <c r="L490" s="234"/>
      <c r="M490" s="232"/>
    </row>
    <row r="491" spans="1:13" ht="30" customHeight="1">
      <c r="A491" s="232"/>
      <c r="B491" s="233"/>
      <c r="C491" s="336" t="s">
        <v>958</v>
      </c>
      <c r="D491" s="337"/>
      <c r="E491" s="337"/>
      <c r="F491" s="337"/>
      <c r="G491" s="337"/>
      <c r="H491" s="337"/>
      <c r="I491" s="337"/>
      <c r="J491" s="337"/>
      <c r="K491" s="338"/>
      <c r="L491" s="234"/>
      <c r="M491" s="232"/>
    </row>
    <row r="492" spans="1:13" ht="110.4">
      <c r="A492" s="232"/>
      <c r="B492" s="233"/>
      <c r="C492" s="324"/>
      <c r="D492" s="298" t="s">
        <v>959</v>
      </c>
      <c r="E492" s="324"/>
      <c r="F492" s="324"/>
      <c r="G492" s="253" t="s">
        <v>964</v>
      </c>
      <c r="H492" s="252" t="s">
        <v>823</v>
      </c>
      <c r="I492" s="349">
        <v>10</v>
      </c>
      <c r="J492" s="347">
        <f>ROUND(719243*1.25,0)</f>
        <v>899054</v>
      </c>
      <c r="K492" s="326">
        <f>ROUND(I492*J492,0)</f>
        <v>8990540</v>
      </c>
      <c r="L492" s="234"/>
      <c r="M492" s="232"/>
    </row>
    <row r="493" spans="1:13" ht="110.4">
      <c r="A493" s="232"/>
      <c r="B493" s="233"/>
      <c r="C493" s="324"/>
      <c r="D493" s="298" t="s">
        <v>960</v>
      </c>
      <c r="E493" s="324"/>
      <c r="F493" s="324"/>
      <c r="G493" s="253" t="s">
        <v>965</v>
      </c>
      <c r="H493" s="252" t="s">
        <v>823</v>
      </c>
      <c r="I493" s="349">
        <v>39</v>
      </c>
      <c r="J493" s="347">
        <f>ROUND(875256.63*1.25,0)</f>
        <v>1094071</v>
      </c>
      <c r="K493" s="326">
        <f t="shared" ref="K493:K496" si="34">ROUND(I493*J493,0)</f>
        <v>42668769</v>
      </c>
      <c r="L493" s="234"/>
      <c r="M493" s="232"/>
    </row>
    <row r="494" spans="1:13" ht="69">
      <c r="A494" s="232"/>
      <c r="B494" s="233"/>
      <c r="C494" s="324"/>
      <c r="D494" s="298" t="s">
        <v>961</v>
      </c>
      <c r="E494" s="324"/>
      <c r="F494" s="324"/>
      <c r="G494" s="253" t="s">
        <v>966</v>
      </c>
      <c r="H494" s="252" t="s">
        <v>160</v>
      </c>
      <c r="I494" s="349">
        <v>49</v>
      </c>
      <c r="J494" s="347">
        <f>ROUND(144380.7*1.25,0)</f>
        <v>180476</v>
      </c>
      <c r="K494" s="326">
        <f t="shared" si="34"/>
        <v>8843324</v>
      </c>
      <c r="L494" s="234"/>
      <c r="M494" s="232"/>
    </row>
    <row r="495" spans="1:13" ht="55.2">
      <c r="A495" s="232"/>
      <c r="B495" s="233"/>
      <c r="C495" s="324"/>
      <c r="D495" s="298" t="s">
        <v>962</v>
      </c>
      <c r="E495" s="324"/>
      <c r="F495" s="324"/>
      <c r="G495" s="253" t="s">
        <v>967</v>
      </c>
      <c r="H495" s="252" t="s">
        <v>160</v>
      </c>
      <c r="I495" s="349">
        <v>21</v>
      </c>
      <c r="J495" s="347">
        <f>ROUND(275163.7*1.25,0)</f>
        <v>343955</v>
      </c>
      <c r="K495" s="326">
        <f t="shared" si="34"/>
        <v>7223055</v>
      </c>
      <c r="L495" s="234"/>
      <c r="M495" s="232"/>
    </row>
    <row r="496" spans="1:13" ht="27.6">
      <c r="A496" s="232"/>
      <c r="B496" s="233"/>
      <c r="C496" s="298"/>
      <c r="D496" s="298" t="s">
        <v>963</v>
      </c>
      <c r="E496" s="298"/>
      <c r="F496" s="298"/>
      <c r="G496" s="346" t="s">
        <v>968</v>
      </c>
      <c r="H496" s="345" t="s">
        <v>160</v>
      </c>
      <c r="I496" s="344">
        <v>4</v>
      </c>
      <c r="J496" s="348">
        <f>ROUND(1572131*1.25,0)</f>
        <v>1965164</v>
      </c>
      <c r="K496" s="326">
        <f t="shared" si="34"/>
        <v>7860656</v>
      </c>
      <c r="L496" s="234"/>
      <c r="M496" s="232"/>
    </row>
    <row r="497" spans="1:13" ht="30" customHeight="1" thickBot="1">
      <c r="A497" s="232"/>
      <c r="B497" s="233"/>
      <c r="C497" s="298" t="s">
        <v>969</v>
      </c>
      <c r="D497" s="298"/>
      <c r="E497" s="298"/>
      <c r="F497" s="298"/>
      <c r="G497" s="298"/>
      <c r="H497" s="298"/>
      <c r="I497" s="298"/>
      <c r="J497" s="298"/>
      <c r="K497" s="339">
        <f>SUM(K492:K496)</f>
        <v>75586344</v>
      </c>
      <c r="L497" s="234"/>
      <c r="M497" s="232"/>
    </row>
    <row r="498" spans="1:13" ht="30" customHeight="1">
      <c r="A498" s="232"/>
      <c r="B498" s="233"/>
      <c r="C498" s="336" t="s">
        <v>970</v>
      </c>
      <c r="D498" s="337"/>
      <c r="E498" s="337"/>
      <c r="F498" s="337"/>
      <c r="G498" s="337"/>
      <c r="H498" s="337"/>
      <c r="I498" s="337"/>
      <c r="J498" s="337"/>
      <c r="K498" s="338"/>
      <c r="L498" s="234"/>
      <c r="M498" s="232"/>
    </row>
    <row r="499" spans="1:13" ht="110.4">
      <c r="A499" s="232"/>
      <c r="B499" s="233"/>
      <c r="C499" s="324"/>
      <c r="D499" s="298" t="s">
        <v>971</v>
      </c>
      <c r="E499" s="324"/>
      <c r="F499" s="324"/>
      <c r="G499" s="253" t="s">
        <v>978</v>
      </c>
      <c r="H499" s="252" t="s">
        <v>161</v>
      </c>
      <c r="I499" s="349">
        <v>36</v>
      </c>
      <c r="J499" s="347">
        <f>ROUND(22082.3*1.25,0)</f>
        <v>27603</v>
      </c>
      <c r="K499" s="326">
        <f>ROUND(I499*J499,0)</f>
        <v>993708</v>
      </c>
      <c r="L499" s="234"/>
      <c r="M499" s="232"/>
    </row>
    <row r="500" spans="1:13" ht="110.4">
      <c r="A500" s="232"/>
      <c r="B500" s="233"/>
      <c r="C500" s="324"/>
      <c r="D500" s="298" t="s">
        <v>972</v>
      </c>
      <c r="E500" s="324"/>
      <c r="F500" s="324"/>
      <c r="G500" s="253" t="s">
        <v>979</v>
      </c>
      <c r="H500" s="252" t="s">
        <v>161</v>
      </c>
      <c r="I500" s="349">
        <v>82</v>
      </c>
      <c r="J500" s="347">
        <f>ROUND(27965*1.25,0)</f>
        <v>34956</v>
      </c>
      <c r="K500" s="326">
        <f t="shared" ref="K500:K505" si="35">ROUND(I500*J500,0)</f>
        <v>2866392</v>
      </c>
      <c r="L500" s="234"/>
      <c r="M500" s="232"/>
    </row>
    <row r="501" spans="1:13" ht="41.4">
      <c r="A501" s="232"/>
      <c r="B501" s="233"/>
      <c r="C501" s="324"/>
      <c r="D501" s="298" t="s">
        <v>973</v>
      </c>
      <c r="E501" s="324"/>
      <c r="F501" s="324"/>
      <c r="G501" s="253" t="s">
        <v>980</v>
      </c>
      <c r="H501" s="252" t="s">
        <v>160</v>
      </c>
      <c r="I501" s="349">
        <v>1</v>
      </c>
      <c r="J501" s="347">
        <f>ROUND(800171.47*1.25,0)</f>
        <v>1000214</v>
      </c>
      <c r="K501" s="326">
        <f t="shared" si="35"/>
        <v>1000214</v>
      </c>
      <c r="L501" s="234"/>
      <c r="M501" s="232"/>
    </row>
    <row r="502" spans="1:13" ht="55.2">
      <c r="A502" s="232"/>
      <c r="B502" s="233"/>
      <c r="C502" s="324"/>
      <c r="D502" s="298" t="s">
        <v>974</v>
      </c>
      <c r="E502" s="324"/>
      <c r="F502" s="324"/>
      <c r="G502" s="253" t="s">
        <v>981</v>
      </c>
      <c r="H502" s="252" t="s">
        <v>160</v>
      </c>
      <c r="I502" s="349">
        <v>2</v>
      </c>
      <c r="J502" s="347">
        <f>ROUND(636171.47*1.25,0)</f>
        <v>795214</v>
      </c>
      <c r="K502" s="326">
        <f t="shared" si="35"/>
        <v>1590428</v>
      </c>
      <c r="L502" s="234"/>
      <c r="M502" s="232"/>
    </row>
    <row r="503" spans="1:13" ht="41.4">
      <c r="A503" s="232"/>
      <c r="B503" s="233"/>
      <c r="C503" s="324"/>
      <c r="D503" s="298" t="s">
        <v>975</v>
      </c>
      <c r="E503" s="324"/>
      <c r="F503" s="324"/>
      <c r="G503" s="253" t="s">
        <v>982</v>
      </c>
      <c r="H503" s="252" t="s">
        <v>160</v>
      </c>
      <c r="I503" s="349">
        <v>2</v>
      </c>
      <c r="J503" s="347">
        <f>ROUND(589171.47*1.25,0)</f>
        <v>736464</v>
      </c>
      <c r="K503" s="326">
        <f t="shared" si="35"/>
        <v>1472928</v>
      </c>
      <c r="L503" s="234"/>
      <c r="M503" s="232"/>
    </row>
    <row r="504" spans="1:13" ht="55.2">
      <c r="A504" s="232"/>
      <c r="B504" s="233"/>
      <c r="C504" s="324"/>
      <c r="D504" s="298" t="s">
        <v>976</v>
      </c>
      <c r="E504" s="324"/>
      <c r="F504" s="324"/>
      <c r="G504" s="253" t="s">
        <v>983</v>
      </c>
      <c r="H504" s="252" t="s">
        <v>160</v>
      </c>
      <c r="I504" s="349">
        <v>7</v>
      </c>
      <c r="J504" s="347">
        <f>ROUND(65468*1.25,0)</f>
        <v>81835</v>
      </c>
      <c r="K504" s="326">
        <f t="shared" si="35"/>
        <v>572845</v>
      </c>
      <c r="L504" s="234"/>
      <c r="M504" s="232"/>
    </row>
    <row r="505" spans="1:13" ht="55.2">
      <c r="A505" s="232"/>
      <c r="B505" s="233"/>
      <c r="C505" s="298"/>
      <c r="D505" s="298" t="s">
        <v>977</v>
      </c>
      <c r="E505" s="298"/>
      <c r="F505" s="298"/>
      <c r="G505" s="346" t="s">
        <v>984</v>
      </c>
      <c r="H505" s="345" t="s">
        <v>160</v>
      </c>
      <c r="I505" s="344">
        <v>1</v>
      </c>
      <c r="J505" s="348">
        <f>ROUND(584446*1.25,0)</f>
        <v>730558</v>
      </c>
      <c r="K505" s="326">
        <f t="shared" si="35"/>
        <v>730558</v>
      </c>
      <c r="L505" s="234"/>
      <c r="M505" s="232"/>
    </row>
    <row r="506" spans="1:13" ht="30" customHeight="1" thickBot="1">
      <c r="A506" s="232"/>
      <c r="B506" s="233"/>
      <c r="C506" s="298" t="s">
        <v>985</v>
      </c>
      <c r="D506" s="298"/>
      <c r="E506" s="298"/>
      <c r="F506" s="298"/>
      <c r="G506" s="298"/>
      <c r="H506" s="298"/>
      <c r="I506" s="298"/>
      <c r="J506" s="298"/>
      <c r="K506" s="339">
        <f>SUM(K499:K505)</f>
        <v>9227073</v>
      </c>
      <c r="L506" s="234"/>
      <c r="M506" s="232"/>
    </row>
    <row r="507" spans="1:13" ht="30" customHeight="1">
      <c r="A507" s="232"/>
      <c r="B507" s="233"/>
      <c r="C507" s="336" t="s">
        <v>986</v>
      </c>
      <c r="D507" s="337"/>
      <c r="E507" s="337"/>
      <c r="F507" s="337"/>
      <c r="G507" s="337"/>
      <c r="H507" s="337"/>
      <c r="I507" s="337"/>
      <c r="J507" s="337"/>
      <c r="K507" s="338"/>
      <c r="L507" s="234"/>
      <c r="M507" s="232"/>
    </row>
    <row r="508" spans="1:13" ht="151.80000000000001">
      <c r="A508" s="232"/>
      <c r="B508" s="233"/>
      <c r="C508" s="324"/>
      <c r="D508" s="298" t="s">
        <v>987</v>
      </c>
      <c r="E508" s="324"/>
      <c r="F508" s="324"/>
      <c r="G508" s="253" t="s">
        <v>994</v>
      </c>
      <c r="H508" s="252" t="s">
        <v>160</v>
      </c>
      <c r="I508" s="349">
        <v>1</v>
      </c>
      <c r="J508" s="347">
        <f>ROUND(779278*1.25,0)</f>
        <v>974098</v>
      </c>
      <c r="K508" s="326">
        <f>ROUND(I508*J508,0)</f>
        <v>974098</v>
      </c>
      <c r="L508" s="234"/>
      <c r="M508" s="232"/>
    </row>
    <row r="509" spans="1:13" ht="138">
      <c r="A509" s="232"/>
      <c r="B509" s="233"/>
      <c r="C509" s="324"/>
      <c r="D509" s="298" t="s">
        <v>988</v>
      </c>
      <c r="E509" s="324"/>
      <c r="F509" s="324"/>
      <c r="G509" s="253" t="s">
        <v>995</v>
      </c>
      <c r="H509" s="252" t="s">
        <v>161</v>
      </c>
      <c r="I509" s="349">
        <v>84</v>
      </c>
      <c r="J509" s="347">
        <f>ROUND(269447*1.25,0)</f>
        <v>336809</v>
      </c>
      <c r="K509" s="326">
        <f t="shared" ref="K509:K514" si="36">ROUND(I509*J509,0)</f>
        <v>28291956</v>
      </c>
      <c r="L509" s="234"/>
      <c r="M509" s="232"/>
    </row>
    <row r="510" spans="1:13" ht="193.2">
      <c r="A510" s="232"/>
      <c r="B510" s="233"/>
      <c r="C510" s="324"/>
      <c r="D510" s="298" t="s">
        <v>989</v>
      </c>
      <c r="E510" s="324"/>
      <c r="F510" s="324"/>
      <c r="G510" s="253" t="s">
        <v>996</v>
      </c>
      <c r="H510" s="252" t="s">
        <v>161</v>
      </c>
      <c r="I510" s="349">
        <v>22</v>
      </c>
      <c r="J510" s="347">
        <f>ROUND(214026.25*1.25,0)</f>
        <v>267533</v>
      </c>
      <c r="K510" s="326">
        <f t="shared" si="36"/>
        <v>5885726</v>
      </c>
      <c r="L510" s="234"/>
      <c r="M510" s="232"/>
    </row>
    <row r="511" spans="1:13" ht="138">
      <c r="A511" s="232"/>
      <c r="B511" s="233"/>
      <c r="C511" s="324"/>
      <c r="D511" s="298" t="s">
        <v>990</v>
      </c>
      <c r="E511" s="324"/>
      <c r="F511" s="324"/>
      <c r="G511" s="253" t="s">
        <v>997</v>
      </c>
      <c r="H511" s="252" t="s">
        <v>161</v>
      </c>
      <c r="I511" s="349">
        <v>22</v>
      </c>
      <c r="J511" s="347">
        <f>ROUND(46159*1.25,0)</f>
        <v>57699</v>
      </c>
      <c r="K511" s="326">
        <f t="shared" si="36"/>
        <v>1269378</v>
      </c>
      <c r="L511" s="234"/>
      <c r="M511" s="232"/>
    </row>
    <row r="512" spans="1:13" ht="165.6">
      <c r="A512" s="232"/>
      <c r="B512" s="233"/>
      <c r="C512" s="324"/>
      <c r="D512" s="298" t="s">
        <v>991</v>
      </c>
      <c r="E512" s="324"/>
      <c r="F512" s="324"/>
      <c r="G512" s="253" t="s">
        <v>998</v>
      </c>
      <c r="H512" s="252" t="s">
        <v>161</v>
      </c>
      <c r="I512" s="349">
        <v>22</v>
      </c>
      <c r="J512" s="347">
        <f>ROUND(33023.74*1.25,0)</f>
        <v>41280</v>
      </c>
      <c r="K512" s="326">
        <f t="shared" si="36"/>
        <v>908160</v>
      </c>
      <c r="L512" s="234"/>
      <c r="M512" s="232"/>
    </row>
    <row r="513" spans="1:13" ht="165.6">
      <c r="A513" s="232"/>
      <c r="B513" s="233"/>
      <c r="C513" s="324"/>
      <c r="D513" s="298" t="s">
        <v>992</v>
      </c>
      <c r="E513" s="324"/>
      <c r="F513" s="324"/>
      <c r="G513" s="253" t="s">
        <v>999</v>
      </c>
      <c r="H513" s="252" t="s">
        <v>161</v>
      </c>
      <c r="I513" s="349">
        <v>17</v>
      </c>
      <c r="J513" s="347">
        <f>ROUND(33388.06*1.25,0)</f>
        <v>41735</v>
      </c>
      <c r="K513" s="326">
        <f t="shared" si="36"/>
        <v>709495</v>
      </c>
      <c r="L513" s="234"/>
      <c r="M513" s="232"/>
    </row>
    <row r="514" spans="1:13" ht="151.80000000000001">
      <c r="A514" s="232"/>
      <c r="B514" s="233"/>
      <c r="C514" s="298"/>
      <c r="D514" s="298" t="s">
        <v>993</v>
      </c>
      <c r="E514" s="298"/>
      <c r="F514" s="298"/>
      <c r="G514" s="346" t="s">
        <v>1000</v>
      </c>
      <c r="H514" s="345" t="s">
        <v>161</v>
      </c>
      <c r="I514" s="344">
        <v>21</v>
      </c>
      <c r="J514" s="370">
        <f>ROUND(32425*1.25,0)</f>
        <v>40531</v>
      </c>
      <c r="K514" s="326">
        <f t="shared" si="36"/>
        <v>851151</v>
      </c>
      <c r="L514" s="234"/>
      <c r="M514" s="232"/>
    </row>
    <row r="515" spans="1:13" ht="30" customHeight="1" thickBot="1">
      <c r="A515" s="232"/>
      <c r="B515" s="233"/>
      <c r="C515" s="371" t="s">
        <v>1001</v>
      </c>
      <c r="D515" s="372"/>
      <c r="E515" s="372"/>
      <c r="F515" s="372"/>
      <c r="G515" s="372"/>
      <c r="H515" s="372"/>
      <c r="I515" s="372"/>
      <c r="J515" s="373"/>
      <c r="K515" s="339">
        <f>SUM(K508:K514)</f>
        <v>38889964</v>
      </c>
      <c r="L515" s="234"/>
      <c r="M515" s="232"/>
    </row>
    <row r="516" spans="1:13" ht="30" customHeight="1">
      <c r="A516" s="232"/>
      <c r="B516" s="233"/>
      <c r="C516" s="336" t="s">
        <v>1002</v>
      </c>
      <c r="D516" s="337"/>
      <c r="E516" s="337"/>
      <c r="F516" s="337"/>
      <c r="G516" s="337"/>
      <c r="H516" s="337"/>
      <c r="I516" s="337"/>
      <c r="J516" s="337"/>
      <c r="K516" s="338"/>
      <c r="L516" s="234"/>
      <c r="M516" s="232"/>
    </row>
    <row r="517" spans="1:13" ht="16.2">
      <c r="A517" s="232"/>
      <c r="B517" s="233"/>
      <c r="C517" s="324"/>
      <c r="D517" s="298" t="s">
        <v>1003</v>
      </c>
      <c r="E517" s="324"/>
      <c r="F517" s="324"/>
      <c r="G517" s="253" t="s">
        <v>1010</v>
      </c>
      <c r="H517" s="252" t="s">
        <v>160</v>
      </c>
      <c r="I517" s="349">
        <v>1</v>
      </c>
      <c r="J517" s="347">
        <f>ROUND(1906578*1.25,0)</f>
        <v>2383223</v>
      </c>
      <c r="K517" s="326">
        <f>ROUND(I517*J517,0)</f>
        <v>2383223</v>
      </c>
      <c r="L517" s="234"/>
      <c r="M517" s="232"/>
    </row>
    <row r="518" spans="1:13" ht="110.4">
      <c r="A518" s="232"/>
      <c r="B518" s="233"/>
      <c r="C518" s="324"/>
      <c r="D518" s="298" t="s">
        <v>1004</v>
      </c>
      <c r="E518" s="324"/>
      <c r="F518" s="324"/>
      <c r="G518" s="253" t="s">
        <v>1011</v>
      </c>
      <c r="H518" s="252" t="s">
        <v>160</v>
      </c>
      <c r="I518" s="349">
        <v>1</v>
      </c>
      <c r="J518" s="347">
        <f>ROUND(278906.21*1.25,0)</f>
        <v>348633</v>
      </c>
      <c r="K518" s="326">
        <f t="shared" ref="K518:K523" si="37">ROUND(I518*J518,0)</f>
        <v>348633</v>
      </c>
      <c r="L518" s="234"/>
      <c r="M518" s="232"/>
    </row>
    <row r="519" spans="1:13" ht="193.2">
      <c r="A519" s="232"/>
      <c r="B519" s="233"/>
      <c r="C519" s="324"/>
      <c r="D519" s="298" t="s">
        <v>1005</v>
      </c>
      <c r="E519" s="324"/>
      <c r="F519" s="324"/>
      <c r="G519" s="253" t="s">
        <v>1012</v>
      </c>
      <c r="H519" s="252" t="s">
        <v>160</v>
      </c>
      <c r="I519" s="349">
        <v>11</v>
      </c>
      <c r="J519" s="347">
        <f>ROUND(200025.07*1.25,0)</f>
        <v>250031</v>
      </c>
      <c r="K519" s="326">
        <f t="shared" si="37"/>
        <v>2750341</v>
      </c>
      <c r="L519" s="234"/>
      <c r="M519" s="232"/>
    </row>
    <row r="520" spans="1:13" ht="27.6">
      <c r="A520" s="232"/>
      <c r="B520" s="233"/>
      <c r="C520" s="324"/>
      <c r="D520" s="298" t="s">
        <v>1006</v>
      </c>
      <c r="E520" s="324"/>
      <c r="F520" s="324"/>
      <c r="G520" s="253" t="s">
        <v>1013</v>
      </c>
      <c r="H520" s="252" t="s">
        <v>160</v>
      </c>
      <c r="I520" s="349">
        <v>27</v>
      </c>
      <c r="J520" s="347">
        <f>ROUND(141194.43*1.25,0)</f>
        <v>176493</v>
      </c>
      <c r="K520" s="326">
        <f t="shared" si="37"/>
        <v>4765311</v>
      </c>
      <c r="L520" s="234"/>
      <c r="M520" s="232"/>
    </row>
    <row r="521" spans="1:13" ht="27.6">
      <c r="A521" s="232"/>
      <c r="B521" s="233"/>
      <c r="C521" s="324"/>
      <c r="D521" s="298" t="s">
        <v>1007</v>
      </c>
      <c r="E521" s="324"/>
      <c r="F521" s="324"/>
      <c r="G521" s="253" t="s">
        <v>858</v>
      </c>
      <c r="H521" s="252" t="s">
        <v>823</v>
      </c>
      <c r="I521" s="349">
        <v>4</v>
      </c>
      <c r="J521" s="347">
        <f>ROUND(3205*1.25,0)</f>
        <v>4006</v>
      </c>
      <c r="K521" s="326">
        <f t="shared" si="37"/>
        <v>16024</v>
      </c>
      <c r="L521" s="234"/>
      <c r="M521" s="232"/>
    </row>
    <row r="522" spans="1:13" ht="16.2">
      <c r="A522" s="232"/>
      <c r="B522" s="233"/>
      <c r="C522" s="324"/>
      <c r="D522" s="298" t="s">
        <v>1008</v>
      </c>
      <c r="E522" s="324"/>
      <c r="F522" s="324"/>
      <c r="G522" s="253" t="s">
        <v>1014</v>
      </c>
      <c r="H522" s="252" t="s">
        <v>160</v>
      </c>
      <c r="I522" s="349">
        <v>6</v>
      </c>
      <c r="J522" s="347">
        <f>ROUND(235087*1.25,0)</f>
        <v>293859</v>
      </c>
      <c r="K522" s="326">
        <f t="shared" si="37"/>
        <v>1763154</v>
      </c>
      <c r="L522" s="234"/>
      <c r="M522" s="232"/>
    </row>
    <row r="523" spans="1:13" ht="55.2">
      <c r="A523" s="232"/>
      <c r="B523" s="233"/>
      <c r="C523" s="298"/>
      <c r="D523" s="298" t="s">
        <v>1009</v>
      </c>
      <c r="E523" s="298"/>
      <c r="F523" s="298"/>
      <c r="G523" s="346" t="s">
        <v>1015</v>
      </c>
      <c r="H523" s="345" t="s">
        <v>161</v>
      </c>
      <c r="I523" s="344">
        <v>18</v>
      </c>
      <c r="J523" s="348">
        <f>ROUND(9634.06*1.25,0)</f>
        <v>12043</v>
      </c>
      <c r="K523" s="326">
        <f t="shared" si="37"/>
        <v>216774</v>
      </c>
      <c r="L523" s="234"/>
      <c r="M523" s="232"/>
    </row>
    <row r="524" spans="1:13" ht="30" customHeight="1">
      <c r="A524" s="232"/>
      <c r="B524" s="233"/>
      <c r="C524" s="371" t="s">
        <v>1016</v>
      </c>
      <c r="D524" s="372"/>
      <c r="E524" s="372"/>
      <c r="F524" s="372"/>
      <c r="G524" s="372"/>
      <c r="H524" s="372"/>
      <c r="I524" s="372"/>
      <c r="J524" s="373"/>
      <c r="K524" s="339">
        <f>SUM(K517:K523)</f>
        <v>12243460</v>
      </c>
      <c r="L524" s="234"/>
      <c r="M524" s="232"/>
    </row>
    <row r="525" spans="1:13" ht="30" customHeight="1" thickBot="1">
      <c r="A525" s="232"/>
      <c r="B525" s="233"/>
      <c r="C525" s="371" t="s">
        <v>1017</v>
      </c>
      <c r="D525" s="372"/>
      <c r="E525" s="372"/>
      <c r="F525" s="372"/>
      <c r="G525" s="372"/>
      <c r="H525" s="372"/>
      <c r="I525" s="372"/>
      <c r="J525" s="373"/>
      <c r="K525" s="357">
        <f>ROUND(K381+K392+K417+K425+K439+K449+K467+K482+K485+K490+K497+K506+K515+K524,0)</f>
        <v>688174047</v>
      </c>
      <c r="L525" s="234"/>
      <c r="M525" s="232"/>
    </row>
    <row r="526" spans="1:13" ht="30" customHeight="1" thickBot="1">
      <c r="A526" s="232"/>
      <c r="B526" s="233"/>
      <c r="C526" s="374" t="s">
        <v>1018</v>
      </c>
      <c r="D526" s="375"/>
      <c r="E526" s="375"/>
      <c r="F526" s="375"/>
      <c r="G526" s="375"/>
      <c r="H526" s="375"/>
      <c r="I526" s="375"/>
      <c r="J526" s="375"/>
      <c r="K526" s="376"/>
      <c r="L526" s="234"/>
      <c r="M526" s="232"/>
    </row>
    <row r="527" spans="1:13" ht="30" customHeight="1">
      <c r="A527" s="232"/>
      <c r="B527" s="233"/>
      <c r="C527" s="374" t="s">
        <v>1019</v>
      </c>
      <c r="D527" s="375"/>
      <c r="E527" s="375"/>
      <c r="F527" s="375"/>
      <c r="G527" s="375"/>
      <c r="H527" s="375"/>
      <c r="I527" s="375"/>
      <c r="J527" s="375"/>
      <c r="K527" s="376"/>
      <c r="L527" s="234"/>
      <c r="M527" s="232"/>
    </row>
    <row r="528" spans="1:13" ht="30" customHeight="1">
      <c r="A528" s="232"/>
      <c r="B528" s="233"/>
      <c r="C528" s="298"/>
      <c r="D528" s="252" t="s">
        <v>1020</v>
      </c>
      <c r="E528" s="298"/>
      <c r="F528" s="298"/>
      <c r="G528" s="253" t="s">
        <v>1024</v>
      </c>
      <c r="H528" s="252" t="s">
        <v>161</v>
      </c>
      <c r="I528" s="325">
        <v>240</v>
      </c>
      <c r="J528" s="341">
        <f>ROUND(8385.14*1.25,0)</f>
        <v>10481</v>
      </c>
      <c r="K528" s="340">
        <f>ROUND(I528*J528,0)</f>
        <v>2515440</v>
      </c>
      <c r="L528" s="234"/>
      <c r="M528" s="232"/>
    </row>
    <row r="529" spans="1:13" ht="30" customHeight="1">
      <c r="A529" s="232"/>
      <c r="B529" s="233"/>
      <c r="C529" s="298"/>
      <c r="D529" s="252" t="s">
        <v>1021</v>
      </c>
      <c r="E529" s="298"/>
      <c r="F529" s="298"/>
      <c r="G529" s="253" t="s">
        <v>1025</v>
      </c>
      <c r="H529" s="252" t="s">
        <v>1028</v>
      </c>
      <c r="I529" s="325">
        <v>10</v>
      </c>
      <c r="J529" s="368">
        <f>ROUND(14694*1.25,0)</f>
        <v>18368</v>
      </c>
      <c r="K529" s="369">
        <f t="shared" ref="K529:K531" si="38">ROUND(I529*J529,0)</f>
        <v>183680</v>
      </c>
      <c r="L529" s="234"/>
      <c r="M529" s="232"/>
    </row>
    <row r="530" spans="1:13" ht="30" customHeight="1">
      <c r="A530" s="232"/>
      <c r="B530" s="233"/>
      <c r="C530" s="298"/>
      <c r="D530" s="252" t="s">
        <v>1022</v>
      </c>
      <c r="E530" s="298"/>
      <c r="F530" s="298"/>
      <c r="G530" s="253" t="s">
        <v>1026</v>
      </c>
      <c r="H530" s="252" t="s">
        <v>1028</v>
      </c>
      <c r="I530" s="325">
        <v>4</v>
      </c>
      <c r="J530" s="368">
        <f>ROUND(27344.81*1.25,0)</f>
        <v>34181</v>
      </c>
      <c r="K530" s="369">
        <f t="shared" si="38"/>
        <v>136724</v>
      </c>
      <c r="L530" s="234"/>
      <c r="M530" s="232"/>
    </row>
    <row r="531" spans="1:13" ht="30" customHeight="1">
      <c r="A531" s="232"/>
      <c r="B531" s="233"/>
      <c r="C531" s="298"/>
      <c r="D531" s="252" t="s">
        <v>1023</v>
      </c>
      <c r="E531" s="298"/>
      <c r="F531" s="298"/>
      <c r="G531" s="253" t="s">
        <v>1027</v>
      </c>
      <c r="H531" s="252" t="s">
        <v>1028</v>
      </c>
      <c r="I531" s="325">
        <v>3</v>
      </c>
      <c r="J531" s="368">
        <f>ROUND(9174*1.25,0)</f>
        <v>11468</v>
      </c>
      <c r="K531" s="369">
        <f t="shared" si="38"/>
        <v>34404</v>
      </c>
      <c r="L531" s="234"/>
      <c r="M531" s="232"/>
    </row>
    <row r="532" spans="1:13" ht="30" customHeight="1" thickBot="1">
      <c r="A532" s="232"/>
      <c r="B532" s="233"/>
      <c r="C532" s="371" t="s">
        <v>1029</v>
      </c>
      <c r="D532" s="372"/>
      <c r="E532" s="372"/>
      <c r="F532" s="372"/>
      <c r="G532" s="372"/>
      <c r="H532" s="372"/>
      <c r="I532" s="372"/>
      <c r="J532" s="373"/>
      <c r="K532" s="339">
        <f>SUM(K528:K531)</f>
        <v>2870248</v>
      </c>
      <c r="L532" s="234"/>
      <c r="M532" s="232"/>
    </row>
    <row r="533" spans="1:13" ht="30" customHeight="1">
      <c r="A533" s="232"/>
      <c r="B533" s="233"/>
      <c r="C533" s="374" t="s">
        <v>1030</v>
      </c>
      <c r="D533" s="375"/>
      <c r="E533" s="375"/>
      <c r="F533" s="375"/>
      <c r="G533" s="375"/>
      <c r="H533" s="375"/>
      <c r="I533" s="375"/>
      <c r="J533" s="375"/>
      <c r="K533" s="376"/>
      <c r="L533" s="234"/>
      <c r="M533" s="232"/>
    </row>
    <row r="534" spans="1:13" ht="30" customHeight="1">
      <c r="A534" s="232"/>
      <c r="B534" s="233"/>
      <c r="C534" s="298"/>
      <c r="D534" s="252" t="s">
        <v>1031</v>
      </c>
      <c r="E534" s="298"/>
      <c r="F534" s="298"/>
      <c r="G534" s="253" t="s">
        <v>1034</v>
      </c>
      <c r="H534" s="252" t="s">
        <v>1028</v>
      </c>
      <c r="I534" s="325">
        <v>1</v>
      </c>
      <c r="J534" s="341">
        <f>ROUND(24891.94*1.25,0)</f>
        <v>31115</v>
      </c>
      <c r="K534" s="340">
        <f>ROUND(I534*J534,0)</f>
        <v>31115</v>
      </c>
      <c r="L534" s="234"/>
      <c r="M534" s="232"/>
    </row>
    <row r="535" spans="1:13" ht="30" customHeight="1">
      <c r="A535" s="232"/>
      <c r="B535" s="233"/>
      <c r="C535" s="298"/>
      <c r="D535" s="252" t="s">
        <v>1032</v>
      </c>
      <c r="E535" s="298"/>
      <c r="F535" s="298"/>
      <c r="G535" s="253" t="s">
        <v>1035</v>
      </c>
      <c r="H535" s="252" t="s">
        <v>1028</v>
      </c>
      <c r="I535" s="325">
        <v>1</v>
      </c>
      <c r="J535" s="341">
        <f>ROUND(24891.94*1.25,0)</f>
        <v>31115</v>
      </c>
      <c r="K535" s="340">
        <f t="shared" ref="K535:K536" si="39">ROUND(I535*J535,0)</f>
        <v>31115</v>
      </c>
      <c r="L535" s="234"/>
      <c r="M535" s="232"/>
    </row>
    <row r="536" spans="1:13" ht="30" customHeight="1">
      <c r="A536" s="232"/>
      <c r="B536" s="233"/>
      <c r="C536" s="298"/>
      <c r="D536" s="252" t="s">
        <v>1033</v>
      </c>
      <c r="E536" s="298"/>
      <c r="F536" s="298"/>
      <c r="G536" s="253" t="s">
        <v>1036</v>
      </c>
      <c r="H536" s="252" t="s">
        <v>1028</v>
      </c>
      <c r="I536" s="325">
        <v>1</v>
      </c>
      <c r="J536" s="341">
        <f>ROUND(24891.94*1.25,0)</f>
        <v>31115</v>
      </c>
      <c r="K536" s="340">
        <f t="shared" si="39"/>
        <v>31115</v>
      </c>
      <c r="L536" s="234"/>
      <c r="M536" s="232"/>
    </row>
    <row r="537" spans="1:13" ht="30" customHeight="1">
      <c r="A537" s="232"/>
      <c r="B537" s="233"/>
      <c r="C537" s="371" t="s">
        <v>1037</v>
      </c>
      <c r="D537" s="372"/>
      <c r="E537" s="372"/>
      <c r="F537" s="372"/>
      <c r="G537" s="372"/>
      <c r="H537" s="372"/>
      <c r="I537" s="372"/>
      <c r="J537" s="373"/>
      <c r="K537" s="339">
        <f>SUM(K534:K536)</f>
        <v>93345</v>
      </c>
      <c r="L537" s="234"/>
      <c r="M537" s="232"/>
    </row>
    <row r="538" spans="1:13" ht="30" customHeight="1" thickBot="1">
      <c r="A538" s="232"/>
      <c r="B538" s="233"/>
      <c r="C538" s="371" t="s">
        <v>1038</v>
      </c>
      <c r="D538" s="372"/>
      <c r="E538" s="372"/>
      <c r="F538" s="372"/>
      <c r="G538" s="372"/>
      <c r="H538" s="372"/>
      <c r="I538" s="372"/>
      <c r="J538" s="373"/>
      <c r="K538" s="357">
        <f>K532+K537</f>
        <v>2963593</v>
      </c>
      <c r="L538" s="234"/>
      <c r="M538" s="232"/>
    </row>
    <row r="539" spans="1:13" ht="30" customHeight="1" thickBot="1">
      <c r="A539" s="232"/>
      <c r="B539" s="233"/>
      <c r="C539" s="374" t="s">
        <v>1039</v>
      </c>
      <c r="D539" s="375"/>
      <c r="E539" s="375"/>
      <c r="F539" s="375"/>
      <c r="G539" s="375"/>
      <c r="H539" s="375"/>
      <c r="I539" s="375"/>
      <c r="J539" s="375"/>
      <c r="K539" s="376"/>
      <c r="L539" s="234"/>
      <c r="M539" s="232"/>
    </row>
    <row r="540" spans="1:13" ht="30" customHeight="1">
      <c r="A540" s="232"/>
      <c r="B540" s="233"/>
      <c r="C540" s="374" t="s">
        <v>1040</v>
      </c>
      <c r="D540" s="375"/>
      <c r="E540" s="375"/>
      <c r="F540" s="375"/>
      <c r="G540" s="375"/>
      <c r="H540" s="375"/>
      <c r="I540" s="375"/>
      <c r="J540" s="375"/>
      <c r="K540" s="376"/>
      <c r="L540" s="234"/>
      <c r="M540" s="232"/>
    </row>
    <row r="541" spans="1:13" ht="30" customHeight="1">
      <c r="A541" s="232"/>
      <c r="B541" s="233"/>
      <c r="C541" s="298"/>
      <c r="D541" s="252" t="s">
        <v>1041</v>
      </c>
      <c r="E541" s="298"/>
      <c r="F541" s="298"/>
      <c r="G541" s="253" t="s">
        <v>1044</v>
      </c>
      <c r="H541" s="252" t="s">
        <v>161</v>
      </c>
      <c r="I541" s="325">
        <v>1717.47</v>
      </c>
      <c r="J541" s="341">
        <f>ROUND(3014.15*1.25,0)</f>
        <v>3768</v>
      </c>
      <c r="K541" s="340">
        <f>ROUND(I541*J541,0)</f>
        <v>6471427</v>
      </c>
      <c r="L541" s="234"/>
      <c r="M541" s="232"/>
    </row>
    <row r="542" spans="1:13" ht="30" customHeight="1">
      <c r="A542" s="232"/>
      <c r="B542" s="233"/>
      <c r="C542" s="298"/>
      <c r="D542" s="252" t="s">
        <v>1042</v>
      </c>
      <c r="E542" s="298"/>
      <c r="F542" s="298"/>
      <c r="G542" s="253" t="s">
        <v>1045</v>
      </c>
      <c r="H542" s="252" t="s">
        <v>114</v>
      </c>
      <c r="I542" s="325">
        <v>458.56</v>
      </c>
      <c r="J542" s="341">
        <f>ROUND(52532.14*1.25,0)</f>
        <v>65665</v>
      </c>
      <c r="K542" s="340">
        <f t="shared" ref="K542:K543" si="40">ROUND(I542*J542,0)</f>
        <v>30111342</v>
      </c>
      <c r="L542" s="234"/>
      <c r="M542" s="232"/>
    </row>
    <row r="543" spans="1:13" ht="30" customHeight="1">
      <c r="A543" s="232"/>
      <c r="B543" s="233"/>
      <c r="C543" s="298"/>
      <c r="D543" s="252" t="s">
        <v>1043</v>
      </c>
      <c r="E543" s="298"/>
      <c r="F543" s="298"/>
      <c r="G543" s="253" t="s">
        <v>1046</v>
      </c>
      <c r="H543" s="252" t="s">
        <v>114</v>
      </c>
      <c r="I543" s="325">
        <v>38.64</v>
      </c>
      <c r="J543" s="368">
        <f>ROUND(118123*1.25,0)</f>
        <v>147654</v>
      </c>
      <c r="K543" s="369">
        <f t="shared" si="40"/>
        <v>5705351</v>
      </c>
      <c r="L543" s="234"/>
      <c r="M543" s="232"/>
    </row>
    <row r="544" spans="1:13" ht="30" customHeight="1" thickBot="1">
      <c r="A544" s="232"/>
      <c r="B544" s="233"/>
      <c r="C544" s="371" t="s">
        <v>104</v>
      </c>
      <c r="D544" s="372"/>
      <c r="E544" s="372"/>
      <c r="F544" s="372"/>
      <c r="G544" s="372"/>
      <c r="H544" s="372"/>
      <c r="I544" s="372"/>
      <c r="J544" s="373"/>
      <c r="K544" s="339">
        <f>SUM(K541:K543)</f>
        <v>42288120</v>
      </c>
      <c r="L544" s="234"/>
      <c r="M544" s="232"/>
    </row>
    <row r="545" spans="1:13" ht="30" customHeight="1">
      <c r="A545" s="232"/>
      <c r="B545" s="233"/>
      <c r="C545" s="374" t="s">
        <v>1047</v>
      </c>
      <c r="D545" s="375"/>
      <c r="E545" s="375"/>
      <c r="F545" s="375"/>
      <c r="G545" s="375"/>
      <c r="H545" s="375"/>
      <c r="I545" s="375"/>
      <c r="J545" s="375"/>
      <c r="K545" s="376"/>
      <c r="L545" s="234"/>
      <c r="M545" s="232"/>
    </row>
    <row r="546" spans="1:13" ht="30" customHeight="1">
      <c r="A546" s="232"/>
      <c r="B546" s="233"/>
      <c r="C546" s="298"/>
      <c r="D546" s="252" t="s">
        <v>1048</v>
      </c>
      <c r="E546" s="298"/>
      <c r="F546" s="298"/>
      <c r="G546" s="253" t="s">
        <v>1053</v>
      </c>
      <c r="H546" s="252" t="s">
        <v>114</v>
      </c>
      <c r="I546" s="325">
        <v>154.57</v>
      </c>
      <c r="J546" s="341">
        <f>ROUND(560779.29*1.25,0)</f>
        <v>700974</v>
      </c>
      <c r="K546" s="340">
        <f>ROUND(I546*J546,0)</f>
        <v>108349551</v>
      </c>
      <c r="L546" s="234"/>
      <c r="M546" s="232"/>
    </row>
    <row r="547" spans="1:13" ht="30" customHeight="1">
      <c r="A547" s="232"/>
      <c r="B547" s="233"/>
      <c r="C547" s="298"/>
      <c r="D547" s="252" t="s">
        <v>1049</v>
      </c>
      <c r="E547" s="298"/>
      <c r="F547" s="298"/>
      <c r="G547" s="253" t="s">
        <v>1054</v>
      </c>
      <c r="H547" s="252" t="s">
        <v>114</v>
      </c>
      <c r="I547" s="325">
        <v>88.2</v>
      </c>
      <c r="J547" s="368">
        <f>ROUND(692322*1.25,0)</f>
        <v>865403</v>
      </c>
      <c r="K547" s="369">
        <f t="shared" ref="K547:K550" si="41">ROUND(I547*J547,0)</f>
        <v>76328545</v>
      </c>
      <c r="L547" s="234"/>
      <c r="M547" s="232"/>
    </row>
    <row r="548" spans="1:13" ht="30" customHeight="1">
      <c r="A548" s="232"/>
      <c r="B548" s="233"/>
      <c r="C548" s="298"/>
      <c r="D548" s="252" t="s">
        <v>1050</v>
      </c>
      <c r="E548" s="298"/>
      <c r="F548" s="298"/>
      <c r="G548" s="253" t="s">
        <v>1055</v>
      </c>
      <c r="H548" s="252" t="s">
        <v>114</v>
      </c>
      <c r="I548" s="325">
        <v>107.34</v>
      </c>
      <c r="J548" s="368">
        <f>ROUND(674424.36*1.25,0)</f>
        <v>843030</v>
      </c>
      <c r="K548" s="369">
        <f t="shared" si="41"/>
        <v>90490840</v>
      </c>
      <c r="L548" s="234"/>
      <c r="M548" s="232"/>
    </row>
    <row r="549" spans="1:13" ht="30" customHeight="1">
      <c r="A549" s="232"/>
      <c r="B549" s="233"/>
      <c r="C549" s="298"/>
      <c r="D549" s="252" t="s">
        <v>1051</v>
      </c>
      <c r="E549" s="298"/>
      <c r="F549" s="298"/>
      <c r="G549" s="253" t="s">
        <v>1056</v>
      </c>
      <c r="H549" s="252" t="s">
        <v>114</v>
      </c>
      <c r="I549" s="325">
        <v>7.88</v>
      </c>
      <c r="J549" s="368">
        <f>ROUND(685055*1.25,0)</f>
        <v>856319</v>
      </c>
      <c r="K549" s="369">
        <f t="shared" si="41"/>
        <v>6747794</v>
      </c>
      <c r="L549" s="234"/>
      <c r="M549" s="232"/>
    </row>
    <row r="550" spans="1:13" ht="30" customHeight="1">
      <c r="A550" s="232"/>
      <c r="B550" s="233"/>
      <c r="C550" s="298"/>
      <c r="D550" s="252" t="s">
        <v>1052</v>
      </c>
      <c r="E550" s="298"/>
      <c r="F550" s="298"/>
      <c r="G550" s="253" t="s">
        <v>1057</v>
      </c>
      <c r="H550" s="252" t="s">
        <v>159</v>
      </c>
      <c r="I550" s="325">
        <v>19419.52</v>
      </c>
      <c r="J550" s="341">
        <f>ROUND(5609.11*1.25,0)</f>
        <v>7011</v>
      </c>
      <c r="K550" s="340">
        <f t="shared" si="41"/>
        <v>136150255</v>
      </c>
      <c r="L550" s="234"/>
      <c r="M550" s="232"/>
    </row>
    <row r="551" spans="1:13" ht="30" customHeight="1" thickBot="1">
      <c r="A551" s="232"/>
      <c r="B551" s="233"/>
      <c r="C551" s="371" t="s">
        <v>1058</v>
      </c>
      <c r="D551" s="372"/>
      <c r="E551" s="372"/>
      <c r="F551" s="372"/>
      <c r="G551" s="372"/>
      <c r="H551" s="372"/>
      <c r="I551" s="372"/>
      <c r="J551" s="373"/>
      <c r="K551" s="339">
        <f>SUM(K546:K550)</f>
        <v>418066985</v>
      </c>
      <c r="L551" s="234"/>
      <c r="M551" s="232"/>
    </row>
    <row r="552" spans="1:13" ht="30" customHeight="1">
      <c r="A552" s="232"/>
      <c r="B552" s="233"/>
      <c r="C552" s="374" t="s">
        <v>1064</v>
      </c>
      <c r="D552" s="375"/>
      <c r="E552" s="375"/>
      <c r="F552" s="375"/>
      <c r="G552" s="375"/>
      <c r="H552" s="375"/>
      <c r="I552" s="375"/>
      <c r="J552" s="375"/>
      <c r="K552" s="376"/>
      <c r="L552" s="234"/>
      <c r="M552" s="232"/>
    </row>
    <row r="553" spans="1:13" ht="27.6">
      <c r="A553" s="232"/>
      <c r="B553" s="233"/>
      <c r="C553" s="298"/>
      <c r="D553" s="252" t="s">
        <v>1065</v>
      </c>
      <c r="E553" s="298"/>
      <c r="F553" s="298"/>
      <c r="G553" s="253" t="s">
        <v>1068</v>
      </c>
      <c r="H553" s="252" t="s">
        <v>103</v>
      </c>
      <c r="I553" s="325">
        <v>858.74</v>
      </c>
      <c r="J553" s="341">
        <f>ROUND(116322.88*1.25,0)</f>
        <v>145404</v>
      </c>
      <c r="K553" s="340">
        <f>ROUND(I553*J553,0)</f>
        <v>124864231</v>
      </c>
      <c r="L553" s="234"/>
      <c r="M553" s="232"/>
    </row>
    <row r="554" spans="1:13" ht="110.4">
      <c r="A554" s="232"/>
      <c r="B554" s="233"/>
      <c r="C554" s="298"/>
      <c r="D554" s="252" t="s">
        <v>1066</v>
      </c>
      <c r="E554" s="298"/>
      <c r="F554" s="298"/>
      <c r="G554" s="253" t="s">
        <v>1069</v>
      </c>
      <c r="H554" s="252" t="s">
        <v>161</v>
      </c>
      <c r="I554" s="325">
        <v>1717.47</v>
      </c>
      <c r="J554" s="368">
        <f>ROUND(207885*1.25,0)</f>
        <v>259856</v>
      </c>
      <c r="K554" s="369">
        <f t="shared" ref="K554:K555" si="42">ROUND(I554*J554,0)</f>
        <v>446294884</v>
      </c>
      <c r="L554" s="234"/>
      <c r="M554" s="232"/>
    </row>
    <row r="555" spans="1:13" ht="69">
      <c r="A555" s="232"/>
      <c r="B555" s="233"/>
      <c r="C555" s="298"/>
      <c r="D555" s="252" t="s">
        <v>1067</v>
      </c>
      <c r="E555" s="298"/>
      <c r="F555" s="298"/>
      <c r="G555" s="253" t="s">
        <v>1070</v>
      </c>
      <c r="H555" s="252" t="s">
        <v>161</v>
      </c>
      <c r="I555" s="325">
        <v>535</v>
      </c>
      <c r="J555" s="341">
        <f>ROUND(46607.31*1.25,0)</f>
        <v>58259</v>
      </c>
      <c r="K555" s="340">
        <f t="shared" si="42"/>
        <v>31168565</v>
      </c>
      <c r="L555" s="234"/>
      <c r="M555" s="232"/>
    </row>
    <row r="556" spans="1:13" ht="30" customHeight="1" thickBot="1">
      <c r="A556" s="232"/>
      <c r="B556" s="233"/>
      <c r="C556" s="371" t="s">
        <v>1071</v>
      </c>
      <c r="D556" s="372"/>
      <c r="E556" s="372"/>
      <c r="F556" s="372"/>
      <c r="G556" s="372"/>
      <c r="H556" s="372"/>
      <c r="I556" s="372"/>
      <c r="J556" s="373"/>
      <c r="K556" s="339">
        <f>SUM(K553:K555)</f>
        <v>602327680</v>
      </c>
      <c r="L556" s="234"/>
      <c r="M556" s="232"/>
    </row>
    <row r="557" spans="1:13" ht="30" customHeight="1">
      <c r="A557" s="232"/>
      <c r="B557" s="233"/>
      <c r="C557" s="374" t="s">
        <v>1059</v>
      </c>
      <c r="D557" s="375"/>
      <c r="E557" s="375"/>
      <c r="F557" s="375"/>
      <c r="G557" s="375"/>
      <c r="H557" s="375"/>
      <c r="I557" s="375"/>
      <c r="J557" s="375"/>
      <c r="K557" s="376"/>
      <c r="L557" s="234"/>
      <c r="M557" s="232"/>
    </row>
    <row r="558" spans="1:13" ht="41.4">
      <c r="A558" s="232"/>
      <c r="B558" s="233"/>
      <c r="C558" s="298"/>
      <c r="D558" s="252" t="s">
        <v>1060</v>
      </c>
      <c r="E558" s="298"/>
      <c r="F558" s="298"/>
      <c r="G558" s="253" t="s">
        <v>1061</v>
      </c>
      <c r="H558" s="252" t="s">
        <v>1028</v>
      </c>
      <c r="I558" s="325">
        <v>1</v>
      </c>
      <c r="J558" s="341">
        <f>ROUND(1230242.1*1.25,0)</f>
        <v>1537803</v>
      </c>
      <c r="K558" s="340">
        <f>ROUND(I558*J558,0)</f>
        <v>1537803</v>
      </c>
      <c r="L558" s="234"/>
      <c r="M558" s="232"/>
    </row>
    <row r="559" spans="1:13" ht="30" customHeight="1">
      <c r="A559" s="232"/>
      <c r="B559" s="233"/>
      <c r="C559" s="371" t="s">
        <v>1062</v>
      </c>
      <c r="D559" s="372"/>
      <c r="E559" s="372"/>
      <c r="F559" s="372"/>
      <c r="G559" s="372"/>
      <c r="H559" s="372"/>
      <c r="I559" s="372"/>
      <c r="J559" s="373"/>
      <c r="K559" s="339">
        <f>SUM(K558)</f>
        <v>1537803</v>
      </c>
      <c r="L559" s="234"/>
      <c r="M559" s="232"/>
    </row>
    <row r="560" spans="1:13" ht="30" customHeight="1" thickBot="1">
      <c r="A560" s="232"/>
      <c r="B560" s="233"/>
      <c r="C560" s="371" t="s">
        <v>1063</v>
      </c>
      <c r="D560" s="372"/>
      <c r="E560" s="372"/>
      <c r="F560" s="372"/>
      <c r="G560" s="372"/>
      <c r="H560" s="372"/>
      <c r="I560" s="372"/>
      <c r="J560" s="373"/>
      <c r="K560" s="357">
        <f>K544++K551+K556+K559</f>
        <v>1064220588</v>
      </c>
      <c r="L560" s="234"/>
      <c r="M560" s="232"/>
    </row>
    <row r="561" spans="1:13" ht="30" customHeight="1">
      <c r="A561" s="232"/>
      <c r="B561" s="233"/>
      <c r="C561" s="374" t="s">
        <v>1072</v>
      </c>
      <c r="D561" s="375"/>
      <c r="E561" s="375"/>
      <c r="F561" s="375"/>
      <c r="G561" s="375"/>
      <c r="H561" s="375"/>
      <c r="I561" s="375"/>
      <c r="J561" s="375"/>
      <c r="K561" s="376"/>
      <c r="L561" s="234"/>
      <c r="M561" s="232"/>
    </row>
    <row r="562" spans="1:13" ht="139.19999999999999" customHeight="1">
      <c r="A562" s="232"/>
      <c r="B562" s="233"/>
      <c r="C562" s="298"/>
      <c r="D562" s="252" t="s">
        <v>1074</v>
      </c>
      <c r="E562" s="298"/>
      <c r="F562" s="298"/>
      <c r="G562" s="343" t="s">
        <v>1083</v>
      </c>
      <c r="H562" s="252" t="s">
        <v>160</v>
      </c>
      <c r="I562" s="325">
        <v>1</v>
      </c>
      <c r="J562" s="341">
        <f>ROUND(27527871.2*1.25,0)</f>
        <v>34409839</v>
      </c>
      <c r="K562" s="340">
        <f>ROUND(I562*J562,0)</f>
        <v>34409839</v>
      </c>
      <c r="L562" s="234"/>
      <c r="M562" s="232"/>
    </row>
    <row r="563" spans="1:13" ht="151.19999999999999" customHeight="1">
      <c r="A563" s="232"/>
      <c r="B563" s="233"/>
      <c r="C563" s="298"/>
      <c r="D563" s="252" t="s">
        <v>1075</v>
      </c>
      <c r="E563" s="298"/>
      <c r="F563" s="298"/>
      <c r="G563" s="343" t="s">
        <v>1084</v>
      </c>
      <c r="H563" s="252" t="s">
        <v>160</v>
      </c>
      <c r="I563" s="325">
        <v>1</v>
      </c>
      <c r="J563" s="341">
        <f>ROUND(27448144.8*1.25,0)</f>
        <v>34310181</v>
      </c>
      <c r="K563" s="340">
        <f t="shared" ref="K563:K570" si="43">ROUND(I563*J563,0)</f>
        <v>34310181</v>
      </c>
      <c r="L563" s="234"/>
      <c r="M563" s="232"/>
    </row>
    <row r="564" spans="1:13" ht="51">
      <c r="A564" s="232"/>
      <c r="B564" s="233"/>
      <c r="C564" s="298"/>
      <c r="D564" s="252" t="s">
        <v>1076</v>
      </c>
      <c r="E564" s="298"/>
      <c r="F564" s="298"/>
      <c r="G564" s="343" t="s">
        <v>1085</v>
      </c>
      <c r="H564" s="252" t="s">
        <v>823</v>
      </c>
      <c r="I564" s="325">
        <v>2</v>
      </c>
      <c r="J564" s="341">
        <f>ROUND(7871239.8*1.25,0)</f>
        <v>9839050</v>
      </c>
      <c r="K564" s="340">
        <f t="shared" si="43"/>
        <v>19678100</v>
      </c>
      <c r="L564" s="234"/>
      <c r="M564" s="232"/>
    </row>
    <row r="565" spans="1:13" ht="30" customHeight="1">
      <c r="A565" s="232"/>
      <c r="B565" s="233"/>
      <c r="C565" s="298"/>
      <c r="D565" s="252" t="s">
        <v>1077</v>
      </c>
      <c r="E565" s="298"/>
      <c r="F565" s="298"/>
      <c r="G565" s="343" t="s">
        <v>1086</v>
      </c>
      <c r="H565" s="252" t="s">
        <v>160</v>
      </c>
      <c r="I565" s="325">
        <v>29</v>
      </c>
      <c r="J565" s="341">
        <f>ROUND(39647.37*1.25,0)</f>
        <v>49559</v>
      </c>
      <c r="K565" s="340">
        <f t="shared" si="43"/>
        <v>1437211</v>
      </c>
      <c r="L565" s="234"/>
      <c r="M565" s="232"/>
    </row>
    <row r="566" spans="1:13" ht="30" customHeight="1">
      <c r="A566" s="232"/>
      <c r="B566" s="233"/>
      <c r="C566" s="298"/>
      <c r="D566" s="252" t="s">
        <v>1078</v>
      </c>
      <c r="E566" s="298"/>
      <c r="F566" s="298"/>
      <c r="G566" s="343" t="s">
        <v>1087</v>
      </c>
      <c r="H566" s="252" t="s">
        <v>823</v>
      </c>
      <c r="I566" s="325">
        <v>7</v>
      </c>
      <c r="J566" s="341">
        <f>ROUND(73847.37*1.25,0)</f>
        <v>92309</v>
      </c>
      <c r="K566" s="340">
        <f t="shared" si="43"/>
        <v>646163</v>
      </c>
      <c r="L566" s="234"/>
      <c r="M566" s="232"/>
    </row>
    <row r="567" spans="1:13" ht="30.6">
      <c r="A567" s="232"/>
      <c r="B567" s="233"/>
      <c r="C567" s="298"/>
      <c r="D567" s="252" t="s">
        <v>1079</v>
      </c>
      <c r="E567" s="298"/>
      <c r="F567" s="298"/>
      <c r="G567" s="343" t="s">
        <v>1088</v>
      </c>
      <c r="H567" s="252" t="s">
        <v>160</v>
      </c>
      <c r="I567" s="325">
        <v>1</v>
      </c>
      <c r="J567" s="341">
        <f>ROUND(1182247.4*1.25,0)</f>
        <v>1477809</v>
      </c>
      <c r="K567" s="340">
        <f t="shared" si="43"/>
        <v>1477809</v>
      </c>
      <c r="L567" s="234"/>
      <c r="M567" s="232"/>
    </row>
    <row r="568" spans="1:13" ht="30.6">
      <c r="A568" s="232"/>
      <c r="B568" s="233"/>
      <c r="C568" s="298"/>
      <c r="D568" s="252" t="s">
        <v>1080</v>
      </c>
      <c r="E568" s="298"/>
      <c r="F568" s="298"/>
      <c r="G568" s="343" t="s">
        <v>1089</v>
      </c>
      <c r="H568" s="252" t="s">
        <v>160</v>
      </c>
      <c r="I568" s="325">
        <v>1</v>
      </c>
      <c r="J568" s="341">
        <f>ROUND(1957836.88*1.25,0)</f>
        <v>2447296</v>
      </c>
      <c r="K568" s="340">
        <f t="shared" si="43"/>
        <v>2447296</v>
      </c>
      <c r="L568" s="234"/>
      <c r="M568" s="232"/>
    </row>
    <row r="569" spans="1:13" ht="30" customHeight="1">
      <c r="A569" s="232"/>
      <c r="B569" s="233"/>
      <c r="C569" s="298"/>
      <c r="D569" s="252" t="s">
        <v>1081</v>
      </c>
      <c r="E569" s="298"/>
      <c r="F569" s="298"/>
      <c r="G569" s="343" t="s">
        <v>1090</v>
      </c>
      <c r="H569" s="252" t="s">
        <v>160</v>
      </c>
      <c r="I569" s="325">
        <v>1</v>
      </c>
      <c r="J569" s="368">
        <f>ROUND(396774*1.25,0)</f>
        <v>495968</v>
      </c>
      <c r="K569" s="369">
        <f t="shared" si="43"/>
        <v>495968</v>
      </c>
      <c r="L569" s="234"/>
      <c r="M569" s="232"/>
    </row>
    <row r="570" spans="1:13" ht="168" customHeight="1">
      <c r="A570" s="232"/>
      <c r="B570" s="233"/>
      <c r="C570" s="298"/>
      <c r="D570" s="252" t="s">
        <v>1082</v>
      </c>
      <c r="E570" s="298"/>
      <c r="F570" s="298"/>
      <c r="G570" s="343" t="s">
        <v>1091</v>
      </c>
      <c r="H570" s="252" t="s">
        <v>160</v>
      </c>
      <c r="I570" s="325">
        <v>1</v>
      </c>
      <c r="J570" s="341">
        <f>ROUND(14538247.4*1.25,0)</f>
        <v>18172809</v>
      </c>
      <c r="K570" s="340">
        <f t="shared" si="43"/>
        <v>18172809</v>
      </c>
      <c r="L570" s="234"/>
      <c r="M570" s="232"/>
    </row>
    <row r="571" spans="1:13" ht="30" customHeight="1" thickBot="1">
      <c r="A571" s="232"/>
      <c r="B571" s="233"/>
      <c r="C571" s="380" t="s">
        <v>1073</v>
      </c>
      <c r="D571" s="380"/>
      <c r="E571" s="380"/>
      <c r="F571" s="380"/>
      <c r="G571" s="380"/>
      <c r="H571" s="380"/>
      <c r="I571" s="380"/>
      <c r="J571" s="380"/>
      <c r="K571" s="357">
        <f>SUM(K562:K570)</f>
        <v>113075376</v>
      </c>
      <c r="L571" s="234"/>
      <c r="M571" s="232"/>
    </row>
    <row r="572" spans="1:13" ht="30" customHeight="1" thickBot="1">
      <c r="A572" s="232"/>
      <c r="B572" s="233"/>
      <c r="C572" s="374" t="s">
        <v>1092</v>
      </c>
      <c r="D572" s="375"/>
      <c r="E572" s="375"/>
      <c r="F572" s="375"/>
      <c r="G572" s="375"/>
      <c r="H572" s="375"/>
      <c r="I572" s="375"/>
      <c r="J572" s="375"/>
      <c r="K572" s="376"/>
      <c r="L572" s="234"/>
      <c r="M572" s="232"/>
    </row>
    <row r="573" spans="1:13" ht="30" customHeight="1">
      <c r="A573" s="232"/>
      <c r="B573" s="233"/>
      <c r="C573" s="374" t="s">
        <v>1093</v>
      </c>
      <c r="D573" s="375"/>
      <c r="E573" s="375"/>
      <c r="F573" s="375"/>
      <c r="G573" s="375"/>
      <c r="H573" s="375"/>
      <c r="I573" s="375"/>
      <c r="J573" s="375"/>
      <c r="K573" s="376"/>
      <c r="L573" s="234"/>
      <c r="M573" s="232"/>
    </row>
    <row r="574" spans="1:13" ht="30" customHeight="1">
      <c r="A574" s="232"/>
      <c r="B574" s="233"/>
      <c r="C574" s="298"/>
      <c r="D574" s="252" t="s">
        <v>1094</v>
      </c>
      <c r="E574" s="298"/>
      <c r="F574" s="298"/>
      <c r="G574" s="253" t="s">
        <v>1096</v>
      </c>
      <c r="H574" s="252" t="s">
        <v>160</v>
      </c>
      <c r="I574" s="325">
        <v>2</v>
      </c>
      <c r="J574" s="341">
        <f>ROUND(7820920*1.25,0)</f>
        <v>9776150</v>
      </c>
      <c r="K574" s="340">
        <f>ROUND(I574*J574,0)</f>
        <v>19552300</v>
      </c>
      <c r="L574" s="234"/>
      <c r="M574" s="232"/>
    </row>
    <row r="575" spans="1:13" ht="30" customHeight="1">
      <c r="A575" s="232"/>
      <c r="B575" s="233"/>
      <c r="C575" s="298"/>
      <c r="D575" s="252" t="s">
        <v>1095</v>
      </c>
      <c r="E575" s="298"/>
      <c r="F575" s="298"/>
      <c r="G575" s="253" t="s">
        <v>1097</v>
      </c>
      <c r="H575" s="252" t="s">
        <v>103</v>
      </c>
      <c r="I575" s="325">
        <v>1</v>
      </c>
      <c r="J575" s="341">
        <f>ROUND(2863300*1.25,0)</f>
        <v>3579125</v>
      </c>
      <c r="K575" s="340">
        <f>ROUND(I575*J575,0)</f>
        <v>3579125</v>
      </c>
      <c r="L575" s="234"/>
      <c r="M575" s="232"/>
    </row>
    <row r="576" spans="1:13" ht="30" customHeight="1" thickBot="1">
      <c r="A576" s="232"/>
      <c r="B576" s="233"/>
      <c r="C576" s="371" t="s">
        <v>1098</v>
      </c>
      <c r="D576" s="372"/>
      <c r="E576" s="372"/>
      <c r="F576" s="372"/>
      <c r="G576" s="372"/>
      <c r="H576" s="372"/>
      <c r="I576" s="372"/>
      <c r="J576" s="373"/>
      <c r="K576" s="339">
        <f>SUM(K574:K575)</f>
        <v>23131425</v>
      </c>
      <c r="L576" s="234"/>
      <c r="M576" s="232"/>
    </row>
    <row r="577" spans="1:13" ht="30" customHeight="1">
      <c r="A577" s="232"/>
      <c r="B577" s="233"/>
      <c r="C577" s="374" t="s">
        <v>1099</v>
      </c>
      <c r="D577" s="375"/>
      <c r="E577" s="375"/>
      <c r="F577" s="375"/>
      <c r="G577" s="375"/>
      <c r="H577" s="375"/>
      <c r="I577" s="375"/>
      <c r="J577" s="375"/>
      <c r="K577" s="376"/>
      <c r="L577" s="234"/>
      <c r="M577" s="232"/>
    </row>
    <row r="578" spans="1:13" ht="55.2">
      <c r="A578" s="232"/>
      <c r="B578" s="233"/>
      <c r="C578" s="298"/>
      <c r="D578" s="252" t="s">
        <v>1100</v>
      </c>
      <c r="E578" s="298"/>
      <c r="F578" s="298"/>
      <c r="G578" s="253" t="s">
        <v>1105</v>
      </c>
      <c r="H578" s="252" t="s">
        <v>161</v>
      </c>
      <c r="I578" s="325">
        <v>6</v>
      </c>
      <c r="J578" s="341">
        <f>ROUND(185250*1.25,0)</f>
        <v>231563</v>
      </c>
      <c r="K578" s="340">
        <f>ROUND(I578*J578,0)</f>
        <v>1389378</v>
      </c>
      <c r="L578" s="234"/>
      <c r="M578" s="232"/>
    </row>
    <row r="579" spans="1:13" ht="69">
      <c r="A579" s="232"/>
      <c r="B579" s="233"/>
      <c r="C579" s="298"/>
      <c r="D579" s="252" t="s">
        <v>1101</v>
      </c>
      <c r="E579" s="298"/>
      <c r="F579" s="298"/>
      <c r="G579" s="253" t="s">
        <v>1106</v>
      </c>
      <c r="H579" s="252" t="s">
        <v>160</v>
      </c>
      <c r="I579" s="325">
        <v>2</v>
      </c>
      <c r="J579" s="341">
        <f>ROUND(171154*1.25,0)</f>
        <v>213943</v>
      </c>
      <c r="K579" s="340">
        <f t="shared" ref="K579:K582" si="44">ROUND(I579*J579,0)</f>
        <v>427886</v>
      </c>
      <c r="L579" s="234"/>
      <c r="M579" s="232"/>
    </row>
    <row r="580" spans="1:13" ht="41.4">
      <c r="A580" s="232"/>
      <c r="B580" s="233"/>
      <c r="C580" s="298"/>
      <c r="D580" s="252" t="s">
        <v>1102</v>
      </c>
      <c r="E580" s="298"/>
      <c r="F580" s="298"/>
      <c r="G580" s="253" t="s">
        <v>1107</v>
      </c>
      <c r="H580" s="252" t="s">
        <v>160</v>
      </c>
      <c r="I580" s="325">
        <v>1</v>
      </c>
      <c r="J580" s="341">
        <f>ROUND(1365000*1.25,0)</f>
        <v>1706250</v>
      </c>
      <c r="K580" s="340">
        <f t="shared" si="44"/>
        <v>1706250</v>
      </c>
      <c r="L580" s="234"/>
      <c r="M580" s="232"/>
    </row>
    <row r="581" spans="1:13" ht="55.2">
      <c r="A581" s="232"/>
      <c r="B581" s="233"/>
      <c r="C581" s="298"/>
      <c r="D581" s="252" t="s">
        <v>1103</v>
      </c>
      <c r="E581" s="298"/>
      <c r="F581" s="298"/>
      <c r="G581" s="253" t="s">
        <v>1108</v>
      </c>
      <c r="H581" s="252" t="s">
        <v>160</v>
      </c>
      <c r="I581" s="325">
        <v>2</v>
      </c>
      <c r="J581" s="341">
        <f>ROUND(1850000*1.25,0)</f>
        <v>2312500</v>
      </c>
      <c r="K581" s="340">
        <f t="shared" si="44"/>
        <v>4625000</v>
      </c>
      <c r="L581" s="234"/>
      <c r="M581" s="232"/>
    </row>
    <row r="582" spans="1:13" ht="30" customHeight="1">
      <c r="A582" s="232"/>
      <c r="B582" s="233"/>
      <c r="C582" s="298"/>
      <c r="D582" s="252" t="s">
        <v>1104</v>
      </c>
      <c r="E582" s="298"/>
      <c r="F582" s="298"/>
      <c r="G582" s="253" t="s">
        <v>1109</v>
      </c>
      <c r="H582" s="252" t="s">
        <v>160</v>
      </c>
      <c r="I582" s="325">
        <v>4</v>
      </c>
      <c r="J582" s="341">
        <f>ROUND(510000*1.25,0)</f>
        <v>637500</v>
      </c>
      <c r="K582" s="340">
        <f t="shared" si="44"/>
        <v>2550000</v>
      </c>
      <c r="L582" s="234"/>
      <c r="M582" s="232"/>
    </row>
    <row r="583" spans="1:13" ht="30" customHeight="1">
      <c r="A583" s="232"/>
      <c r="B583" s="233"/>
      <c r="C583" s="371" t="s">
        <v>354</v>
      </c>
      <c r="D583" s="372"/>
      <c r="E583" s="372"/>
      <c r="F583" s="372"/>
      <c r="G583" s="372"/>
      <c r="H583" s="372"/>
      <c r="I583" s="372"/>
      <c r="J583" s="373"/>
      <c r="K583" s="339">
        <f>SUM(K578:K582)</f>
        <v>10698514</v>
      </c>
      <c r="L583" s="234"/>
      <c r="M583" s="232"/>
    </row>
    <row r="584" spans="1:13" ht="30" customHeight="1" thickBot="1">
      <c r="A584" s="232"/>
      <c r="B584" s="233"/>
      <c r="C584" s="371" t="s">
        <v>1110</v>
      </c>
      <c r="D584" s="372"/>
      <c r="E584" s="372"/>
      <c r="F584" s="372"/>
      <c r="G584" s="372"/>
      <c r="H584" s="372"/>
      <c r="I584" s="372"/>
      <c r="J584" s="373"/>
      <c r="K584" s="357">
        <f>K576+K583</f>
        <v>33829939</v>
      </c>
      <c r="L584" s="234"/>
      <c r="M584" s="232"/>
    </row>
    <row r="585" spans="1:13" ht="30" customHeight="1" thickBot="1">
      <c r="A585" s="232"/>
      <c r="B585" s="233"/>
      <c r="C585" s="374" t="s">
        <v>1111</v>
      </c>
      <c r="D585" s="375"/>
      <c r="E585" s="375"/>
      <c r="F585" s="375"/>
      <c r="G585" s="375"/>
      <c r="H585" s="375"/>
      <c r="I585" s="375"/>
      <c r="J585" s="375"/>
      <c r="K585" s="376"/>
      <c r="L585" s="234"/>
      <c r="M585" s="232"/>
    </row>
    <row r="586" spans="1:13" ht="30" customHeight="1">
      <c r="A586" s="232"/>
      <c r="B586" s="233"/>
      <c r="C586" s="374" t="s">
        <v>1112</v>
      </c>
      <c r="D586" s="375"/>
      <c r="E586" s="375"/>
      <c r="F586" s="375"/>
      <c r="G586" s="375"/>
      <c r="H586" s="375"/>
      <c r="I586" s="375"/>
      <c r="J586" s="375"/>
      <c r="K586" s="376"/>
      <c r="L586" s="234"/>
      <c r="M586" s="232"/>
    </row>
    <row r="587" spans="1:13" ht="30" customHeight="1">
      <c r="A587" s="232"/>
      <c r="B587" s="233"/>
      <c r="C587" s="298"/>
      <c r="D587" s="252" t="s">
        <v>1113</v>
      </c>
      <c r="E587" s="298"/>
      <c r="F587" s="298"/>
      <c r="G587" s="253" t="s">
        <v>1143</v>
      </c>
      <c r="H587" s="252" t="s">
        <v>1169</v>
      </c>
      <c r="I587" s="325">
        <v>400</v>
      </c>
      <c r="J587" s="341">
        <f>ROUND(1131715.84*1.25,0)</f>
        <v>1414645</v>
      </c>
      <c r="K587" s="340">
        <f>ROUND(I587*J587,0)</f>
        <v>565858000</v>
      </c>
      <c r="L587" s="234"/>
      <c r="M587" s="232"/>
    </row>
    <row r="588" spans="1:13" ht="30" customHeight="1">
      <c r="A588" s="232"/>
      <c r="B588" s="233"/>
      <c r="C588" s="298"/>
      <c r="D588" s="252" t="s">
        <v>1114</v>
      </c>
      <c r="E588" s="298"/>
      <c r="F588" s="298"/>
      <c r="G588" s="253" t="s">
        <v>1144</v>
      </c>
      <c r="H588" s="252" t="s">
        <v>1169</v>
      </c>
      <c r="I588" s="325">
        <v>2</v>
      </c>
      <c r="J588" s="341">
        <f>ROUND(40664139.17*1.25,0)</f>
        <v>50830174</v>
      </c>
      <c r="K588" s="340">
        <f t="shared" ref="K588:K616" si="45">ROUND(I588*J588,0)</f>
        <v>101660348</v>
      </c>
      <c r="L588" s="234"/>
      <c r="M588" s="232"/>
    </row>
    <row r="589" spans="1:13" ht="30" customHeight="1">
      <c r="A589" s="232"/>
      <c r="B589" s="233"/>
      <c r="C589" s="298"/>
      <c r="D589" s="252" t="s">
        <v>1115</v>
      </c>
      <c r="E589" s="298"/>
      <c r="F589" s="298"/>
      <c r="G589" s="253" t="s">
        <v>1145</v>
      </c>
      <c r="H589" s="252" t="s">
        <v>1169</v>
      </c>
      <c r="I589" s="325">
        <v>10</v>
      </c>
      <c r="J589" s="341">
        <f>ROUND(1272947.4*1.25,0)</f>
        <v>1591184</v>
      </c>
      <c r="K589" s="340">
        <f t="shared" si="45"/>
        <v>15911840</v>
      </c>
      <c r="L589" s="234"/>
      <c r="M589" s="232"/>
    </row>
    <row r="590" spans="1:13" ht="30" customHeight="1">
      <c r="A590" s="232"/>
      <c r="B590" s="233"/>
      <c r="C590" s="298"/>
      <c r="D590" s="252" t="s">
        <v>1116</v>
      </c>
      <c r="E590" s="298"/>
      <c r="F590" s="298"/>
      <c r="G590" s="253" t="s">
        <v>1146</v>
      </c>
      <c r="H590" s="252" t="s">
        <v>1169</v>
      </c>
      <c r="I590" s="325">
        <v>120</v>
      </c>
      <c r="J590" s="341">
        <f>ROUND(301732.69*1.25,0)</f>
        <v>377166</v>
      </c>
      <c r="K590" s="340">
        <f t="shared" si="45"/>
        <v>45259920</v>
      </c>
      <c r="L590" s="234"/>
      <c r="M590" s="232"/>
    </row>
    <row r="591" spans="1:13" ht="30" customHeight="1">
      <c r="A591" s="232"/>
      <c r="B591" s="233"/>
      <c r="C591" s="298"/>
      <c r="D591" s="252" t="s">
        <v>1117</v>
      </c>
      <c r="E591" s="298"/>
      <c r="F591" s="298"/>
      <c r="G591" s="253" t="s">
        <v>1147</v>
      </c>
      <c r="H591" s="252" t="s">
        <v>1169</v>
      </c>
      <c r="I591" s="325">
        <v>11</v>
      </c>
      <c r="J591" s="341">
        <f>ROUND(107660.01*1.25,0)</f>
        <v>134575</v>
      </c>
      <c r="K591" s="340">
        <f t="shared" si="45"/>
        <v>1480325</v>
      </c>
      <c r="L591" s="234"/>
      <c r="M591" s="232"/>
    </row>
    <row r="592" spans="1:13" ht="30" customHeight="1">
      <c r="A592" s="232"/>
      <c r="B592" s="233"/>
      <c r="C592" s="298"/>
      <c r="D592" s="252" t="s">
        <v>1118</v>
      </c>
      <c r="E592" s="298"/>
      <c r="F592" s="298"/>
      <c r="G592" s="253" t="s">
        <v>1148</v>
      </c>
      <c r="H592" s="252" t="s">
        <v>1170</v>
      </c>
      <c r="I592" s="325">
        <v>2680</v>
      </c>
      <c r="J592" s="341">
        <f>ROUND(19256.37*1.25,0)</f>
        <v>24070</v>
      </c>
      <c r="K592" s="340">
        <f t="shared" si="45"/>
        <v>64507600</v>
      </c>
      <c r="L592" s="234"/>
      <c r="M592" s="232"/>
    </row>
    <row r="593" spans="1:13" ht="30" customHeight="1">
      <c r="A593" s="232"/>
      <c r="B593" s="233"/>
      <c r="C593" s="298"/>
      <c r="D593" s="252" t="s">
        <v>1119</v>
      </c>
      <c r="E593" s="298"/>
      <c r="F593" s="298"/>
      <c r="G593" s="253" t="s">
        <v>1149</v>
      </c>
      <c r="H593" s="252" t="s">
        <v>1169</v>
      </c>
      <c r="I593" s="325">
        <v>80</v>
      </c>
      <c r="J593" s="341">
        <f>ROUND(13123.65*1.25,0)</f>
        <v>16405</v>
      </c>
      <c r="K593" s="340">
        <f t="shared" si="45"/>
        <v>1312400</v>
      </c>
      <c r="L593" s="234"/>
      <c r="M593" s="232"/>
    </row>
    <row r="594" spans="1:13" ht="30" customHeight="1">
      <c r="A594" s="232"/>
      <c r="B594" s="233"/>
      <c r="C594" s="298"/>
      <c r="D594" s="252" t="s">
        <v>1120</v>
      </c>
      <c r="E594" s="298"/>
      <c r="F594" s="298"/>
      <c r="G594" s="253" t="s">
        <v>1068</v>
      </c>
      <c r="H594" s="252" t="s">
        <v>103</v>
      </c>
      <c r="I594" s="325">
        <v>88.26</v>
      </c>
      <c r="J594" s="341">
        <f>ROUND(116322.88*1.25,0)</f>
        <v>145404</v>
      </c>
      <c r="K594" s="340">
        <f t="shared" si="45"/>
        <v>12833357</v>
      </c>
      <c r="L594" s="234"/>
      <c r="M594" s="232"/>
    </row>
    <row r="595" spans="1:13" ht="110.4">
      <c r="A595" s="232"/>
      <c r="B595" s="233"/>
      <c r="C595" s="298"/>
      <c r="D595" s="252" t="s">
        <v>1121</v>
      </c>
      <c r="E595" s="298"/>
      <c r="F595" s="298"/>
      <c r="G595" s="253" t="s">
        <v>1069</v>
      </c>
      <c r="H595" s="252" t="s">
        <v>161</v>
      </c>
      <c r="I595" s="325">
        <v>176.52</v>
      </c>
      <c r="J595" s="341">
        <f>ROUND(207885*1.25,0)</f>
        <v>259856</v>
      </c>
      <c r="K595" s="340">
        <f t="shared" si="45"/>
        <v>45869781</v>
      </c>
      <c r="L595" s="234"/>
      <c r="M595" s="232"/>
    </row>
    <row r="596" spans="1:13" ht="30" customHeight="1">
      <c r="A596" s="232"/>
      <c r="B596" s="233"/>
      <c r="C596" s="298"/>
      <c r="D596" s="252" t="s">
        <v>1122</v>
      </c>
      <c r="E596" s="298"/>
      <c r="F596" s="298"/>
      <c r="G596" s="253" t="s">
        <v>1150</v>
      </c>
      <c r="H596" s="252" t="s">
        <v>1169</v>
      </c>
      <c r="I596" s="325">
        <v>1</v>
      </c>
      <c r="J596" s="341">
        <f>ROUND(977092.23*1.25,0)</f>
        <v>1221365</v>
      </c>
      <c r="K596" s="340">
        <f t="shared" si="45"/>
        <v>1221365</v>
      </c>
      <c r="L596" s="234"/>
      <c r="M596" s="232"/>
    </row>
    <row r="597" spans="1:13" ht="30" customHeight="1">
      <c r="A597" s="232"/>
      <c r="B597" s="233"/>
      <c r="C597" s="298"/>
      <c r="D597" s="252" t="s">
        <v>1123</v>
      </c>
      <c r="E597" s="298"/>
      <c r="F597" s="298"/>
      <c r="G597" s="253" t="s">
        <v>1151</v>
      </c>
      <c r="H597" s="252" t="s">
        <v>1170</v>
      </c>
      <c r="I597" s="325">
        <v>50</v>
      </c>
      <c r="J597" s="341">
        <f>ROUND(68994*1.25,0)</f>
        <v>86243</v>
      </c>
      <c r="K597" s="340">
        <f t="shared" si="45"/>
        <v>4312150</v>
      </c>
      <c r="L597" s="234"/>
      <c r="M597" s="232"/>
    </row>
    <row r="598" spans="1:13" ht="30" customHeight="1">
      <c r="A598" s="232"/>
      <c r="B598" s="233"/>
      <c r="C598" s="298"/>
      <c r="D598" s="252" t="s">
        <v>1124</v>
      </c>
      <c r="E598" s="298"/>
      <c r="F598" s="298"/>
      <c r="G598" s="253" t="s">
        <v>1152</v>
      </c>
      <c r="H598" s="252" t="s">
        <v>1169</v>
      </c>
      <c r="I598" s="325">
        <v>18</v>
      </c>
      <c r="J598" s="341">
        <f>ROUND(406670.45*1.25,0)</f>
        <v>508338</v>
      </c>
      <c r="K598" s="340">
        <f t="shared" si="45"/>
        <v>9150084</v>
      </c>
      <c r="L598" s="234"/>
      <c r="M598" s="232"/>
    </row>
    <row r="599" spans="1:13" ht="30" customHeight="1">
      <c r="A599" s="232"/>
      <c r="B599" s="233"/>
      <c r="C599" s="298"/>
      <c r="D599" s="252" t="s">
        <v>1125</v>
      </c>
      <c r="E599" s="298"/>
      <c r="F599" s="298"/>
      <c r="G599" s="253" t="s">
        <v>1153</v>
      </c>
      <c r="H599" s="252" t="s">
        <v>1169</v>
      </c>
      <c r="I599" s="325">
        <v>20</v>
      </c>
      <c r="J599" s="341">
        <f>ROUND(14703.12*1.25,0)</f>
        <v>18379</v>
      </c>
      <c r="K599" s="340">
        <f t="shared" si="45"/>
        <v>367580</v>
      </c>
      <c r="L599" s="234"/>
      <c r="M599" s="232"/>
    </row>
    <row r="600" spans="1:13" ht="30" customHeight="1">
      <c r="A600" s="232"/>
      <c r="B600" s="233"/>
      <c r="C600" s="298"/>
      <c r="D600" s="252" t="s">
        <v>1126</v>
      </c>
      <c r="E600" s="298"/>
      <c r="F600" s="298"/>
      <c r="G600" s="253" t="s">
        <v>1154</v>
      </c>
      <c r="H600" s="252" t="s">
        <v>1170</v>
      </c>
      <c r="I600" s="325">
        <v>20</v>
      </c>
      <c r="J600" s="341">
        <f>ROUND(28622.4*1.25,0)</f>
        <v>35778</v>
      </c>
      <c r="K600" s="340">
        <f t="shared" si="45"/>
        <v>715560</v>
      </c>
      <c r="L600" s="234"/>
      <c r="M600" s="232"/>
    </row>
    <row r="601" spans="1:13" ht="30" customHeight="1">
      <c r="A601" s="232"/>
      <c r="B601" s="233"/>
      <c r="C601" s="298"/>
      <c r="D601" s="252" t="s">
        <v>1127</v>
      </c>
      <c r="E601" s="298"/>
      <c r="F601" s="298"/>
      <c r="G601" s="253" t="s">
        <v>1155</v>
      </c>
      <c r="H601" s="252" t="s">
        <v>1169</v>
      </c>
      <c r="I601" s="325">
        <v>4</v>
      </c>
      <c r="J601" s="341">
        <f>ROUND(9803.12*1.25,0)</f>
        <v>12254</v>
      </c>
      <c r="K601" s="340">
        <f t="shared" si="45"/>
        <v>49016</v>
      </c>
      <c r="L601" s="234"/>
      <c r="M601" s="232"/>
    </row>
    <row r="602" spans="1:13" ht="30" customHeight="1">
      <c r="A602" s="232"/>
      <c r="B602" s="233"/>
      <c r="C602" s="298"/>
      <c r="D602" s="252" t="s">
        <v>1128</v>
      </c>
      <c r="E602" s="298"/>
      <c r="F602" s="298"/>
      <c r="G602" s="253" t="s">
        <v>1156</v>
      </c>
      <c r="H602" s="252" t="s">
        <v>1169</v>
      </c>
      <c r="I602" s="325">
        <v>13</v>
      </c>
      <c r="J602" s="341">
        <f>ROUND(21503.12*1.25,0)</f>
        <v>26879</v>
      </c>
      <c r="K602" s="340">
        <f t="shared" si="45"/>
        <v>349427</v>
      </c>
      <c r="L602" s="234"/>
      <c r="M602" s="232"/>
    </row>
    <row r="603" spans="1:13" ht="30" customHeight="1">
      <c r="A603" s="232"/>
      <c r="B603" s="233"/>
      <c r="C603" s="298"/>
      <c r="D603" s="252" t="s">
        <v>1129</v>
      </c>
      <c r="E603" s="298"/>
      <c r="F603" s="298"/>
      <c r="G603" s="253" t="s">
        <v>1157</v>
      </c>
      <c r="H603" s="252" t="s">
        <v>1170</v>
      </c>
      <c r="I603" s="325">
        <v>40</v>
      </c>
      <c r="J603" s="341">
        <f>ROUND(31319.24*1.25,0)</f>
        <v>39149</v>
      </c>
      <c r="K603" s="340">
        <f t="shared" si="45"/>
        <v>1565960</v>
      </c>
      <c r="L603" s="234"/>
      <c r="M603" s="232"/>
    </row>
    <row r="604" spans="1:13" ht="138">
      <c r="A604" s="232"/>
      <c r="B604" s="233"/>
      <c r="C604" s="298"/>
      <c r="D604" s="252" t="s">
        <v>1130</v>
      </c>
      <c r="E604" s="298"/>
      <c r="F604" s="298"/>
      <c r="G604" s="253" t="s">
        <v>1158</v>
      </c>
      <c r="H604" s="252" t="s">
        <v>1169</v>
      </c>
      <c r="I604" s="325">
        <v>1</v>
      </c>
      <c r="J604" s="341">
        <f>ROUND(12445712.3*1.25,0)</f>
        <v>15557140</v>
      </c>
      <c r="K604" s="340">
        <f t="shared" si="45"/>
        <v>15557140</v>
      </c>
      <c r="L604" s="234"/>
      <c r="M604" s="232"/>
    </row>
    <row r="605" spans="1:13" ht="30" customHeight="1">
      <c r="A605" s="232"/>
      <c r="B605" s="233"/>
      <c r="C605" s="298"/>
      <c r="D605" s="252" t="s">
        <v>1131</v>
      </c>
      <c r="E605" s="298"/>
      <c r="F605" s="298"/>
      <c r="G605" s="253" t="s">
        <v>1159</v>
      </c>
      <c r="H605" s="252" t="s">
        <v>1170</v>
      </c>
      <c r="I605" s="325">
        <v>100</v>
      </c>
      <c r="J605" s="341">
        <f>ROUND(11588.39*1.25,0)</f>
        <v>14485</v>
      </c>
      <c r="K605" s="340">
        <f t="shared" si="45"/>
        <v>1448500</v>
      </c>
      <c r="L605" s="234"/>
      <c r="M605" s="232"/>
    </row>
    <row r="606" spans="1:13" ht="30" customHeight="1">
      <c r="A606" s="232"/>
      <c r="B606" s="233"/>
      <c r="C606" s="298"/>
      <c r="D606" s="252" t="s">
        <v>1132</v>
      </c>
      <c r="E606" s="298"/>
      <c r="F606" s="298"/>
      <c r="G606" s="253" t="s">
        <v>173</v>
      </c>
      <c r="H606" s="252" t="s">
        <v>1171</v>
      </c>
      <c r="I606" s="325">
        <v>75</v>
      </c>
      <c r="J606" s="341">
        <f>ROUND(77644.96*1.25,0)</f>
        <v>97056</v>
      </c>
      <c r="K606" s="340">
        <f t="shared" si="45"/>
        <v>7279200</v>
      </c>
      <c r="L606" s="234"/>
      <c r="M606" s="232"/>
    </row>
    <row r="607" spans="1:13" ht="30" customHeight="1">
      <c r="A607" s="232"/>
      <c r="B607" s="233"/>
      <c r="C607" s="298"/>
      <c r="D607" s="252" t="s">
        <v>1133</v>
      </c>
      <c r="E607" s="298"/>
      <c r="F607" s="298"/>
      <c r="G607" s="253" t="s">
        <v>213</v>
      </c>
      <c r="H607" s="252" t="s">
        <v>1171</v>
      </c>
      <c r="I607" s="325">
        <v>37.5</v>
      </c>
      <c r="J607" s="368">
        <f>ROUND(98918.07*1.25,0)</f>
        <v>123648</v>
      </c>
      <c r="K607" s="369">
        <f t="shared" si="45"/>
        <v>4636800</v>
      </c>
      <c r="L607" s="234"/>
      <c r="M607" s="232"/>
    </row>
    <row r="608" spans="1:13" ht="30" customHeight="1">
      <c r="A608" s="232"/>
      <c r="B608" s="233"/>
      <c r="C608" s="298"/>
      <c r="D608" s="252" t="s">
        <v>1134</v>
      </c>
      <c r="E608" s="298"/>
      <c r="F608" s="298"/>
      <c r="G608" s="253" t="s">
        <v>1160</v>
      </c>
      <c r="H608" s="252" t="s">
        <v>1170</v>
      </c>
      <c r="I608" s="325">
        <v>240</v>
      </c>
      <c r="J608" s="341">
        <f>ROUND(39140.89*1.25,0)</f>
        <v>48926</v>
      </c>
      <c r="K608" s="340">
        <f t="shared" si="45"/>
        <v>11742240</v>
      </c>
      <c r="L608" s="234"/>
      <c r="M608" s="232"/>
    </row>
    <row r="609" spans="1:13" ht="30" customHeight="1">
      <c r="A609" s="232"/>
      <c r="B609" s="233"/>
      <c r="C609" s="298"/>
      <c r="D609" s="252" t="s">
        <v>1135</v>
      </c>
      <c r="E609" s="298"/>
      <c r="F609" s="298"/>
      <c r="G609" s="253" t="s">
        <v>1161</v>
      </c>
      <c r="H609" s="252" t="s">
        <v>1169</v>
      </c>
      <c r="I609" s="325">
        <v>8</v>
      </c>
      <c r="J609" s="341">
        <f>ROUND(45459.44*1.25,0)</f>
        <v>56824</v>
      </c>
      <c r="K609" s="340">
        <f t="shared" si="45"/>
        <v>454592</v>
      </c>
      <c r="L609" s="234"/>
      <c r="M609" s="232"/>
    </row>
    <row r="610" spans="1:13" ht="30" customHeight="1">
      <c r="A610" s="232"/>
      <c r="B610" s="233"/>
      <c r="C610" s="298"/>
      <c r="D610" s="252" t="s">
        <v>1136</v>
      </c>
      <c r="E610" s="298"/>
      <c r="F610" s="298"/>
      <c r="G610" s="253" t="s">
        <v>1162</v>
      </c>
      <c r="H610" s="252" t="s">
        <v>1169</v>
      </c>
      <c r="I610" s="325">
        <v>9</v>
      </c>
      <c r="J610" s="341">
        <f>ROUND(194787*1.25,0)</f>
        <v>243484</v>
      </c>
      <c r="K610" s="340">
        <f t="shared" si="45"/>
        <v>2191356</v>
      </c>
      <c r="L610" s="234"/>
      <c r="M610" s="232"/>
    </row>
    <row r="611" spans="1:13" ht="30" customHeight="1">
      <c r="A611" s="232"/>
      <c r="B611" s="233"/>
      <c r="C611" s="298"/>
      <c r="D611" s="252" t="s">
        <v>1137</v>
      </c>
      <c r="E611" s="298"/>
      <c r="F611" s="298"/>
      <c r="G611" s="253" t="s">
        <v>1163</v>
      </c>
      <c r="H611" s="252" t="s">
        <v>1169</v>
      </c>
      <c r="I611" s="325">
        <v>4</v>
      </c>
      <c r="J611" s="341">
        <f>ROUND(87902*1.25,0)</f>
        <v>109878</v>
      </c>
      <c r="K611" s="340">
        <f t="shared" si="45"/>
        <v>439512</v>
      </c>
      <c r="L611" s="234"/>
      <c r="M611" s="232"/>
    </row>
    <row r="612" spans="1:13" ht="30" customHeight="1">
      <c r="A612" s="232"/>
      <c r="B612" s="233"/>
      <c r="C612" s="298"/>
      <c r="D612" s="252" t="s">
        <v>1138</v>
      </c>
      <c r="E612" s="298"/>
      <c r="F612" s="298"/>
      <c r="G612" s="253" t="s">
        <v>1164</v>
      </c>
      <c r="H612" s="252" t="s">
        <v>1169</v>
      </c>
      <c r="I612" s="325">
        <v>1</v>
      </c>
      <c r="J612" s="341">
        <f>ROUND(44310349*1.25,0)</f>
        <v>55387936</v>
      </c>
      <c r="K612" s="340">
        <f t="shared" si="45"/>
        <v>55387936</v>
      </c>
      <c r="L612" s="234"/>
      <c r="M612" s="232"/>
    </row>
    <row r="613" spans="1:13" ht="30" customHeight="1">
      <c r="A613" s="232"/>
      <c r="B613" s="233"/>
      <c r="C613" s="298"/>
      <c r="D613" s="252" t="s">
        <v>1139</v>
      </c>
      <c r="E613" s="298"/>
      <c r="F613" s="298"/>
      <c r="G613" s="253" t="s">
        <v>1165</v>
      </c>
      <c r="H613" s="252" t="s">
        <v>1169</v>
      </c>
      <c r="I613" s="325">
        <v>1</v>
      </c>
      <c r="J613" s="341">
        <f>ROUND(1312094.8*1.25,0)</f>
        <v>1640119</v>
      </c>
      <c r="K613" s="340">
        <f t="shared" si="45"/>
        <v>1640119</v>
      </c>
      <c r="L613" s="234"/>
      <c r="M613" s="232"/>
    </row>
    <row r="614" spans="1:13" ht="30" customHeight="1">
      <c r="A614" s="232"/>
      <c r="B614" s="233"/>
      <c r="C614" s="298"/>
      <c r="D614" s="252" t="s">
        <v>1140</v>
      </c>
      <c r="E614" s="298"/>
      <c r="F614" s="298"/>
      <c r="G614" s="253" t="s">
        <v>1166</v>
      </c>
      <c r="H614" s="252" t="s">
        <v>1169</v>
      </c>
      <c r="I614" s="325">
        <v>2</v>
      </c>
      <c r="J614" s="341">
        <f>ROUND(1093895.41*1.25,0)</f>
        <v>1367369</v>
      </c>
      <c r="K614" s="340">
        <f t="shared" si="45"/>
        <v>2734738</v>
      </c>
      <c r="L614" s="234"/>
      <c r="M614" s="232"/>
    </row>
    <row r="615" spans="1:13" ht="30" customHeight="1">
      <c r="A615" s="232"/>
      <c r="B615" s="233"/>
      <c r="C615" s="298"/>
      <c r="D615" s="252" t="s">
        <v>1141</v>
      </c>
      <c r="E615" s="298"/>
      <c r="F615" s="298"/>
      <c r="G615" s="253" t="s">
        <v>1167</v>
      </c>
      <c r="H615" s="252" t="s">
        <v>1169</v>
      </c>
      <c r="I615" s="325">
        <v>1</v>
      </c>
      <c r="J615" s="341">
        <f>ROUND(1465064*1.25,0)</f>
        <v>1831330</v>
      </c>
      <c r="K615" s="340">
        <f t="shared" si="45"/>
        <v>1831330</v>
      </c>
      <c r="L615" s="234"/>
      <c r="M615" s="232"/>
    </row>
    <row r="616" spans="1:13" ht="30" customHeight="1">
      <c r="A616" s="232"/>
      <c r="B616" s="233"/>
      <c r="C616" s="298"/>
      <c r="D616" s="252" t="s">
        <v>1142</v>
      </c>
      <c r="E616" s="298"/>
      <c r="F616" s="298"/>
      <c r="G616" s="253" t="s">
        <v>1168</v>
      </c>
      <c r="H616" s="252" t="s">
        <v>1169</v>
      </c>
      <c r="I616" s="325">
        <v>1</v>
      </c>
      <c r="J616" s="341">
        <f>ROUND(1183647.4*1.25,0)</f>
        <v>1479559</v>
      </c>
      <c r="K616" s="340">
        <f t="shared" si="45"/>
        <v>1479559</v>
      </c>
      <c r="L616" s="234"/>
      <c r="M616" s="232"/>
    </row>
    <row r="617" spans="1:13" ht="30" customHeight="1">
      <c r="A617" s="232"/>
      <c r="B617" s="233"/>
      <c r="C617" s="371" t="s">
        <v>1172</v>
      </c>
      <c r="D617" s="372"/>
      <c r="E617" s="372"/>
      <c r="F617" s="372"/>
      <c r="G617" s="372"/>
      <c r="H617" s="372"/>
      <c r="I617" s="372"/>
      <c r="J617" s="373"/>
      <c r="K617" s="357">
        <f>SUM(K587:K616)</f>
        <v>979247735</v>
      </c>
      <c r="L617" s="234"/>
      <c r="M617" s="232"/>
    </row>
    <row r="618" spans="1:13" ht="30" customHeight="1" thickBot="1">
      <c r="A618" s="232"/>
      <c r="B618" s="233"/>
      <c r="C618" s="312"/>
      <c r="D618" s="312"/>
      <c r="E618" s="312"/>
      <c r="F618" s="312"/>
      <c r="G618" s="312"/>
      <c r="H618" s="312"/>
      <c r="I618" s="312"/>
      <c r="J618" s="312"/>
      <c r="K618" s="358"/>
      <c r="L618" s="234"/>
      <c r="M618" s="232"/>
    </row>
    <row r="619" spans="1:13" ht="30" customHeight="1" thickBot="1">
      <c r="A619" s="232"/>
      <c r="B619" s="233"/>
      <c r="C619" s="377" t="s">
        <v>15</v>
      </c>
      <c r="D619" s="378"/>
      <c r="E619" s="378"/>
      <c r="F619" s="378"/>
      <c r="G619" s="378"/>
      <c r="H619" s="378"/>
      <c r="I619" s="378"/>
      <c r="J619" s="379"/>
      <c r="K619" s="262">
        <f>K12+K18+K28+K42+K51+K59+K72+K104+K108+K136+K144+K157+K168+K218+K249+K268+K292+K313+K346+K525+K538+K560+K571+K584+K617</f>
        <v>11643497398</v>
      </c>
      <c r="L619" s="234"/>
      <c r="M619" s="232"/>
    </row>
    <row r="620" spans="1:13" ht="30" customHeight="1" thickBot="1">
      <c r="A620" s="232"/>
      <c r="B620" s="233"/>
      <c r="C620" s="311"/>
      <c r="D620" s="312"/>
      <c r="E620" s="312"/>
      <c r="F620" s="312"/>
      <c r="G620" s="312"/>
      <c r="H620" s="312"/>
      <c r="I620" s="312"/>
      <c r="J620" s="312"/>
      <c r="K620" s="313"/>
      <c r="L620" s="234"/>
      <c r="M620" s="232"/>
    </row>
    <row r="621" spans="1:13" ht="30" customHeight="1">
      <c r="A621" s="232"/>
      <c r="B621" s="233"/>
      <c r="C621" s="374" t="s">
        <v>1174</v>
      </c>
      <c r="D621" s="375"/>
      <c r="E621" s="375"/>
      <c r="F621" s="375"/>
      <c r="G621" s="375"/>
      <c r="H621" s="375"/>
      <c r="I621" s="375"/>
      <c r="J621" s="375"/>
      <c r="K621" s="376"/>
      <c r="L621" s="234"/>
      <c r="M621" s="232"/>
    </row>
    <row r="622" spans="1:13" ht="30" customHeight="1">
      <c r="A622" s="232"/>
      <c r="B622" s="233"/>
      <c r="C622" s="298"/>
      <c r="D622" s="252" t="s">
        <v>1175</v>
      </c>
      <c r="E622" s="298"/>
      <c r="F622" s="298"/>
      <c r="G622" s="253" t="s">
        <v>1176</v>
      </c>
      <c r="H622" s="252"/>
      <c r="I622" s="325">
        <v>1</v>
      </c>
      <c r="J622" s="341">
        <v>165093757</v>
      </c>
      <c r="K622" s="340">
        <f>ROUND(I622*J622,0)</f>
        <v>165093757</v>
      </c>
      <c r="L622" s="234"/>
      <c r="M622" s="232"/>
    </row>
    <row r="623" spans="1:13" ht="30" customHeight="1">
      <c r="A623" s="232"/>
      <c r="B623" s="233"/>
      <c r="C623" s="371" t="s">
        <v>1177</v>
      </c>
      <c r="D623" s="372"/>
      <c r="E623" s="372"/>
      <c r="F623" s="372"/>
      <c r="G623" s="372"/>
      <c r="H623" s="372"/>
      <c r="I623" s="372"/>
      <c r="J623" s="373"/>
      <c r="K623" s="357">
        <f>SUM(K622)</f>
        <v>165093757</v>
      </c>
      <c r="L623" s="234"/>
      <c r="M623" s="232"/>
    </row>
    <row r="624" spans="1:13" ht="30" customHeight="1">
      <c r="A624" s="232"/>
      <c r="B624" s="233"/>
      <c r="C624" s="311"/>
      <c r="D624" s="312"/>
      <c r="E624" s="312"/>
      <c r="F624" s="312"/>
      <c r="G624" s="312"/>
      <c r="H624" s="312"/>
      <c r="I624" s="312"/>
      <c r="J624" s="312"/>
      <c r="K624" s="313"/>
      <c r="L624" s="234"/>
      <c r="M624" s="232"/>
    </row>
    <row r="625" spans="1:14" ht="30" customHeight="1">
      <c r="A625" s="232"/>
      <c r="B625" s="233"/>
      <c r="C625" s="311"/>
      <c r="D625" s="312"/>
      <c r="E625" s="312"/>
      <c r="F625" s="312"/>
      <c r="G625" s="353" t="s">
        <v>1178</v>
      </c>
      <c r="H625" s="352"/>
      <c r="I625" s="354" t="s">
        <v>1173</v>
      </c>
      <c r="J625" s="352"/>
      <c r="K625" s="362">
        <f>K623</f>
        <v>165093757</v>
      </c>
      <c r="L625" s="234"/>
      <c r="M625" s="232"/>
      <c r="N625" s="303">
        <f>ROUND(165118587.45,0)</f>
        <v>165118587</v>
      </c>
    </row>
    <row r="626" spans="1:14" ht="30" customHeight="1" thickBot="1">
      <c r="A626" s="232"/>
      <c r="B626" s="233"/>
      <c r="C626" s="311"/>
      <c r="D626" s="312"/>
      <c r="E626" s="312"/>
      <c r="F626" s="312"/>
      <c r="G626" s="312"/>
      <c r="H626" s="312"/>
      <c r="I626" s="312"/>
      <c r="J626" s="312"/>
      <c r="K626" s="313"/>
      <c r="L626" s="234"/>
      <c r="M626" s="232"/>
      <c r="N626" s="359">
        <f>N625-K625</f>
        <v>24830</v>
      </c>
    </row>
    <row r="627" spans="1:14" ht="30" customHeight="1" thickBot="1">
      <c r="A627" s="232"/>
      <c r="B627" s="233"/>
      <c r="C627" s="374" t="s">
        <v>1179</v>
      </c>
      <c r="D627" s="375"/>
      <c r="E627" s="375"/>
      <c r="F627" s="375"/>
      <c r="G627" s="375"/>
      <c r="H627" s="375"/>
      <c r="I627" s="375"/>
      <c r="J627" s="375"/>
      <c r="K627" s="376"/>
      <c r="L627" s="234"/>
      <c r="M627" s="232"/>
    </row>
    <row r="628" spans="1:14" ht="30" customHeight="1">
      <c r="A628" s="232"/>
      <c r="B628" s="233"/>
      <c r="C628" s="374" t="s">
        <v>1180</v>
      </c>
      <c r="D628" s="375"/>
      <c r="E628" s="375"/>
      <c r="F628" s="375"/>
      <c r="G628" s="375"/>
      <c r="H628" s="375"/>
      <c r="I628" s="375"/>
      <c r="J628" s="375"/>
      <c r="K628" s="376"/>
      <c r="L628" s="234"/>
      <c r="M628" s="232"/>
    </row>
    <row r="629" spans="1:14" ht="30" customHeight="1">
      <c r="A629" s="232"/>
      <c r="B629" s="233"/>
      <c r="C629" s="298"/>
      <c r="D629" s="252" t="s">
        <v>1181</v>
      </c>
      <c r="E629" s="298"/>
      <c r="F629" s="298"/>
      <c r="G629" s="355" t="s">
        <v>1183</v>
      </c>
      <c r="H629" s="350" t="s">
        <v>160</v>
      </c>
      <c r="I629" s="325">
        <v>1</v>
      </c>
      <c r="J629" s="341">
        <f>ROUND(3504266.67,0)</f>
        <v>3504267</v>
      </c>
      <c r="K629" s="340">
        <f>ROUND(I629*J629,0)</f>
        <v>3504267</v>
      </c>
      <c r="L629" s="234"/>
      <c r="M629" s="232"/>
    </row>
    <row r="630" spans="1:14" ht="30" customHeight="1">
      <c r="A630" s="232"/>
      <c r="B630" s="233"/>
      <c r="C630" s="298"/>
      <c r="D630" s="252" t="s">
        <v>1182</v>
      </c>
      <c r="E630" s="298"/>
      <c r="F630" s="298"/>
      <c r="G630" s="355" t="s">
        <v>1184</v>
      </c>
      <c r="H630" s="350" t="s">
        <v>160</v>
      </c>
      <c r="I630" s="325">
        <v>1</v>
      </c>
      <c r="J630" s="341">
        <f>ROUND(348033.05,0)</f>
        <v>348033</v>
      </c>
      <c r="K630" s="340">
        <f>ROUND(I630*J630,0)</f>
        <v>348033</v>
      </c>
      <c r="L630" s="234"/>
      <c r="M630" s="232"/>
    </row>
    <row r="631" spans="1:14" ht="30" customHeight="1" thickBot="1">
      <c r="A631" s="232"/>
      <c r="B631" s="233"/>
      <c r="C631" s="371" t="s">
        <v>1185</v>
      </c>
      <c r="D631" s="372"/>
      <c r="E631" s="372"/>
      <c r="F631" s="372"/>
      <c r="G631" s="372"/>
      <c r="H631" s="372"/>
      <c r="I631" s="372"/>
      <c r="J631" s="373"/>
      <c r="K631" s="339">
        <f>SUM(K629:K630)</f>
        <v>3852300</v>
      </c>
      <c r="L631" s="234"/>
      <c r="M631" s="232"/>
    </row>
    <row r="632" spans="1:14" ht="30" customHeight="1">
      <c r="A632" s="232"/>
      <c r="B632" s="233"/>
      <c r="C632" s="374" t="s">
        <v>1186</v>
      </c>
      <c r="D632" s="375"/>
      <c r="E632" s="375"/>
      <c r="F632" s="375"/>
      <c r="G632" s="375"/>
      <c r="H632" s="375"/>
      <c r="I632" s="375"/>
      <c r="J632" s="375"/>
      <c r="K632" s="376"/>
      <c r="L632" s="234"/>
      <c r="M632" s="232"/>
    </row>
    <row r="633" spans="1:14" ht="30" customHeight="1">
      <c r="A633" s="232"/>
      <c r="B633" s="233"/>
      <c r="C633" s="298"/>
      <c r="D633" s="252" t="s">
        <v>1187</v>
      </c>
      <c r="E633" s="298"/>
      <c r="F633" s="298"/>
      <c r="G633" s="355" t="s">
        <v>1183</v>
      </c>
      <c r="H633" s="350" t="s">
        <v>160</v>
      </c>
      <c r="I633" s="325">
        <v>1</v>
      </c>
      <c r="J633" s="341">
        <f>ROUND(3504266.67,0)</f>
        <v>3504267</v>
      </c>
      <c r="K633" s="340">
        <f>ROUND(I633*J633,0)</f>
        <v>3504267</v>
      </c>
      <c r="L633" s="234"/>
      <c r="M633" s="232"/>
    </row>
    <row r="634" spans="1:14" ht="30" customHeight="1">
      <c r="A634" s="232"/>
      <c r="B634" s="233"/>
      <c r="C634" s="298"/>
      <c r="D634" s="252" t="s">
        <v>1188</v>
      </c>
      <c r="E634" s="298"/>
      <c r="F634" s="298"/>
      <c r="G634" s="355" t="s">
        <v>1184</v>
      </c>
      <c r="H634" s="350" t="s">
        <v>160</v>
      </c>
      <c r="I634" s="325">
        <v>1</v>
      </c>
      <c r="J634" s="341">
        <f>ROUND(348033.05,0)</f>
        <v>348033</v>
      </c>
      <c r="K634" s="340">
        <f>ROUND(I634*J634,0)</f>
        <v>348033</v>
      </c>
      <c r="L634" s="234"/>
      <c r="M634" s="232"/>
    </row>
    <row r="635" spans="1:14" ht="30" customHeight="1" thickBot="1">
      <c r="A635" s="232"/>
      <c r="B635" s="233"/>
      <c r="C635" s="371" t="s">
        <v>1189</v>
      </c>
      <c r="D635" s="372"/>
      <c r="E635" s="372"/>
      <c r="F635" s="372"/>
      <c r="G635" s="372"/>
      <c r="H635" s="372"/>
      <c r="I635" s="372"/>
      <c r="J635" s="373"/>
      <c r="K635" s="339">
        <f>SUM(K633:K634)</f>
        <v>3852300</v>
      </c>
      <c r="L635" s="234"/>
      <c r="M635" s="232"/>
    </row>
    <row r="636" spans="1:14" ht="30" customHeight="1">
      <c r="A636" s="232"/>
      <c r="B636" s="233"/>
      <c r="C636" s="374" t="s">
        <v>1190</v>
      </c>
      <c r="D636" s="375"/>
      <c r="E636" s="375"/>
      <c r="F636" s="375"/>
      <c r="G636" s="375"/>
      <c r="H636" s="375"/>
      <c r="I636" s="375"/>
      <c r="J636" s="375"/>
      <c r="K636" s="376"/>
      <c r="L636" s="234"/>
      <c r="M636" s="232"/>
    </row>
    <row r="637" spans="1:14" ht="30" customHeight="1">
      <c r="A637" s="232"/>
      <c r="B637" s="233"/>
      <c r="C637" s="298"/>
      <c r="D637" s="252" t="s">
        <v>1191</v>
      </c>
      <c r="E637" s="298"/>
      <c r="F637" s="298"/>
      <c r="G637" s="355" t="s">
        <v>1183</v>
      </c>
      <c r="H637" s="350" t="s">
        <v>160</v>
      </c>
      <c r="I637" s="325">
        <v>1</v>
      </c>
      <c r="J637" s="341">
        <f>ROUND(3504266.67,0)</f>
        <v>3504267</v>
      </c>
      <c r="K637" s="340">
        <f>ROUND(I637*J637,0)</f>
        <v>3504267</v>
      </c>
      <c r="L637" s="234"/>
      <c r="M637" s="232"/>
    </row>
    <row r="638" spans="1:14" ht="30" customHeight="1">
      <c r="A638" s="232"/>
      <c r="B638" s="233"/>
      <c r="C638" s="298"/>
      <c r="D638" s="252" t="s">
        <v>1191</v>
      </c>
      <c r="E638" s="298"/>
      <c r="F638" s="298"/>
      <c r="G638" s="355" t="s">
        <v>1184</v>
      </c>
      <c r="H638" s="350" t="s">
        <v>160</v>
      </c>
      <c r="I638" s="325">
        <v>1</v>
      </c>
      <c r="J638" s="341">
        <f>ROUND(348033.05,0)</f>
        <v>348033</v>
      </c>
      <c r="K638" s="340">
        <f>ROUND(I638*J638,0)</f>
        <v>348033</v>
      </c>
      <c r="L638" s="234"/>
      <c r="M638" s="232"/>
    </row>
    <row r="639" spans="1:14" ht="30" customHeight="1" thickBot="1">
      <c r="A639" s="232"/>
      <c r="B639" s="233"/>
      <c r="C639" s="371" t="s">
        <v>1198</v>
      </c>
      <c r="D639" s="372"/>
      <c r="E639" s="372"/>
      <c r="F639" s="372"/>
      <c r="G639" s="372"/>
      <c r="H639" s="372"/>
      <c r="I639" s="372"/>
      <c r="J639" s="373"/>
      <c r="K639" s="339">
        <f>SUM(K637:K638)</f>
        <v>3852300</v>
      </c>
      <c r="L639" s="234"/>
      <c r="M639" s="232"/>
    </row>
    <row r="640" spans="1:14" ht="30" customHeight="1">
      <c r="A640" s="232"/>
      <c r="B640" s="233"/>
      <c r="C640" s="374" t="s">
        <v>1199</v>
      </c>
      <c r="D640" s="375"/>
      <c r="E640" s="375"/>
      <c r="F640" s="375"/>
      <c r="G640" s="375"/>
      <c r="H640" s="375"/>
      <c r="I640" s="375"/>
      <c r="J640" s="375"/>
      <c r="K640" s="376"/>
      <c r="L640" s="234"/>
      <c r="M640" s="232"/>
    </row>
    <row r="641" spans="1:13" ht="30" customHeight="1">
      <c r="A641" s="232"/>
      <c r="B641" s="233"/>
      <c r="C641" s="298"/>
      <c r="D641" s="252" t="s">
        <v>1193</v>
      </c>
      <c r="E641" s="298"/>
      <c r="F641" s="298"/>
      <c r="G641" s="355" t="s">
        <v>1196</v>
      </c>
      <c r="H641" s="350" t="s">
        <v>160</v>
      </c>
      <c r="I641" s="325">
        <v>1</v>
      </c>
      <c r="J641" s="341">
        <f>ROUND(64647057.02,0)</f>
        <v>64647057</v>
      </c>
      <c r="K641" s="340">
        <f>ROUND(I641*J641,0)</f>
        <v>64647057</v>
      </c>
      <c r="L641" s="234"/>
      <c r="M641" s="232"/>
    </row>
    <row r="642" spans="1:13" ht="30" customHeight="1">
      <c r="A642" s="232"/>
      <c r="B642" s="233"/>
      <c r="C642" s="298"/>
      <c r="D642" s="252" t="s">
        <v>1194</v>
      </c>
      <c r="E642" s="298"/>
      <c r="F642" s="298"/>
      <c r="G642" s="355" t="s">
        <v>1197</v>
      </c>
      <c r="H642" s="350" t="s">
        <v>160</v>
      </c>
      <c r="I642" s="325">
        <v>1</v>
      </c>
      <c r="J642" s="341">
        <f>ROUND(1650000,0)</f>
        <v>1650000</v>
      </c>
      <c r="K642" s="340">
        <f t="shared" ref="K642:K643" si="46">ROUND(I642*J642,0)</f>
        <v>1650000</v>
      </c>
      <c r="L642" s="234"/>
      <c r="M642" s="232"/>
    </row>
    <row r="643" spans="1:13" ht="30" customHeight="1">
      <c r="A643" s="232"/>
      <c r="B643" s="233"/>
      <c r="C643" s="298"/>
      <c r="D643" s="252" t="s">
        <v>1195</v>
      </c>
      <c r="E643" s="298"/>
      <c r="F643" s="298"/>
      <c r="G643" s="355" t="s">
        <v>1184</v>
      </c>
      <c r="H643" s="350" t="s">
        <v>160</v>
      </c>
      <c r="I643" s="325">
        <v>1</v>
      </c>
      <c r="J643" s="341">
        <f>ROUND(21883848.43,0)</f>
        <v>21883848</v>
      </c>
      <c r="K643" s="340">
        <f t="shared" si="46"/>
        <v>21883848</v>
      </c>
      <c r="L643" s="234"/>
      <c r="M643" s="232"/>
    </row>
    <row r="644" spans="1:13" ht="30" customHeight="1">
      <c r="A644" s="232"/>
      <c r="B644" s="233"/>
      <c r="C644" s="371" t="s">
        <v>1192</v>
      </c>
      <c r="D644" s="372"/>
      <c r="E644" s="372"/>
      <c r="F644" s="372"/>
      <c r="G644" s="372"/>
      <c r="H644" s="372"/>
      <c r="I644" s="372"/>
      <c r="J644" s="373"/>
      <c r="K644" s="339">
        <f>SUM(K641:K643)</f>
        <v>88180905</v>
      </c>
      <c r="L644" s="234"/>
      <c r="M644" s="232"/>
    </row>
    <row r="645" spans="1:13" ht="30" customHeight="1" thickBot="1">
      <c r="A645" s="232"/>
      <c r="B645" s="233"/>
      <c r="C645" s="371" t="s">
        <v>1200</v>
      </c>
      <c r="D645" s="372"/>
      <c r="E645" s="372"/>
      <c r="F645" s="372"/>
      <c r="G645" s="372"/>
      <c r="H645" s="372"/>
      <c r="I645" s="372"/>
      <c r="J645" s="373"/>
      <c r="K645" s="356">
        <f>K631+K635+K639+K644</f>
        <v>99737805</v>
      </c>
      <c r="L645" s="234"/>
      <c r="M645" s="232"/>
    </row>
    <row r="646" spans="1:13" ht="30" customHeight="1">
      <c r="A646" s="232"/>
      <c r="B646" s="233"/>
      <c r="C646" s="374" t="s">
        <v>1201</v>
      </c>
      <c r="D646" s="375"/>
      <c r="E646" s="375"/>
      <c r="F646" s="375"/>
      <c r="G646" s="375"/>
      <c r="H646" s="375"/>
      <c r="I646" s="375"/>
      <c r="J646" s="375"/>
      <c r="K646" s="376"/>
      <c r="L646" s="234"/>
      <c r="M646" s="232"/>
    </row>
    <row r="647" spans="1:13" ht="41.4">
      <c r="A647" s="232"/>
      <c r="B647" s="233"/>
      <c r="C647" s="298"/>
      <c r="D647" s="252" t="s">
        <v>1202</v>
      </c>
      <c r="E647" s="298"/>
      <c r="F647" s="298"/>
      <c r="G647" s="253" t="s">
        <v>1204</v>
      </c>
      <c r="H647" s="252" t="s">
        <v>160</v>
      </c>
      <c r="I647" s="325">
        <v>1</v>
      </c>
      <c r="J647" s="341">
        <f>ROUND(2290750,0)</f>
        <v>2290750</v>
      </c>
      <c r="K647" s="340">
        <f>ROUND(I647*J647,0)</f>
        <v>2290750</v>
      </c>
      <c r="L647" s="234"/>
      <c r="M647" s="232"/>
    </row>
    <row r="648" spans="1:13" ht="55.2">
      <c r="A648" s="232"/>
      <c r="B648" s="233"/>
      <c r="C648" s="298"/>
      <c r="D648" s="252" t="s">
        <v>1203</v>
      </c>
      <c r="E648" s="298"/>
      <c r="F648" s="298"/>
      <c r="G648" s="253" t="s">
        <v>1205</v>
      </c>
      <c r="H648" s="252" t="s">
        <v>160</v>
      </c>
      <c r="I648" s="325">
        <v>1</v>
      </c>
      <c r="J648" s="341">
        <f>ROUND(10829000,0)</f>
        <v>10829000</v>
      </c>
      <c r="K648" s="340">
        <f>ROUND(I648*J648,0)</f>
        <v>10829000</v>
      </c>
      <c r="L648" s="234"/>
      <c r="M648" s="232"/>
    </row>
    <row r="649" spans="1:13" ht="30" customHeight="1" thickBot="1">
      <c r="A649" s="232"/>
      <c r="B649" s="233"/>
      <c r="C649" s="371" t="s">
        <v>1177</v>
      </c>
      <c r="D649" s="372"/>
      <c r="E649" s="372"/>
      <c r="F649" s="372"/>
      <c r="G649" s="372"/>
      <c r="H649" s="372"/>
      <c r="I649" s="372"/>
      <c r="J649" s="373"/>
      <c r="K649" s="357">
        <f>SUM(K647:K648)</f>
        <v>13119750</v>
      </c>
      <c r="L649" s="234"/>
      <c r="M649" s="232"/>
    </row>
    <row r="650" spans="1:13" ht="30" customHeight="1">
      <c r="A650" s="232"/>
      <c r="B650" s="233"/>
      <c r="C650" s="374" t="s">
        <v>1206</v>
      </c>
      <c r="D650" s="375"/>
      <c r="E650" s="375"/>
      <c r="F650" s="375"/>
      <c r="G650" s="375"/>
      <c r="H650" s="375"/>
      <c r="I650" s="375"/>
      <c r="J650" s="375"/>
      <c r="K650" s="376"/>
      <c r="L650" s="234"/>
      <c r="M650" s="232"/>
    </row>
    <row r="651" spans="1:13" ht="30" customHeight="1">
      <c r="A651" s="232"/>
      <c r="B651" s="233"/>
      <c r="C651" s="298"/>
      <c r="D651" s="252" t="s">
        <v>1208</v>
      </c>
      <c r="E651" s="298"/>
      <c r="F651" s="298"/>
      <c r="G651" s="253" t="s">
        <v>1210</v>
      </c>
      <c r="H651" s="252" t="s">
        <v>160</v>
      </c>
      <c r="I651" s="325">
        <v>7</v>
      </c>
      <c r="J651" s="341">
        <f>ROUND(92000,0)</f>
        <v>92000</v>
      </c>
      <c r="K651" s="340">
        <f>ROUND(I651*J651,0)</f>
        <v>644000</v>
      </c>
      <c r="L651" s="234"/>
      <c r="M651" s="232"/>
    </row>
    <row r="652" spans="1:13" ht="30" customHeight="1">
      <c r="A652" s="232"/>
      <c r="B652" s="233"/>
      <c r="C652" s="298"/>
      <c r="D652" s="252" t="s">
        <v>1209</v>
      </c>
      <c r="E652" s="298"/>
      <c r="F652" s="298"/>
      <c r="G652" s="253" t="s">
        <v>1211</v>
      </c>
      <c r="H652" s="252" t="s">
        <v>160</v>
      </c>
      <c r="I652" s="325">
        <v>8</v>
      </c>
      <c r="J652" s="341">
        <f>ROUND(69900,0)</f>
        <v>69900</v>
      </c>
      <c r="K652" s="340">
        <f>ROUND(I652*J652,0)</f>
        <v>559200</v>
      </c>
      <c r="L652" s="234"/>
      <c r="M652" s="232"/>
    </row>
    <row r="653" spans="1:13" ht="30" customHeight="1" thickBot="1">
      <c r="A653" s="232"/>
      <c r="B653" s="233"/>
      <c r="C653" s="371" t="s">
        <v>1207</v>
      </c>
      <c r="D653" s="372"/>
      <c r="E653" s="372"/>
      <c r="F653" s="372"/>
      <c r="G653" s="372"/>
      <c r="H653" s="372"/>
      <c r="I653" s="372"/>
      <c r="J653" s="373"/>
      <c r="K653" s="357">
        <f>SUM(K651:K652)</f>
        <v>1203200</v>
      </c>
      <c r="L653" s="234"/>
      <c r="M653" s="232"/>
    </row>
    <row r="654" spans="1:13" ht="30" customHeight="1" thickBot="1">
      <c r="A654" s="232"/>
      <c r="B654" s="233"/>
      <c r="C654" s="374" t="s">
        <v>1212</v>
      </c>
      <c r="D654" s="375"/>
      <c r="E654" s="375"/>
      <c r="F654" s="375"/>
      <c r="G654" s="375"/>
      <c r="H654" s="375"/>
      <c r="I654" s="375"/>
      <c r="J654" s="375"/>
      <c r="K654" s="376"/>
      <c r="L654" s="234"/>
      <c r="M654" s="232"/>
    </row>
    <row r="655" spans="1:13" ht="30" customHeight="1">
      <c r="A655" s="232"/>
      <c r="B655" s="233"/>
      <c r="C655" s="374" t="s">
        <v>1213</v>
      </c>
      <c r="D655" s="375"/>
      <c r="E655" s="375"/>
      <c r="F655" s="375"/>
      <c r="G655" s="375"/>
      <c r="H655" s="375"/>
      <c r="I655" s="375"/>
      <c r="J655" s="375"/>
      <c r="K655" s="376"/>
      <c r="L655" s="234"/>
      <c r="M655" s="232"/>
    </row>
    <row r="656" spans="1:13" ht="30" customHeight="1">
      <c r="A656" s="232"/>
      <c r="B656" s="233"/>
      <c r="C656" s="298"/>
      <c r="D656" s="252" t="s">
        <v>1214</v>
      </c>
      <c r="E656" s="298"/>
      <c r="F656" s="298"/>
      <c r="G656" s="355" t="s">
        <v>1221</v>
      </c>
      <c r="H656" s="350" t="s">
        <v>160</v>
      </c>
      <c r="I656" s="325">
        <v>20</v>
      </c>
      <c r="J656" s="341">
        <f>ROUND(739000,0)</f>
        <v>739000</v>
      </c>
      <c r="K656" s="340">
        <f>ROUND(I656*J656,0)</f>
        <v>14780000</v>
      </c>
      <c r="L656" s="234"/>
      <c r="M656" s="232"/>
    </row>
    <row r="657" spans="1:13" ht="30" customHeight="1">
      <c r="A657" s="232"/>
      <c r="B657" s="233"/>
      <c r="C657" s="298"/>
      <c r="D657" s="252" t="s">
        <v>1215</v>
      </c>
      <c r="E657" s="298"/>
      <c r="F657" s="298"/>
      <c r="G657" s="355" t="s">
        <v>1222</v>
      </c>
      <c r="H657" s="350" t="s">
        <v>160</v>
      </c>
      <c r="I657" s="325">
        <v>80</v>
      </c>
      <c r="J657" s="341">
        <f>ROUND(312900,0)</f>
        <v>312900</v>
      </c>
      <c r="K657" s="340">
        <f t="shared" ref="K657:K662" si="47">ROUND(I657*J657,0)</f>
        <v>25032000</v>
      </c>
      <c r="L657" s="234"/>
      <c r="M657" s="232"/>
    </row>
    <row r="658" spans="1:13" ht="30" customHeight="1">
      <c r="A658" s="232"/>
      <c r="B658" s="233"/>
      <c r="C658" s="298"/>
      <c r="D658" s="252" t="s">
        <v>1216</v>
      </c>
      <c r="E658" s="298"/>
      <c r="F658" s="298"/>
      <c r="G658" s="355" t="s">
        <v>1223</v>
      </c>
      <c r="H658" s="350" t="s">
        <v>160</v>
      </c>
      <c r="I658" s="325">
        <v>1</v>
      </c>
      <c r="J658" s="341">
        <f>ROUND(8690000,0)</f>
        <v>8690000</v>
      </c>
      <c r="K658" s="340">
        <f t="shared" si="47"/>
        <v>8690000</v>
      </c>
      <c r="L658" s="234"/>
      <c r="M658" s="232"/>
    </row>
    <row r="659" spans="1:13" ht="30" customHeight="1">
      <c r="A659" s="232"/>
      <c r="B659" s="233"/>
      <c r="C659" s="298"/>
      <c r="D659" s="252" t="s">
        <v>1217</v>
      </c>
      <c r="E659" s="298"/>
      <c r="F659" s="298"/>
      <c r="G659" s="355" t="s">
        <v>1224</v>
      </c>
      <c r="H659" s="350" t="s">
        <v>160</v>
      </c>
      <c r="I659" s="325">
        <v>1</v>
      </c>
      <c r="J659" s="341">
        <f>ROUND(3329900,0)</f>
        <v>3329900</v>
      </c>
      <c r="K659" s="340">
        <f t="shared" si="47"/>
        <v>3329900</v>
      </c>
      <c r="L659" s="234"/>
      <c r="M659" s="232"/>
    </row>
    <row r="660" spans="1:13" ht="30" customHeight="1">
      <c r="A660" s="232"/>
      <c r="B660" s="233"/>
      <c r="C660" s="298"/>
      <c r="D660" s="252" t="s">
        <v>1218</v>
      </c>
      <c r="E660" s="298"/>
      <c r="F660" s="298"/>
      <c r="G660" s="355" t="s">
        <v>1225</v>
      </c>
      <c r="H660" s="350" t="s">
        <v>160</v>
      </c>
      <c r="I660" s="325">
        <v>2</v>
      </c>
      <c r="J660" s="341">
        <f>ROUND(2299900,0)</f>
        <v>2299900</v>
      </c>
      <c r="K660" s="340">
        <f t="shared" si="47"/>
        <v>4599800</v>
      </c>
      <c r="L660" s="234"/>
      <c r="M660" s="232"/>
    </row>
    <row r="661" spans="1:13" ht="30" customHeight="1">
      <c r="A661" s="232"/>
      <c r="B661" s="233"/>
      <c r="C661" s="298"/>
      <c r="D661" s="252" t="s">
        <v>1219</v>
      </c>
      <c r="E661" s="298"/>
      <c r="F661" s="298"/>
      <c r="G661" s="355" t="s">
        <v>1226</v>
      </c>
      <c r="H661" s="350" t="s">
        <v>160</v>
      </c>
      <c r="I661" s="325">
        <v>1</v>
      </c>
      <c r="J661" s="341">
        <f>ROUND(2354900,0)</f>
        <v>2354900</v>
      </c>
      <c r="K661" s="340">
        <f t="shared" si="47"/>
        <v>2354900</v>
      </c>
      <c r="L661" s="234"/>
      <c r="M661" s="232"/>
    </row>
    <row r="662" spans="1:13" ht="30" customHeight="1">
      <c r="A662" s="232"/>
      <c r="B662" s="233"/>
      <c r="C662" s="298"/>
      <c r="D662" s="252" t="s">
        <v>1220</v>
      </c>
      <c r="E662" s="298"/>
      <c r="F662" s="298"/>
      <c r="G662" s="355" t="s">
        <v>1227</v>
      </c>
      <c r="H662" s="350" t="s">
        <v>160</v>
      </c>
      <c r="I662" s="325">
        <v>1</v>
      </c>
      <c r="J662" s="341">
        <f>ROUND(3094000,0)</f>
        <v>3094000</v>
      </c>
      <c r="K662" s="340">
        <f t="shared" si="47"/>
        <v>3094000</v>
      </c>
      <c r="L662" s="234"/>
      <c r="M662" s="232"/>
    </row>
    <row r="663" spans="1:13" ht="30" customHeight="1" thickBot="1">
      <c r="A663" s="232"/>
      <c r="B663" s="233"/>
      <c r="C663" s="371" t="s">
        <v>1228</v>
      </c>
      <c r="D663" s="372"/>
      <c r="E663" s="372"/>
      <c r="F663" s="372"/>
      <c r="G663" s="372"/>
      <c r="H663" s="372"/>
      <c r="I663" s="372"/>
      <c r="J663" s="373"/>
      <c r="K663" s="339">
        <f>SUM(K656:K662)</f>
        <v>61880600</v>
      </c>
      <c r="L663" s="234"/>
      <c r="M663" s="232"/>
    </row>
    <row r="664" spans="1:13" ht="30" customHeight="1">
      <c r="A664" s="232"/>
      <c r="B664" s="233"/>
      <c r="C664" s="374" t="s">
        <v>1229</v>
      </c>
      <c r="D664" s="375"/>
      <c r="E664" s="375"/>
      <c r="F664" s="375"/>
      <c r="G664" s="375"/>
      <c r="H664" s="375"/>
      <c r="I664" s="375"/>
      <c r="J664" s="375"/>
      <c r="K664" s="376"/>
      <c r="L664" s="234"/>
      <c r="M664" s="232"/>
    </row>
    <row r="665" spans="1:13" ht="30" customHeight="1">
      <c r="A665" s="232"/>
      <c r="B665" s="233"/>
      <c r="C665" s="298"/>
      <c r="D665" s="252" t="s">
        <v>1230</v>
      </c>
      <c r="E665" s="298"/>
      <c r="F665" s="298"/>
      <c r="G665" s="355" t="s">
        <v>1232</v>
      </c>
      <c r="H665" s="350" t="s">
        <v>160</v>
      </c>
      <c r="I665" s="325">
        <v>24</v>
      </c>
      <c r="J665" s="341">
        <f>ROUND(509900,0)</f>
        <v>509900</v>
      </c>
      <c r="K665" s="340">
        <f>ROUND(I665*J665,0)</f>
        <v>12237600</v>
      </c>
      <c r="L665" s="234"/>
      <c r="M665" s="232"/>
    </row>
    <row r="666" spans="1:13" ht="30" customHeight="1">
      <c r="A666" s="232"/>
      <c r="B666" s="233"/>
      <c r="C666" s="298"/>
      <c r="D666" s="252" t="s">
        <v>1231</v>
      </c>
      <c r="E666" s="298"/>
      <c r="F666" s="298"/>
      <c r="G666" s="355" t="s">
        <v>1233</v>
      </c>
      <c r="H666" s="350" t="s">
        <v>160</v>
      </c>
      <c r="I666" s="325">
        <v>2</v>
      </c>
      <c r="J666" s="341">
        <f>ROUND(4985000,0)</f>
        <v>4985000</v>
      </c>
      <c r="K666" s="340">
        <f>ROUND(I666*J666,0)</f>
        <v>9970000</v>
      </c>
      <c r="L666" s="234"/>
      <c r="M666" s="232"/>
    </row>
    <row r="667" spans="1:13" ht="30" customHeight="1" thickBot="1">
      <c r="A667" s="232"/>
      <c r="B667" s="233"/>
      <c r="C667" s="371" t="s">
        <v>1234</v>
      </c>
      <c r="D667" s="372"/>
      <c r="E667" s="372"/>
      <c r="F667" s="372"/>
      <c r="G667" s="372"/>
      <c r="H667" s="372"/>
      <c r="I667" s="372"/>
      <c r="J667" s="373"/>
      <c r="K667" s="339">
        <f>SUM(K665:K666)</f>
        <v>22207600</v>
      </c>
      <c r="L667" s="234"/>
      <c r="M667" s="232"/>
    </row>
    <row r="668" spans="1:13" ht="30" customHeight="1">
      <c r="A668" s="232"/>
      <c r="B668" s="233"/>
      <c r="C668" s="374" t="s">
        <v>1251</v>
      </c>
      <c r="D668" s="375"/>
      <c r="E668" s="375"/>
      <c r="F668" s="375"/>
      <c r="G668" s="375"/>
      <c r="H668" s="375"/>
      <c r="I668" s="375"/>
      <c r="J668" s="375"/>
      <c r="K668" s="376"/>
      <c r="L668" s="234"/>
      <c r="M668" s="232"/>
    </row>
    <row r="669" spans="1:13" ht="30" customHeight="1">
      <c r="A669" s="232"/>
      <c r="B669" s="233"/>
      <c r="C669" s="298"/>
      <c r="D669" s="252" t="s">
        <v>1235</v>
      </c>
      <c r="E669" s="298"/>
      <c r="F669" s="298"/>
      <c r="G669" s="355" t="s">
        <v>1243</v>
      </c>
      <c r="H669" s="350" t="s">
        <v>160</v>
      </c>
      <c r="I669" s="325">
        <v>1</v>
      </c>
      <c r="J669" s="341">
        <f>ROUND(1239900,0)</f>
        <v>1239900</v>
      </c>
      <c r="K669" s="340">
        <f>ROUND(I669*J669,0)</f>
        <v>1239900</v>
      </c>
      <c r="L669" s="234"/>
      <c r="M669" s="232"/>
    </row>
    <row r="670" spans="1:13" ht="30" customHeight="1">
      <c r="A670" s="232"/>
      <c r="B670" s="233"/>
      <c r="C670" s="298"/>
      <c r="D670" s="252" t="s">
        <v>1236</v>
      </c>
      <c r="E670" s="298"/>
      <c r="F670" s="298"/>
      <c r="G670" s="355" t="s">
        <v>1244</v>
      </c>
      <c r="H670" s="350" t="s">
        <v>160</v>
      </c>
      <c r="I670" s="325">
        <v>2</v>
      </c>
      <c r="J670" s="341">
        <f>ROUND(219900,0)</f>
        <v>219900</v>
      </c>
      <c r="K670" s="340">
        <f t="shared" ref="K670:K676" si="48">ROUND(I670*J670,0)</f>
        <v>439800</v>
      </c>
      <c r="L670" s="234"/>
      <c r="M670" s="232"/>
    </row>
    <row r="671" spans="1:13" ht="30" customHeight="1">
      <c r="A671" s="232"/>
      <c r="B671" s="233"/>
      <c r="C671" s="298"/>
      <c r="D671" s="252" t="s">
        <v>1237</v>
      </c>
      <c r="E671" s="298"/>
      <c r="F671" s="298"/>
      <c r="G671" s="355" t="s">
        <v>1245</v>
      </c>
      <c r="H671" s="350" t="s">
        <v>160</v>
      </c>
      <c r="I671" s="325">
        <v>11</v>
      </c>
      <c r="J671" s="341">
        <f>ROUND(199900,0)</f>
        <v>199900</v>
      </c>
      <c r="K671" s="340">
        <f t="shared" si="48"/>
        <v>2198900</v>
      </c>
      <c r="L671" s="234"/>
      <c r="M671" s="232"/>
    </row>
    <row r="672" spans="1:13" ht="30" customHeight="1">
      <c r="A672" s="232"/>
      <c r="B672" s="233"/>
      <c r="C672" s="298"/>
      <c r="D672" s="252" t="s">
        <v>1238</v>
      </c>
      <c r="E672" s="298"/>
      <c r="F672" s="298"/>
      <c r="G672" s="355" t="s">
        <v>1246</v>
      </c>
      <c r="H672" s="350" t="s">
        <v>160</v>
      </c>
      <c r="I672" s="325">
        <v>1</v>
      </c>
      <c r="J672" s="341">
        <f>ROUND(655452,0)</f>
        <v>655452</v>
      </c>
      <c r="K672" s="340">
        <f t="shared" si="48"/>
        <v>655452</v>
      </c>
      <c r="L672" s="234"/>
      <c r="M672" s="232"/>
    </row>
    <row r="673" spans="1:13" ht="30" customHeight="1">
      <c r="A673" s="232"/>
      <c r="B673" s="233"/>
      <c r="C673" s="298"/>
      <c r="D673" s="252" t="s">
        <v>1239</v>
      </c>
      <c r="E673" s="298"/>
      <c r="F673" s="298"/>
      <c r="G673" s="355" t="s">
        <v>1247</v>
      </c>
      <c r="H673" s="350" t="s">
        <v>160</v>
      </c>
      <c r="I673" s="325">
        <v>1</v>
      </c>
      <c r="J673" s="341">
        <f>ROUND(1319900,0)</f>
        <v>1319900</v>
      </c>
      <c r="K673" s="340">
        <f t="shared" si="48"/>
        <v>1319900</v>
      </c>
      <c r="L673" s="234"/>
      <c r="M673" s="232"/>
    </row>
    <row r="674" spans="1:13" ht="30" customHeight="1">
      <c r="A674" s="232"/>
      <c r="B674" s="233"/>
      <c r="C674" s="298"/>
      <c r="D674" s="252" t="s">
        <v>1240</v>
      </c>
      <c r="E674" s="298"/>
      <c r="F674" s="298"/>
      <c r="G674" s="355" t="s">
        <v>1248</v>
      </c>
      <c r="H674" s="350" t="s">
        <v>160</v>
      </c>
      <c r="I674" s="325">
        <v>3</v>
      </c>
      <c r="J674" s="341">
        <f>ROUND(149900,0)</f>
        <v>149900</v>
      </c>
      <c r="K674" s="340">
        <f t="shared" si="48"/>
        <v>449700</v>
      </c>
      <c r="L674" s="234"/>
      <c r="M674" s="232"/>
    </row>
    <row r="675" spans="1:13" ht="30" customHeight="1">
      <c r="A675" s="232"/>
      <c r="B675" s="233"/>
      <c r="C675" s="298"/>
      <c r="D675" s="252" t="s">
        <v>1241</v>
      </c>
      <c r="E675" s="298"/>
      <c r="F675" s="298"/>
      <c r="G675" s="355" t="s">
        <v>1249</v>
      </c>
      <c r="H675" s="350" t="s">
        <v>160</v>
      </c>
      <c r="I675" s="325">
        <v>1</v>
      </c>
      <c r="J675" s="341">
        <f>ROUND(1889900,0)</f>
        <v>1889900</v>
      </c>
      <c r="K675" s="340">
        <f t="shared" si="48"/>
        <v>1889900</v>
      </c>
      <c r="L675" s="234"/>
      <c r="M675" s="232"/>
    </row>
    <row r="676" spans="1:13" ht="30" customHeight="1">
      <c r="A676" s="232"/>
      <c r="B676" s="233"/>
      <c r="C676" s="298"/>
      <c r="D676" s="252" t="s">
        <v>1242</v>
      </c>
      <c r="E676" s="298"/>
      <c r="F676" s="298"/>
      <c r="G676" s="355" t="s">
        <v>1250</v>
      </c>
      <c r="H676" s="350" t="s">
        <v>160</v>
      </c>
      <c r="I676" s="325">
        <v>1</v>
      </c>
      <c r="J676" s="341">
        <f>ROUND(334900,0)</f>
        <v>334900</v>
      </c>
      <c r="K676" s="340">
        <f t="shared" si="48"/>
        <v>334900</v>
      </c>
      <c r="L676" s="234"/>
      <c r="M676" s="232"/>
    </row>
    <row r="677" spans="1:13" ht="30" customHeight="1" thickBot="1">
      <c r="A677" s="232"/>
      <c r="B677" s="233"/>
      <c r="C677" s="371" t="s">
        <v>1252</v>
      </c>
      <c r="D677" s="372"/>
      <c r="E677" s="372"/>
      <c r="F677" s="372"/>
      <c r="G677" s="372"/>
      <c r="H677" s="372"/>
      <c r="I677" s="372"/>
      <c r="J677" s="373"/>
      <c r="K677" s="339">
        <f>SUM(K669:K676)</f>
        <v>8528452</v>
      </c>
      <c r="L677" s="234"/>
      <c r="M677" s="232"/>
    </row>
    <row r="678" spans="1:13" ht="30" customHeight="1">
      <c r="A678" s="232"/>
      <c r="B678" s="233"/>
      <c r="C678" s="374" t="s">
        <v>1253</v>
      </c>
      <c r="D678" s="375"/>
      <c r="E678" s="375"/>
      <c r="F678" s="375"/>
      <c r="G678" s="375"/>
      <c r="H678" s="375"/>
      <c r="I678" s="375"/>
      <c r="J678" s="375"/>
      <c r="K678" s="376"/>
      <c r="L678" s="234"/>
      <c r="M678" s="232"/>
    </row>
    <row r="679" spans="1:13" ht="30" customHeight="1">
      <c r="A679" s="232"/>
      <c r="B679" s="233"/>
      <c r="C679" s="298"/>
      <c r="D679" s="252" t="s">
        <v>1254</v>
      </c>
      <c r="E679" s="298"/>
      <c r="F679" s="298"/>
      <c r="G679" s="355" t="s">
        <v>1256</v>
      </c>
      <c r="H679" s="350" t="s">
        <v>160</v>
      </c>
      <c r="I679" s="325">
        <v>12</v>
      </c>
      <c r="J679" s="341">
        <f>ROUND(2100000,0)</f>
        <v>2100000</v>
      </c>
      <c r="K679" s="340">
        <f>ROUND(I679*J679,0)</f>
        <v>25200000</v>
      </c>
      <c r="L679" s="234"/>
      <c r="M679" s="232"/>
    </row>
    <row r="680" spans="1:13" ht="30" customHeight="1">
      <c r="A680" s="232"/>
      <c r="B680" s="233"/>
      <c r="C680" s="298"/>
      <c r="D680" s="252" t="s">
        <v>1255</v>
      </c>
      <c r="E680" s="298"/>
      <c r="F680" s="298"/>
      <c r="G680" s="355" t="s">
        <v>1257</v>
      </c>
      <c r="H680" s="350" t="s">
        <v>160</v>
      </c>
      <c r="I680" s="325">
        <v>100</v>
      </c>
      <c r="J680" s="341">
        <f>ROUND(729000,0)</f>
        <v>729000</v>
      </c>
      <c r="K680" s="340">
        <f>ROUND(I680*J680,0)</f>
        <v>72900000</v>
      </c>
      <c r="L680" s="234"/>
      <c r="M680" s="232"/>
    </row>
    <row r="681" spans="1:13" ht="30" customHeight="1" thickBot="1">
      <c r="A681" s="232"/>
      <c r="B681" s="233"/>
      <c r="C681" s="371" t="s">
        <v>1258</v>
      </c>
      <c r="D681" s="372"/>
      <c r="E681" s="372"/>
      <c r="F681" s="372"/>
      <c r="G681" s="372"/>
      <c r="H681" s="372"/>
      <c r="I681" s="372"/>
      <c r="J681" s="373"/>
      <c r="K681" s="339">
        <f>SUM(K679:K680)</f>
        <v>98100000</v>
      </c>
      <c r="L681" s="234"/>
      <c r="M681" s="232"/>
    </row>
    <row r="682" spans="1:13" ht="30" customHeight="1">
      <c r="A682" s="232"/>
      <c r="B682" s="233"/>
      <c r="C682" s="374" t="s">
        <v>1259</v>
      </c>
      <c r="D682" s="375"/>
      <c r="E682" s="375"/>
      <c r="F682" s="375"/>
      <c r="G682" s="375"/>
      <c r="H682" s="375"/>
      <c r="I682" s="375"/>
      <c r="J682" s="375"/>
      <c r="K682" s="376"/>
      <c r="L682" s="234"/>
      <c r="M682" s="232"/>
    </row>
    <row r="683" spans="1:13" ht="30" customHeight="1">
      <c r="A683" s="232"/>
      <c r="B683" s="233"/>
      <c r="C683" s="298"/>
      <c r="D683" s="252" t="s">
        <v>1260</v>
      </c>
      <c r="E683" s="298"/>
      <c r="F683" s="298"/>
      <c r="G683" s="355" t="s">
        <v>1261</v>
      </c>
      <c r="H683" s="350" t="s">
        <v>160</v>
      </c>
      <c r="I683" s="325">
        <v>2</v>
      </c>
      <c r="J683" s="341">
        <f>ROUND(1398000,0)</f>
        <v>1398000</v>
      </c>
      <c r="K683" s="340">
        <f>ROUND(I683*J683,0)</f>
        <v>2796000</v>
      </c>
      <c r="L683" s="234"/>
      <c r="M683" s="232"/>
    </row>
    <row r="684" spans="1:13" ht="30" customHeight="1">
      <c r="A684" s="232"/>
      <c r="B684" s="233"/>
      <c r="C684" s="371" t="s">
        <v>1262</v>
      </c>
      <c r="D684" s="372"/>
      <c r="E684" s="372"/>
      <c r="F684" s="372"/>
      <c r="G684" s="372"/>
      <c r="H684" s="372"/>
      <c r="I684" s="372"/>
      <c r="J684" s="373"/>
      <c r="K684" s="339">
        <f>SUM(K683:K683)</f>
        <v>2796000</v>
      </c>
      <c r="L684" s="234"/>
      <c r="M684" s="232"/>
    </row>
    <row r="685" spans="1:13" ht="30" customHeight="1" thickBot="1">
      <c r="A685" s="232"/>
      <c r="B685" s="233"/>
      <c r="C685" s="371" t="s">
        <v>1263</v>
      </c>
      <c r="D685" s="372"/>
      <c r="E685" s="372"/>
      <c r="F685" s="372"/>
      <c r="G685" s="372"/>
      <c r="H685" s="372"/>
      <c r="I685" s="372"/>
      <c r="J685" s="373"/>
      <c r="K685" s="357">
        <f>K663+K667+K677+K681+K684</f>
        <v>193512652</v>
      </c>
      <c r="L685" s="234"/>
      <c r="M685" s="232"/>
    </row>
    <row r="686" spans="1:13" ht="30" customHeight="1" thickBot="1">
      <c r="A686" s="232"/>
      <c r="B686" s="233"/>
      <c r="C686" s="374" t="s">
        <v>1264</v>
      </c>
      <c r="D686" s="375"/>
      <c r="E686" s="375"/>
      <c r="F686" s="375"/>
      <c r="G686" s="375"/>
      <c r="H686" s="375"/>
      <c r="I686" s="375"/>
      <c r="J686" s="375"/>
      <c r="K686" s="376"/>
      <c r="L686" s="234"/>
      <c r="M686" s="232"/>
    </row>
    <row r="687" spans="1:13" ht="30" customHeight="1">
      <c r="A687" s="232"/>
      <c r="B687" s="233"/>
      <c r="C687" s="374" t="s">
        <v>1265</v>
      </c>
      <c r="D687" s="375"/>
      <c r="E687" s="375"/>
      <c r="F687" s="375"/>
      <c r="G687" s="375"/>
      <c r="H687" s="375"/>
      <c r="I687" s="375"/>
      <c r="J687" s="375"/>
      <c r="K687" s="376"/>
      <c r="L687" s="234"/>
      <c r="M687" s="232"/>
    </row>
    <row r="688" spans="1:13" ht="30" customHeight="1">
      <c r="A688" s="232"/>
      <c r="B688" s="233"/>
      <c r="C688" s="298"/>
      <c r="D688" s="252" t="s">
        <v>1266</v>
      </c>
      <c r="E688" s="298"/>
      <c r="F688" s="298"/>
      <c r="G688" s="355" t="s">
        <v>1269</v>
      </c>
      <c r="H688" s="350" t="s">
        <v>160</v>
      </c>
      <c r="I688" s="325">
        <v>1</v>
      </c>
      <c r="J688" s="341">
        <f>ROUND(3960915,0)</f>
        <v>3960915</v>
      </c>
      <c r="K688" s="340">
        <f>ROUND(I688*J688,0)</f>
        <v>3960915</v>
      </c>
      <c r="L688" s="234"/>
      <c r="M688" s="232"/>
    </row>
    <row r="689" spans="1:13" ht="30" customHeight="1">
      <c r="A689" s="232"/>
      <c r="B689" s="233"/>
      <c r="C689" s="298"/>
      <c r="D689" s="252" t="s">
        <v>1267</v>
      </c>
      <c r="E689" s="298"/>
      <c r="F689" s="298"/>
      <c r="G689" s="355" t="s">
        <v>1270</v>
      </c>
      <c r="H689" s="350" t="s">
        <v>160</v>
      </c>
      <c r="I689" s="325">
        <v>1</v>
      </c>
      <c r="J689" s="341">
        <f>ROUND(21866250,0)</f>
        <v>21866250</v>
      </c>
      <c r="K689" s="340">
        <f t="shared" ref="K689:K690" si="49">ROUND(I689*J689,0)</f>
        <v>21866250</v>
      </c>
      <c r="L689" s="234"/>
      <c r="M689" s="232"/>
    </row>
    <row r="690" spans="1:13" ht="30" customHeight="1">
      <c r="A690" s="232"/>
      <c r="B690" s="233"/>
      <c r="C690" s="298"/>
      <c r="D690" s="252" t="s">
        <v>1268</v>
      </c>
      <c r="E690" s="298"/>
      <c r="F690" s="298"/>
      <c r="G690" s="355" t="s">
        <v>1271</v>
      </c>
      <c r="H690" s="350" t="s">
        <v>160</v>
      </c>
      <c r="I690" s="325">
        <v>2</v>
      </c>
      <c r="J690" s="341">
        <f>ROUND(5581100,0)</f>
        <v>5581100</v>
      </c>
      <c r="K690" s="340">
        <f t="shared" si="49"/>
        <v>11162200</v>
      </c>
      <c r="L690" s="234"/>
      <c r="M690" s="232"/>
    </row>
    <row r="691" spans="1:13" ht="30" customHeight="1" thickBot="1">
      <c r="A691" s="232"/>
      <c r="B691" s="233"/>
      <c r="C691" s="371" t="s">
        <v>1272</v>
      </c>
      <c r="D691" s="372"/>
      <c r="E691" s="372"/>
      <c r="F691" s="372"/>
      <c r="G691" s="372"/>
      <c r="H691" s="372"/>
      <c r="I691" s="372"/>
      <c r="J691" s="373"/>
      <c r="K691" s="339">
        <f>SUM(K688:K690)</f>
        <v>36989365</v>
      </c>
      <c r="L691" s="234"/>
      <c r="M691" s="232"/>
    </row>
    <row r="692" spans="1:13" ht="30" customHeight="1">
      <c r="A692" s="232"/>
      <c r="B692" s="233"/>
      <c r="C692" s="374" t="s">
        <v>1273</v>
      </c>
      <c r="D692" s="375"/>
      <c r="E692" s="375"/>
      <c r="F692" s="375"/>
      <c r="G692" s="375"/>
      <c r="H692" s="375"/>
      <c r="I692" s="375"/>
      <c r="J692" s="375"/>
      <c r="K692" s="376"/>
      <c r="L692" s="234"/>
      <c r="M692" s="232"/>
    </row>
    <row r="693" spans="1:13" ht="30" customHeight="1">
      <c r="A693" s="232"/>
      <c r="B693" s="233"/>
      <c r="C693" s="298"/>
      <c r="D693" s="252" t="s">
        <v>1274</v>
      </c>
      <c r="E693" s="298"/>
      <c r="F693" s="298"/>
      <c r="G693" s="355" t="s">
        <v>1275</v>
      </c>
      <c r="H693" s="350" t="s">
        <v>160</v>
      </c>
      <c r="I693" s="325">
        <v>1</v>
      </c>
      <c r="J693" s="341">
        <f>ROUND(1963500,0)</f>
        <v>1963500</v>
      </c>
      <c r="K693" s="340">
        <f>ROUND(I693*J693,0)</f>
        <v>1963500</v>
      </c>
      <c r="L693" s="234"/>
      <c r="M693" s="232"/>
    </row>
    <row r="694" spans="1:13" ht="30" customHeight="1" thickBot="1">
      <c r="A694" s="232"/>
      <c r="B694" s="233"/>
      <c r="C694" s="371" t="s">
        <v>1098</v>
      </c>
      <c r="D694" s="372"/>
      <c r="E694" s="372"/>
      <c r="F694" s="372"/>
      <c r="G694" s="372"/>
      <c r="H694" s="372"/>
      <c r="I694" s="372"/>
      <c r="J694" s="373"/>
      <c r="K694" s="339">
        <f>SUM(K693)</f>
        <v>1963500</v>
      </c>
      <c r="L694" s="234"/>
      <c r="M694" s="232"/>
    </row>
    <row r="695" spans="1:13" ht="30" customHeight="1">
      <c r="A695" s="232"/>
      <c r="B695" s="233"/>
      <c r="C695" s="374" t="s">
        <v>1276</v>
      </c>
      <c r="D695" s="375"/>
      <c r="E695" s="375"/>
      <c r="F695" s="375"/>
      <c r="G695" s="375"/>
      <c r="H695" s="375"/>
      <c r="I695" s="375"/>
      <c r="J695" s="375"/>
      <c r="K695" s="376"/>
      <c r="L695" s="234"/>
      <c r="M695" s="232"/>
    </row>
    <row r="696" spans="1:13" ht="30" customHeight="1">
      <c r="A696" s="232"/>
      <c r="B696" s="233"/>
      <c r="C696" s="298"/>
      <c r="D696" s="252" t="s">
        <v>1277</v>
      </c>
      <c r="E696" s="298"/>
      <c r="F696" s="298"/>
      <c r="G696" s="355" t="s">
        <v>1282</v>
      </c>
      <c r="H696" s="350" t="s">
        <v>160</v>
      </c>
      <c r="I696" s="325">
        <v>8</v>
      </c>
      <c r="J696" s="341">
        <f>ROUND(2570000,0)</f>
        <v>2570000</v>
      </c>
      <c r="K696" s="340">
        <f>ROUND(I696*J696,0)</f>
        <v>20560000</v>
      </c>
      <c r="L696" s="234"/>
      <c r="M696" s="232"/>
    </row>
    <row r="697" spans="1:13" ht="30" customHeight="1">
      <c r="A697" s="232"/>
      <c r="B697" s="233"/>
      <c r="C697" s="298"/>
      <c r="D697" s="252" t="s">
        <v>1278</v>
      </c>
      <c r="E697" s="298"/>
      <c r="F697" s="298"/>
      <c r="G697" s="355" t="s">
        <v>1283</v>
      </c>
      <c r="H697" s="350" t="s">
        <v>160</v>
      </c>
      <c r="I697" s="325">
        <v>36</v>
      </c>
      <c r="J697" s="341">
        <f>ROUND(750000,0)</f>
        <v>750000</v>
      </c>
      <c r="K697" s="340">
        <f t="shared" ref="K697:K700" si="50">ROUND(I697*J697,0)</f>
        <v>27000000</v>
      </c>
      <c r="L697" s="234"/>
      <c r="M697" s="232"/>
    </row>
    <row r="698" spans="1:13" ht="30" customHeight="1">
      <c r="A698" s="232"/>
      <c r="B698" s="233"/>
      <c r="C698" s="298"/>
      <c r="D698" s="252" t="s">
        <v>1279</v>
      </c>
      <c r="E698" s="298"/>
      <c r="F698" s="298"/>
      <c r="G698" s="355" t="s">
        <v>1284</v>
      </c>
      <c r="H698" s="350" t="s">
        <v>160</v>
      </c>
      <c r="I698" s="325">
        <v>7</v>
      </c>
      <c r="J698" s="341">
        <f>ROUND(1200000,0)</f>
        <v>1200000</v>
      </c>
      <c r="K698" s="340">
        <f t="shared" si="50"/>
        <v>8400000</v>
      </c>
      <c r="L698" s="234"/>
      <c r="M698" s="232"/>
    </row>
    <row r="699" spans="1:13" ht="30" customHeight="1">
      <c r="A699" s="232"/>
      <c r="B699" s="233"/>
      <c r="C699" s="298"/>
      <c r="D699" s="252" t="s">
        <v>1280</v>
      </c>
      <c r="E699" s="298"/>
      <c r="F699" s="298"/>
      <c r="G699" s="355" t="s">
        <v>1285</v>
      </c>
      <c r="H699" s="350" t="s">
        <v>160</v>
      </c>
      <c r="I699" s="325">
        <v>52</v>
      </c>
      <c r="J699" s="341">
        <f>ROUND(995773.0696683,0)</f>
        <v>995773</v>
      </c>
      <c r="K699" s="340">
        <f t="shared" si="50"/>
        <v>51780196</v>
      </c>
      <c r="L699" s="234"/>
      <c r="M699" s="232"/>
    </row>
    <row r="700" spans="1:13" ht="30" customHeight="1">
      <c r="A700" s="232"/>
      <c r="B700" s="233"/>
      <c r="C700" s="298"/>
      <c r="D700" s="252" t="s">
        <v>1281</v>
      </c>
      <c r="E700" s="298"/>
      <c r="F700" s="298"/>
      <c r="G700" s="355" t="s">
        <v>1286</v>
      </c>
      <c r="H700" s="350" t="s">
        <v>160</v>
      </c>
      <c r="I700" s="325">
        <v>6</v>
      </c>
      <c r="J700" s="341">
        <f>ROUND(2200000,0)</f>
        <v>2200000</v>
      </c>
      <c r="K700" s="340">
        <f t="shared" si="50"/>
        <v>13200000</v>
      </c>
      <c r="L700" s="234"/>
      <c r="M700" s="232"/>
    </row>
    <row r="701" spans="1:13" ht="30" customHeight="1" thickBot="1">
      <c r="A701" s="232"/>
      <c r="B701" s="233"/>
      <c r="C701" s="371" t="s">
        <v>1287</v>
      </c>
      <c r="D701" s="372"/>
      <c r="E701" s="372"/>
      <c r="F701" s="372"/>
      <c r="G701" s="372"/>
      <c r="H701" s="372"/>
      <c r="I701" s="372"/>
      <c r="J701" s="373"/>
      <c r="K701" s="339">
        <f>SUM(K696:K700)</f>
        <v>120940196</v>
      </c>
      <c r="L701" s="234"/>
      <c r="M701" s="232"/>
    </row>
    <row r="702" spans="1:13" ht="30" customHeight="1">
      <c r="A702" s="232"/>
      <c r="B702" s="233"/>
      <c r="C702" s="374" t="s">
        <v>1288</v>
      </c>
      <c r="D702" s="375"/>
      <c r="E702" s="375"/>
      <c r="F702" s="375"/>
      <c r="G702" s="375"/>
      <c r="H702" s="375"/>
      <c r="I702" s="375"/>
      <c r="J702" s="375"/>
      <c r="K702" s="376"/>
      <c r="L702" s="234"/>
      <c r="M702" s="232"/>
    </row>
    <row r="703" spans="1:13" ht="30" customHeight="1">
      <c r="A703" s="232"/>
      <c r="B703" s="233"/>
      <c r="C703" s="298"/>
      <c r="D703" s="252" t="s">
        <v>1289</v>
      </c>
      <c r="E703" s="298"/>
      <c r="F703" s="298"/>
      <c r="G703" s="355" t="s">
        <v>1298</v>
      </c>
      <c r="H703" s="350" t="s">
        <v>160</v>
      </c>
      <c r="I703" s="325">
        <v>17</v>
      </c>
      <c r="J703" s="341">
        <f>ROUND(229670,0)</f>
        <v>229670</v>
      </c>
      <c r="K703" s="340">
        <f>ROUND(I703*J703,0)</f>
        <v>3904390</v>
      </c>
      <c r="L703" s="234"/>
      <c r="M703" s="232"/>
    </row>
    <row r="704" spans="1:13" ht="30" customHeight="1">
      <c r="A704" s="232"/>
      <c r="B704" s="233"/>
      <c r="C704" s="298"/>
      <c r="D704" s="252" t="s">
        <v>1290</v>
      </c>
      <c r="E704" s="298"/>
      <c r="F704" s="298"/>
      <c r="G704" s="355" t="s">
        <v>1299</v>
      </c>
      <c r="H704" s="350" t="s">
        <v>160</v>
      </c>
      <c r="I704" s="325">
        <v>9</v>
      </c>
      <c r="J704" s="341">
        <f>ROUND(180000,0)</f>
        <v>180000</v>
      </c>
      <c r="K704" s="340">
        <f t="shared" ref="K704:K711" si="51">ROUND(I704*J704,0)</f>
        <v>1620000</v>
      </c>
      <c r="L704" s="234"/>
      <c r="M704" s="232"/>
    </row>
    <row r="705" spans="1:13" ht="30" customHeight="1">
      <c r="A705" s="232"/>
      <c r="B705" s="233"/>
      <c r="C705" s="298"/>
      <c r="D705" s="252" t="s">
        <v>1291</v>
      </c>
      <c r="E705" s="298"/>
      <c r="F705" s="298"/>
      <c r="G705" s="355" t="s">
        <v>1300</v>
      </c>
      <c r="H705" s="350" t="s">
        <v>160</v>
      </c>
      <c r="I705" s="325">
        <v>7</v>
      </c>
      <c r="J705" s="341">
        <f>ROUND(232050,0)</f>
        <v>232050</v>
      </c>
      <c r="K705" s="340">
        <f t="shared" si="51"/>
        <v>1624350</v>
      </c>
      <c r="L705" s="234"/>
      <c r="M705" s="232"/>
    </row>
    <row r="706" spans="1:13" ht="30" customHeight="1">
      <c r="A706" s="232"/>
      <c r="B706" s="233"/>
      <c r="C706" s="298"/>
      <c r="D706" s="252" t="s">
        <v>1292</v>
      </c>
      <c r="E706" s="298"/>
      <c r="F706" s="298"/>
      <c r="G706" s="355" t="s">
        <v>1301</v>
      </c>
      <c r="H706" s="350" t="s">
        <v>160</v>
      </c>
      <c r="I706" s="325">
        <v>2</v>
      </c>
      <c r="J706" s="341">
        <f>ROUND(420000,0)</f>
        <v>420000</v>
      </c>
      <c r="K706" s="340">
        <f t="shared" si="51"/>
        <v>840000</v>
      </c>
      <c r="L706" s="234"/>
      <c r="M706" s="232"/>
    </row>
    <row r="707" spans="1:13" ht="30" customHeight="1">
      <c r="A707" s="232"/>
      <c r="B707" s="233"/>
      <c r="C707" s="298"/>
      <c r="D707" s="252" t="s">
        <v>1293</v>
      </c>
      <c r="E707" s="298"/>
      <c r="F707" s="298"/>
      <c r="G707" s="355" t="s">
        <v>1302</v>
      </c>
      <c r="H707" s="350" t="s">
        <v>160</v>
      </c>
      <c r="I707" s="325">
        <v>1</v>
      </c>
      <c r="J707" s="341">
        <f>ROUND(856800,0)</f>
        <v>856800</v>
      </c>
      <c r="K707" s="340">
        <f t="shared" si="51"/>
        <v>856800</v>
      </c>
      <c r="L707" s="234"/>
      <c r="M707" s="232"/>
    </row>
    <row r="708" spans="1:13" ht="30" customHeight="1">
      <c r="A708" s="232"/>
      <c r="B708" s="233"/>
      <c r="C708" s="298"/>
      <c r="D708" s="252" t="s">
        <v>1294</v>
      </c>
      <c r="E708" s="298"/>
      <c r="F708" s="298"/>
      <c r="G708" s="355" t="s">
        <v>1303</v>
      </c>
      <c r="H708" s="350" t="s">
        <v>160</v>
      </c>
      <c r="I708" s="325">
        <v>1</v>
      </c>
      <c r="J708" s="341">
        <f>ROUND(111859,0)</f>
        <v>111859</v>
      </c>
      <c r="K708" s="340">
        <f t="shared" si="51"/>
        <v>111859</v>
      </c>
      <c r="L708" s="234"/>
      <c r="M708" s="232"/>
    </row>
    <row r="709" spans="1:13" ht="30" customHeight="1">
      <c r="A709" s="232"/>
      <c r="B709" s="233"/>
      <c r="C709" s="298"/>
      <c r="D709" s="252" t="s">
        <v>1295</v>
      </c>
      <c r="E709" s="298"/>
      <c r="F709" s="298"/>
      <c r="G709" s="355" t="s">
        <v>1304</v>
      </c>
      <c r="H709" s="350" t="s">
        <v>160</v>
      </c>
      <c r="I709" s="325">
        <v>1</v>
      </c>
      <c r="J709" s="341">
        <f>ROUND(212562,0)</f>
        <v>212562</v>
      </c>
      <c r="K709" s="340">
        <f t="shared" si="51"/>
        <v>212562</v>
      </c>
      <c r="L709" s="234"/>
      <c r="M709" s="232"/>
    </row>
    <row r="710" spans="1:13" ht="30" customHeight="1">
      <c r="A710" s="232"/>
      <c r="B710" s="233"/>
      <c r="C710" s="298"/>
      <c r="D710" s="252" t="s">
        <v>1296</v>
      </c>
      <c r="E710" s="298"/>
      <c r="F710" s="298"/>
      <c r="G710" s="355" t="s">
        <v>1305</v>
      </c>
      <c r="H710" s="350" t="s">
        <v>160</v>
      </c>
      <c r="I710" s="325">
        <v>1</v>
      </c>
      <c r="J710" s="341">
        <f>ROUND(300000,0)</f>
        <v>300000</v>
      </c>
      <c r="K710" s="340">
        <f t="shared" si="51"/>
        <v>300000</v>
      </c>
      <c r="L710" s="234"/>
      <c r="M710" s="232"/>
    </row>
    <row r="711" spans="1:13" ht="30" customHeight="1">
      <c r="A711" s="232"/>
      <c r="B711" s="233"/>
      <c r="C711" s="298"/>
      <c r="D711" s="252" t="s">
        <v>1297</v>
      </c>
      <c r="E711" s="298"/>
      <c r="F711" s="298"/>
      <c r="G711" s="355" t="s">
        <v>1306</v>
      </c>
      <c r="H711" s="350" t="s">
        <v>160</v>
      </c>
      <c r="I711" s="325">
        <v>1</v>
      </c>
      <c r="J711" s="341">
        <f>ROUND(500000,0)</f>
        <v>500000</v>
      </c>
      <c r="K711" s="340">
        <f t="shared" si="51"/>
        <v>500000</v>
      </c>
      <c r="L711" s="234"/>
      <c r="M711" s="232"/>
    </row>
    <row r="712" spans="1:13" ht="30" customHeight="1">
      <c r="A712" s="232"/>
      <c r="B712" s="233"/>
      <c r="C712" s="371" t="s">
        <v>1307</v>
      </c>
      <c r="D712" s="372"/>
      <c r="E712" s="372"/>
      <c r="F712" s="372"/>
      <c r="G712" s="372"/>
      <c r="H712" s="372"/>
      <c r="I712" s="372"/>
      <c r="J712" s="373"/>
      <c r="K712" s="339">
        <f>SUM(K703:K711)</f>
        <v>9969961</v>
      </c>
      <c r="L712" s="234"/>
      <c r="M712" s="232"/>
    </row>
    <row r="713" spans="1:13" ht="30" customHeight="1">
      <c r="A713" s="232"/>
      <c r="B713" s="233"/>
      <c r="C713" s="371" t="s">
        <v>1308</v>
      </c>
      <c r="D713" s="372"/>
      <c r="E713" s="372"/>
      <c r="F713" s="372"/>
      <c r="G713" s="372"/>
      <c r="H713" s="372"/>
      <c r="I713" s="372"/>
      <c r="J713" s="373"/>
      <c r="K713" s="357">
        <f>K691+K694+K701+K712</f>
        <v>169863022</v>
      </c>
      <c r="L713" s="234"/>
      <c r="M713" s="232"/>
    </row>
    <row r="714" spans="1:13" ht="30" customHeight="1">
      <c r="A714" s="232"/>
      <c r="B714" s="233"/>
      <c r="C714" s="311"/>
      <c r="D714" s="312"/>
      <c r="E714" s="312"/>
      <c r="F714" s="312"/>
      <c r="G714" s="312"/>
      <c r="H714" s="312"/>
      <c r="I714" s="312"/>
      <c r="J714" s="312"/>
      <c r="K714" s="313"/>
      <c r="L714" s="234"/>
      <c r="M714" s="232"/>
    </row>
    <row r="715" spans="1:13" ht="30" customHeight="1">
      <c r="A715" s="232"/>
      <c r="B715" s="233"/>
      <c r="C715" s="311"/>
      <c r="D715" s="312"/>
      <c r="E715" s="312"/>
      <c r="F715" s="312"/>
      <c r="G715" s="353" t="s">
        <v>1309</v>
      </c>
      <c r="H715" s="352"/>
      <c r="I715" s="354" t="s">
        <v>1173</v>
      </c>
      <c r="J715" s="352"/>
      <c r="K715" s="362">
        <f>K645+K649+K653+K685+K713</f>
        <v>477436429</v>
      </c>
      <c r="L715" s="234"/>
      <c r="M715" s="232"/>
    </row>
    <row r="716" spans="1:13" ht="30" customHeight="1" thickBot="1">
      <c r="A716" s="232"/>
      <c r="B716" s="233"/>
      <c r="C716" s="311"/>
      <c r="D716" s="312"/>
      <c r="E716" s="312"/>
      <c r="F716" s="312"/>
      <c r="G716" s="312"/>
      <c r="H716" s="312"/>
      <c r="I716" s="312"/>
      <c r="J716" s="312"/>
      <c r="K716" s="313"/>
      <c r="L716" s="234"/>
      <c r="M716" s="232"/>
    </row>
    <row r="717" spans="1:13" ht="30" customHeight="1">
      <c r="A717" s="232"/>
      <c r="B717" s="233"/>
      <c r="C717" s="374" t="s">
        <v>1310</v>
      </c>
      <c r="D717" s="375"/>
      <c r="E717" s="375"/>
      <c r="F717" s="375"/>
      <c r="G717" s="375"/>
      <c r="H717" s="375"/>
      <c r="I717" s="375"/>
      <c r="J717" s="375"/>
      <c r="K717" s="376"/>
      <c r="L717" s="234"/>
      <c r="M717" s="232"/>
    </row>
    <row r="718" spans="1:13" ht="30" customHeight="1">
      <c r="A718" s="232"/>
      <c r="B718" s="233"/>
      <c r="C718" s="298"/>
      <c r="D718" s="252" t="s">
        <v>1311</v>
      </c>
      <c r="E718" s="298"/>
      <c r="F718" s="298"/>
      <c r="G718" s="355" t="s">
        <v>1317</v>
      </c>
      <c r="H718" s="350" t="s">
        <v>160</v>
      </c>
      <c r="I718" s="325">
        <v>1</v>
      </c>
      <c r="J718" s="341">
        <f>ROUND(4500000,0)</f>
        <v>4500000</v>
      </c>
      <c r="K718" s="340">
        <f>ROUND(I718*J718,0)</f>
        <v>4500000</v>
      </c>
      <c r="L718" s="234"/>
      <c r="M718" s="232"/>
    </row>
    <row r="719" spans="1:13" ht="30" customHeight="1">
      <c r="A719" s="232"/>
      <c r="B719" s="233"/>
      <c r="C719" s="298"/>
      <c r="D719" s="252" t="s">
        <v>1312</v>
      </c>
      <c r="E719" s="298"/>
      <c r="F719" s="298"/>
      <c r="G719" s="355" t="s">
        <v>1318</v>
      </c>
      <c r="H719" s="350" t="s">
        <v>160</v>
      </c>
      <c r="I719" s="325">
        <v>1</v>
      </c>
      <c r="J719" s="341">
        <f>ROUND(4200000,0)</f>
        <v>4200000</v>
      </c>
      <c r="K719" s="340">
        <f t="shared" ref="K719:K723" si="52">ROUND(I719*J719,0)</f>
        <v>4200000</v>
      </c>
      <c r="L719" s="234"/>
      <c r="M719" s="232"/>
    </row>
    <row r="720" spans="1:13" ht="30" customHeight="1">
      <c r="A720" s="232"/>
      <c r="B720" s="233"/>
      <c r="C720" s="298"/>
      <c r="D720" s="252" t="s">
        <v>1313</v>
      </c>
      <c r="E720" s="298"/>
      <c r="F720" s="298"/>
      <c r="G720" s="355" t="s">
        <v>1319</v>
      </c>
      <c r="H720" s="350" t="s">
        <v>160</v>
      </c>
      <c r="I720" s="325">
        <v>1</v>
      </c>
      <c r="J720" s="341">
        <f>ROUND(4700000,0)</f>
        <v>4700000</v>
      </c>
      <c r="K720" s="340">
        <f t="shared" si="52"/>
        <v>4700000</v>
      </c>
      <c r="L720" s="234"/>
      <c r="M720" s="232"/>
    </row>
    <row r="721" spans="1:13" ht="30" customHeight="1">
      <c r="A721" s="232"/>
      <c r="B721" s="233"/>
      <c r="C721" s="298"/>
      <c r="D721" s="252" t="s">
        <v>1314</v>
      </c>
      <c r="E721" s="298"/>
      <c r="F721" s="298"/>
      <c r="G721" s="355" t="s">
        <v>1320</v>
      </c>
      <c r="H721" s="350" t="s">
        <v>160</v>
      </c>
      <c r="I721" s="325">
        <v>1</v>
      </c>
      <c r="J721" s="341">
        <f>ROUND(1954192.13,0)</f>
        <v>1954192</v>
      </c>
      <c r="K721" s="340">
        <f t="shared" si="52"/>
        <v>1954192</v>
      </c>
      <c r="L721" s="234"/>
      <c r="M721" s="232"/>
    </row>
    <row r="722" spans="1:13" ht="30" customHeight="1">
      <c r="A722" s="232"/>
      <c r="B722" s="233"/>
      <c r="C722" s="298"/>
      <c r="D722" s="252" t="s">
        <v>1315</v>
      </c>
      <c r="E722" s="298"/>
      <c r="F722" s="298"/>
      <c r="G722" s="355" t="s">
        <v>1321</v>
      </c>
      <c r="H722" s="350" t="s">
        <v>160</v>
      </c>
      <c r="I722" s="325">
        <v>1</v>
      </c>
      <c r="J722" s="341">
        <f>ROUND(4500000,0)</f>
        <v>4500000</v>
      </c>
      <c r="K722" s="340">
        <f t="shared" si="52"/>
        <v>4500000</v>
      </c>
      <c r="L722" s="234"/>
      <c r="M722" s="232"/>
    </row>
    <row r="723" spans="1:13" ht="30" customHeight="1">
      <c r="A723" s="232"/>
      <c r="B723" s="233"/>
      <c r="C723" s="298"/>
      <c r="D723" s="252" t="s">
        <v>1316</v>
      </c>
      <c r="E723" s="298"/>
      <c r="F723" s="298"/>
      <c r="G723" s="355" t="s">
        <v>1322</v>
      </c>
      <c r="H723" s="350" t="s">
        <v>160</v>
      </c>
      <c r="I723" s="325">
        <v>1</v>
      </c>
      <c r="J723" s="341">
        <f>ROUND(1950000,0)</f>
        <v>1950000</v>
      </c>
      <c r="K723" s="340">
        <f t="shared" si="52"/>
        <v>1950000</v>
      </c>
      <c r="L723" s="234"/>
      <c r="M723" s="232"/>
    </row>
    <row r="724" spans="1:13" ht="30" customHeight="1">
      <c r="A724" s="232"/>
      <c r="B724" s="233"/>
      <c r="C724" s="371" t="s">
        <v>1307</v>
      </c>
      <c r="D724" s="372"/>
      <c r="E724" s="372"/>
      <c r="F724" s="372"/>
      <c r="G724" s="372"/>
      <c r="H724" s="372"/>
      <c r="I724" s="372"/>
      <c r="J724" s="373"/>
      <c r="K724" s="357">
        <f>SUM(K718:K723)</f>
        <v>21804192</v>
      </c>
      <c r="L724" s="234"/>
      <c r="M724" s="232"/>
    </row>
    <row r="725" spans="1:13" ht="30" customHeight="1">
      <c r="A725" s="232"/>
      <c r="B725" s="233"/>
      <c r="C725" s="311"/>
      <c r="D725" s="312"/>
      <c r="E725" s="312"/>
      <c r="F725" s="312"/>
      <c r="G725" s="312"/>
      <c r="H725" s="312"/>
      <c r="I725" s="312"/>
      <c r="J725" s="312"/>
      <c r="K725" s="313"/>
      <c r="L725" s="234"/>
      <c r="M725" s="232"/>
    </row>
    <row r="726" spans="1:13" ht="30" customHeight="1">
      <c r="A726" s="232"/>
      <c r="B726" s="233"/>
      <c r="C726" s="311"/>
      <c r="D726" s="312"/>
      <c r="E726" s="312"/>
      <c r="F726" s="312"/>
      <c r="G726" s="353" t="str">
        <f>G715</f>
        <v>TOTAL COSTO SUMINISTRO Y DOTACIONES</v>
      </c>
      <c r="H726" s="352"/>
      <c r="I726" s="354" t="s">
        <v>1173</v>
      </c>
      <c r="J726" s="352"/>
      <c r="K726" s="362">
        <f>K724</f>
        <v>21804192</v>
      </c>
      <c r="L726" s="234"/>
      <c r="M726" s="232"/>
    </row>
    <row r="727" spans="1:13" ht="30" customHeight="1">
      <c r="A727" s="232"/>
      <c r="B727" s="233"/>
      <c r="C727" s="311"/>
      <c r="D727" s="312"/>
      <c r="E727" s="312"/>
      <c r="F727" s="312"/>
      <c r="G727" s="312"/>
      <c r="H727" s="312"/>
      <c r="I727" s="312"/>
      <c r="J727" s="312"/>
      <c r="K727" s="313"/>
      <c r="L727" s="234"/>
      <c r="M727" s="232"/>
    </row>
    <row r="728" spans="1:13" ht="30" customHeight="1">
      <c r="A728" s="232"/>
      <c r="B728" s="233"/>
      <c r="C728" s="311"/>
      <c r="D728" s="312"/>
      <c r="E728" s="312"/>
      <c r="F728" s="312"/>
      <c r="G728" s="363" t="s">
        <v>17</v>
      </c>
      <c r="H728" s="364"/>
      <c r="I728" s="365" t="s">
        <v>1173</v>
      </c>
      <c r="J728" s="364"/>
      <c r="K728" s="366">
        <f>K619+K625+K715+K726</f>
        <v>12307831776</v>
      </c>
      <c r="L728" s="234"/>
      <c r="M728" s="367">
        <f>12307831776-K728</f>
        <v>0</v>
      </c>
    </row>
    <row r="729" spans="1:13" ht="30" customHeight="1">
      <c r="A729" s="232"/>
      <c r="B729" s="233"/>
      <c r="C729" s="311"/>
      <c r="D729" s="312"/>
      <c r="E729" s="312"/>
      <c r="F729" s="312"/>
      <c r="G729" s="312"/>
      <c r="H729" s="312"/>
      <c r="I729" s="312"/>
      <c r="J729" s="312"/>
      <c r="K729" s="313"/>
      <c r="L729" s="234"/>
      <c r="M729" s="232"/>
    </row>
    <row r="730" spans="1:13" s="264" customFormat="1" ht="16.8" thickBot="1">
      <c r="A730" s="260"/>
      <c r="B730" s="261"/>
      <c r="C730" s="265"/>
      <c r="D730" s="266"/>
      <c r="E730" s="266"/>
      <c r="F730" s="266"/>
      <c r="G730" s="265"/>
      <c r="H730" s="265"/>
      <c r="I730" s="267"/>
      <c r="J730" s="268"/>
      <c r="K730" s="269"/>
      <c r="L730" s="263"/>
      <c r="M730" s="260"/>
    </row>
    <row r="731" spans="1:13" s="264" customFormat="1" ht="16.2">
      <c r="A731" s="260"/>
      <c r="B731" s="261"/>
      <c r="C731" s="270"/>
      <c r="D731" s="402"/>
      <c r="E731" s="402"/>
      <c r="F731" s="402"/>
      <c r="G731" s="402"/>
      <c r="H731" s="402"/>
      <c r="I731" s="402"/>
      <c r="J731" s="402"/>
      <c r="K731" s="403"/>
      <c r="L731" s="271"/>
      <c r="M731" s="260"/>
    </row>
    <row r="732" spans="1:13" s="264" customFormat="1" ht="46.5" customHeight="1">
      <c r="A732" s="260"/>
      <c r="B732" s="261"/>
      <c r="C732" s="395" t="s">
        <v>18</v>
      </c>
      <c r="D732" s="396"/>
      <c r="E732" s="396"/>
      <c r="F732" s="396"/>
      <c r="G732" s="396"/>
      <c r="H732" s="400" t="s">
        <v>19</v>
      </c>
      <c r="I732" s="400"/>
      <c r="J732" s="400"/>
      <c r="K732" s="272" t="s">
        <v>20</v>
      </c>
      <c r="L732" s="273"/>
      <c r="M732" s="260"/>
    </row>
    <row r="733" spans="1:13" s="264" customFormat="1" ht="56.25" customHeight="1">
      <c r="A733" s="260"/>
      <c r="B733" s="261"/>
      <c r="C733" s="395" t="s">
        <v>21</v>
      </c>
      <c r="D733" s="396"/>
      <c r="E733" s="396"/>
      <c r="F733" s="396"/>
      <c r="G733" s="396"/>
      <c r="H733" s="401" t="s">
        <v>22</v>
      </c>
      <c r="I733" s="401"/>
      <c r="J733" s="274" t="s">
        <v>23</v>
      </c>
      <c r="K733" s="275">
        <v>0.2</v>
      </c>
      <c r="L733" s="273"/>
      <c r="M733" s="260"/>
    </row>
    <row r="734" spans="1:13" s="264" customFormat="1" ht="30" customHeight="1">
      <c r="A734" s="260"/>
      <c r="B734" s="261"/>
      <c r="C734" s="395" t="s">
        <v>24</v>
      </c>
      <c r="D734" s="396"/>
      <c r="E734" s="396"/>
      <c r="F734" s="396"/>
      <c r="G734" s="396"/>
      <c r="H734" s="421" t="s">
        <v>25</v>
      </c>
      <c r="I734" s="422"/>
      <c r="J734" s="274" t="s">
        <v>26</v>
      </c>
      <c r="K734" s="275">
        <v>0.01</v>
      </c>
      <c r="L734" s="273"/>
      <c r="M734" s="260"/>
    </row>
    <row r="735" spans="1:13" s="277" customFormat="1" ht="58.5" customHeight="1">
      <c r="A735" s="260"/>
      <c r="B735" s="261"/>
      <c r="C735" s="276"/>
      <c r="E735" s="278"/>
      <c r="F735" s="278"/>
      <c r="G735" s="279"/>
      <c r="H735" s="423" t="s">
        <v>27</v>
      </c>
      <c r="I735" s="401"/>
      <c r="J735" s="274" t="s">
        <v>28</v>
      </c>
      <c r="K735" s="275">
        <v>0.04</v>
      </c>
      <c r="L735" s="263"/>
      <c r="M735" s="260"/>
    </row>
    <row r="736" spans="1:13" ht="57" customHeight="1">
      <c r="A736" s="232"/>
      <c r="B736" s="233"/>
      <c r="C736" s="280"/>
      <c r="D736" s="281"/>
      <c r="E736" s="281"/>
      <c r="F736" s="281"/>
      <c r="G736" s="282"/>
      <c r="H736" s="401" t="s">
        <v>29</v>
      </c>
      <c r="I736" s="401"/>
      <c r="J736" s="274" t="s">
        <v>30</v>
      </c>
      <c r="K736" s="275">
        <v>0.25</v>
      </c>
      <c r="L736" s="234"/>
      <c r="M736" s="232"/>
    </row>
    <row r="737" spans="1:13" ht="16.8" thickBot="1">
      <c r="A737" s="232"/>
      <c r="B737" s="233"/>
      <c r="C737" s="283"/>
      <c r="D737" s="284"/>
      <c r="E737" s="284"/>
      <c r="F737" s="284"/>
      <c r="G737" s="285"/>
      <c r="H737" s="419"/>
      <c r="I737" s="419"/>
      <c r="J737" s="419"/>
      <c r="K737" s="420"/>
      <c r="L737" s="234"/>
      <c r="M737" s="232"/>
    </row>
    <row r="738" spans="1:13" ht="16.8" thickBot="1">
      <c r="A738" s="232"/>
      <c r="B738" s="286"/>
      <c r="C738" s="287"/>
      <c r="D738" s="287"/>
      <c r="E738" s="288"/>
      <c r="F738" s="287"/>
      <c r="G738" s="289"/>
      <c r="H738" s="287"/>
      <c r="I738" s="287"/>
      <c r="J738" s="287"/>
      <c r="K738" s="287"/>
      <c r="L738" s="290"/>
      <c r="M738" s="232"/>
    </row>
    <row r="739" spans="1:13" ht="16.8" thickTop="1">
      <c r="A739" s="232"/>
      <c r="B739" s="232"/>
      <c r="C739" s="232"/>
      <c r="D739" s="232"/>
      <c r="E739" s="291"/>
      <c r="F739" s="232"/>
      <c r="G739" s="232"/>
      <c r="H739" s="232"/>
      <c r="I739" s="232"/>
      <c r="J739" s="232"/>
      <c r="K739" s="232"/>
      <c r="L739" s="232"/>
      <c r="M739" s="232"/>
    </row>
  </sheetData>
  <mergeCells count="188">
    <mergeCell ref="C712:J712"/>
    <mergeCell ref="C717:K717"/>
    <mergeCell ref="C724:J724"/>
    <mergeCell ref="C686:K686"/>
    <mergeCell ref="C687:K687"/>
    <mergeCell ref="C691:J691"/>
    <mergeCell ref="C692:K692"/>
    <mergeCell ref="C694:J694"/>
    <mergeCell ref="C695:K695"/>
    <mergeCell ref="C701:J701"/>
    <mergeCell ref="C702:K702"/>
    <mergeCell ref="C713:J713"/>
    <mergeCell ref="C667:J667"/>
    <mergeCell ref="C668:K668"/>
    <mergeCell ref="C677:J677"/>
    <mergeCell ref="C678:K678"/>
    <mergeCell ref="C681:J681"/>
    <mergeCell ref="C682:K682"/>
    <mergeCell ref="C684:J684"/>
    <mergeCell ref="C685:J685"/>
    <mergeCell ref="C645:J645"/>
    <mergeCell ref="C646:K646"/>
    <mergeCell ref="C649:J649"/>
    <mergeCell ref="C650:K650"/>
    <mergeCell ref="C653:J653"/>
    <mergeCell ref="C654:K654"/>
    <mergeCell ref="C655:K655"/>
    <mergeCell ref="C663:J663"/>
    <mergeCell ref="C664:K664"/>
    <mergeCell ref="C583:J583"/>
    <mergeCell ref="C584:J584"/>
    <mergeCell ref="C573:K573"/>
    <mergeCell ref="C576:J576"/>
    <mergeCell ref="C577:K577"/>
    <mergeCell ref="C561:K561"/>
    <mergeCell ref="C571:J571"/>
    <mergeCell ref="C572:K572"/>
    <mergeCell ref="C545:K545"/>
    <mergeCell ref="C551:J551"/>
    <mergeCell ref="C557:K557"/>
    <mergeCell ref="C559:J559"/>
    <mergeCell ref="C560:J560"/>
    <mergeCell ref="C552:K552"/>
    <mergeCell ref="C556:J556"/>
    <mergeCell ref="C537:J537"/>
    <mergeCell ref="C538:J538"/>
    <mergeCell ref="C539:K539"/>
    <mergeCell ref="C540:K540"/>
    <mergeCell ref="C544:J544"/>
    <mergeCell ref="C525:J525"/>
    <mergeCell ref="C526:K526"/>
    <mergeCell ref="C527:K527"/>
    <mergeCell ref="C532:J532"/>
    <mergeCell ref="C533:K533"/>
    <mergeCell ref="H737:K737"/>
    <mergeCell ref="C734:G734"/>
    <mergeCell ref="H734:I734"/>
    <mergeCell ref="H735:I735"/>
    <mergeCell ref="H736:I736"/>
    <mergeCell ref="C249:J249"/>
    <mergeCell ref="C250:K250"/>
    <mergeCell ref="C251:K251"/>
    <mergeCell ref="C220:K220"/>
    <mergeCell ref="C229:J229"/>
    <mergeCell ref="C230:K230"/>
    <mergeCell ref="C239:J239"/>
    <mergeCell ref="C240:K240"/>
    <mergeCell ref="C261:J261"/>
    <mergeCell ref="C262:K262"/>
    <mergeCell ref="C267:J267"/>
    <mergeCell ref="C393:K393"/>
    <mergeCell ref="C417:J417"/>
    <mergeCell ref="C418:K418"/>
    <mergeCell ref="C425:J425"/>
    <mergeCell ref="C426:K426"/>
    <mergeCell ref="C347:K347"/>
    <mergeCell ref="C348:K348"/>
    <mergeCell ref="C381:J381"/>
    <mergeCell ref="C3:K4"/>
    <mergeCell ref="C5:K5"/>
    <mergeCell ref="C1:F1"/>
    <mergeCell ref="C733:G733"/>
    <mergeCell ref="C6:K6"/>
    <mergeCell ref="C732:G732"/>
    <mergeCell ref="H732:J732"/>
    <mergeCell ref="H733:I733"/>
    <mergeCell ref="D731:K731"/>
    <mergeCell ref="I7:I8"/>
    <mergeCell ref="J7:J8"/>
    <mergeCell ref="K7:K8"/>
    <mergeCell ref="C7:C8"/>
    <mergeCell ref="D7:D8"/>
    <mergeCell ref="G7:G8"/>
    <mergeCell ref="H7:H8"/>
    <mergeCell ref="E7:F7"/>
    <mergeCell ref="C9:K9"/>
    <mergeCell ref="C12:J12"/>
    <mergeCell ref="C13:K13"/>
    <mergeCell ref="C18:J18"/>
    <mergeCell ref="C19:K19"/>
    <mergeCell ref="C28:J28"/>
    <mergeCell ref="C29:K29"/>
    <mergeCell ref="C136:J136"/>
    <mergeCell ref="C42:J42"/>
    <mergeCell ref="C43:K43"/>
    <mergeCell ref="C51:J51"/>
    <mergeCell ref="C52:K52"/>
    <mergeCell ref="C59:J59"/>
    <mergeCell ref="C60:K60"/>
    <mergeCell ref="C72:J72"/>
    <mergeCell ref="C73:K73"/>
    <mergeCell ref="C104:J104"/>
    <mergeCell ref="C105:K105"/>
    <mergeCell ref="C108:J108"/>
    <mergeCell ref="C109:K109"/>
    <mergeCell ref="C137:K137"/>
    <mergeCell ref="C144:J144"/>
    <mergeCell ref="C203:J203"/>
    <mergeCell ref="C204:K204"/>
    <mergeCell ref="C217:J217"/>
    <mergeCell ref="C218:J218"/>
    <mergeCell ref="C219:K219"/>
    <mergeCell ref="C248:J248"/>
    <mergeCell ref="C268:J268"/>
    <mergeCell ref="C194:J194"/>
    <mergeCell ref="C195:K195"/>
    <mergeCell ref="C145:K145"/>
    <mergeCell ref="C157:J157"/>
    <mergeCell ref="C158:K158"/>
    <mergeCell ref="C168:J168"/>
    <mergeCell ref="C170:K170"/>
    <mergeCell ref="C169:K169"/>
    <mergeCell ref="C269:K269"/>
    <mergeCell ref="C270:K270"/>
    <mergeCell ref="C285:J285"/>
    <mergeCell ref="C286:K286"/>
    <mergeCell ref="C288:J288"/>
    <mergeCell ref="C289:K289"/>
    <mergeCell ref="C291:J291"/>
    <mergeCell ref="C292:J292"/>
    <mergeCell ref="C293:K293"/>
    <mergeCell ref="C294:K294"/>
    <mergeCell ref="C306:J306"/>
    <mergeCell ref="C307:K307"/>
    <mergeCell ref="C309:J309"/>
    <mergeCell ref="C310:K310"/>
    <mergeCell ref="C312:J312"/>
    <mergeCell ref="C313:J313"/>
    <mergeCell ref="C314:K314"/>
    <mergeCell ref="C315:K315"/>
    <mergeCell ref="C327:J327"/>
    <mergeCell ref="C328:K328"/>
    <mergeCell ref="C333:J333"/>
    <mergeCell ref="C334:K334"/>
    <mergeCell ref="C337:K337"/>
    <mergeCell ref="C336:J336"/>
    <mergeCell ref="C345:J345"/>
    <mergeCell ref="C346:J346"/>
    <mergeCell ref="C632:K632"/>
    <mergeCell ref="C382:K382"/>
    <mergeCell ref="C392:J392"/>
    <mergeCell ref="C490:J490"/>
    <mergeCell ref="C515:J515"/>
    <mergeCell ref="C524:J524"/>
    <mergeCell ref="C468:K468"/>
    <mergeCell ref="C482:J482"/>
    <mergeCell ref="C483:K483"/>
    <mergeCell ref="C485:J485"/>
    <mergeCell ref="C486:K486"/>
    <mergeCell ref="C439:J439"/>
    <mergeCell ref="C440:K440"/>
    <mergeCell ref="C449:J449"/>
    <mergeCell ref="C450:K450"/>
    <mergeCell ref="C467:J467"/>
    <mergeCell ref="C635:J635"/>
    <mergeCell ref="C640:K640"/>
    <mergeCell ref="C644:J644"/>
    <mergeCell ref="C585:K585"/>
    <mergeCell ref="C586:K586"/>
    <mergeCell ref="C617:J617"/>
    <mergeCell ref="C621:K621"/>
    <mergeCell ref="C623:J623"/>
    <mergeCell ref="C627:K627"/>
    <mergeCell ref="C628:K628"/>
    <mergeCell ref="C631:J631"/>
    <mergeCell ref="C636:K636"/>
    <mergeCell ref="C639:J639"/>
    <mergeCell ref="C619:J619"/>
  </mergeCells>
  <phoneticPr fontId="7" type="noConversion"/>
  <hyperlinks>
    <hyperlink ref="D47" location="'5.4'!A1" display="5.4" xr:uid="{0AFCC3D5-3EE1-46A5-86A7-4B38942899F3}"/>
    <hyperlink ref="D48" location="'5.5'!A1" display="5.5" xr:uid="{17ACDBAB-4DD4-4206-A64A-FA12BC100686}"/>
    <hyperlink ref="D49" location="'5.6'!A1" display="5.6" xr:uid="{50F7AEB3-D637-4F65-B65A-B480B486A277}"/>
    <hyperlink ref="D50" location="'5.7'!A1" display="5.7" xr:uid="{47031B45-EDF6-41E3-9B4C-141673E3FCA0}"/>
    <hyperlink ref="D44" location="'5.1'!A1" display="5.1" xr:uid="{F2152344-410C-4398-9D67-7507F8C52685}"/>
    <hyperlink ref="D45" location="'5.2'!A1" display="5.2" xr:uid="{83DAC604-9FA4-4354-820A-9395576C7ECC}"/>
    <hyperlink ref="D46" location="'5.3'!A1" display="5.3" xr:uid="{E33858E2-BFD7-4AC1-8456-EDE162F381FB}"/>
    <hyperlink ref="D56" location="'5.4'!A1" display="5.4" xr:uid="{C23F17BD-2315-46EB-8341-78B1A35D1312}"/>
    <hyperlink ref="D57" location="'5.5'!A1" display="5.5" xr:uid="{FC4B47C3-7ADD-4132-86F5-4132ACD15833}"/>
    <hyperlink ref="D58" location="'5.6'!A1" display="5.6" xr:uid="{98D83FC9-3FB1-497A-8AE0-0377CC7F7CB2}"/>
    <hyperlink ref="D53" location="'5.1'!A1" display="5.1" xr:uid="{BADAFC6D-C705-4E5C-94A7-B9012537493C}"/>
    <hyperlink ref="D54" location="'5.2'!A1" display="5.2" xr:uid="{85218225-40E9-455C-8FA2-4E16348996F0}"/>
    <hyperlink ref="D55" location="'5.3'!A1" display="5.3" xr:uid="{0A1F5B5C-6041-4FD3-9E50-981480F016DF}"/>
    <hyperlink ref="D138" location="'11.1'!A1" display="11.1" xr:uid="{D807D6F6-D42E-47B1-A893-319C122ED474}"/>
    <hyperlink ref="D139" location="'11.2'!A1" display="11.2" xr:uid="{11E544E4-BDF9-4CF2-92AB-12B4F32E85B7}"/>
    <hyperlink ref="D140" location="'11.3'!A1" display="11.3" xr:uid="{0A74FBFA-FDD4-489D-B06A-407D424C3C89}"/>
    <hyperlink ref="D141" location="'11.4'!A1" display="11.4" xr:uid="{FE641885-FC7E-4A8A-BBE3-2A680EBFF317}"/>
    <hyperlink ref="D142" location="'11.5'!A1" display="11.5" xr:uid="{BE4D17B5-2EE8-487D-A8AA-B85975D104F7}"/>
    <hyperlink ref="D143" location="'11.6'!A1" display="11.6" xr:uid="{9C37D5E8-5525-412B-92CC-FB17FC1F5B62}"/>
  </hyperlinks>
  <printOptions horizontalCentered="1"/>
  <pageMargins left="0.25" right="0.25" top="0.75" bottom="0.75" header="0.3" footer="0.3"/>
  <pageSetup scale="44" orientation="portrait" horizontalDpi="300" verticalDpi="300" r:id="rId1"/>
  <headerFooter>
    <oddHeader xml:space="preserve">&amp;C&amp;"Verdana,Negrita"&amp;11Formulario 1 - Propuesta económica  - Licitación de obra pública de infraestructura social </oddHeader>
    <oddFooter xml:space="preserve">&amp;RVersión: 2 de xx de julio de2025 </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17C6A-7C38-4FB2-876D-2F5F22BBB0CE}">
  <dimension ref="A1:M63"/>
  <sheetViews>
    <sheetView showGridLines="0" view="pageBreakPreview" zoomScale="87" zoomScaleNormal="100" zoomScaleSheetLayoutView="87" zoomScalePageLayoutView="91" workbookViewId="0">
      <selection activeCell="C9" sqref="C9:K9"/>
    </sheetView>
  </sheetViews>
  <sheetFormatPr baseColWidth="10" defaultColWidth="11.44140625" defaultRowHeight="13.8"/>
  <cols>
    <col min="1" max="2" width="3.44140625" style="1" customWidth="1"/>
    <col min="3" max="3" width="7.5546875" style="1" customWidth="1"/>
    <col min="4" max="4" width="15.44140625" style="1" customWidth="1"/>
    <col min="5" max="5" width="16.109375" style="2" customWidth="1"/>
    <col min="6" max="6" width="17.44140625" style="1" customWidth="1"/>
    <col min="7" max="7" width="73.44140625" style="1" customWidth="1"/>
    <col min="8" max="8" width="8.5546875" style="1" customWidth="1"/>
    <col min="9" max="9" width="18.5546875" style="1" customWidth="1"/>
    <col min="10" max="10" width="23.5546875" style="1" customWidth="1"/>
    <col min="11" max="11" width="30" style="1" customWidth="1"/>
    <col min="12" max="12" width="3.44140625" style="1" customWidth="1"/>
    <col min="13" max="13" width="2.5546875" style="1" customWidth="1"/>
    <col min="14" max="16384" width="11.44140625" style="1"/>
  </cols>
  <sheetData>
    <row r="1" spans="1:13" ht="16.2" thickBot="1">
      <c r="A1" s="5"/>
      <c r="B1" s="5"/>
      <c r="C1" s="5"/>
      <c r="D1" s="5"/>
      <c r="E1" s="6"/>
      <c r="F1" s="5"/>
      <c r="G1" s="5"/>
      <c r="H1" s="5"/>
      <c r="I1" s="5"/>
      <c r="J1" s="5"/>
      <c r="K1" s="5"/>
      <c r="L1" s="5"/>
      <c r="M1" s="5"/>
    </row>
    <row r="2" spans="1:13" ht="16.2" thickTop="1">
      <c r="A2" s="5"/>
      <c r="B2" s="7"/>
      <c r="C2" s="223"/>
      <c r="D2" s="223"/>
      <c r="E2" s="224"/>
      <c r="F2" s="223"/>
      <c r="G2" s="223"/>
      <c r="H2" s="223"/>
      <c r="I2" s="223"/>
      <c r="J2" s="223"/>
      <c r="K2" s="223"/>
      <c r="L2" s="8"/>
      <c r="M2" s="5"/>
    </row>
    <row r="3" spans="1:13" ht="26.25" customHeight="1">
      <c r="A3" s="5"/>
      <c r="B3" s="9"/>
      <c r="C3" s="393" t="s">
        <v>0</v>
      </c>
      <c r="D3" s="394"/>
      <c r="E3" s="394"/>
      <c r="F3" s="394"/>
      <c r="G3" s="5"/>
      <c r="H3" s="5"/>
      <c r="I3" s="5"/>
      <c r="J3" s="5"/>
      <c r="K3" s="5"/>
      <c r="L3" s="10"/>
      <c r="M3" s="5"/>
    </row>
    <row r="4" spans="1:13" ht="15.6">
      <c r="A4" s="5"/>
      <c r="B4" s="9"/>
      <c r="C4" s="201"/>
      <c r="D4" s="202" t="s">
        <v>1</v>
      </c>
      <c r="E4" s="201"/>
      <c r="F4" s="202"/>
      <c r="G4" s="5"/>
      <c r="H4" s="5"/>
      <c r="I4" s="5"/>
      <c r="J4" s="5"/>
      <c r="K4" s="5"/>
      <c r="L4" s="10"/>
      <c r="M4" s="5"/>
    </row>
    <row r="5" spans="1:13" ht="15.6">
      <c r="A5" s="5"/>
      <c r="B5" s="9"/>
      <c r="C5" s="438" t="s">
        <v>31</v>
      </c>
      <c r="D5" s="438"/>
      <c r="E5" s="438"/>
      <c r="F5" s="438"/>
      <c r="G5" s="438"/>
      <c r="H5" s="438"/>
      <c r="I5" s="438"/>
      <c r="J5" s="438"/>
      <c r="K5" s="438"/>
      <c r="L5" s="10"/>
      <c r="M5" s="5"/>
    </row>
    <row r="6" spans="1:13" ht="16.2" thickBot="1">
      <c r="A6" s="5"/>
      <c r="B6" s="9"/>
      <c r="C6" s="439" t="s">
        <v>32</v>
      </c>
      <c r="D6" s="439"/>
      <c r="E6" s="439"/>
      <c r="F6" s="439"/>
      <c r="G6" s="439"/>
      <c r="H6" s="439"/>
      <c r="I6" s="439"/>
      <c r="J6" s="439"/>
      <c r="K6" s="439"/>
      <c r="L6" s="10"/>
      <c r="M6" s="5"/>
    </row>
    <row r="7" spans="1:13" s="20" customFormat="1" ht="16.5" customHeight="1">
      <c r="A7" s="19"/>
      <c r="B7" s="215"/>
      <c r="C7" s="440" t="s">
        <v>33</v>
      </c>
      <c r="D7" s="441"/>
      <c r="E7" s="441"/>
      <c r="F7" s="441"/>
      <c r="G7" s="441"/>
      <c r="H7" s="441"/>
      <c r="I7" s="441"/>
      <c r="J7" s="441"/>
      <c r="K7" s="442"/>
      <c r="L7" s="21"/>
      <c r="M7" s="19"/>
    </row>
    <row r="8" spans="1:13" ht="74.25" customHeight="1">
      <c r="A8" s="5"/>
      <c r="B8" s="216"/>
      <c r="C8" s="443"/>
      <c r="D8" s="444"/>
      <c r="E8" s="444"/>
      <c r="F8" s="444"/>
      <c r="G8" s="444"/>
      <c r="H8" s="444"/>
      <c r="I8" s="444"/>
      <c r="J8" s="444"/>
      <c r="K8" s="445"/>
      <c r="L8" s="10"/>
      <c r="M8" s="5"/>
    </row>
    <row r="9" spans="1:13" ht="34.5" customHeight="1">
      <c r="A9" s="5"/>
      <c r="B9" s="216"/>
      <c r="C9" s="446" t="s">
        <v>34</v>
      </c>
      <c r="D9" s="447"/>
      <c r="E9" s="447"/>
      <c r="F9" s="447"/>
      <c r="G9" s="447"/>
      <c r="H9" s="447"/>
      <c r="I9" s="447"/>
      <c r="J9" s="447"/>
      <c r="K9" s="448"/>
      <c r="L9" s="10"/>
      <c r="M9" s="5"/>
    </row>
    <row r="10" spans="1:13" ht="30" customHeight="1" thickBot="1">
      <c r="A10" s="5"/>
      <c r="B10" s="216"/>
      <c r="C10" s="449"/>
      <c r="D10" s="449"/>
      <c r="E10" s="449"/>
      <c r="F10" s="449"/>
      <c r="G10" s="449"/>
      <c r="H10" s="449"/>
      <c r="I10" s="449"/>
      <c r="J10" s="449"/>
      <c r="K10" s="450"/>
      <c r="L10" s="10"/>
      <c r="M10" s="5"/>
    </row>
    <row r="11" spans="1:13" ht="30" customHeight="1">
      <c r="A11" s="5"/>
      <c r="B11" s="9"/>
      <c r="C11" s="451" t="s">
        <v>4</v>
      </c>
      <c r="D11" s="453" t="s">
        <v>5</v>
      </c>
      <c r="E11" s="455" t="s">
        <v>6</v>
      </c>
      <c r="F11" s="455"/>
      <c r="G11" s="451" t="s">
        <v>7</v>
      </c>
      <c r="H11" s="453" t="s">
        <v>8</v>
      </c>
      <c r="I11" s="453" t="s">
        <v>9</v>
      </c>
      <c r="J11" s="456" t="s">
        <v>10</v>
      </c>
      <c r="K11" s="458" t="s">
        <v>11</v>
      </c>
      <c r="L11" s="10"/>
      <c r="M11" s="5"/>
    </row>
    <row r="12" spans="1:13" ht="30" customHeight="1" thickBot="1">
      <c r="A12" s="5"/>
      <c r="B12" s="9"/>
      <c r="C12" s="452"/>
      <c r="D12" s="454"/>
      <c r="E12" s="129" t="s">
        <v>12</v>
      </c>
      <c r="F12" s="129" t="s">
        <v>13</v>
      </c>
      <c r="G12" s="452"/>
      <c r="H12" s="454"/>
      <c r="I12" s="454"/>
      <c r="J12" s="457"/>
      <c r="K12" s="459"/>
      <c r="L12" s="10"/>
      <c r="M12" s="5"/>
    </row>
    <row r="13" spans="1:13" ht="30" customHeight="1" thickBot="1">
      <c r="A13" s="5"/>
      <c r="B13" s="9"/>
      <c r="C13" s="130"/>
      <c r="D13" s="131"/>
      <c r="E13" s="131"/>
      <c r="F13" s="131"/>
      <c r="G13" s="131"/>
      <c r="H13" s="131"/>
      <c r="I13" s="131"/>
      <c r="J13" s="131"/>
      <c r="K13" s="132"/>
      <c r="L13" s="10"/>
      <c r="M13" s="5"/>
    </row>
    <row r="14" spans="1:13" ht="30" customHeight="1">
      <c r="A14" s="5"/>
      <c r="B14" s="9"/>
      <c r="C14" s="133"/>
      <c r="D14" s="134"/>
      <c r="E14" s="134"/>
      <c r="F14" s="134"/>
      <c r="G14" s="135"/>
      <c r="H14" s="134"/>
      <c r="I14" s="136"/>
      <c r="J14" s="137"/>
      <c r="K14" s="138"/>
      <c r="L14" s="10"/>
      <c r="M14" s="5"/>
    </row>
    <row r="15" spans="1:13" ht="30" customHeight="1" thickBot="1">
      <c r="A15" s="5"/>
      <c r="B15" s="9"/>
      <c r="C15" s="139" t="s">
        <v>14</v>
      </c>
      <c r="D15" s="140"/>
      <c r="E15" s="140"/>
      <c r="F15" s="140"/>
      <c r="G15" s="141"/>
      <c r="H15" s="140"/>
      <c r="I15" s="136"/>
      <c r="J15" s="142"/>
      <c r="K15" s="143"/>
      <c r="L15" s="10"/>
      <c r="M15" s="5"/>
    </row>
    <row r="16" spans="1:13" ht="30" customHeight="1" thickBot="1">
      <c r="A16" s="5"/>
      <c r="B16" s="9"/>
      <c r="C16" s="130"/>
      <c r="D16" s="131"/>
      <c r="E16" s="131"/>
      <c r="F16" s="131"/>
      <c r="G16" s="131"/>
      <c r="H16" s="131"/>
      <c r="I16" s="131"/>
      <c r="J16" s="131"/>
      <c r="K16" s="132"/>
      <c r="L16" s="10"/>
      <c r="M16" s="5"/>
    </row>
    <row r="17" spans="1:13" ht="30" customHeight="1">
      <c r="A17" s="5"/>
      <c r="B17" s="9"/>
      <c r="C17" s="133"/>
      <c r="D17" s="134"/>
      <c r="E17" s="134"/>
      <c r="F17" s="134"/>
      <c r="G17" s="144"/>
      <c r="H17" s="134"/>
      <c r="I17" s="136"/>
      <c r="J17" s="137"/>
      <c r="K17" s="145"/>
      <c r="L17" s="10"/>
      <c r="M17" s="5"/>
    </row>
    <row r="18" spans="1:13" ht="30" customHeight="1">
      <c r="A18" s="5"/>
      <c r="B18" s="9"/>
      <c r="C18" s="133"/>
      <c r="D18" s="134"/>
      <c r="E18" s="134"/>
      <c r="F18" s="134"/>
      <c r="G18" s="144"/>
      <c r="H18" s="134"/>
      <c r="I18" s="136"/>
      <c r="J18" s="137"/>
      <c r="K18" s="145"/>
      <c r="L18" s="10"/>
      <c r="M18" s="5"/>
    </row>
    <row r="19" spans="1:13" s="5" customFormat="1" ht="30" customHeight="1">
      <c r="B19" s="9"/>
      <c r="C19" s="133"/>
      <c r="D19" s="146"/>
      <c r="E19" s="146"/>
      <c r="F19" s="146"/>
      <c r="G19" s="147"/>
      <c r="H19" s="146"/>
      <c r="I19" s="136"/>
      <c r="J19" s="137"/>
      <c r="K19" s="145"/>
      <c r="L19" s="10"/>
    </row>
    <row r="20" spans="1:13" ht="30" customHeight="1">
      <c r="B20" s="16"/>
      <c r="C20" s="133"/>
      <c r="D20" s="134"/>
      <c r="E20" s="134"/>
      <c r="F20" s="134"/>
      <c r="G20" s="144"/>
      <c r="H20" s="134"/>
      <c r="I20" s="136"/>
      <c r="J20" s="137"/>
      <c r="K20" s="145"/>
      <c r="L20" s="17"/>
    </row>
    <row r="21" spans="1:13" ht="30" customHeight="1" thickBot="1">
      <c r="A21" s="5"/>
      <c r="B21" s="9"/>
      <c r="C21" s="139" t="s">
        <v>14</v>
      </c>
      <c r="D21" s="148"/>
      <c r="E21" s="149"/>
      <c r="F21" s="148"/>
      <c r="G21" s="148"/>
      <c r="H21" s="148"/>
      <c r="I21" s="136"/>
      <c r="J21" s="148"/>
      <c r="K21" s="143"/>
      <c r="L21" s="10"/>
      <c r="M21" s="5"/>
    </row>
    <row r="22" spans="1:13" ht="30" customHeight="1" thickBot="1">
      <c r="A22" s="5"/>
      <c r="B22" s="9"/>
      <c r="C22" s="130"/>
      <c r="D22" s="131"/>
      <c r="E22" s="131"/>
      <c r="F22" s="131"/>
      <c r="G22" s="131"/>
      <c r="H22" s="131"/>
      <c r="I22" s="131"/>
      <c r="J22" s="131"/>
      <c r="K22" s="132"/>
      <c r="L22" s="10"/>
      <c r="M22" s="5"/>
    </row>
    <row r="23" spans="1:13" ht="30" customHeight="1">
      <c r="A23" s="5"/>
      <c r="B23" s="9"/>
      <c r="C23" s="133"/>
      <c r="D23" s="150"/>
      <c r="E23" s="150"/>
      <c r="F23" s="150"/>
      <c r="G23" s="151"/>
      <c r="H23" s="150"/>
      <c r="I23" s="136"/>
      <c r="J23" s="137"/>
      <c r="K23" s="145"/>
      <c r="L23" s="10"/>
      <c r="M23" s="5"/>
    </row>
    <row r="24" spans="1:13" ht="30" customHeight="1">
      <c r="A24" s="5"/>
      <c r="B24" s="9"/>
      <c r="C24" s="133"/>
      <c r="D24" s="152"/>
      <c r="E24" s="152"/>
      <c r="F24" s="152"/>
      <c r="G24" s="151"/>
      <c r="H24" s="150"/>
      <c r="I24" s="136"/>
      <c r="J24" s="137"/>
      <c r="K24" s="145"/>
      <c r="L24" s="10"/>
      <c r="M24" s="5"/>
    </row>
    <row r="25" spans="1:13" ht="30" customHeight="1">
      <c r="A25" s="5"/>
      <c r="B25" s="9"/>
      <c r="C25" s="133"/>
      <c r="D25" s="150"/>
      <c r="E25" s="150"/>
      <c r="F25" s="150"/>
      <c r="G25" s="151"/>
      <c r="H25" s="150"/>
      <c r="I25" s="136"/>
      <c r="J25" s="137"/>
      <c r="K25" s="145"/>
      <c r="L25" s="10"/>
      <c r="M25" s="5"/>
    </row>
    <row r="26" spans="1:13" s="5" customFormat="1" ht="30" customHeight="1">
      <c r="B26" s="9"/>
      <c r="C26" s="133"/>
      <c r="D26" s="146"/>
      <c r="E26" s="146"/>
      <c r="F26" s="146"/>
      <c r="G26" s="153"/>
      <c r="H26" s="146"/>
      <c r="I26" s="136"/>
      <c r="J26" s="137"/>
      <c r="K26" s="145"/>
      <c r="L26" s="10"/>
    </row>
    <row r="27" spans="1:13" ht="30" customHeight="1">
      <c r="A27" s="5"/>
      <c r="B27" s="9"/>
      <c r="C27" s="133"/>
      <c r="D27" s="150"/>
      <c r="E27" s="150"/>
      <c r="F27" s="150"/>
      <c r="G27" s="151"/>
      <c r="H27" s="150"/>
      <c r="I27" s="136"/>
      <c r="J27" s="154"/>
      <c r="K27" s="145"/>
      <c r="L27" s="10"/>
      <c r="M27" s="5"/>
    </row>
    <row r="28" spans="1:13" s="5" customFormat="1" ht="30" customHeight="1">
      <c r="B28" s="9"/>
      <c r="C28" s="155"/>
      <c r="D28" s="146"/>
      <c r="E28" s="146"/>
      <c r="F28" s="146"/>
      <c r="G28" s="153"/>
      <c r="H28" s="146"/>
      <c r="I28" s="136"/>
      <c r="J28" s="154"/>
      <c r="K28" s="145"/>
      <c r="L28" s="10"/>
    </row>
    <row r="29" spans="1:13" ht="30" customHeight="1">
      <c r="A29" s="5"/>
      <c r="B29" s="9"/>
      <c r="C29" s="133"/>
      <c r="D29" s="150"/>
      <c r="E29" s="134"/>
      <c r="F29" s="150"/>
      <c r="G29" s="151"/>
      <c r="H29" s="150"/>
      <c r="I29" s="136"/>
      <c r="J29" s="137"/>
      <c r="K29" s="145"/>
      <c r="L29" s="10"/>
      <c r="M29" s="5"/>
    </row>
    <row r="30" spans="1:13" ht="30" customHeight="1">
      <c r="A30" s="5"/>
      <c r="B30" s="9"/>
      <c r="C30" s="133"/>
      <c r="D30" s="150"/>
      <c r="E30" s="150"/>
      <c r="F30" s="150"/>
      <c r="G30" s="151"/>
      <c r="H30" s="156"/>
      <c r="I30" s="136"/>
      <c r="J30" s="137"/>
      <c r="K30" s="145"/>
      <c r="L30" s="10"/>
      <c r="M30" s="5"/>
    </row>
    <row r="31" spans="1:13" ht="30" customHeight="1" thickBot="1">
      <c r="A31" s="5"/>
      <c r="B31" s="9"/>
      <c r="C31" s="157" t="s">
        <v>14</v>
      </c>
      <c r="D31" s="158"/>
      <c r="E31" s="158"/>
      <c r="F31" s="158"/>
      <c r="G31" s="159"/>
      <c r="H31" s="158"/>
      <c r="I31" s="136"/>
      <c r="J31" s="160"/>
      <c r="K31" s="161"/>
      <c r="L31" s="10"/>
      <c r="M31" s="5"/>
    </row>
    <row r="32" spans="1:13" ht="30" customHeight="1" thickBot="1">
      <c r="A32" s="5"/>
      <c r="B32" s="9"/>
      <c r="C32" s="130"/>
      <c r="D32" s="131"/>
      <c r="E32" s="131"/>
      <c r="F32" s="131"/>
      <c r="G32" s="131"/>
      <c r="H32" s="131"/>
      <c r="I32" s="131"/>
      <c r="J32" s="131"/>
      <c r="K32" s="132"/>
      <c r="L32" s="10"/>
      <c r="M32" s="5"/>
    </row>
    <row r="33" spans="1:13" ht="30" customHeight="1">
      <c r="A33" s="5"/>
      <c r="B33" s="9"/>
      <c r="C33" s="133"/>
      <c r="D33" s="150"/>
      <c r="E33" s="150"/>
      <c r="F33" s="150"/>
      <c r="G33" s="151"/>
      <c r="H33" s="150"/>
      <c r="I33" s="136"/>
      <c r="J33" s="137"/>
      <c r="K33" s="145"/>
      <c r="L33" s="10"/>
      <c r="M33" s="5"/>
    </row>
    <row r="34" spans="1:13" ht="30" customHeight="1">
      <c r="A34" s="5"/>
      <c r="B34" s="9"/>
      <c r="C34" s="133"/>
      <c r="D34" s="150"/>
      <c r="E34" s="150"/>
      <c r="F34" s="150"/>
      <c r="G34" s="151"/>
      <c r="H34" s="150"/>
      <c r="I34" s="136"/>
      <c r="J34" s="137"/>
      <c r="K34" s="145"/>
      <c r="L34" s="10"/>
      <c r="M34" s="5"/>
    </row>
    <row r="35" spans="1:13" ht="30" customHeight="1">
      <c r="A35" s="5"/>
      <c r="B35" s="9"/>
      <c r="C35" s="162"/>
      <c r="D35" s="150"/>
      <c r="E35" s="150"/>
      <c r="F35" s="150"/>
      <c r="G35" s="151"/>
      <c r="H35" s="150"/>
      <c r="I35" s="136"/>
      <c r="J35" s="137"/>
      <c r="K35" s="145"/>
      <c r="L35" s="10"/>
      <c r="M35" s="5"/>
    </row>
    <row r="36" spans="1:13" ht="30" customHeight="1" thickBot="1">
      <c r="A36" s="5"/>
      <c r="B36" s="9"/>
      <c r="C36" s="139" t="s">
        <v>14</v>
      </c>
      <c r="D36" s="163"/>
      <c r="E36" s="163"/>
      <c r="F36" s="163"/>
      <c r="G36" s="164"/>
      <c r="H36" s="165"/>
      <c r="I36" s="136"/>
      <c r="J36" s="142"/>
      <c r="K36" s="143"/>
      <c r="L36" s="10"/>
      <c r="M36" s="5"/>
    </row>
    <row r="37" spans="1:13" ht="30" customHeight="1" thickBot="1">
      <c r="A37" s="5"/>
      <c r="B37" s="9"/>
      <c r="C37" s="130"/>
      <c r="D37" s="131"/>
      <c r="E37" s="131"/>
      <c r="F37" s="131"/>
      <c r="G37" s="131"/>
      <c r="H37" s="131"/>
      <c r="I37" s="131"/>
      <c r="J37" s="131"/>
      <c r="K37" s="132"/>
      <c r="L37" s="10"/>
      <c r="M37" s="5"/>
    </row>
    <row r="38" spans="1:13" ht="30" customHeight="1">
      <c r="A38" s="5"/>
      <c r="B38" s="9"/>
      <c r="C38" s="133"/>
      <c r="D38" s="150"/>
      <c r="E38" s="150"/>
      <c r="F38" s="150"/>
      <c r="G38" s="151"/>
      <c r="H38" s="150"/>
      <c r="I38" s="136"/>
      <c r="J38" s="137"/>
      <c r="K38" s="145"/>
      <c r="L38" s="10"/>
      <c r="M38" s="5"/>
    </row>
    <row r="39" spans="1:13" ht="30" customHeight="1" thickBot="1">
      <c r="A39" s="5"/>
      <c r="B39" s="9"/>
      <c r="C39" s="139" t="s">
        <v>14</v>
      </c>
      <c r="D39" s="163"/>
      <c r="E39" s="163"/>
      <c r="F39" s="163"/>
      <c r="G39" s="166"/>
      <c r="H39" s="165"/>
      <c r="I39" s="136"/>
      <c r="J39" s="142"/>
      <c r="K39" s="143"/>
      <c r="L39" s="10"/>
      <c r="M39" s="5"/>
    </row>
    <row r="40" spans="1:13" s="3" customFormat="1" ht="30" customHeight="1" thickBot="1">
      <c r="A40" s="11"/>
      <c r="B40" s="12"/>
      <c r="C40" s="460" t="s">
        <v>15</v>
      </c>
      <c r="D40" s="461"/>
      <c r="E40" s="461"/>
      <c r="F40" s="461"/>
      <c r="G40" s="461"/>
      <c r="H40" s="461"/>
      <c r="I40" s="461"/>
      <c r="J40" s="462"/>
      <c r="K40" s="167"/>
      <c r="L40" s="13"/>
      <c r="M40" s="11"/>
    </row>
    <row r="41" spans="1:13" s="3" customFormat="1" ht="16.2" thickBot="1">
      <c r="A41" s="11"/>
      <c r="B41" s="12"/>
      <c r="C41" s="168"/>
      <c r="D41" s="168"/>
      <c r="E41" s="168"/>
      <c r="F41" s="168"/>
      <c r="G41" s="168"/>
      <c r="H41" s="168"/>
      <c r="I41" s="168"/>
      <c r="J41" s="168"/>
      <c r="K41" s="169"/>
      <c r="L41" s="13"/>
      <c r="M41" s="11"/>
    </row>
    <row r="42" spans="1:13" s="3" customFormat="1" ht="30" customHeight="1">
      <c r="A42" s="11"/>
      <c r="B42" s="12"/>
      <c r="C42" s="170"/>
      <c r="D42" s="171"/>
      <c r="E42" s="170"/>
      <c r="F42" s="170"/>
      <c r="G42" s="432"/>
      <c r="H42" s="433"/>
      <c r="I42" s="434"/>
      <c r="J42" s="172"/>
      <c r="K42" s="173"/>
      <c r="L42" s="13"/>
      <c r="M42" s="11"/>
    </row>
    <row r="43" spans="1:13" s="3" customFormat="1" ht="30" customHeight="1">
      <c r="A43" s="11"/>
      <c r="B43" s="12"/>
      <c r="C43" s="170"/>
      <c r="D43" s="171"/>
      <c r="E43" s="170"/>
      <c r="F43" s="170"/>
      <c r="G43" s="174"/>
      <c r="H43" s="175"/>
      <c r="I43" s="176"/>
      <c r="J43" s="177"/>
      <c r="K43" s="178"/>
      <c r="L43" s="13"/>
      <c r="M43" s="11"/>
    </row>
    <row r="44" spans="1:13" s="3" customFormat="1" ht="30" customHeight="1">
      <c r="A44" s="11"/>
      <c r="B44" s="12"/>
      <c r="C44" s="170"/>
      <c r="D44" s="179"/>
      <c r="E44" s="179"/>
      <c r="F44" s="179"/>
      <c r="G44" s="174"/>
      <c r="H44" s="180"/>
      <c r="I44" s="181"/>
      <c r="J44" s="182"/>
      <c r="K44" s="178"/>
      <c r="L44" s="13"/>
      <c r="M44" s="11"/>
    </row>
    <row r="45" spans="1:13" s="3" customFormat="1" ht="30" customHeight="1">
      <c r="A45" s="11"/>
      <c r="B45" s="12"/>
      <c r="C45" s="170"/>
      <c r="D45" s="179"/>
      <c r="E45" s="179"/>
      <c r="F45" s="179"/>
      <c r="G45" s="183" t="s">
        <v>16</v>
      </c>
      <c r="H45" s="180"/>
      <c r="I45" s="181"/>
      <c r="J45" s="182"/>
      <c r="K45" s="184"/>
      <c r="L45" s="13"/>
      <c r="M45" s="11"/>
    </row>
    <row r="46" spans="1:13" s="3" customFormat="1" ht="30" customHeight="1">
      <c r="A46" s="11"/>
      <c r="B46" s="12"/>
      <c r="C46" s="170"/>
      <c r="D46" s="171"/>
      <c r="E46" s="170"/>
      <c r="F46" s="170"/>
      <c r="G46" s="185"/>
      <c r="H46" s="180"/>
      <c r="I46" s="181"/>
      <c r="J46" s="186"/>
      <c r="K46" s="178"/>
      <c r="L46" s="13"/>
      <c r="M46" s="11"/>
    </row>
    <row r="47" spans="1:13" s="3" customFormat="1" ht="30" customHeight="1">
      <c r="A47" s="11"/>
      <c r="B47" s="12"/>
      <c r="C47" s="170"/>
      <c r="D47" s="171"/>
      <c r="E47" s="170"/>
      <c r="F47" s="170"/>
      <c r="G47" s="185"/>
      <c r="H47" s="180"/>
      <c r="I47" s="181"/>
      <c r="J47" s="186"/>
      <c r="K47" s="178"/>
      <c r="L47" s="13"/>
      <c r="M47" s="11"/>
    </row>
    <row r="48" spans="1:13" s="3" customFormat="1" ht="30" customHeight="1" thickBot="1">
      <c r="A48" s="11"/>
      <c r="B48" s="12"/>
      <c r="C48" s="170"/>
      <c r="D48" s="171"/>
      <c r="E48" s="170"/>
      <c r="F48" s="170"/>
      <c r="G48" s="198"/>
      <c r="H48" s="180"/>
      <c r="I48" s="181"/>
      <c r="J48" s="186"/>
      <c r="K48" s="184"/>
      <c r="L48" s="13"/>
      <c r="M48" s="11"/>
    </row>
    <row r="49" spans="1:13" s="3" customFormat="1" ht="30" customHeight="1" thickBot="1">
      <c r="A49" s="11"/>
      <c r="B49" s="12"/>
      <c r="C49" s="170"/>
      <c r="D49" s="171"/>
      <c r="E49" s="170"/>
      <c r="F49" s="170"/>
      <c r="G49" s="187" t="s">
        <v>17</v>
      </c>
      <c r="H49" s="188"/>
      <c r="I49" s="189"/>
      <c r="J49" s="190"/>
      <c r="K49" s="167"/>
      <c r="L49" s="13"/>
      <c r="M49" s="11"/>
    </row>
    <row r="50" spans="1:13" s="3" customFormat="1" ht="16.2" thickBot="1">
      <c r="A50" s="11"/>
      <c r="B50" s="12"/>
      <c r="C50" s="170"/>
      <c r="D50" s="171"/>
      <c r="E50" s="171"/>
      <c r="F50" s="171"/>
      <c r="G50" s="170"/>
      <c r="H50" s="170"/>
      <c r="I50" s="191"/>
      <c r="J50" s="192"/>
      <c r="K50" s="193"/>
      <c r="L50" s="13"/>
      <c r="M50" s="11"/>
    </row>
    <row r="51" spans="1:13" s="3" customFormat="1" ht="15.6">
      <c r="A51" s="11"/>
      <c r="B51" s="12"/>
      <c r="C51" s="194"/>
      <c r="D51" s="436"/>
      <c r="E51" s="436"/>
      <c r="F51" s="436"/>
      <c r="G51" s="436"/>
      <c r="H51" s="436"/>
      <c r="I51" s="436"/>
      <c r="J51" s="436"/>
      <c r="K51" s="437"/>
      <c r="L51" s="14"/>
      <c r="M51" s="11"/>
    </row>
    <row r="52" spans="1:13" s="3" customFormat="1" ht="46.5" customHeight="1">
      <c r="A52" s="11"/>
      <c r="B52" s="12"/>
      <c r="C52" s="426" t="s">
        <v>35</v>
      </c>
      <c r="D52" s="427"/>
      <c r="E52" s="427"/>
      <c r="F52" s="427"/>
      <c r="G52" s="427"/>
      <c r="H52" s="435" t="s">
        <v>7</v>
      </c>
      <c r="I52" s="435"/>
      <c r="J52" s="435"/>
      <c r="K52" s="195" t="s">
        <v>20</v>
      </c>
      <c r="L52" s="15"/>
      <c r="M52" s="11"/>
    </row>
    <row r="53" spans="1:13" s="3" customFormat="1" ht="32.25" customHeight="1">
      <c r="A53" s="11"/>
      <c r="B53" s="12"/>
      <c r="C53" s="426" t="s">
        <v>36</v>
      </c>
      <c r="D53" s="427"/>
      <c r="E53" s="427"/>
      <c r="F53" s="427"/>
      <c r="G53" s="427"/>
      <c r="H53" s="431" t="s">
        <v>22</v>
      </c>
      <c r="I53" s="431"/>
      <c r="J53" s="196" t="s">
        <v>23</v>
      </c>
      <c r="K53" s="197" t="s">
        <v>37</v>
      </c>
      <c r="L53" s="211"/>
      <c r="M53" s="11"/>
    </row>
    <row r="54" spans="1:13" s="3" customFormat="1" ht="30" customHeight="1">
      <c r="A54" s="11"/>
      <c r="B54" s="12"/>
      <c r="C54" s="426" t="s">
        <v>38</v>
      </c>
      <c r="D54" s="427"/>
      <c r="E54" s="427"/>
      <c r="F54" s="427"/>
      <c r="G54" s="427"/>
      <c r="H54" s="428" t="s">
        <v>25</v>
      </c>
      <c r="I54" s="429"/>
      <c r="J54" s="196" t="s">
        <v>26</v>
      </c>
      <c r="K54" s="197" t="s">
        <v>37</v>
      </c>
      <c r="L54" s="15"/>
      <c r="M54" s="11"/>
    </row>
    <row r="55" spans="1:13" s="4" customFormat="1" ht="58.5" customHeight="1">
      <c r="A55" s="11"/>
      <c r="B55" s="12"/>
      <c r="C55" s="205"/>
      <c r="D55" s="206"/>
      <c r="E55" s="206"/>
      <c r="F55" s="206"/>
      <c r="G55" s="207"/>
      <c r="H55" s="430" t="s">
        <v>27</v>
      </c>
      <c r="I55" s="431"/>
      <c r="J55" s="196" t="s">
        <v>28</v>
      </c>
      <c r="K55" s="197" t="s">
        <v>37</v>
      </c>
      <c r="L55" s="13"/>
      <c r="M55" s="11"/>
    </row>
    <row r="56" spans="1:13" ht="57.75" customHeight="1">
      <c r="A56" s="5"/>
      <c r="B56" s="9"/>
      <c r="C56" s="208"/>
      <c r="D56" s="209"/>
      <c r="E56" s="209"/>
      <c r="F56" s="209"/>
      <c r="G56" s="210"/>
      <c r="H56" s="431" t="s">
        <v>29</v>
      </c>
      <c r="I56" s="431"/>
      <c r="J56" s="196" t="s">
        <v>30</v>
      </c>
      <c r="K56" s="197" t="s">
        <v>37</v>
      </c>
      <c r="L56" s="10"/>
      <c r="M56" s="5"/>
    </row>
    <row r="57" spans="1:13" ht="16.2" thickBot="1">
      <c r="A57" s="5"/>
      <c r="B57" s="9"/>
      <c r="C57" s="208"/>
      <c r="D57" s="213"/>
      <c r="E57" s="213"/>
      <c r="F57" s="209"/>
      <c r="G57" s="214"/>
      <c r="H57" s="424"/>
      <c r="I57" s="424"/>
      <c r="J57" s="424"/>
      <c r="K57" s="425"/>
      <c r="L57" s="10"/>
      <c r="M57" s="5"/>
    </row>
    <row r="58" spans="1:13" ht="47.25" customHeight="1">
      <c r="A58" s="5"/>
      <c r="B58" s="9"/>
      <c r="C58" s="212"/>
      <c r="D58" s="199"/>
      <c r="E58" s="199"/>
      <c r="F58" s="212"/>
      <c r="G58" s="199"/>
      <c r="H58" s="212"/>
      <c r="I58" s="212"/>
      <c r="J58" s="212"/>
      <c r="K58" s="212"/>
      <c r="L58" s="10"/>
      <c r="M58" s="5"/>
    </row>
    <row r="59" spans="1:13" ht="47.25" customHeight="1">
      <c r="A59" s="5"/>
      <c r="B59" s="9"/>
      <c r="C59" s="199"/>
      <c r="D59" s="199"/>
      <c r="E59" s="199"/>
      <c r="F59" s="199"/>
      <c r="G59" s="200" t="s">
        <v>39</v>
      </c>
      <c r="H59" s="199"/>
      <c r="I59" s="199"/>
      <c r="J59" s="199"/>
      <c r="K59" s="199"/>
      <c r="L59" s="10"/>
      <c r="M59" s="5"/>
    </row>
    <row r="60" spans="1:13" ht="16.2" thickBot="1">
      <c r="A60" s="5"/>
      <c r="B60" s="225"/>
      <c r="C60" s="226"/>
      <c r="D60" s="226"/>
      <c r="E60" s="227"/>
      <c r="F60" s="226"/>
      <c r="G60" s="228"/>
      <c r="H60" s="226"/>
      <c r="I60" s="226"/>
      <c r="J60" s="226"/>
      <c r="K60" s="226"/>
      <c r="L60" s="229"/>
      <c r="M60" s="5"/>
    </row>
    <row r="61" spans="1:13" ht="16.2" thickTop="1">
      <c r="A61" s="5"/>
      <c r="B61" s="5"/>
      <c r="C61" s="5"/>
      <c r="D61" s="5"/>
      <c r="E61" s="6"/>
      <c r="F61" s="5"/>
      <c r="G61" s="5"/>
      <c r="H61" s="5"/>
      <c r="I61" s="5"/>
      <c r="J61" s="5"/>
      <c r="K61" s="5"/>
      <c r="L61" s="5"/>
      <c r="M61" s="5"/>
    </row>
    <row r="63" spans="1:13">
      <c r="H63" s="22"/>
    </row>
  </sheetData>
  <mergeCells count="26">
    <mergeCell ref="C3:F3"/>
    <mergeCell ref="D51:K51"/>
    <mergeCell ref="C5:K5"/>
    <mergeCell ref="C6:K6"/>
    <mergeCell ref="C7:K8"/>
    <mergeCell ref="C9:K9"/>
    <mergeCell ref="C10:K10"/>
    <mergeCell ref="C11:C12"/>
    <mergeCell ref="D11:D12"/>
    <mergeCell ref="E11:F11"/>
    <mergeCell ref="G11:G12"/>
    <mergeCell ref="H11:H12"/>
    <mergeCell ref="I11:I12"/>
    <mergeCell ref="J11:J12"/>
    <mergeCell ref="K11:K12"/>
    <mergeCell ref="C40:J40"/>
    <mergeCell ref="G42:I42"/>
    <mergeCell ref="C52:G52"/>
    <mergeCell ref="H52:J52"/>
    <mergeCell ref="C53:G53"/>
    <mergeCell ref="H53:I53"/>
    <mergeCell ref="H57:K57"/>
    <mergeCell ref="C54:G54"/>
    <mergeCell ref="H54:I54"/>
    <mergeCell ref="H55:I55"/>
    <mergeCell ref="H56:I56"/>
  </mergeCells>
  <pageMargins left="0.11811023622047245" right="0.11811023622047245" top="0.15748031496062992" bottom="0.15748031496062992" header="0.31496062992125984" footer="0.31496062992125984"/>
  <pageSetup paperSize="9" scale="42" orientation="portrait"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1"/>
  <sheetViews>
    <sheetView showGridLines="0" view="pageBreakPreview" zoomScale="80" zoomScaleNormal="80" zoomScaleSheetLayoutView="80" workbookViewId="0">
      <selection activeCell="D12" sqref="D12:K13"/>
    </sheetView>
  </sheetViews>
  <sheetFormatPr baseColWidth="10" defaultColWidth="11.44140625" defaultRowHeight="13.8"/>
  <cols>
    <col min="1" max="2" width="3.44140625" style="18" customWidth="1"/>
    <col min="3" max="3" width="12.44140625" style="18" customWidth="1"/>
    <col min="4" max="4" width="18" style="18" customWidth="1"/>
    <col min="5" max="11" width="11.44140625" style="18"/>
    <col min="12" max="12" width="17.44140625" style="18" customWidth="1"/>
    <col min="13" max="14" width="11.44140625" style="18"/>
    <col min="15" max="15" width="20" style="18" customWidth="1"/>
    <col min="16" max="17" width="3.44140625" style="18" customWidth="1"/>
    <col min="18" max="16384" width="11.44140625" style="18"/>
  </cols>
  <sheetData>
    <row r="1" spans="2:16" ht="14.4" thickBot="1"/>
    <row r="2" spans="2:16" ht="14.4" thickTop="1">
      <c r="B2" s="23"/>
      <c r="C2" s="24"/>
      <c r="D2" s="24"/>
      <c r="E2" s="24"/>
      <c r="F2" s="24"/>
      <c r="G2" s="24"/>
      <c r="H2" s="24"/>
      <c r="I2" s="24"/>
      <c r="J2" s="24"/>
      <c r="K2" s="24"/>
      <c r="L2" s="24"/>
      <c r="M2" s="24"/>
      <c r="N2" s="24"/>
      <c r="O2" s="24"/>
      <c r="P2" s="230"/>
    </row>
    <row r="3" spans="2:16" ht="36.75" customHeight="1">
      <c r="B3" s="25"/>
      <c r="C3" s="560" t="s">
        <v>40</v>
      </c>
      <c r="D3" s="561"/>
      <c r="E3" s="561"/>
      <c r="F3" s="561"/>
      <c r="P3" s="26"/>
    </row>
    <row r="4" spans="2:16">
      <c r="B4" s="25"/>
      <c r="C4" s="203"/>
      <c r="D4" s="231" t="s">
        <v>41</v>
      </c>
      <c r="E4" s="203"/>
      <c r="F4" s="204"/>
      <c r="P4" s="26"/>
    </row>
    <row r="5" spans="2:16">
      <c r="B5" s="25"/>
      <c r="C5" s="127"/>
      <c r="D5" s="128"/>
      <c r="E5" s="127"/>
      <c r="F5" s="128"/>
      <c r="P5" s="26"/>
    </row>
    <row r="6" spans="2:16" ht="48" customHeight="1">
      <c r="B6" s="25"/>
      <c r="C6" s="562" t="s">
        <v>42</v>
      </c>
      <c r="D6" s="562"/>
      <c r="E6" s="562"/>
      <c r="F6" s="562"/>
      <c r="G6" s="562"/>
      <c r="H6" s="562"/>
      <c r="I6" s="562"/>
      <c r="J6" s="562"/>
      <c r="K6" s="562"/>
      <c r="L6" s="562"/>
      <c r="M6" s="562"/>
      <c r="N6" s="562"/>
      <c r="O6" s="562"/>
      <c r="P6" s="27"/>
    </row>
    <row r="7" spans="2:16" ht="15" thickBot="1">
      <c r="B7" s="25"/>
      <c r="C7" s="52"/>
      <c r="D7" s="52"/>
      <c r="E7" s="52"/>
      <c r="F7" s="52"/>
      <c r="G7" s="52"/>
      <c r="H7" s="52"/>
      <c r="I7" s="52"/>
      <c r="J7" s="52"/>
      <c r="K7" s="52"/>
      <c r="L7" s="52"/>
      <c r="M7" s="52"/>
      <c r="N7" s="52"/>
      <c r="O7" s="52"/>
      <c r="P7" s="26"/>
    </row>
    <row r="8" spans="2:16" ht="14.4">
      <c r="B8" s="25"/>
      <c r="C8" s="519"/>
      <c r="D8" s="521"/>
      <c r="E8" s="522"/>
      <c r="F8" s="522"/>
      <c r="G8" s="522"/>
      <c r="H8" s="522"/>
      <c r="I8" s="522"/>
      <c r="J8" s="522"/>
      <c r="K8" s="523"/>
      <c r="L8" s="534"/>
      <c r="M8" s="535"/>
      <c r="N8" s="535"/>
      <c r="O8" s="536"/>
      <c r="P8" s="28"/>
    </row>
    <row r="9" spans="2:16" ht="14.4">
      <c r="B9" s="25"/>
      <c r="C9" s="520"/>
      <c r="D9" s="524" t="s">
        <v>43</v>
      </c>
      <c r="E9" s="525"/>
      <c r="F9" s="525"/>
      <c r="G9" s="525"/>
      <c r="H9" s="525"/>
      <c r="I9" s="525"/>
      <c r="J9" s="525"/>
      <c r="K9" s="526"/>
      <c r="L9" s="537"/>
      <c r="M9" s="538"/>
      <c r="N9" s="538"/>
      <c r="O9" s="539"/>
      <c r="P9" s="28"/>
    </row>
    <row r="10" spans="2:16" ht="14.4">
      <c r="B10" s="25"/>
      <c r="C10" s="520"/>
      <c r="D10" s="524"/>
      <c r="E10" s="525"/>
      <c r="F10" s="525"/>
      <c r="G10" s="525"/>
      <c r="H10" s="525"/>
      <c r="I10" s="525"/>
      <c r="J10" s="525"/>
      <c r="K10" s="526"/>
      <c r="L10" s="527" t="s">
        <v>44</v>
      </c>
      <c r="M10" s="540"/>
      <c r="N10" s="541"/>
      <c r="O10" s="542"/>
      <c r="P10" s="28"/>
    </row>
    <row r="11" spans="2:16" ht="14.4">
      <c r="B11" s="25"/>
      <c r="C11" s="520"/>
      <c r="D11" s="524" t="s">
        <v>45</v>
      </c>
      <c r="E11" s="525"/>
      <c r="F11" s="525"/>
      <c r="G11" s="525"/>
      <c r="H11" s="525"/>
      <c r="I11" s="525"/>
      <c r="J11" s="525"/>
      <c r="K11" s="526"/>
      <c r="L11" s="528"/>
      <c r="M11" s="543"/>
      <c r="N11" s="544"/>
      <c r="O11" s="545"/>
      <c r="P11" s="29"/>
    </row>
    <row r="12" spans="2:16" ht="12.75" customHeight="1">
      <c r="B12" s="25"/>
      <c r="C12" s="520"/>
      <c r="D12" s="563"/>
      <c r="E12" s="564"/>
      <c r="F12" s="564"/>
      <c r="G12" s="564"/>
      <c r="H12" s="564"/>
      <c r="I12" s="564"/>
      <c r="J12" s="564"/>
      <c r="K12" s="565"/>
      <c r="L12" s="527" t="s">
        <v>46</v>
      </c>
      <c r="M12" s="527">
        <v>1</v>
      </c>
      <c r="N12" s="527" t="s">
        <v>47</v>
      </c>
      <c r="O12" s="532">
        <v>1</v>
      </c>
      <c r="P12" s="28"/>
    </row>
    <row r="13" spans="2:16">
      <c r="B13" s="25"/>
      <c r="C13" s="520"/>
      <c r="D13" s="563"/>
      <c r="E13" s="564"/>
      <c r="F13" s="564"/>
      <c r="G13" s="564"/>
      <c r="H13" s="564"/>
      <c r="I13" s="564"/>
      <c r="J13" s="564"/>
      <c r="K13" s="565"/>
      <c r="L13" s="546"/>
      <c r="M13" s="546"/>
      <c r="N13" s="546"/>
      <c r="O13" s="533"/>
      <c r="P13" s="28"/>
    </row>
    <row r="14" spans="2:16" ht="14.4">
      <c r="B14" s="25"/>
      <c r="C14" s="520"/>
      <c r="D14" s="524" t="s">
        <v>48</v>
      </c>
      <c r="E14" s="525"/>
      <c r="F14" s="525"/>
      <c r="G14" s="525"/>
      <c r="H14" s="525"/>
      <c r="I14" s="525"/>
      <c r="J14" s="525"/>
      <c r="K14" s="526"/>
      <c r="L14" s="546"/>
      <c r="M14" s="546"/>
      <c r="N14" s="546"/>
      <c r="O14" s="533"/>
      <c r="P14" s="28"/>
    </row>
    <row r="15" spans="2:16" ht="15" thickBot="1">
      <c r="B15" s="25"/>
      <c r="C15" s="53"/>
      <c r="D15" s="54"/>
      <c r="E15" s="54"/>
      <c r="F15" s="54"/>
      <c r="G15" s="54"/>
      <c r="H15" s="54"/>
      <c r="I15" s="54"/>
      <c r="J15" s="54"/>
      <c r="K15" s="54"/>
      <c r="L15" s="54"/>
      <c r="M15" s="55"/>
      <c r="N15" s="55"/>
      <c r="O15" s="56"/>
      <c r="P15" s="30"/>
    </row>
    <row r="16" spans="2:16" ht="14.4">
      <c r="B16" s="25"/>
      <c r="C16" s="57"/>
      <c r="D16" s="219"/>
      <c r="E16" s="219"/>
      <c r="F16" s="219"/>
      <c r="G16" s="219"/>
      <c r="H16" s="219"/>
      <c r="I16" s="219"/>
      <c r="J16" s="219"/>
      <c r="K16" s="219"/>
      <c r="L16" s="58" t="s">
        <v>49</v>
      </c>
      <c r="M16" s="59" t="s">
        <v>50</v>
      </c>
      <c r="N16" s="59" t="s">
        <v>51</v>
      </c>
      <c r="O16" s="60" t="s">
        <v>52</v>
      </c>
      <c r="P16" s="29"/>
    </row>
    <row r="17" spans="2:16" ht="14.4">
      <c r="B17" s="25"/>
      <c r="C17" s="61"/>
      <c r="D17" s="217"/>
      <c r="E17" s="217"/>
      <c r="F17" s="217"/>
      <c r="G17" s="217"/>
      <c r="H17" s="217"/>
      <c r="I17" s="217"/>
      <c r="J17" s="217"/>
      <c r="K17" s="217"/>
      <c r="L17" s="62"/>
      <c r="M17" s="63"/>
      <c r="N17" s="63"/>
      <c r="O17" s="64"/>
      <c r="P17" s="31"/>
    </row>
    <row r="18" spans="2:16" ht="18" customHeight="1">
      <c r="B18" s="25"/>
      <c r="C18" s="467" t="s">
        <v>53</v>
      </c>
      <c r="D18" s="468"/>
      <c r="E18" s="468"/>
      <c r="F18" s="468"/>
      <c r="G18" s="217"/>
      <c r="H18" s="217"/>
      <c r="I18" s="217" t="s">
        <v>54</v>
      </c>
      <c r="J18" s="52"/>
      <c r="K18" s="217"/>
      <c r="L18" s="62"/>
      <c r="M18" s="52"/>
      <c r="N18" s="52"/>
      <c r="O18" s="65"/>
      <c r="P18" s="31"/>
    </row>
    <row r="19" spans="2:16" ht="14.4">
      <c r="B19" s="25"/>
      <c r="C19" s="66"/>
      <c r="D19" s="67"/>
      <c r="E19" s="67"/>
      <c r="F19" s="67"/>
      <c r="G19" s="67"/>
      <c r="H19" s="67"/>
      <c r="I19" s="67"/>
      <c r="J19" s="67"/>
      <c r="K19" s="67"/>
      <c r="L19" s="67"/>
      <c r="M19" s="67"/>
      <c r="N19" s="67"/>
      <c r="O19" s="68"/>
      <c r="P19" s="32"/>
    </row>
    <row r="20" spans="2:16" ht="15" thickBot="1">
      <c r="B20" s="25"/>
      <c r="C20" s="69"/>
      <c r="D20" s="70"/>
      <c r="E20" s="70"/>
      <c r="F20" s="70"/>
      <c r="G20" s="70"/>
      <c r="H20" s="70"/>
      <c r="I20" s="70"/>
      <c r="J20" s="70"/>
      <c r="K20" s="70"/>
      <c r="L20" s="70"/>
      <c r="M20" s="70"/>
      <c r="N20" s="70"/>
      <c r="O20" s="71"/>
      <c r="P20" s="26"/>
    </row>
    <row r="21" spans="2:16" ht="15" thickBot="1">
      <c r="B21" s="25"/>
      <c r="C21" s="72"/>
      <c r="D21" s="73"/>
      <c r="E21" s="73"/>
      <c r="F21" s="73"/>
      <c r="G21" s="73"/>
      <c r="H21" s="73"/>
      <c r="I21" s="52"/>
      <c r="J21" s="52"/>
      <c r="K21" s="73"/>
      <c r="L21" s="73"/>
      <c r="M21" s="73"/>
      <c r="N21" s="73"/>
      <c r="O21" s="74"/>
      <c r="P21" s="26"/>
    </row>
    <row r="22" spans="2:16" ht="14.4">
      <c r="B22" s="25"/>
      <c r="C22" s="549" t="s">
        <v>55</v>
      </c>
      <c r="D22" s="550"/>
      <c r="E22" s="550"/>
      <c r="F22" s="550"/>
      <c r="G22" s="550"/>
      <c r="H22" s="550"/>
      <c r="I22" s="550"/>
      <c r="J22" s="550"/>
      <c r="K22" s="550"/>
      <c r="L22" s="550"/>
      <c r="M22" s="550"/>
      <c r="N22" s="550"/>
      <c r="O22" s="551"/>
      <c r="P22" s="33"/>
    </row>
    <row r="23" spans="2:16" ht="15" thickBot="1">
      <c r="B23" s="25"/>
      <c r="C23" s="75"/>
      <c r="D23" s="52"/>
      <c r="E23" s="52"/>
      <c r="F23" s="52"/>
      <c r="G23" s="52"/>
      <c r="H23" s="52"/>
      <c r="I23" s="52"/>
      <c r="J23" s="52"/>
      <c r="K23" s="52"/>
      <c r="L23" s="52"/>
      <c r="M23" s="52"/>
      <c r="N23" s="52"/>
      <c r="O23" s="76"/>
      <c r="P23" s="26"/>
    </row>
    <row r="24" spans="2:16">
      <c r="B24" s="25"/>
      <c r="C24" s="77" t="s">
        <v>56</v>
      </c>
      <c r="D24" s="529" t="s">
        <v>7</v>
      </c>
      <c r="E24" s="530"/>
      <c r="F24" s="530"/>
      <c r="G24" s="530"/>
      <c r="H24" s="530"/>
      <c r="I24" s="530"/>
      <c r="J24" s="530"/>
      <c r="K24" s="530"/>
      <c r="L24" s="531"/>
      <c r="M24" s="547" t="s">
        <v>57</v>
      </c>
      <c r="N24" s="548"/>
      <c r="O24" s="77" t="s">
        <v>9</v>
      </c>
      <c r="P24" s="34"/>
    </row>
    <row r="25" spans="2:16" ht="14.4" thickBot="1">
      <c r="B25" s="25"/>
      <c r="C25" s="78"/>
      <c r="D25" s="503"/>
      <c r="E25" s="504"/>
      <c r="F25" s="504"/>
      <c r="G25" s="504"/>
      <c r="H25" s="504"/>
      <c r="I25" s="504"/>
      <c r="J25" s="504"/>
      <c r="K25" s="504"/>
      <c r="L25" s="505"/>
      <c r="M25" s="503"/>
      <c r="N25" s="505"/>
      <c r="O25" s="79"/>
      <c r="P25" s="35"/>
    </row>
    <row r="26" spans="2:16">
      <c r="B26" s="25"/>
      <c r="C26" s="506" t="s">
        <v>58</v>
      </c>
      <c r="D26" s="507"/>
      <c r="E26" s="507"/>
      <c r="F26" s="507"/>
      <c r="G26" s="507"/>
      <c r="H26" s="507"/>
      <c r="I26" s="507"/>
      <c r="J26" s="507"/>
      <c r="K26" s="507"/>
      <c r="L26" s="507"/>
      <c r="M26" s="507"/>
      <c r="N26" s="507"/>
      <c r="O26" s="508"/>
      <c r="P26" s="36"/>
    </row>
    <row r="27" spans="2:16">
      <c r="B27" s="25"/>
      <c r="C27" s="509"/>
      <c r="D27" s="510"/>
      <c r="E27" s="510"/>
      <c r="F27" s="510"/>
      <c r="G27" s="510"/>
      <c r="H27" s="510"/>
      <c r="I27" s="510"/>
      <c r="J27" s="510"/>
      <c r="K27" s="510"/>
      <c r="L27" s="510"/>
      <c r="M27" s="510"/>
      <c r="N27" s="510"/>
      <c r="O27" s="511"/>
      <c r="P27" s="36"/>
    </row>
    <row r="28" spans="2:16" ht="14.4" thickBot="1">
      <c r="B28" s="25"/>
      <c r="C28" s="512"/>
      <c r="D28" s="513"/>
      <c r="E28" s="513"/>
      <c r="F28" s="513"/>
      <c r="G28" s="513"/>
      <c r="H28" s="513"/>
      <c r="I28" s="513"/>
      <c r="J28" s="513"/>
      <c r="K28" s="513"/>
      <c r="L28" s="513"/>
      <c r="M28" s="513"/>
      <c r="N28" s="513"/>
      <c r="O28" s="514"/>
      <c r="P28" s="36"/>
    </row>
    <row r="29" spans="2:16" ht="14.4">
      <c r="B29" s="25"/>
      <c r="C29" s="491" t="s">
        <v>7</v>
      </c>
      <c r="D29" s="558"/>
      <c r="E29" s="558"/>
      <c r="F29" s="558"/>
      <c r="G29" s="559"/>
      <c r="H29" s="497" t="s">
        <v>59</v>
      </c>
      <c r="I29" s="558"/>
      <c r="J29" s="501" t="s">
        <v>60</v>
      </c>
      <c r="K29" s="502"/>
      <c r="L29" s="80" t="s">
        <v>61</v>
      </c>
      <c r="M29" s="497" t="s">
        <v>62</v>
      </c>
      <c r="N29" s="498"/>
      <c r="O29" s="81" t="s">
        <v>63</v>
      </c>
      <c r="P29" s="37"/>
    </row>
    <row r="30" spans="2:16" ht="14.4">
      <c r="B30" s="25"/>
      <c r="C30" s="475"/>
      <c r="D30" s="476"/>
      <c r="E30" s="476"/>
      <c r="F30" s="476"/>
      <c r="G30" s="552"/>
      <c r="H30" s="553"/>
      <c r="I30" s="552"/>
      <c r="J30" s="553"/>
      <c r="K30" s="552"/>
      <c r="L30" s="82"/>
      <c r="M30" s="554"/>
      <c r="N30" s="555"/>
      <c r="O30" s="83"/>
      <c r="P30" s="38"/>
    </row>
    <row r="31" spans="2:16" ht="14.4">
      <c r="B31" s="25"/>
      <c r="C31" s="84"/>
      <c r="D31" s="85"/>
      <c r="E31" s="85"/>
      <c r="F31" s="85"/>
      <c r="G31" s="86"/>
      <c r="H31" s="87"/>
      <c r="I31" s="86"/>
      <c r="J31" s="87"/>
      <c r="K31" s="86"/>
      <c r="L31" s="82"/>
      <c r="M31" s="554"/>
      <c r="N31" s="555"/>
      <c r="O31" s="83"/>
      <c r="P31" s="38"/>
    </row>
    <row r="32" spans="2:16" ht="15" thickBot="1">
      <c r="B32" s="25"/>
      <c r="C32" s="487"/>
      <c r="D32" s="488"/>
      <c r="E32" s="488"/>
      <c r="F32" s="488"/>
      <c r="G32" s="515"/>
      <c r="H32" s="516"/>
      <c r="I32" s="515"/>
      <c r="J32" s="516"/>
      <c r="K32" s="515"/>
      <c r="L32" s="88"/>
      <c r="M32" s="517"/>
      <c r="N32" s="518"/>
      <c r="O32" s="83"/>
      <c r="P32" s="38"/>
    </row>
    <row r="33" spans="2:16" ht="15" thickBot="1">
      <c r="B33" s="25"/>
      <c r="C33" s="481" t="s">
        <v>64</v>
      </c>
      <c r="D33" s="482"/>
      <c r="E33" s="482"/>
      <c r="F33" s="482"/>
      <c r="G33" s="482"/>
      <c r="H33" s="482"/>
      <c r="I33" s="482"/>
      <c r="J33" s="482"/>
      <c r="K33" s="482"/>
      <c r="L33" s="482"/>
      <c r="M33" s="482"/>
      <c r="N33" s="483"/>
      <c r="O33" s="89"/>
      <c r="P33" s="39"/>
    </row>
    <row r="34" spans="2:16" ht="13.5" customHeight="1">
      <c r="B34" s="25"/>
      <c r="C34" s="506" t="s">
        <v>65</v>
      </c>
      <c r="D34" s="507"/>
      <c r="E34" s="507"/>
      <c r="F34" s="507"/>
      <c r="G34" s="507"/>
      <c r="H34" s="507"/>
      <c r="I34" s="507"/>
      <c r="J34" s="507"/>
      <c r="K34" s="507"/>
      <c r="L34" s="507"/>
      <c r="M34" s="507"/>
      <c r="N34" s="507"/>
      <c r="O34" s="508"/>
      <c r="P34" s="36"/>
    </row>
    <row r="35" spans="2:16">
      <c r="B35" s="25"/>
      <c r="C35" s="509"/>
      <c r="D35" s="510"/>
      <c r="E35" s="510"/>
      <c r="F35" s="510"/>
      <c r="G35" s="510"/>
      <c r="H35" s="510"/>
      <c r="I35" s="510"/>
      <c r="J35" s="510"/>
      <c r="K35" s="510"/>
      <c r="L35" s="510"/>
      <c r="M35" s="510"/>
      <c r="N35" s="510"/>
      <c r="O35" s="511"/>
      <c r="P35" s="36"/>
    </row>
    <row r="36" spans="2:16" ht="14.4" thickBot="1">
      <c r="B36" s="25"/>
      <c r="C36" s="512"/>
      <c r="D36" s="513"/>
      <c r="E36" s="513"/>
      <c r="F36" s="513"/>
      <c r="G36" s="513"/>
      <c r="H36" s="513"/>
      <c r="I36" s="513"/>
      <c r="J36" s="513"/>
      <c r="K36" s="513"/>
      <c r="L36" s="513"/>
      <c r="M36" s="513"/>
      <c r="N36" s="513"/>
      <c r="O36" s="514"/>
      <c r="P36" s="36"/>
    </row>
    <row r="37" spans="2:16" ht="14.4">
      <c r="B37" s="25"/>
      <c r="C37" s="491" t="s">
        <v>7</v>
      </c>
      <c r="D37" s="492"/>
      <c r="E37" s="492"/>
      <c r="F37" s="492"/>
      <c r="G37" s="492"/>
      <c r="H37" s="492"/>
      <c r="I37" s="492"/>
      <c r="J37" s="498"/>
      <c r="K37" s="218" t="s">
        <v>57</v>
      </c>
      <c r="L37" s="80" t="s">
        <v>9</v>
      </c>
      <c r="M37" s="497" t="s">
        <v>66</v>
      </c>
      <c r="N37" s="498"/>
      <c r="O37" s="81" t="s">
        <v>63</v>
      </c>
      <c r="P37" s="37"/>
    </row>
    <row r="38" spans="2:16" ht="14.4">
      <c r="B38" s="25"/>
      <c r="C38" s="475"/>
      <c r="D38" s="476"/>
      <c r="E38" s="476"/>
      <c r="F38" s="476"/>
      <c r="G38" s="476"/>
      <c r="H38" s="476"/>
      <c r="I38" s="476"/>
      <c r="J38" s="552"/>
      <c r="K38" s="222"/>
      <c r="L38" s="90"/>
      <c r="M38" s="556"/>
      <c r="N38" s="557"/>
      <c r="O38" s="83"/>
      <c r="P38" s="38"/>
    </row>
    <row r="39" spans="2:16" ht="15" thickBot="1">
      <c r="B39" s="25"/>
      <c r="C39" s="487"/>
      <c r="D39" s="488"/>
      <c r="E39" s="488"/>
      <c r="F39" s="488"/>
      <c r="G39" s="488"/>
      <c r="H39" s="488"/>
      <c r="I39" s="488"/>
      <c r="J39" s="515"/>
      <c r="K39" s="85"/>
      <c r="L39" s="91"/>
      <c r="M39" s="489"/>
      <c r="N39" s="490"/>
      <c r="O39" s="92"/>
      <c r="P39" s="38"/>
    </row>
    <row r="40" spans="2:16" ht="15" thickBot="1">
      <c r="B40" s="25"/>
      <c r="C40" s="481" t="s">
        <v>64</v>
      </c>
      <c r="D40" s="482"/>
      <c r="E40" s="482"/>
      <c r="F40" s="482"/>
      <c r="G40" s="482"/>
      <c r="H40" s="482"/>
      <c r="I40" s="482"/>
      <c r="J40" s="482"/>
      <c r="K40" s="482"/>
      <c r="L40" s="482"/>
      <c r="M40" s="482"/>
      <c r="N40" s="483"/>
      <c r="O40" s="93">
        <v>0</v>
      </c>
      <c r="P40" s="38"/>
    </row>
    <row r="41" spans="2:16">
      <c r="B41" s="25"/>
      <c r="C41" s="506" t="s">
        <v>67</v>
      </c>
      <c r="D41" s="507"/>
      <c r="E41" s="507"/>
      <c r="F41" s="507"/>
      <c r="G41" s="507"/>
      <c r="H41" s="507"/>
      <c r="I41" s="507"/>
      <c r="J41" s="507"/>
      <c r="K41" s="507"/>
      <c r="L41" s="507"/>
      <c r="M41" s="507"/>
      <c r="N41" s="507"/>
      <c r="O41" s="508"/>
      <c r="P41" s="36"/>
    </row>
    <row r="42" spans="2:16">
      <c r="B42" s="25"/>
      <c r="C42" s="509"/>
      <c r="D42" s="510"/>
      <c r="E42" s="510"/>
      <c r="F42" s="510"/>
      <c r="G42" s="510"/>
      <c r="H42" s="510"/>
      <c r="I42" s="510"/>
      <c r="J42" s="510"/>
      <c r="K42" s="510"/>
      <c r="L42" s="510"/>
      <c r="M42" s="510"/>
      <c r="N42" s="510"/>
      <c r="O42" s="511"/>
      <c r="P42" s="36"/>
    </row>
    <row r="43" spans="2:16" ht="14.4" thickBot="1">
      <c r="B43" s="25"/>
      <c r="C43" s="512"/>
      <c r="D43" s="513"/>
      <c r="E43" s="513"/>
      <c r="F43" s="513"/>
      <c r="G43" s="513"/>
      <c r="H43" s="513"/>
      <c r="I43" s="513"/>
      <c r="J43" s="513"/>
      <c r="K43" s="513"/>
      <c r="L43" s="513"/>
      <c r="M43" s="513"/>
      <c r="N43" s="513"/>
      <c r="O43" s="514"/>
      <c r="P43" s="36"/>
    </row>
    <row r="44" spans="2:16" ht="16.8">
      <c r="B44" s="25"/>
      <c r="C44" s="491" t="s">
        <v>68</v>
      </c>
      <c r="D44" s="492"/>
      <c r="E44" s="492"/>
      <c r="F44" s="492"/>
      <c r="G44" s="492"/>
      <c r="H44" s="492"/>
      <c r="I44" s="492"/>
      <c r="J44" s="80" t="s">
        <v>69</v>
      </c>
      <c r="K44" s="220" t="s">
        <v>70</v>
      </c>
      <c r="L44" s="94" t="s">
        <v>71</v>
      </c>
      <c r="M44" s="497" t="s">
        <v>72</v>
      </c>
      <c r="N44" s="498"/>
      <c r="O44" s="81" t="s">
        <v>63</v>
      </c>
      <c r="P44" s="37"/>
    </row>
    <row r="45" spans="2:16" ht="14.4">
      <c r="B45" s="25"/>
      <c r="C45" s="475"/>
      <c r="D45" s="476"/>
      <c r="E45" s="476"/>
      <c r="F45" s="476"/>
      <c r="G45" s="476"/>
      <c r="H45" s="476"/>
      <c r="I45" s="476"/>
      <c r="J45" s="95"/>
      <c r="K45" s="96"/>
      <c r="L45" s="95"/>
      <c r="M45" s="495"/>
      <c r="N45" s="496"/>
      <c r="O45" s="83"/>
      <c r="P45" s="38"/>
    </row>
    <row r="46" spans="2:16" ht="15" thickBot="1">
      <c r="B46" s="25"/>
      <c r="C46" s="487"/>
      <c r="D46" s="488"/>
      <c r="E46" s="488"/>
      <c r="F46" s="488"/>
      <c r="G46" s="488"/>
      <c r="H46" s="488"/>
      <c r="I46" s="488"/>
      <c r="J46" s="97"/>
      <c r="K46" s="98"/>
      <c r="L46" s="97"/>
      <c r="M46" s="489"/>
      <c r="N46" s="490"/>
      <c r="O46" s="99"/>
      <c r="P46" s="38"/>
    </row>
    <row r="47" spans="2:16" ht="15" thickBot="1">
      <c r="B47" s="25"/>
      <c r="C47" s="481" t="s">
        <v>64</v>
      </c>
      <c r="D47" s="482"/>
      <c r="E47" s="482"/>
      <c r="F47" s="482"/>
      <c r="G47" s="482"/>
      <c r="H47" s="482"/>
      <c r="I47" s="482"/>
      <c r="J47" s="482"/>
      <c r="K47" s="482"/>
      <c r="L47" s="482"/>
      <c r="M47" s="482"/>
      <c r="N47" s="483"/>
      <c r="O47" s="89"/>
      <c r="P47" s="39"/>
    </row>
    <row r="48" spans="2:16">
      <c r="B48" s="25"/>
      <c r="C48" s="506" t="s">
        <v>73</v>
      </c>
      <c r="D48" s="507"/>
      <c r="E48" s="507"/>
      <c r="F48" s="507"/>
      <c r="G48" s="507"/>
      <c r="H48" s="507"/>
      <c r="I48" s="507"/>
      <c r="J48" s="507"/>
      <c r="K48" s="507"/>
      <c r="L48" s="507"/>
      <c r="M48" s="507"/>
      <c r="N48" s="507"/>
      <c r="O48" s="508"/>
      <c r="P48" s="36"/>
    </row>
    <row r="49" spans="2:16">
      <c r="B49" s="25"/>
      <c r="C49" s="509"/>
      <c r="D49" s="510"/>
      <c r="E49" s="510"/>
      <c r="F49" s="510"/>
      <c r="G49" s="510"/>
      <c r="H49" s="510"/>
      <c r="I49" s="510"/>
      <c r="J49" s="510"/>
      <c r="K49" s="510"/>
      <c r="L49" s="510"/>
      <c r="M49" s="510"/>
      <c r="N49" s="510"/>
      <c r="O49" s="511"/>
      <c r="P49" s="36"/>
    </row>
    <row r="50" spans="2:16" ht="14.4" thickBot="1">
      <c r="B50" s="25"/>
      <c r="C50" s="512"/>
      <c r="D50" s="513"/>
      <c r="E50" s="513"/>
      <c r="F50" s="513"/>
      <c r="G50" s="513"/>
      <c r="H50" s="513"/>
      <c r="I50" s="513"/>
      <c r="J50" s="513"/>
      <c r="K50" s="513"/>
      <c r="L50" s="513"/>
      <c r="M50" s="513"/>
      <c r="N50" s="513"/>
      <c r="O50" s="514"/>
      <c r="P50" s="36"/>
    </row>
    <row r="51" spans="2:16" ht="28.2">
      <c r="B51" s="25"/>
      <c r="C51" s="491" t="s">
        <v>74</v>
      </c>
      <c r="D51" s="492"/>
      <c r="E51" s="492"/>
      <c r="F51" s="492"/>
      <c r="G51" s="492"/>
      <c r="H51" s="492"/>
      <c r="I51" s="492"/>
      <c r="J51" s="80" t="s">
        <v>75</v>
      </c>
      <c r="K51" s="100" t="s">
        <v>76</v>
      </c>
      <c r="L51" s="101" t="s">
        <v>77</v>
      </c>
      <c r="M51" s="493" t="s">
        <v>62</v>
      </c>
      <c r="N51" s="494"/>
      <c r="O51" s="102" t="s">
        <v>63</v>
      </c>
      <c r="P51" s="40"/>
    </row>
    <row r="52" spans="2:16" ht="14.4">
      <c r="B52" s="25"/>
      <c r="C52" s="103"/>
      <c r="D52" s="104"/>
      <c r="E52" s="104"/>
      <c r="F52" s="104"/>
      <c r="G52" s="104"/>
      <c r="H52" s="104"/>
      <c r="I52" s="104"/>
      <c r="J52" s="105"/>
      <c r="K52" s="106"/>
      <c r="L52" s="107"/>
      <c r="M52" s="499"/>
      <c r="N52" s="500"/>
      <c r="O52" s="108"/>
      <c r="P52" s="41"/>
    </row>
    <row r="53" spans="2:16" ht="14.4">
      <c r="B53" s="25"/>
      <c r="C53" s="103"/>
      <c r="D53" s="104"/>
      <c r="E53" s="104"/>
      <c r="F53" s="104"/>
      <c r="G53" s="104"/>
      <c r="H53" s="104"/>
      <c r="I53" s="104"/>
      <c r="J53" s="105"/>
      <c r="K53" s="106"/>
      <c r="L53" s="107"/>
      <c r="M53" s="499"/>
      <c r="N53" s="500"/>
      <c r="O53" s="108"/>
      <c r="P53" s="41"/>
    </row>
    <row r="54" spans="2:16" ht="14.4">
      <c r="B54" s="25"/>
      <c r="C54" s="103"/>
      <c r="D54" s="104"/>
      <c r="E54" s="104"/>
      <c r="F54" s="104"/>
      <c r="G54" s="104"/>
      <c r="H54" s="104"/>
      <c r="I54" s="104"/>
      <c r="J54" s="105"/>
      <c r="K54" s="106"/>
      <c r="L54" s="107"/>
      <c r="M54" s="495"/>
      <c r="N54" s="496"/>
      <c r="O54" s="108"/>
      <c r="P54" s="41"/>
    </row>
    <row r="55" spans="2:16" ht="15" thickBot="1">
      <c r="B55" s="25"/>
      <c r="C55" s="487"/>
      <c r="D55" s="488"/>
      <c r="E55" s="488"/>
      <c r="F55" s="488"/>
      <c r="G55" s="488"/>
      <c r="H55" s="488"/>
      <c r="I55" s="488"/>
      <c r="J55" s="97"/>
      <c r="K55" s="98"/>
      <c r="L55" s="97"/>
      <c r="M55" s="489"/>
      <c r="N55" s="490"/>
      <c r="O55" s="99"/>
      <c r="P55" s="38"/>
    </row>
    <row r="56" spans="2:16" ht="15" thickBot="1">
      <c r="B56" s="25"/>
      <c r="C56" s="481" t="s">
        <v>64</v>
      </c>
      <c r="D56" s="482"/>
      <c r="E56" s="482"/>
      <c r="F56" s="482"/>
      <c r="G56" s="482"/>
      <c r="H56" s="482"/>
      <c r="I56" s="482"/>
      <c r="J56" s="482"/>
      <c r="K56" s="482"/>
      <c r="L56" s="482"/>
      <c r="M56" s="482"/>
      <c r="N56" s="483"/>
      <c r="O56" s="93"/>
      <c r="P56" s="38"/>
    </row>
    <row r="57" spans="2:16" ht="15" thickBot="1">
      <c r="B57" s="25"/>
      <c r="C57" s="75"/>
      <c r="D57" s="52"/>
      <c r="E57" s="52"/>
      <c r="F57" s="52"/>
      <c r="G57" s="52"/>
      <c r="H57" s="52"/>
      <c r="I57" s="52"/>
      <c r="J57" s="52"/>
      <c r="K57" s="52"/>
      <c r="L57" s="52"/>
      <c r="M57" s="52"/>
      <c r="N57" s="52"/>
      <c r="O57" s="76"/>
      <c r="P57" s="26"/>
    </row>
    <row r="58" spans="2:16" ht="15" thickBot="1">
      <c r="B58" s="25"/>
      <c r="C58" s="484" t="s">
        <v>78</v>
      </c>
      <c r="D58" s="485"/>
      <c r="E58" s="485"/>
      <c r="F58" s="485"/>
      <c r="G58" s="485"/>
      <c r="H58" s="485"/>
      <c r="I58" s="485"/>
      <c r="J58" s="485"/>
      <c r="K58" s="485"/>
      <c r="L58" s="485"/>
      <c r="M58" s="485"/>
      <c r="N58" s="486"/>
      <c r="O58" s="109"/>
      <c r="P58" s="42"/>
    </row>
    <row r="59" spans="2:16">
      <c r="B59" s="25"/>
      <c r="C59" s="506" t="s">
        <v>79</v>
      </c>
      <c r="D59" s="507"/>
      <c r="E59" s="507"/>
      <c r="F59" s="507"/>
      <c r="G59" s="507"/>
      <c r="H59" s="507"/>
      <c r="I59" s="507"/>
      <c r="J59" s="507"/>
      <c r="K59" s="507"/>
      <c r="L59" s="507"/>
      <c r="M59" s="507"/>
      <c r="N59" s="507"/>
      <c r="O59" s="508"/>
      <c r="P59" s="36"/>
    </row>
    <row r="60" spans="2:16">
      <c r="B60" s="25"/>
      <c r="C60" s="509"/>
      <c r="D60" s="510"/>
      <c r="E60" s="510"/>
      <c r="F60" s="510"/>
      <c r="G60" s="510"/>
      <c r="H60" s="510"/>
      <c r="I60" s="510"/>
      <c r="J60" s="510"/>
      <c r="K60" s="510"/>
      <c r="L60" s="510"/>
      <c r="M60" s="510"/>
      <c r="N60" s="510"/>
      <c r="O60" s="511"/>
      <c r="P60" s="36"/>
    </row>
    <row r="61" spans="2:16" ht="14.4" thickBot="1">
      <c r="B61" s="25"/>
      <c r="C61" s="512"/>
      <c r="D61" s="513"/>
      <c r="E61" s="513"/>
      <c r="F61" s="513"/>
      <c r="G61" s="513"/>
      <c r="H61" s="513"/>
      <c r="I61" s="513"/>
      <c r="J61" s="513"/>
      <c r="K61" s="513"/>
      <c r="L61" s="513"/>
      <c r="M61" s="513"/>
      <c r="N61" s="513"/>
      <c r="O61" s="514"/>
      <c r="P61" s="36"/>
    </row>
    <row r="62" spans="2:16" ht="14.4">
      <c r="B62" s="25"/>
      <c r="C62" s="491" t="s">
        <v>80</v>
      </c>
      <c r="D62" s="492"/>
      <c r="E62" s="492"/>
      <c r="F62" s="492"/>
      <c r="G62" s="492"/>
      <c r="H62" s="492"/>
      <c r="I62" s="492"/>
      <c r="J62" s="220"/>
      <c r="K62" s="221"/>
      <c r="L62" s="101" t="s">
        <v>81</v>
      </c>
      <c r="M62" s="493" t="s">
        <v>82</v>
      </c>
      <c r="N62" s="494"/>
      <c r="O62" s="102"/>
      <c r="P62" s="40"/>
    </row>
    <row r="63" spans="2:16" ht="14.4">
      <c r="B63" s="25"/>
      <c r="C63" s="475" t="s">
        <v>83</v>
      </c>
      <c r="D63" s="476"/>
      <c r="E63" s="476"/>
      <c r="F63" s="476"/>
      <c r="G63" s="476"/>
      <c r="H63" s="476"/>
      <c r="I63" s="476"/>
      <c r="J63" s="110"/>
      <c r="K63" s="111"/>
      <c r="L63" s="112"/>
      <c r="M63" s="477"/>
      <c r="N63" s="478"/>
      <c r="O63" s="113"/>
      <c r="P63" s="43"/>
    </row>
    <row r="64" spans="2:16" ht="14.4">
      <c r="B64" s="25"/>
      <c r="C64" s="84" t="s">
        <v>84</v>
      </c>
      <c r="D64" s="85"/>
      <c r="E64" s="85"/>
      <c r="F64" s="85"/>
      <c r="G64" s="85"/>
      <c r="H64" s="85"/>
      <c r="I64" s="85"/>
      <c r="J64" s="110"/>
      <c r="K64" s="111"/>
      <c r="L64" s="112"/>
      <c r="M64" s="477"/>
      <c r="N64" s="478"/>
      <c r="O64" s="113"/>
      <c r="P64" s="43"/>
    </row>
    <row r="65" spans="2:16" ht="15" thickBot="1">
      <c r="B65" s="25"/>
      <c r="C65" s="69" t="s">
        <v>85</v>
      </c>
      <c r="D65" s="70"/>
      <c r="E65" s="70"/>
      <c r="F65" s="70"/>
      <c r="G65" s="70"/>
      <c r="H65" s="70"/>
      <c r="I65" s="70"/>
      <c r="J65" s="114"/>
      <c r="K65" s="115"/>
      <c r="L65" s="112"/>
      <c r="M65" s="479"/>
      <c r="N65" s="480"/>
      <c r="O65" s="113"/>
      <c r="P65" s="43"/>
    </row>
    <row r="66" spans="2:16" ht="15" thickBot="1">
      <c r="B66" s="25"/>
      <c r="C66" s="481" t="s">
        <v>64</v>
      </c>
      <c r="D66" s="482"/>
      <c r="E66" s="482"/>
      <c r="F66" s="482"/>
      <c r="G66" s="482"/>
      <c r="H66" s="482"/>
      <c r="I66" s="482"/>
      <c r="J66" s="482"/>
      <c r="K66" s="482"/>
      <c r="L66" s="482"/>
      <c r="M66" s="482"/>
      <c r="N66" s="483"/>
      <c r="O66" s="116"/>
      <c r="P66" s="44"/>
    </row>
    <row r="67" spans="2:16" ht="15" thickBot="1">
      <c r="B67" s="25"/>
      <c r="C67" s="75"/>
      <c r="D67" s="52"/>
      <c r="E67" s="52"/>
      <c r="F67" s="52"/>
      <c r="G67" s="52"/>
      <c r="H67" s="52"/>
      <c r="I67" s="52"/>
      <c r="J67" s="52"/>
      <c r="K67" s="52"/>
      <c r="L67" s="52"/>
      <c r="M67" s="52"/>
      <c r="N67" s="52"/>
      <c r="O67" s="76"/>
      <c r="P67" s="26"/>
    </row>
    <row r="68" spans="2:16" ht="15" thickBot="1">
      <c r="B68" s="25"/>
      <c r="C68" s="484" t="s">
        <v>86</v>
      </c>
      <c r="D68" s="485"/>
      <c r="E68" s="485"/>
      <c r="F68" s="485"/>
      <c r="G68" s="485"/>
      <c r="H68" s="485"/>
      <c r="I68" s="485"/>
      <c r="J68" s="485"/>
      <c r="K68" s="485"/>
      <c r="L68" s="485"/>
      <c r="M68" s="485"/>
      <c r="N68" s="486"/>
      <c r="O68" s="117"/>
      <c r="P68" s="44"/>
    </row>
    <row r="69" spans="2:16" ht="14.4">
      <c r="B69" s="25"/>
      <c r="C69" s="75"/>
      <c r="D69" s="52"/>
      <c r="E69" s="52"/>
      <c r="F69" s="52"/>
      <c r="G69" s="52"/>
      <c r="H69" s="52"/>
      <c r="I69" s="52"/>
      <c r="J69" s="52"/>
      <c r="K69" s="52"/>
      <c r="L69" s="52"/>
      <c r="M69" s="52"/>
      <c r="N69" s="52"/>
      <c r="O69" s="76"/>
      <c r="P69" s="26"/>
    </row>
    <row r="70" spans="2:16" ht="14.4">
      <c r="B70" s="25"/>
      <c r="C70" s="75"/>
      <c r="D70" s="52"/>
      <c r="E70" s="52"/>
      <c r="F70" s="52"/>
      <c r="G70" s="52"/>
      <c r="H70" s="118" t="s">
        <v>87</v>
      </c>
      <c r="I70" s="118"/>
      <c r="J70" s="118"/>
      <c r="K70" s="118"/>
      <c r="L70" s="52"/>
      <c r="M70" s="52"/>
      <c r="N70" s="52"/>
      <c r="O70" s="76"/>
      <c r="P70" s="26"/>
    </row>
    <row r="71" spans="2:16" ht="14.4">
      <c r="B71" s="25"/>
      <c r="C71" s="75"/>
      <c r="D71" s="52"/>
      <c r="E71" s="52"/>
      <c r="F71" s="52"/>
      <c r="G71" s="52"/>
      <c r="H71" s="118" t="s">
        <v>88</v>
      </c>
      <c r="I71" s="52"/>
      <c r="J71" s="52"/>
      <c r="K71" s="52"/>
      <c r="L71" s="52"/>
      <c r="M71" s="52"/>
      <c r="N71" s="52"/>
      <c r="O71" s="76"/>
      <c r="P71" s="45"/>
    </row>
    <row r="72" spans="2:16" ht="14.4">
      <c r="B72" s="25"/>
      <c r="C72" s="75"/>
      <c r="D72" s="52"/>
      <c r="E72" s="52"/>
      <c r="F72" s="52"/>
      <c r="G72" s="52"/>
      <c r="H72" s="118" t="s">
        <v>89</v>
      </c>
      <c r="I72" s="52"/>
      <c r="J72" s="52"/>
      <c r="K72" s="52"/>
      <c r="L72" s="52"/>
      <c r="M72" s="52"/>
      <c r="N72" s="52"/>
      <c r="O72" s="76"/>
      <c r="P72" s="45"/>
    </row>
    <row r="73" spans="2:16" ht="14.4">
      <c r="B73" s="25"/>
      <c r="C73" s="61"/>
      <c r="D73" s="119"/>
      <c r="E73" s="119"/>
      <c r="F73" s="119"/>
      <c r="G73" s="119"/>
      <c r="H73" s="118" t="s">
        <v>90</v>
      </c>
      <c r="I73" s="119"/>
      <c r="J73" s="119"/>
      <c r="K73" s="119"/>
      <c r="L73" s="119"/>
      <c r="M73" s="119"/>
      <c r="N73" s="119"/>
      <c r="O73" s="120"/>
      <c r="P73" s="46"/>
    </row>
    <row r="74" spans="2:16" ht="14.4">
      <c r="B74" s="25"/>
      <c r="C74" s="75"/>
      <c r="D74" s="52"/>
      <c r="E74" s="52"/>
      <c r="F74" s="52"/>
      <c r="G74" s="52"/>
      <c r="H74" s="52" t="s">
        <v>91</v>
      </c>
      <c r="I74" s="52"/>
      <c r="J74" s="52"/>
      <c r="K74" s="52"/>
      <c r="L74" s="52"/>
      <c r="M74" s="52"/>
      <c r="N74" s="52"/>
      <c r="O74" s="76"/>
      <c r="P74" s="26"/>
    </row>
    <row r="75" spans="2:16" ht="14.4">
      <c r="B75" s="25"/>
      <c r="C75" s="121" t="s">
        <v>92</v>
      </c>
      <c r="D75" s="122"/>
      <c r="E75" s="122"/>
      <c r="F75" s="122"/>
      <c r="G75" s="122"/>
      <c r="H75" s="122"/>
      <c r="I75" s="122"/>
      <c r="J75" s="122"/>
      <c r="K75" s="122"/>
      <c r="L75" s="122"/>
      <c r="M75" s="122"/>
      <c r="N75" s="122"/>
      <c r="O75" s="123"/>
      <c r="P75" s="26"/>
    </row>
    <row r="76" spans="2:16" ht="14.4">
      <c r="B76" s="25"/>
      <c r="C76" s="472"/>
      <c r="D76" s="473"/>
      <c r="E76" s="473"/>
      <c r="F76" s="473"/>
      <c r="G76" s="473"/>
      <c r="H76" s="473"/>
      <c r="I76" s="473"/>
      <c r="J76" s="473"/>
      <c r="K76" s="473"/>
      <c r="L76" s="473"/>
      <c r="M76" s="473"/>
      <c r="N76" s="473"/>
      <c r="O76" s="474"/>
      <c r="P76" s="46"/>
    </row>
    <row r="77" spans="2:16" ht="14.4">
      <c r="B77" s="25"/>
      <c r="C77" s="472"/>
      <c r="D77" s="473"/>
      <c r="E77" s="473"/>
      <c r="F77" s="473"/>
      <c r="G77" s="473"/>
      <c r="H77" s="473"/>
      <c r="I77" s="473"/>
      <c r="J77" s="473"/>
      <c r="K77" s="473"/>
      <c r="L77" s="473"/>
      <c r="M77" s="473"/>
      <c r="N77" s="473"/>
      <c r="O77" s="474"/>
      <c r="P77" s="46"/>
    </row>
    <row r="78" spans="2:16" ht="14.4">
      <c r="B78" s="25"/>
      <c r="C78" s="61"/>
      <c r="D78" s="119"/>
      <c r="E78" s="119"/>
      <c r="F78" s="119"/>
      <c r="G78" s="119"/>
      <c r="H78" s="119"/>
      <c r="I78" s="119"/>
      <c r="J78" s="119"/>
      <c r="K78" s="119"/>
      <c r="L78" s="119"/>
      <c r="M78" s="119"/>
      <c r="N78" s="119"/>
      <c r="O78" s="120"/>
      <c r="P78" s="46"/>
    </row>
    <row r="79" spans="2:16" ht="14.4">
      <c r="B79" s="25"/>
      <c r="C79" s="124" t="s">
        <v>93</v>
      </c>
      <c r="D79" s="119"/>
      <c r="E79" s="119"/>
      <c r="F79" s="119"/>
      <c r="G79" s="119"/>
      <c r="H79" s="119"/>
      <c r="I79" s="119"/>
      <c r="J79" s="119"/>
      <c r="K79" s="119"/>
      <c r="L79" s="119"/>
      <c r="M79" s="119"/>
      <c r="N79" s="119"/>
      <c r="O79" s="120"/>
      <c r="P79" s="46"/>
    </row>
    <row r="80" spans="2:16" ht="12.75" customHeight="1">
      <c r="B80" s="25"/>
      <c r="C80" s="469" t="s">
        <v>94</v>
      </c>
      <c r="D80" s="470"/>
      <c r="E80" s="470"/>
      <c r="F80" s="470"/>
      <c r="G80" s="470"/>
      <c r="H80" s="470"/>
      <c r="I80" s="470"/>
      <c r="J80" s="470"/>
      <c r="K80" s="470"/>
      <c r="L80" s="470"/>
      <c r="M80" s="470"/>
      <c r="N80" s="470"/>
      <c r="O80" s="471"/>
      <c r="P80" s="47"/>
    </row>
    <row r="81" spans="2:16" ht="28.5" customHeight="1">
      <c r="B81" s="25"/>
      <c r="C81" s="469"/>
      <c r="D81" s="470"/>
      <c r="E81" s="470"/>
      <c r="F81" s="470"/>
      <c r="G81" s="470"/>
      <c r="H81" s="470"/>
      <c r="I81" s="470"/>
      <c r="J81" s="470"/>
      <c r="K81" s="470"/>
      <c r="L81" s="470"/>
      <c r="M81" s="470"/>
      <c r="N81" s="470"/>
      <c r="O81" s="471"/>
      <c r="P81" s="47"/>
    </row>
    <row r="82" spans="2:16" ht="13.35" customHeight="1">
      <c r="B82" s="25"/>
      <c r="C82" s="469" t="s">
        <v>95</v>
      </c>
      <c r="D82" s="470"/>
      <c r="E82" s="470"/>
      <c r="F82" s="470"/>
      <c r="G82" s="470"/>
      <c r="H82" s="470"/>
      <c r="I82" s="470"/>
      <c r="J82" s="470"/>
      <c r="K82" s="470"/>
      <c r="L82" s="470"/>
      <c r="M82" s="470"/>
      <c r="N82" s="470"/>
      <c r="O82" s="471"/>
      <c r="P82" s="47"/>
    </row>
    <row r="83" spans="2:16" ht="45" customHeight="1">
      <c r="B83" s="25"/>
      <c r="C83" s="469"/>
      <c r="D83" s="470"/>
      <c r="E83" s="470"/>
      <c r="F83" s="470"/>
      <c r="G83" s="470"/>
      <c r="H83" s="470"/>
      <c r="I83" s="470"/>
      <c r="J83" s="470"/>
      <c r="K83" s="470"/>
      <c r="L83" s="470"/>
      <c r="M83" s="470"/>
      <c r="N83" s="470"/>
      <c r="O83" s="471"/>
      <c r="P83" s="47"/>
    </row>
    <row r="84" spans="2:16" ht="14.4">
      <c r="B84" s="25"/>
      <c r="C84" s="61"/>
      <c r="D84" s="119"/>
      <c r="E84" s="119"/>
      <c r="F84" s="119"/>
      <c r="G84" s="119"/>
      <c r="H84" s="119"/>
      <c r="I84" s="119"/>
      <c r="J84" s="119"/>
      <c r="K84" s="119"/>
      <c r="L84" s="119"/>
      <c r="M84" s="119"/>
      <c r="N84" s="119"/>
      <c r="O84" s="120"/>
      <c r="P84" s="46"/>
    </row>
    <row r="85" spans="2:16" ht="14.4">
      <c r="B85" s="25"/>
      <c r="C85" s="75"/>
      <c r="D85" s="52"/>
      <c r="E85" s="52"/>
      <c r="F85" s="52"/>
      <c r="G85" s="52"/>
      <c r="H85" s="118" t="s">
        <v>87</v>
      </c>
      <c r="I85" s="52"/>
      <c r="J85" s="52"/>
      <c r="K85" s="52"/>
      <c r="L85" s="52"/>
      <c r="M85" s="52"/>
      <c r="N85" s="52"/>
      <c r="O85" s="76"/>
      <c r="P85" s="26"/>
    </row>
    <row r="86" spans="2:16" ht="14.4">
      <c r="B86" s="25"/>
      <c r="C86" s="75"/>
      <c r="D86" s="52"/>
      <c r="E86" s="52"/>
      <c r="F86" s="52"/>
      <c r="G86" s="52"/>
      <c r="H86" s="52" t="s">
        <v>88</v>
      </c>
      <c r="I86" s="85"/>
      <c r="J86" s="85"/>
      <c r="K86" s="85"/>
      <c r="L86" s="52"/>
      <c r="M86" s="52"/>
      <c r="N86" s="52"/>
      <c r="O86" s="76"/>
      <c r="P86" s="26"/>
    </row>
    <row r="87" spans="2:16" ht="14.4">
      <c r="B87" s="25"/>
      <c r="C87" s="75"/>
      <c r="D87" s="52"/>
      <c r="E87" s="52"/>
      <c r="F87" s="52"/>
      <c r="G87" s="52"/>
      <c r="H87" s="52" t="s">
        <v>96</v>
      </c>
      <c r="I87" s="125"/>
      <c r="J87" s="125"/>
      <c r="K87" s="125"/>
      <c r="L87" s="52"/>
      <c r="M87" s="52"/>
      <c r="N87" s="52"/>
      <c r="O87" s="76"/>
      <c r="P87" s="26"/>
    </row>
    <row r="88" spans="2:16" ht="14.4">
      <c r="B88" s="25"/>
      <c r="C88" s="126"/>
      <c r="D88" s="119"/>
      <c r="E88" s="119"/>
      <c r="F88" s="119"/>
      <c r="G88" s="119"/>
      <c r="H88" s="52" t="s">
        <v>97</v>
      </c>
      <c r="I88" s="52"/>
      <c r="J88" s="52"/>
      <c r="K88" s="52"/>
      <c r="L88" s="119"/>
      <c r="M88" s="119"/>
      <c r="N88" s="119"/>
      <c r="O88" s="120"/>
      <c r="P88" s="46"/>
    </row>
    <row r="89" spans="2:16" ht="18.75" customHeight="1" thickBot="1">
      <c r="B89" s="25"/>
      <c r="C89" s="465"/>
      <c r="D89" s="466"/>
      <c r="E89" s="466"/>
      <c r="F89" s="98"/>
      <c r="G89" s="98"/>
      <c r="H89" s="98"/>
      <c r="I89" s="98"/>
      <c r="J89" s="98"/>
      <c r="K89" s="463"/>
      <c r="L89" s="463"/>
      <c r="M89" s="463"/>
      <c r="N89" s="463"/>
      <c r="O89" s="464"/>
      <c r="P89" s="48"/>
    </row>
    <row r="90" spans="2:16" ht="14.4" thickBot="1">
      <c r="B90" s="49"/>
      <c r="C90" s="50"/>
      <c r="D90" s="50"/>
      <c r="E90" s="50"/>
      <c r="F90" s="50"/>
      <c r="G90" s="50"/>
      <c r="H90" s="50"/>
      <c r="I90" s="50"/>
      <c r="J90" s="50"/>
      <c r="K90" s="50"/>
      <c r="L90" s="50"/>
      <c r="M90" s="50"/>
      <c r="N90" s="50"/>
      <c r="O90" s="50"/>
      <c r="P90" s="51"/>
    </row>
    <row r="91" spans="2:16" ht="14.4" thickTop="1"/>
  </sheetData>
  <mergeCells count="78">
    <mergeCell ref="C3:F3"/>
    <mergeCell ref="C6:O6"/>
    <mergeCell ref="M12:M14"/>
    <mergeCell ref="N12:N14"/>
    <mergeCell ref="D14:K14"/>
    <mergeCell ref="D12:K13"/>
    <mergeCell ref="C40:N40"/>
    <mergeCell ref="M37:N37"/>
    <mergeCell ref="M24:N24"/>
    <mergeCell ref="C22:O22"/>
    <mergeCell ref="C30:G30"/>
    <mergeCell ref="H30:I30"/>
    <mergeCell ref="J30:K30"/>
    <mergeCell ref="M30:N30"/>
    <mergeCell ref="M31:N31"/>
    <mergeCell ref="C39:J39"/>
    <mergeCell ref="M39:N39"/>
    <mergeCell ref="C38:J38"/>
    <mergeCell ref="M38:N38"/>
    <mergeCell ref="M25:N25"/>
    <mergeCell ref="C29:G29"/>
    <mergeCell ref="H29:I29"/>
    <mergeCell ref="C41:O43"/>
    <mergeCell ref="C48:O50"/>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J29:K29"/>
    <mergeCell ref="M29:N29"/>
    <mergeCell ref="D25:L25"/>
    <mergeCell ref="C26:O28"/>
    <mergeCell ref="C32:G32"/>
    <mergeCell ref="H32:I32"/>
    <mergeCell ref="J32:K32"/>
    <mergeCell ref="M32:N32"/>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M52:N52"/>
    <mergeCell ref="M53:N53"/>
    <mergeCell ref="K89:O89"/>
    <mergeCell ref="C89:E89"/>
    <mergeCell ref="C18:F18"/>
    <mergeCell ref="C80:O81"/>
    <mergeCell ref="C76:O76"/>
    <mergeCell ref="C77:O77"/>
    <mergeCell ref="C63:I63"/>
    <mergeCell ref="M63:N63"/>
    <mergeCell ref="M64:N64"/>
    <mergeCell ref="M65:N65"/>
    <mergeCell ref="C66:N66"/>
    <mergeCell ref="C68:N68"/>
    <mergeCell ref="C82:O83"/>
    <mergeCell ref="C55:I55"/>
    <mergeCell ref="M55:N55"/>
    <mergeCell ref="C56:N56"/>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00EE42C7-FE7F-43DD-A465-F178476A95A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3.xml><?xml version="1.0" encoding="utf-8"?>
<ds:datastoreItem xmlns:ds="http://schemas.openxmlformats.org/officeDocument/2006/customXml" ds:itemID="{1B118EDF-F6F9-439A-8413-9FA9016CF69D}">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 OFICIAL (Entidad)</vt:lpstr>
      <vt:lpstr>PROPUESTA ECONOMICA(Proponente)</vt:lpstr>
      <vt:lpstr>INDICAR CÓDIGO DEL ITEM DE PAGO</vt:lpstr>
      <vt:lpstr>_GoBack</vt:lpstr>
      <vt:lpstr>'INDICAR CÓDIGO DEL ITEM DE PAGO'!Área_de_impresión</vt:lpstr>
      <vt:lpstr>'PRESUPUESTO OFICIAL (Entidad)'!Área_de_impresión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Héctor Fabián Losada Vargas</cp:lastModifiedBy>
  <cp:revision/>
  <cp:lastPrinted>2026-06-16T15:12:16Z</cp:lastPrinted>
  <dcterms:created xsi:type="dcterms:W3CDTF">2006-06-27T16:47:25Z</dcterms:created>
  <dcterms:modified xsi:type="dcterms:W3CDTF">2026-06-18T03:05:27Z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22924300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