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 Geologico Colombiano\SGC Año 2026\Procesos de Contratacion\E.S prestar el servicio de control integral de plagas\"/>
    </mc:Choice>
  </mc:AlternateContent>
  <bookViews>
    <workbookView xWindow="0" yWindow="0" windowWidth="22425" windowHeight="9720" tabRatio="959" firstSheet="1" activeTab="7"/>
  </bookViews>
  <sheets>
    <sheet name="Analisis Estadistico" sheetId="12" state="hidden" r:id="rId1"/>
    <sheet name="Cotizacion N°1" sheetId="51" r:id="rId2"/>
    <sheet name="Cotizacion N°2" sheetId="52" r:id="rId3"/>
    <sheet name="Cotizacion N°3" sheetId="53" r:id="rId4"/>
    <sheet name=" Cotizaciones" sheetId="25" r:id="rId5"/>
    <sheet name="Analisis Cotizaciones" sheetId="54" r:id="rId6"/>
    <sheet name="Analisis Exclusiones" sheetId="55" r:id="rId7"/>
    <sheet name="Presupuesto Oficial" sheetId="59" r:id="rId8"/>
    <sheet name="Analisis Geometrica" sheetId="19" state="hidden" r:id="rId9"/>
    <sheet name="Analisis Armonica" sheetId="20" state="hidden" r:id="rId10"/>
    <sheet name="Analisis M.Aritmetica" sheetId="27" state="hidden" r:id="rId11"/>
    <sheet name="Analisis M.Geometrica" sheetId="28" state="hidden" r:id="rId12"/>
    <sheet name="Analisis M.Armonica" sheetId="29" state="hidden" r:id="rId13"/>
    <sheet name="Historicos" sheetId="31" state="hidden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55" l="1"/>
  <c r="N15" i="55"/>
  <c r="N24" i="55"/>
  <c r="N23" i="55"/>
  <c r="N22" i="55"/>
  <c r="I23" i="59"/>
  <c r="J22" i="59"/>
  <c r="J21" i="59"/>
  <c r="J20" i="59"/>
  <c r="J19" i="59"/>
  <c r="J18" i="59"/>
  <c r="J17" i="59"/>
  <c r="J16" i="59"/>
  <c r="J15" i="59"/>
  <c r="J14" i="59"/>
  <c r="J13" i="59"/>
  <c r="J12" i="59"/>
  <c r="J11" i="59"/>
  <c r="J10" i="59"/>
  <c r="J9" i="59"/>
  <c r="J8" i="59"/>
  <c r="J7" i="59"/>
  <c r="J6" i="59"/>
  <c r="J5" i="59"/>
  <c r="M21" i="55"/>
  <c r="N17" i="55"/>
  <c r="M18" i="55"/>
  <c r="M17" i="55"/>
  <c r="Q12" i="55"/>
  <c r="P12" i="55"/>
  <c r="O12" i="55"/>
  <c r="M12" i="55"/>
  <c r="Q10" i="55"/>
  <c r="P10" i="55"/>
  <c r="O10" i="55"/>
  <c r="N10" i="55"/>
  <c r="M10" i="55"/>
  <c r="Q14" i="55"/>
  <c r="P14" i="55"/>
  <c r="O14" i="55"/>
  <c r="N14" i="55"/>
  <c r="M14" i="55"/>
  <c r="Q16" i="55"/>
  <c r="P16" i="55"/>
  <c r="O16" i="55"/>
  <c r="N16" i="55"/>
  <c r="M16" i="55"/>
  <c r="Q19" i="55"/>
  <c r="P19" i="55"/>
  <c r="O19" i="55"/>
  <c r="N19" i="55"/>
  <c r="M19" i="55"/>
  <c r="Q20" i="55"/>
  <c r="P20" i="55"/>
  <c r="O20" i="55"/>
  <c r="N20" i="55"/>
  <c r="M20" i="55"/>
  <c r="Q15" i="55"/>
  <c r="P15" i="55"/>
  <c r="O15" i="55"/>
  <c r="M15" i="55"/>
  <c r="Q8" i="55"/>
  <c r="P8" i="55"/>
  <c r="O8" i="55"/>
  <c r="N8" i="55"/>
  <c r="M8" i="55"/>
  <c r="Q24" i="55"/>
  <c r="P24" i="55"/>
  <c r="O24" i="55"/>
  <c r="M24" i="55"/>
  <c r="Q21" i="55"/>
  <c r="P21" i="55"/>
  <c r="O21" i="55"/>
  <c r="N21" i="55"/>
  <c r="Q23" i="55"/>
  <c r="P23" i="55"/>
  <c r="O23" i="55"/>
  <c r="M23" i="55"/>
  <c r="Q22" i="55"/>
  <c r="P22" i="55"/>
  <c r="O22" i="55"/>
  <c r="M22" i="55"/>
  <c r="Q18" i="55"/>
  <c r="P18" i="55"/>
  <c r="O18" i="55"/>
  <c r="N18" i="55"/>
  <c r="Q17" i="55"/>
  <c r="P17" i="55"/>
  <c r="O17" i="55"/>
  <c r="Q13" i="55"/>
  <c r="P13" i="55"/>
  <c r="O13" i="55"/>
  <c r="N13" i="55"/>
  <c r="M13" i="55"/>
  <c r="Q11" i="55"/>
  <c r="P11" i="55"/>
  <c r="O11" i="55"/>
  <c r="N11" i="55"/>
  <c r="M11" i="55"/>
  <c r="Q9" i="55"/>
  <c r="P9" i="55"/>
  <c r="O9" i="55"/>
  <c r="N9" i="55"/>
  <c r="M9" i="55"/>
  <c r="Q7" i="55"/>
  <c r="P7" i="55"/>
  <c r="O7" i="55"/>
  <c r="N7" i="55"/>
  <c r="M7" i="55"/>
  <c r="L25" i="55"/>
  <c r="K25" i="55"/>
  <c r="J25" i="55"/>
  <c r="I25" i="55"/>
  <c r="L25" i="54"/>
  <c r="K25" i="54"/>
  <c r="J25" i="54"/>
  <c r="I25" i="54"/>
  <c r="Q24" i="54"/>
  <c r="P24" i="54"/>
  <c r="O24" i="54"/>
  <c r="N24" i="54"/>
  <c r="M24" i="54"/>
  <c r="Q23" i="54"/>
  <c r="P23" i="54"/>
  <c r="O23" i="54"/>
  <c r="N23" i="54"/>
  <c r="M23" i="54"/>
  <c r="Q22" i="54"/>
  <c r="P22" i="54"/>
  <c r="O22" i="54"/>
  <c r="N22" i="54"/>
  <c r="M22" i="54"/>
  <c r="Q21" i="54"/>
  <c r="P21" i="54"/>
  <c r="O21" i="54"/>
  <c r="N21" i="54"/>
  <c r="M21" i="54"/>
  <c r="Q20" i="54"/>
  <c r="P20" i="54"/>
  <c r="O20" i="54"/>
  <c r="N20" i="54"/>
  <c r="M20" i="54"/>
  <c r="Q19" i="54"/>
  <c r="P19" i="54"/>
  <c r="O19" i="54"/>
  <c r="N19" i="54"/>
  <c r="M19" i="54"/>
  <c r="Q18" i="54"/>
  <c r="P18" i="54"/>
  <c r="O18" i="54"/>
  <c r="N18" i="54"/>
  <c r="M18" i="54"/>
  <c r="Q17" i="54"/>
  <c r="P17" i="54"/>
  <c r="O17" i="54"/>
  <c r="N17" i="54"/>
  <c r="M17" i="54"/>
  <c r="Q16" i="54"/>
  <c r="P16" i="54"/>
  <c r="O16" i="54"/>
  <c r="N16" i="54"/>
  <c r="M16" i="54"/>
  <c r="Q15" i="54"/>
  <c r="P15" i="54"/>
  <c r="O15" i="54"/>
  <c r="N15" i="54"/>
  <c r="M15" i="54"/>
  <c r="Q14" i="54"/>
  <c r="P14" i="54"/>
  <c r="O14" i="54"/>
  <c r="N14" i="54"/>
  <c r="M14" i="54"/>
  <c r="Q13" i="54"/>
  <c r="P13" i="54"/>
  <c r="O13" i="54"/>
  <c r="N13" i="54"/>
  <c r="M13" i="54"/>
  <c r="Q12" i="54"/>
  <c r="P12" i="54"/>
  <c r="O12" i="54"/>
  <c r="N12" i="54"/>
  <c r="M12" i="54"/>
  <c r="Q11" i="54"/>
  <c r="P11" i="54"/>
  <c r="O11" i="54"/>
  <c r="N11" i="54"/>
  <c r="M11" i="54"/>
  <c r="Q10" i="54"/>
  <c r="P10" i="54"/>
  <c r="O10" i="54"/>
  <c r="N10" i="54"/>
  <c r="M10" i="54"/>
  <c r="Q9" i="54"/>
  <c r="P9" i="54"/>
  <c r="O9" i="54"/>
  <c r="N9" i="54"/>
  <c r="M9" i="54"/>
  <c r="Q8" i="54"/>
  <c r="P8" i="54"/>
  <c r="O8" i="54"/>
  <c r="N8" i="54"/>
  <c r="M8" i="54"/>
  <c r="Q7" i="54"/>
  <c r="P7" i="54"/>
  <c r="O7" i="54"/>
  <c r="N7" i="54"/>
  <c r="M7" i="54"/>
  <c r="K25" i="25"/>
  <c r="I25" i="25"/>
  <c r="J23" i="59" l="1"/>
  <c r="O25" i="55"/>
  <c r="P25" i="55"/>
  <c r="M25" i="55"/>
  <c r="Q25" i="55"/>
  <c r="N25" i="55"/>
  <c r="O25" i="54"/>
  <c r="P25" i="54"/>
  <c r="M25" i="54"/>
  <c r="Q25" i="54"/>
  <c r="N25" i="54"/>
  <c r="J25" i="25" l="1"/>
  <c r="L25" i="25"/>
  <c r="I8" i="31" l="1"/>
  <c r="H8" i="31"/>
  <c r="G8" i="31"/>
  <c r="F8" i="31"/>
  <c r="I7" i="31"/>
  <c r="H7" i="31"/>
  <c r="G7" i="31"/>
  <c r="F7" i="31"/>
  <c r="H8" i="29" l="1"/>
  <c r="H7" i="29"/>
  <c r="H8" i="27"/>
  <c r="H7" i="27"/>
  <c r="G7" i="27"/>
  <c r="E9" i="29"/>
  <c r="D9" i="29"/>
  <c r="C9" i="29"/>
  <c r="G8" i="29"/>
  <c r="F8" i="29"/>
  <c r="G7" i="29"/>
  <c r="G9" i="29" s="1"/>
  <c r="F7" i="29"/>
  <c r="E9" i="28"/>
  <c r="D9" i="28"/>
  <c r="C9" i="28"/>
  <c r="G8" i="28"/>
  <c r="H8" i="28" s="1"/>
  <c r="F8" i="28"/>
  <c r="G7" i="28"/>
  <c r="F7" i="28"/>
  <c r="G8" i="27"/>
  <c r="G9" i="27"/>
  <c r="E9" i="27"/>
  <c r="D9" i="27"/>
  <c r="C9" i="27"/>
  <c r="F8" i="27"/>
  <c r="F7" i="27"/>
  <c r="G9" i="28" l="1"/>
  <c r="H7" i="28"/>
  <c r="F9" i="29"/>
  <c r="F9" i="28"/>
  <c r="F9" i="27"/>
  <c r="H15" i="20" l="1"/>
  <c r="G15" i="20"/>
  <c r="F15" i="20"/>
  <c r="F14" i="20"/>
  <c r="F13" i="20"/>
  <c r="F11" i="20"/>
  <c r="F9" i="20"/>
  <c r="F10" i="20"/>
  <c r="F8" i="20"/>
  <c r="F17" i="20"/>
  <c r="E17" i="20"/>
  <c r="D17" i="20"/>
  <c r="C17" i="20"/>
  <c r="G17" i="20" s="1"/>
  <c r="G14" i="20"/>
  <c r="G13" i="20"/>
  <c r="H11" i="20"/>
  <c r="G11" i="20"/>
  <c r="G10" i="20"/>
  <c r="H10" i="20" s="1"/>
  <c r="G9" i="20"/>
  <c r="H9" i="20"/>
  <c r="G8" i="20"/>
  <c r="F15" i="19"/>
  <c r="G9" i="19"/>
  <c r="G8" i="19"/>
  <c r="H8" i="19"/>
  <c r="G15" i="19"/>
  <c r="G14" i="19"/>
  <c r="G13" i="19"/>
  <c r="G11" i="19"/>
  <c r="G10" i="19"/>
  <c r="F14" i="19"/>
  <c r="F13" i="19"/>
  <c r="F9" i="19"/>
  <c r="F10" i="19"/>
  <c r="F11" i="19"/>
  <c r="F8" i="19"/>
  <c r="E17" i="19"/>
  <c r="D17" i="19"/>
  <c r="C17" i="19"/>
  <c r="G17" i="19" s="1"/>
  <c r="H15" i="19"/>
  <c r="H14" i="19"/>
  <c r="H11" i="19"/>
  <c r="H10" i="19"/>
  <c r="H9" i="19"/>
  <c r="F17" i="19"/>
  <c r="H13" i="20" l="1"/>
  <c r="H14" i="20"/>
  <c r="H17" i="20"/>
  <c r="H8" i="20"/>
  <c r="H13" i="19"/>
  <c r="H17" i="19"/>
  <c r="H21" i="12" l="1"/>
  <c r="H17" i="12"/>
  <c r="H16" i="12"/>
  <c r="E10" i="12"/>
  <c r="F10" i="12" s="1"/>
  <c r="E9" i="12"/>
  <c r="F9" i="12" s="1"/>
  <c r="D12" i="12"/>
  <c r="E8" i="12"/>
  <c r="F8" i="12" s="1"/>
  <c r="E24" i="12"/>
  <c r="F24" i="12" s="1"/>
  <c r="E23" i="12"/>
  <c r="F23" i="12" s="1"/>
  <c r="E22" i="12"/>
  <c r="F22" i="12" s="1"/>
  <c r="F21" i="12"/>
  <c r="E21" i="12"/>
  <c r="E20" i="12"/>
  <c r="F20" i="12" s="1"/>
  <c r="E7" i="12"/>
  <c r="F7" i="12" s="1"/>
  <c r="D11" i="12" l="1"/>
  <c r="D15" i="12" s="1"/>
  <c r="D13" i="12"/>
  <c r="E6" i="12"/>
  <c r="E11" i="12" s="1"/>
  <c r="D14" i="12"/>
  <c r="E13" i="12" l="1"/>
  <c r="E14" i="12"/>
  <c r="E12" i="12"/>
  <c r="E15" i="12" s="1"/>
  <c r="F6" i="12"/>
  <c r="I17" i="12"/>
  <c r="I20" i="12" s="1"/>
  <c r="F11" i="12" l="1"/>
  <c r="F14" i="12"/>
  <c r="F12" i="12"/>
  <c r="F13" i="12"/>
  <c r="F15" i="12" l="1"/>
</calcChain>
</file>

<file path=xl/sharedStrings.xml><?xml version="1.0" encoding="utf-8"?>
<sst xmlns="http://schemas.openxmlformats.org/spreadsheetml/2006/main" count="468" uniqueCount="119">
  <si>
    <t>Cotizacion N° 1</t>
  </si>
  <si>
    <t>Cotizacion N° 2</t>
  </si>
  <si>
    <t>Cotizacion N°1</t>
  </si>
  <si>
    <t xml:space="preserve"> Valor Total  Incluido Iva</t>
  </si>
  <si>
    <t>Cotizacion N°2</t>
  </si>
  <si>
    <t>Cotizacion N°3</t>
  </si>
  <si>
    <t>Media Aritmetica</t>
  </si>
  <si>
    <t>Media Geometrica</t>
  </si>
  <si>
    <t>Media Armonica</t>
  </si>
  <si>
    <t>Desviacion Estandar</t>
  </si>
  <si>
    <t>% Desviacion Estandar Valor  Total</t>
  </si>
  <si>
    <t>Cotizacion N° 4</t>
  </si>
  <si>
    <t>Cotizacion N° 3</t>
  </si>
  <si>
    <t>Cotizacion N° 5</t>
  </si>
  <si>
    <t>Descripción</t>
  </si>
  <si>
    <t xml:space="preserve">Valor antes de Iva </t>
  </si>
  <si>
    <t>Iva 19%</t>
  </si>
  <si>
    <t>Valor total IVA Incluido</t>
  </si>
  <si>
    <t xml:space="preserve"> Promedio </t>
  </si>
  <si>
    <t xml:space="preserve"> Desviación estándar </t>
  </si>
  <si>
    <t xml:space="preserve"> Mínimo </t>
  </si>
  <si>
    <t xml:space="preserve"> Máximo </t>
  </si>
  <si>
    <t xml:space="preserve"> % De desviación frente promedio </t>
  </si>
  <si>
    <t xml:space="preserve"> % De incremento  entre  las  cotizaciones más baja y más alta  </t>
  </si>
  <si>
    <t>Acorde a la Tabla anterior en la cual se evidencia una desviación estándar demasiado alta en relación al promedio se revisaron las cotizaciones (1,2,3,4 y 5 ) recibidas, las cuales cumplen con las especificaciones técnicas requeridas por la entidad; sin embargo se identificó que la cotización No. 5 presenta un incremento  significativo  en comparación a las  otras cotizaciones, es así que entre la  cotización  más baja Dos Mil Cuatrocientos Treinta  y Tres Millones Seiscientos Mil Pesos Mcte ( $ 2.433.600.000,00)  y la  cotización más alta Cuatro Mil Ciento  Sesenta y Cinco Millones de Pesos Mcte.($ 4.165.000.000,00) hay  un incremento del 41,57% lo cual representa un incremento significativo en la determinación del presupuesto Oficial  del proceso a desarrollar.
Conforme al análisis anterior, para definir el presupuesto oficial del este proceso se tuvieron en cuenta las cotizaciones No. 1,2,3 y 4 excluyendo las cotizaciones N° 5 sacando un promedio entre estas.</t>
  </si>
  <si>
    <t>1.3. Desarrollo primera versión con implementación y lanzamiento.</t>
  </si>
  <si>
    <t>3.1. Fase análisis.</t>
  </si>
  <si>
    <t>4.     Licenciamiento Requerido.</t>
  </si>
  <si>
    <t>Valor Total</t>
  </si>
  <si>
    <t>Desarrollo de Software como Servicio.</t>
  </si>
  <si>
    <t>1.2. Fase Diseño.</t>
  </si>
  <si>
    <t>1.1. Fase análisis.</t>
  </si>
  <si>
    <t>3.3. Desarrollo primera versión con implementación y lanzamiento.</t>
  </si>
  <si>
    <t>3.2. Fase Diseño.</t>
  </si>
  <si>
    <t>Valor Total (COP)</t>
  </si>
  <si>
    <t>3.Desarrollo del Sistema Fase 2</t>
  </si>
  <si>
    <t>2.Soporte técnico  y nuevas versiones (12 meses).</t>
  </si>
  <si>
    <t>Estudio  del Mercado / Senado de la Republica
"Contratar el de Desarrollo de Software, con Metodologías Ágiles, para la Construcción del Sistema de Información"</t>
  </si>
  <si>
    <t xml:space="preserve">1.Desarrollo del Sistema Fase 1. </t>
  </si>
  <si>
    <t>Certificados digitales función pública (SIIF Nación)</t>
  </si>
  <si>
    <t>Certificados digitales para realizar el proceso de facturación electrónica por Olimpia</t>
  </si>
  <si>
    <t>Estudio  del Mercado / Senado de la Republica
“Adquisición de Certificados de Función Pública con su Dispositivo Criptográfico Token para el Senado de la República”</t>
  </si>
  <si>
    <t>No</t>
  </si>
  <si>
    <t>Contrato</t>
  </si>
  <si>
    <t>IPC Año 2020 (1,61%)</t>
  </si>
  <si>
    <t>Valor  Total  año 2020</t>
  </si>
  <si>
    <t>IPC Año 2021 (5,62%)</t>
  </si>
  <si>
    <t xml:space="preserve">Valor  Total Año 2021 </t>
  </si>
  <si>
    <t>Contrato No 174 de 2020</t>
  </si>
  <si>
    <t>Total Token</t>
  </si>
  <si>
    <t>Valor  Unitario Iva Incluido</t>
  </si>
  <si>
    <r>
      <t>Contrato</t>
    </r>
    <r>
      <rPr>
        <sz val="9"/>
        <color rgb="FF000000"/>
        <rFont val="Calibri"/>
        <family val="2"/>
      </rPr>
      <t xml:space="preserve"> No 649 de 2021</t>
    </r>
  </si>
  <si>
    <t xml:space="preserve">Descripcion </t>
  </si>
  <si>
    <t>Luis Alberto Rojas  R.</t>
  </si>
  <si>
    <t>Evaluador Financiero</t>
  </si>
  <si>
    <t>Medidas de Tendencia  Central</t>
  </si>
  <si>
    <t>Menor Valor</t>
  </si>
  <si>
    <t xml:space="preserve">Valor  Total </t>
  </si>
  <si>
    <t>Valor Unitario (COP)</t>
  </si>
  <si>
    <t>Diagonal 53 N° 34-53, Bogotá D.C., Colombia, PBX (571) 2200000, 2200100, 2200200 Fax: 2220797
www.sgc.gov.co</t>
  </si>
  <si>
    <t>Valor Unitario Incluido  Iva</t>
  </si>
  <si>
    <t xml:space="preserve">Cantidad </t>
  </si>
  <si>
    <t>N°</t>
  </si>
  <si>
    <t>Sede</t>
  </si>
  <si>
    <t>Ubicación</t>
  </si>
  <si>
    <t>Area Aproximada(M2)</t>
  </si>
  <si>
    <t>Actividades a cotizar</t>
  </si>
  <si>
    <t>Unidad</t>
  </si>
  <si>
    <t>Estudio  del Mercado / Servicio Geologico Colombiano - SGC
“Prestar el Servicio de Control Integral de Plagas en las Diferentes Sedes del Servicio Geológico Colombiano – SGC a Nivel Nacional”</t>
  </si>
  <si>
    <t>Principal</t>
  </si>
  <si>
    <t>Diagonal 53 No.34-53. Bogotá</t>
  </si>
  <si>
    <t>Area total: 38.000Área costruida: 15.000</t>
  </si>
  <si>
    <t>Control integral de plagas contra insectos Sede Principal</t>
  </si>
  <si>
    <t>Control integral de plagas contra roedores Sede Principal</t>
  </si>
  <si>
    <t>Und</t>
  </si>
  <si>
    <t>CAN</t>
  </si>
  <si>
    <t>Carrera 50 No.26-20. Bogotá</t>
  </si>
  <si>
    <t>Area total: 40.000Área costruida: 9.761</t>
  </si>
  <si>
    <t>Control integral de plagas contra insectos Sede CAN</t>
  </si>
  <si>
    <t>Control integral de plagas contra roedores Sede CAN</t>
  </si>
  <si>
    <t>Facatativá</t>
  </si>
  <si>
    <t>Cintoteca Nelson Rodríguez Pinilla. Vereda Mansilla, municipio de Facatativá (Cundinamarca)</t>
  </si>
  <si>
    <t>Área total: 11.500Área construida: 1.351</t>
  </si>
  <si>
    <t>Control integral de plagas contra insectos Sede Facatativá</t>
  </si>
  <si>
    <t>Control integral de plagas contra roedores Sede Facatativá</t>
  </si>
  <si>
    <t>Pasto</t>
  </si>
  <si>
    <t>Calle 27 Nº 9 Este – 25 Barrio La Carolina</t>
  </si>
  <si>
    <t>Área total: 25.000Área costruida: 1.491</t>
  </si>
  <si>
    <t>Control integral de plagas contra insectos Sede Pasto</t>
  </si>
  <si>
    <t>Control integral de plagas contra roedores Sede Pasto</t>
  </si>
  <si>
    <t>Popayán</t>
  </si>
  <si>
    <t>Calle 5B No. 2-14 Loma de Cartagena</t>
  </si>
  <si>
    <t>Área total y construida: 1.080</t>
  </si>
  <si>
    <t>Control integral de plagas contra insectos Sede Popayán</t>
  </si>
  <si>
    <t>Control integral de plagas contra roedores Sede Popayán</t>
  </si>
  <si>
    <t>Cali</t>
  </si>
  <si>
    <t>Cra 98 No. 16-00 Predios UniValle Meléndez</t>
  </si>
  <si>
    <t>Área total y construida: 3.050</t>
  </si>
  <si>
    <t>Control integral de plagas contra insectos Sede Cali</t>
  </si>
  <si>
    <t>Control integral de plagas contra roedores Sede Cali</t>
  </si>
  <si>
    <t>Manizales</t>
  </si>
  <si>
    <t>Av. 12 de Octubre No. 15-47</t>
  </si>
  <si>
    <t>Área total y construida: 1.130</t>
  </si>
  <si>
    <t>Control integral de plagas contra insectos Sede Manizales</t>
  </si>
  <si>
    <t>Control integral de plagas contra roedores Sede Manizales</t>
  </si>
  <si>
    <t>Medellín</t>
  </si>
  <si>
    <t>Calle 75 No. 79A-51</t>
  </si>
  <si>
    <t>Área total: 11.000Área costruida: 3.000</t>
  </si>
  <si>
    <t>Control integral de plagas contra insectos Sede Medellin</t>
  </si>
  <si>
    <t>Control integral de plagas contra roedores Sede Medellin</t>
  </si>
  <si>
    <t>Piedecuesta</t>
  </si>
  <si>
    <t>Kilómetro 2 Vía El Refugio, Calle 8 Norte No. 3W-60 Guatiguará (Sede UIS Parque Tecnológico GUATIGUARÁ) Piedecuesta</t>
  </si>
  <si>
    <t>Área total y construida: 14.000</t>
  </si>
  <si>
    <t>Control integral de plagas contra insectos Sede Piedecuesta</t>
  </si>
  <si>
    <t>Control integral de plagas contra roedores Sede Piedecuesta</t>
  </si>
  <si>
    <t>Historicos Contrato Año 2025</t>
  </si>
  <si>
    <t>Valor  Unitario Incluido  Impuestos</t>
  </si>
  <si>
    <t>Valor  Total Incluido  Impuestos</t>
  </si>
  <si>
    <t>Historicos Contrato Año 2025 Actualizado  IPC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</si>
</sst>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theme="1"/>
      <name val="Century Gothic"/>
      <family val="2"/>
    </font>
    <font>
      <b/>
      <sz val="10"/>
      <color theme="5" tint="-0.249977111117893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color rgb="FFF2F2F2"/>
      <name val="Arial Narrow"/>
      <family val="2"/>
    </font>
    <font>
      <sz val="9"/>
      <color theme="1"/>
      <name val="Calibri"/>
      <family val="2"/>
    </font>
    <font>
      <b/>
      <u/>
      <sz val="8"/>
      <color rgb="FF000000"/>
      <name val="Calibri"/>
      <family val="2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6" fontId="8" fillId="0" borderId="1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/>
    </xf>
    <xf numFmtId="44" fontId="0" fillId="0" borderId="0" xfId="3" applyFont="1"/>
    <xf numFmtId="0" fontId="3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8" fontId="0" fillId="0" borderId="0" xfId="0" applyNumberFormat="1"/>
    <xf numFmtId="44" fontId="5" fillId="0" borderId="1" xfId="3" applyFont="1" applyBorder="1" applyAlignment="1">
      <alignment horizontal="center" vertical="center"/>
    </xf>
    <xf numFmtId="6" fontId="5" fillId="0" borderId="1" xfId="3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9" fontId="0" fillId="0" borderId="0" xfId="5" applyFont="1"/>
    <xf numFmtId="10" fontId="0" fillId="0" borderId="0" xfId="5" applyNumberFormat="1" applyFont="1"/>
    <xf numFmtId="0" fontId="11" fillId="3" borderId="1" xfId="0" applyFont="1" applyFill="1" applyBorder="1" applyAlignment="1">
      <alignment horizontal="center" vertical="center" wrapText="1"/>
    </xf>
    <xf numFmtId="42" fontId="0" fillId="0" borderId="0" xfId="4" applyFont="1"/>
    <xf numFmtId="0" fontId="4" fillId="4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3" fontId="13" fillId="3" borderId="1" xfId="1" applyFont="1" applyFill="1" applyBorder="1" applyAlignment="1">
      <alignment horizontal="center" vertical="center" wrapText="1"/>
    </xf>
    <xf numFmtId="164" fontId="14" fillId="5" borderId="1" xfId="3" applyNumberFormat="1" applyFont="1" applyFill="1" applyBorder="1" applyAlignment="1">
      <alignment horizontal="center" vertical="center"/>
    </xf>
    <xf numFmtId="10" fontId="14" fillId="5" borderId="1" xfId="5" applyNumberFormat="1" applyFont="1" applyFill="1" applyBorder="1" applyAlignment="1">
      <alignment horizontal="center" vertical="center"/>
    </xf>
    <xf numFmtId="10" fontId="14" fillId="5" borderId="1" xfId="0" applyNumberFormat="1" applyFont="1" applyFill="1" applyBorder="1" applyAlignment="1">
      <alignment horizontal="center" vertical="center"/>
    </xf>
    <xf numFmtId="10" fontId="0" fillId="0" borderId="0" xfId="4" applyNumberFormat="1" applyFont="1"/>
    <xf numFmtId="164" fontId="0" fillId="0" borderId="0" xfId="4" applyNumberFormat="1" applyFont="1"/>
    <xf numFmtId="10" fontId="0" fillId="0" borderId="0" xfId="0" applyNumberFormat="1"/>
    <xf numFmtId="8" fontId="15" fillId="0" borderId="0" xfId="0" applyNumberFormat="1" applyFont="1"/>
    <xf numFmtId="0" fontId="18" fillId="0" borderId="9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19" fillId="10" borderId="10" xfId="0" applyFont="1" applyFill="1" applyBorder="1" applyAlignment="1">
      <alignment vertical="center" wrapText="1"/>
    </xf>
    <xf numFmtId="6" fontId="8" fillId="11" borderId="1" xfId="0" applyNumberFormat="1" applyFont="1" applyFill="1" applyBorder="1" applyAlignment="1">
      <alignment horizontal="center" vertical="center"/>
    </xf>
    <xf numFmtId="6" fontId="5" fillId="11" borderId="1" xfId="3" applyNumberFormat="1" applyFont="1" applyFill="1" applyBorder="1" applyAlignment="1">
      <alignment horizontal="center" vertical="center"/>
    </xf>
    <xf numFmtId="10" fontId="0" fillId="0" borderId="1" xfId="5" applyNumberFormat="1" applyFont="1" applyBorder="1" applyAlignment="1">
      <alignment horizontal="center" vertical="center"/>
    </xf>
    <xf numFmtId="0" fontId="0" fillId="11" borderId="1" xfId="0" applyFill="1" applyBorder="1"/>
    <xf numFmtId="6" fontId="5" fillId="12" borderId="1" xfId="3" applyNumberFormat="1" applyFont="1" applyFill="1" applyBorder="1" applyAlignment="1">
      <alignment horizontal="center" vertical="center"/>
    </xf>
    <xf numFmtId="10" fontId="0" fillId="12" borderId="1" xfId="5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44" fontId="0" fillId="0" borderId="1" xfId="3" applyFont="1" applyBorder="1"/>
    <xf numFmtId="44" fontId="0" fillId="0" borderId="1" xfId="3" applyFont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 wrapText="1"/>
    </xf>
    <xf numFmtId="8" fontId="22" fillId="0" borderId="1" xfId="0" applyNumberFormat="1" applyFont="1" applyBorder="1" applyAlignment="1">
      <alignment horizontal="center" vertical="center" wrapText="1"/>
    </xf>
    <xf numFmtId="44" fontId="2" fillId="0" borderId="1" xfId="3" applyFont="1" applyBorder="1"/>
    <xf numFmtId="44" fontId="2" fillId="14" borderId="1" xfId="0" applyNumberFormat="1" applyFont="1" applyFill="1" applyBorder="1"/>
    <xf numFmtId="44" fontId="0" fillId="0" borderId="0" xfId="0" applyNumberFormat="1"/>
    <xf numFmtId="0" fontId="23" fillId="0" borderId="0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8" fontId="0" fillId="0" borderId="0" xfId="3" applyNumberFormat="1" applyFont="1"/>
    <xf numFmtId="44" fontId="25" fillId="0" borderId="1" xfId="3" applyFont="1" applyBorder="1" applyAlignment="1">
      <alignment horizontal="center" vertical="center"/>
    </xf>
    <xf numFmtId="3" fontId="0" fillId="0" borderId="0" xfId="0" applyNumberFormat="1"/>
    <xf numFmtId="0" fontId="26" fillId="5" borderId="1" xfId="0" applyFont="1" applyFill="1" applyBorder="1" applyAlignment="1">
      <alignment horizontal="center" vertical="center" wrapText="1"/>
    </xf>
    <xf numFmtId="44" fontId="20" fillId="0" borderId="1" xfId="3" applyFont="1" applyBorder="1" applyAlignment="1">
      <alignment horizontal="center" vertical="center" wrapText="1"/>
    </xf>
    <xf numFmtId="44" fontId="6" fillId="2" borderId="7" xfId="3" applyFont="1" applyFill="1" applyBorder="1" applyAlignment="1">
      <alignment horizontal="center" vertical="center"/>
    </xf>
    <xf numFmtId="44" fontId="23" fillId="0" borderId="0" xfId="0" applyNumberFormat="1" applyFont="1" applyBorder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5" borderId="1" xfId="2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left" vertical="center" wrapText="1"/>
    </xf>
    <xf numFmtId="0" fontId="17" fillId="9" borderId="0" xfId="0" applyFont="1" applyFill="1" applyBorder="1" applyAlignment="1">
      <alignment horizontal="left" vertical="center" wrapText="1"/>
    </xf>
    <xf numFmtId="0" fontId="17" fillId="9" borderId="12" xfId="0" applyFont="1" applyFill="1" applyBorder="1" applyAlignment="1">
      <alignment horizontal="left" vertical="center" wrapText="1"/>
    </xf>
    <xf numFmtId="41" fontId="0" fillId="5" borderId="13" xfId="2" applyFont="1" applyFill="1" applyBorder="1" applyAlignment="1">
      <alignment horizontal="center"/>
    </xf>
    <xf numFmtId="41" fontId="0" fillId="5" borderId="14" xfId="2" applyFont="1" applyFill="1" applyBorder="1" applyAlignment="1">
      <alignment horizontal="center"/>
    </xf>
    <xf numFmtId="41" fontId="10" fillId="5" borderId="18" xfId="2" applyFont="1" applyFill="1" applyBorder="1" applyAlignment="1">
      <alignment horizontal="center" vertical="center" wrapText="1"/>
    </xf>
    <xf numFmtId="41" fontId="10" fillId="5" borderId="0" xfId="2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41" fontId="10" fillId="5" borderId="19" xfId="2" applyFont="1" applyFill="1" applyBorder="1" applyAlignment="1">
      <alignment horizontal="center" vertical="center" wrapText="1"/>
    </xf>
    <xf numFmtId="41" fontId="10" fillId="5" borderId="20" xfId="2" applyFont="1" applyFill="1" applyBorder="1" applyAlignment="1">
      <alignment horizontal="center" vertical="center" wrapText="1"/>
    </xf>
    <xf numFmtId="41" fontId="10" fillId="5" borderId="21" xfId="2" applyFont="1" applyFill="1" applyBorder="1" applyAlignment="1">
      <alignment horizontal="center" vertical="center" wrapText="1"/>
    </xf>
    <xf numFmtId="41" fontId="10" fillId="5" borderId="22" xfId="2" applyFont="1" applyFill="1" applyBorder="1" applyAlignment="1">
      <alignment horizontal="center" vertical="center" wrapText="1"/>
    </xf>
    <xf numFmtId="41" fontId="10" fillId="5" borderId="23" xfId="2" applyFont="1" applyFill="1" applyBorder="1" applyAlignment="1">
      <alignment horizontal="center" vertical="center" wrapText="1"/>
    </xf>
    <xf numFmtId="41" fontId="10" fillId="5" borderId="24" xfId="2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41" fontId="0" fillId="5" borderId="27" xfId="2" applyFont="1" applyFill="1" applyBorder="1" applyAlignment="1">
      <alignment horizontal="center"/>
    </xf>
    <xf numFmtId="41" fontId="0" fillId="5" borderId="28" xfId="2" applyFont="1" applyFill="1" applyBorder="1" applyAlignment="1">
      <alignment horizontal="center"/>
    </xf>
    <xf numFmtId="41" fontId="0" fillId="5" borderId="5" xfId="2" applyFont="1" applyFill="1" applyBorder="1" applyAlignment="1">
      <alignment horizontal="center"/>
    </xf>
    <xf numFmtId="41" fontId="0" fillId="5" borderId="29" xfId="2" applyFont="1" applyFill="1" applyBorder="1" applyAlignment="1">
      <alignment horizontal="center"/>
    </xf>
    <xf numFmtId="41" fontId="0" fillId="5" borderId="4" xfId="2" applyFont="1" applyFill="1" applyBorder="1" applyAlignment="1">
      <alignment horizontal="center"/>
    </xf>
    <xf numFmtId="41" fontId="0" fillId="5" borderId="6" xfId="2" applyFont="1" applyFill="1" applyBorder="1" applyAlignment="1">
      <alignment horizontal="center"/>
    </xf>
    <xf numFmtId="0" fontId="16" fillId="6" borderId="7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44" fontId="29" fillId="0" borderId="1" xfId="3" applyFont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142875</xdr:rowOff>
    </xdr:from>
    <xdr:to>
      <xdr:col>11</xdr:col>
      <xdr:colOff>704850</xdr:colOff>
      <xdr:row>45</xdr:row>
      <xdr:rowOff>9525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/>
        <a:srcRect l="26064" t="12256" r="30505" b="4008"/>
        <a:stretch/>
      </xdr:blipFill>
      <xdr:spPr bwMode="auto">
        <a:xfrm>
          <a:off x="266700" y="142875"/>
          <a:ext cx="8820150" cy="84391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266699</xdr:colOff>
      <xdr:row>0</xdr:row>
      <xdr:rowOff>114300</xdr:rowOff>
    </xdr:from>
    <xdr:to>
      <xdr:col>13</xdr:col>
      <xdr:colOff>485774</xdr:colOff>
      <xdr:row>42</xdr:row>
      <xdr:rowOff>76200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/>
        <a:srcRect l="26060" t="14803" r="33387" b="12934"/>
        <a:stretch/>
      </xdr:blipFill>
      <xdr:spPr bwMode="auto">
        <a:xfrm>
          <a:off x="266699" y="114300"/>
          <a:ext cx="10125075" cy="7962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180975</xdr:rowOff>
    </xdr:from>
    <xdr:to>
      <xdr:col>14</xdr:col>
      <xdr:colOff>304800</xdr:colOff>
      <xdr:row>45</xdr:row>
      <xdr:rowOff>9525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/>
        <a:srcRect l="22658" t="20055" r="39566" b="13413"/>
        <a:stretch/>
      </xdr:blipFill>
      <xdr:spPr bwMode="auto">
        <a:xfrm>
          <a:off x="285750" y="180975"/>
          <a:ext cx="10687050" cy="8401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28575</xdr:rowOff>
    </xdr:from>
    <xdr:to>
      <xdr:col>3</xdr:col>
      <xdr:colOff>1229360</xdr:colOff>
      <xdr:row>3</xdr:row>
      <xdr:rowOff>3810</xdr:rowOff>
    </xdr:to>
    <xdr:pic>
      <xdr:nvPicPr>
        <xdr:cNvPr id="4" name="image15.png" descr="Logo_SGC_Escala"/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1704975" y="219075"/>
          <a:ext cx="1191260" cy="63246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9</xdr:col>
      <xdr:colOff>203835</xdr:colOff>
      <xdr:row>30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B03021-68CF-469E-858F-B0D731793A9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2100" t="77174" r="52614" b="16550"/>
        <a:stretch/>
      </xdr:blipFill>
      <xdr:spPr bwMode="auto">
        <a:xfrm>
          <a:off x="6115050" y="3724275"/>
          <a:ext cx="1423035" cy="400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28575</xdr:rowOff>
    </xdr:from>
    <xdr:to>
      <xdr:col>3</xdr:col>
      <xdr:colOff>1229360</xdr:colOff>
      <xdr:row>3</xdr:row>
      <xdr:rowOff>3810</xdr:rowOff>
    </xdr:to>
    <xdr:pic>
      <xdr:nvPicPr>
        <xdr:cNvPr id="2" name="image15.png" descr="Logo_SGC_Escala"/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1704975" y="219075"/>
          <a:ext cx="1191260" cy="63246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9</xdr:col>
      <xdr:colOff>203835</xdr:colOff>
      <xdr:row>30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B03021-68CF-469E-858F-B0D731793A9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2100" t="77174" r="52614" b="16550"/>
        <a:stretch/>
      </xdr:blipFill>
      <xdr:spPr bwMode="auto">
        <a:xfrm>
          <a:off x="8401050" y="8305800"/>
          <a:ext cx="1423035" cy="400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28575</xdr:rowOff>
    </xdr:from>
    <xdr:to>
      <xdr:col>3</xdr:col>
      <xdr:colOff>1229360</xdr:colOff>
      <xdr:row>3</xdr:row>
      <xdr:rowOff>3810</xdr:rowOff>
    </xdr:to>
    <xdr:pic>
      <xdr:nvPicPr>
        <xdr:cNvPr id="2" name="image15.png" descr="Logo_SGC_Escala"/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1704975" y="219075"/>
          <a:ext cx="1191260" cy="63246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9</xdr:col>
      <xdr:colOff>203835</xdr:colOff>
      <xdr:row>30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B03021-68CF-469E-858F-B0D731793A9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2100" t="77174" r="52614" b="16550"/>
        <a:stretch/>
      </xdr:blipFill>
      <xdr:spPr bwMode="auto">
        <a:xfrm>
          <a:off x="8401050" y="8305800"/>
          <a:ext cx="1423035" cy="400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28575</xdr:rowOff>
    </xdr:from>
    <xdr:to>
      <xdr:col>3</xdr:col>
      <xdr:colOff>1229360</xdr:colOff>
      <xdr:row>3</xdr:row>
      <xdr:rowOff>3810</xdr:rowOff>
    </xdr:to>
    <xdr:pic>
      <xdr:nvPicPr>
        <xdr:cNvPr id="2" name="image15.png" descr="Logo_SGC_Escala"/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1704975" y="219075"/>
          <a:ext cx="1191260" cy="63246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5</xdr:col>
      <xdr:colOff>85725</xdr:colOff>
      <xdr:row>25</xdr:row>
      <xdr:rowOff>152400</xdr:rowOff>
    </xdr:from>
    <xdr:to>
      <xdr:col>5</xdr:col>
      <xdr:colOff>1508760</xdr:colOff>
      <xdr:row>27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B03021-68CF-469E-858F-B0D731793A9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2100" t="77174" r="52614" b="16550"/>
        <a:stretch/>
      </xdr:blipFill>
      <xdr:spPr bwMode="auto">
        <a:xfrm>
          <a:off x="4552950" y="7839075"/>
          <a:ext cx="1423035" cy="400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Q44"/>
  <sheetViews>
    <sheetView showGridLines="0" workbookViewId="0">
      <selection activeCell="F27" sqref="F27"/>
    </sheetView>
  </sheetViews>
  <sheetFormatPr baseColWidth="10" defaultRowHeight="15" x14ac:dyDescent="0.25"/>
  <cols>
    <col min="2" max="2" width="38" customWidth="1"/>
    <col min="3" max="3" width="38.7109375" customWidth="1"/>
    <col min="4" max="4" width="16.5703125" customWidth="1"/>
    <col min="5" max="5" width="14.28515625" customWidth="1"/>
    <col min="6" max="6" width="20.5703125" customWidth="1"/>
    <col min="8" max="8" width="15.5703125" style="14" bestFit="1" customWidth="1"/>
    <col min="9" max="9" width="15.85546875" customWidth="1"/>
    <col min="12" max="12" width="14" bestFit="1" customWidth="1"/>
  </cols>
  <sheetData>
    <row r="5" spans="3:17" x14ac:dyDescent="0.25">
      <c r="C5" s="13" t="s">
        <v>14</v>
      </c>
      <c r="D5" s="13" t="s">
        <v>15</v>
      </c>
      <c r="E5" s="13" t="s">
        <v>16</v>
      </c>
      <c r="F5" s="13" t="s">
        <v>17</v>
      </c>
    </row>
    <row r="6" spans="3:17" x14ac:dyDescent="0.25">
      <c r="C6" s="15" t="s">
        <v>0</v>
      </c>
      <c r="D6" s="16">
        <v>79788400</v>
      </c>
      <c r="E6" s="16">
        <f>+D6*19%</f>
        <v>15159796</v>
      </c>
      <c r="F6" s="17">
        <f>+D6+E6</f>
        <v>94948196</v>
      </c>
      <c r="I6" s="18"/>
    </row>
    <row r="7" spans="3:17" x14ac:dyDescent="0.25">
      <c r="C7" s="15" t="s">
        <v>1</v>
      </c>
      <c r="D7" s="16">
        <v>56108000</v>
      </c>
      <c r="E7" s="16">
        <f t="shared" ref="E7:E10" si="0">+D7*19%</f>
        <v>10660520</v>
      </c>
      <c r="F7" s="17">
        <f t="shared" ref="F7:F10" si="1">+D7+E7</f>
        <v>66768520</v>
      </c>
      <c r="I7" s="18"/>
    </row>
    <row r="8" spans="3:17" x14ac:dyDescent="0.25">
      <c r="C8" s="15" t="s">
        <v>12</v>
      </c>
      <c r="D8" s="16">
        <v>43078000</v>
      </c>
      <c r="E8" s="16">
        <f t="shared" ref="E8" si="2">+D8*19%</f>
        <v>8184820</v>
      </c>
      <c r="F8" s="17">
        <f t="shared" ref="F8" si="3">+D8+E8</f>
        <v>51262820</v>
      </c>
      <c r="I8" s="18"/>
    </row>
    <row r="9" spans="3:17" x14ac:dyDescent="0.25">
      <c r="C9" s="15" t="s">
        <v>11</v>
      </c>
      <c r="D9" s="16">
        <v>103021260.50420168</v>
      </c>
      <c r="E9" s="16">
        <f t="shared" si="0"/>
        <v>19574039.49579832</v>
      </c>
      <c r="F9" s="17">
        <f t="shared" si="1"/>
        <v>122595300</v>
      </c>
      <c r="I9" s="18"/>
    </row>
    <row r="10" spans="3:17" x14ac:dyDescent="0.25">
      <c r="C10" s="15" t="s">
        <v>13</v>
      </c>
      <c r="D10" s="16">
        <v>94069053.781512603</v>
      </c>
      <c r="E10" s="16">
        <f t="shared" si="0"/>
        <v>17873120.218487393</v>
      </c>
      <c r="F10" s="17">
        <f t="shared" si="1"/>
        <v>111942174</v>
      </c>
      <c r="I10" s="18"/>
    </row>
    <row r="11" spans="3:17" x14ac:dyDescent="0.25">
      <c r="C11" s="19" t="s">
        <v>18</v>
      </c>
      <c r="D11" s="20">
        <f>+AVERAGE(D6:D10)</f>
        <v>75212942.857142851</v>
      </c>
      <c r="E11" s="20">
        <f>+AVERAGE(E6:E10)</f>
        <v>14290459.142857144</v>
      </c>
      <c r="F11" s="20">
        <f>+AVERAGE(F6:F10)</f>
        <v>89503402</v>
      </c>
    </row>
    <row r="12" spans="3:17" x14ac:dyDescent="0.25">
      <c r="C12" s="19" t="s">
        <v>19</v>
      </c>
      <c r="D12" s="20">
        <f>+STDEVA(D6:D10)</f>
        <v>25236103.362170022</v>
      </c>
      <c r="E12" s="20">
        <f>+STDEVA(E6:E10)</f>
        <v>4794859.6388122933</v>
      </c>
      <c r="F12" s="20">
        <f>+STDEVA(F6:F10)</f>
        <v>30030963.000982303</v>
      </c>
    </row>
    <row r="13" spans="3:17" x14ac:dyDescent="0.25">
      <c r="C13" s="19" t="s">
        <v>20</v>
      </c>
      <c r="D13" s="20">
        <f>+MIN(D6:D10)</f>
        <v>43078000</v>
      </c>
      <c r="E13" s="20">
        <f>+MIN(E6:E10)</f>
        <v>8184820</v>
      </c>
      <c r="F13" s="20">
        <f>+MIN(F6:F10)</f>
        <v>51262820</v>
      </c>
      <c r="I13" s="14"/>
      <c r="J13" s="14"/>
      <c r="K13" s="14"/>
      <c r="L13" s="14"/>
      <c r="M13" s="14"/>
      <c r="N13" s="14"/>
      <c r="O13" s="14"/>
      <c r="P13" s="14"/>
      <c r="Q13" s="14"/>
    </row>
    <row r="14" spans="3:17" x14ac:dyDescent="0.25">
      <c r="C14" s="19" t="s">
        <v>21</v>
      </c>
      <c r="D14" s="20">
        <f>+MAX(D6:D10)</f>
        <v>103021260.50420168</v>
      </c>
      <c r="E14" s="20">
        <f>+MAX(E6:E10)</f>
        <v>19574039.49579832</v>
      </c>
      <c r="F14" s="20">
        <f>+MAX(F6:F10)</f>
        <v>122595300</v>
      </c>
      <c r="I14" s="14"/>
      <c r="J14" s="14"/>
      <c r="K14" s="14"/>
      <c r="L14" s="14"/>
      <c r="M14" s="14"/>
      <c r="N14" s="14"/>
      <c r="O14" s="14"/>
      <c r="P14" s="14"/>
      <c r="Q14" s="14"/>
    </row>
    <row r="15" spans="3:17" x14ac:dyDescent="0.25">
      <c r="C15" s="19" t="s">
        <v>22</v>
      </c>
      <c r="D15" s="21">
        <f>+D12/D11</f>
        <v>0.33552873220374718</v>
      </c>
      <c r="E15" s="21">
        <f>+E12/E11</f>
        <v>0.33552873220374635</v>
      </c>
      <c r="F15" s="21">
        <f>+F12/F11</f>
        <v>0.3355287322037469</v>
      </c>
      <c r="I15" s="14"/>
      <c r="J15" s="14"/>
      <c r="K15" s="14"/>
      <c r="L15" s="14"/>
      <c r="M15" s="14"/>
      <c r="N15" s="14"/>
      <c r="O15" s="14"/>
      <c r="P15" s="14"/>
      <c r="Q15" s="14"/>
    </row>
    <row r="16" spans="3:17" ht="25.5" x14ac:dyDescent="0.25">
      <c r="C16" s="19" t="s">
        <v>23</v>
      </c>
      <c r="D16" s="22">
        <v>0.58189999999999997</v>
      </c>
      <c r="E16" s="22">
        <v>0.58189999999999997</v>
      </c>
      <c r="F16" s="22">
        <v>0.58189999999999997</v>
      </c>
      <c r="H16" s="18">
        <f>+F9</f>
        <v>122595300</v>
      </c>
      <c r="I16" s="11">
        <v>1</v>
      </c>
      <c r="J16" s="14"/>
      <c r="K16" s="14"/>
      <c r="L16" s="14"/>
      <c r="M16" s="14"/>
      <c r="N16" s="14"/>
      <c r="O16" s="14"/>
      <c r="P16" s="14"/>
      <c r="Q16" s="14"/>
    </row>
    <row r="17" spans="3:17" x14ac:dyDescent="0.25">
      <c r="H17" s="18">
        <f>+F8</f>
        <v>51262820</v>
      </c>
      <c r="I17" s="12">
        <f>+H17*I16/H16</f>
        <v>0.41814669893544043</v>
      </c>
      <c r="J17" s="14"/>
      <c r="K17" s="14"/>
      <c r="L17" s="14"/>
      <c r="M17" s="14"/>
      <c r="N17" s="14"/>
      <c r="O17" s="14"/>
      <c r="P17" s="14"/>
      <c r="Q17" s="14"/>
    </row>
    <row r="18" spans="3:17" x14ac:dyDescent="0.25">
      <c r="H18"/>
      <c r="I18" s="23"/>
      <c r="J18" s="14"/>
      <c r="K18" s="14"/>
      <c r="L18" s="14"/>
      <c r="M18" s="14"/>
      <c r="N18" s="14"/>
      <c r="O18" s="14"/>
      <c r="P18" s="14"/>
      <c r="Q18" s="14"/>
    </row>
    <row r="19" spans="3:17" x14ac:dyDescent="0.25">
      <c r="H19"/>
      <c r="I19" s="23"/>
      <c r="J19" s="14"/>
      <c r="K19" s="14"/>
      <c r="L19" s="14"/>
      <c r="M19" s="14"/>
      <c r="N19" s="14"/>
      <c r="O19" s="14"/>
      <c r="P19" s="14"/>
      <c r="Q19" s="14"/>
    </row>
    <row r="20" spans="3:17" x14ac:dyDescent="0.25">
      <c r="D20" s="26">
        <v>94948196</v>
      </c>
      <c r="E20" s="14">
        <f>+D20/1.19</f>
        <v>79788400</v>
      </c>
      <c r="F20" s="14">
        <f>+D20-E20</f>
        <v>15159796</v>
      </c>
      <c r="G20" s="11"/>
      <c r="H20"/>
      <c r="I20" s="12">
        <f>+I16-I17</f>
        <v>0.58185330106455957</v>
      </c>
      <c r="J20" s="14"/>
      <c r="K20" s="14"/>
      <c r="L20" s="14"/>
      <c r="M20" s="14"/>
      <c r="N20" s="14"/>
      <c r="O20" s="14"/>
      <c r="P20" s="14"/>
      <c r="Q20" s="14"/>
    </row>
    <row r="21" spans="3:17" x14ac:dyDescent="0.25">
      <c r="D21" s="26">
        <v>66768520</v>
      </c>
      <c r="E21" s="14">
        <f>+D21/1.19</f>
        <v>56108000</v>
      </c>
      <c r="F21" s="14">
        <f>+D21-E21</f>
        <v>10660520</v>
      </c>
      <c r="G21" s="11"/>
      <c r="H21" s="4">
        <f>+H16/2</f>
        <v>61297650</v>
      </c>
      <c r="I21" s="14"/>
      <c r="J21" s="14"/>
      <c r="K21" s="14"/>
      <c r="L21" s="14"/>
      <c r="M21" s="14"/>
      <c r="N21" s="14"/>
      <c r="O21" s="14"/>
      <c r="P21" s="14"/>
      <c r="Q21" s="14"/>
    </row>
    <row r="22" spans="3:17" x14ac:dyDescent="0.25">
      <c r="D22" s="26">
        <v>51262820</v>
      </c>
      <c r="E22" s="14">
        <f t="shared" ref="E22:E24" si="4">+D22/1.19</f>
        <v>43078000</v>
      </c>
      <c r="F22" s="14">
        <f t="shared" ref="F22:F24" si="5">+D22-E22</f>
        <v>8184820</v>
      </c>
      <c r="G22" s="11"/>
      <c r="I22" s="14"/>
      <c r="J22" s="14"/>
      <c r="K22" s="14"/>
      <c r="L22" s="14"/>
      <c r="M22" s="14"/>
      <c r="N22" s="14"/>
      <c r="O22" s="14"/>
      <c r="P22" s="14"/>
      <c r="Q22" s="14"/>
    </row>
    <row r="23" spans="3:17" x14ac:dyDescent="0.25">
      <c r="D23" s="26">
        <v>122595300</v>
      </c>
      <c r="E23" s="14">
        <f t="shared" si="4"/>
        <v>103021260.50420168</v>
      </c>
      <c r="F23" s="14">
        <f t="shared" si="5"/>
        <v>19574039.49579832</v>
      </c>
      <c r="G23" s="11"/>
      <c r="H23" s="24"/>
      <c r="I23" s="14"/>
      <c r="J23" s="14"/>
      <c r="K23" s="14"/>
      <c r="L23" s="14"/>
      <c r="M23" s="14"/>
      <c r="N23" s="14"/>
      <c r="O23" s="14"/>
      <c r="P23" s="14"/>
      <c r="Q23" s="14"/>
    </row>
    <row r="24" spans="3:17" x14ac:dyDescent="0.25">
      <c r="D24" s="26">
        <v>111942174</v>
      </c>
      <c r="E24" s="14">
        <f t="shared" si="4"/>
        <v>94069053.781512603</v>
      </c>
      <c r="F24" s="14">
        <f t="shared" si="5"/>
        <v>17873120.218487397</v>
      </c>
      <c r="G24" s="12"/>
      <c r="I24" s="14"/>
      <c r="J24" s="14"/>
      <c r="K24" s="14"/>
      <c r="L24" s="14"/>
      <c r="M24" s="14"/>
      <c r="N24" s="14"/>
      <c r="O24" s="14"/>
      <c r="P24" s="14"/>
      <c r="Q24" s="14"/>
    </row>
    <row r="25" spans="3:17" x14ac:dyDescent="0.25">
      <c r="G25" s="25"/>
      <c r="I25" s="14"/>
      <c r="J25" s="14"/>
      <c r="K25" s="14"/>
      <c r="L25" s="14"/>
      <c r="M25" s="14"/>
      <c r="N25" s="14"/>
      <c r="O25" s="14"/>
      <c r="P25" s="14"/>
      <c r="Q25" s="14"/>
    </row>
    <row r="26" spans="3:17" x14ac:dyDescent="0.25">
      <c r="I26" s="14"/>
      <c r="J26" s="14"/>
      <c r="K26" s="14"/>
      <c r="L26" s="14"/>
      <c r="M26" s="14"/>
      <c r="N26" s="14"/>
      <c r="O26" s="14"/>
      <c r="P26" s="14"/>
      <c r="Q26" s="14"/>
    </row>
    <row r="27" spans="3:17" x14ac:dyDescent="0.25">
      <c r="I27" s="14"/>
      <c r="J27" s="14"/>
      <c r="K27" s="14"/>
      <c r="L27" s="14"/>
      <c r="M27" s="14"/>
      <c r="N27" s="14"/>
      <c r="O27" s="14"/>
      <c r="P27" s="14"/>
      <c r="Q27" s="14"/>
    </row>
    <row r="28" spans="3:17" x14ac:dyDescent="0.25">
      <c r="I28" s="14"/>
      <c r="J28" s="14"/>
      <c r="K28" s="14"/>
      <c r="L28" s="14"/>
      <c r="M28" s="14"/>
      <c r="N28" s="14"/>
      <c r="O28" s="14"/>
      <c r="P28" s="14"/>
      <c r="Q28" s="14"/>
    </row>
    <row r="29" spans="3:17" x14ac:dyDescent="0.25">
      <c r="C29" s="70" t="s">
        <v>24</v>
      </c>
      <c r="D29" s="71"/>
      <c r="E29" s="71"/>
      <c r="F29" s="71"/>
      <c r="G29" s="71"/>
      <c r="H29" s="71"/>
      <c r="I29" s="71"/>
      <c r="J29" s="14"/>
      <c r="K29" s="14"/>
      <c r="L29" s="14"/>
      <c r="M29" s="14"/>
      <c r="N29" s="14"/>
      <c r="O29" s="14"/>
      <c r="P29" s="14"/>
      <c r="Q29" s="14"/>
    </row>
    <row r="30" spans="3:17" x14ac:dyDescent="0.25">
      <c r="C30" s="71"/>
      <c r="D30" s="71"/>
      <c r="E30" s="71"/>
      <c r="F30" s="71"/>
      <c r="G30" s="71"/>
      <c r="H30" s="71"/>
      <c r="I30" s="71"/>
      <c r="J30" s="14"/>
      <c r="K30" s="14"/>
      <c r="L30" s="14"/>
      <c r="M30" s="14"/>
      <c r="N30" s="14"/>
      <c r="O30" s="14"/>
      <c r="P30" s="14"/>
      <c r="Q30" s="14"/>
    </row>
    <row r="31" spans="3:17" x14ac:dyDescent="0.25">
      <c r="C31" s="71"/>
      <c r="D31" s="71"/>
      <c r="E31" s="71"/>
      <c r="F31" s="71"/>
      <c r="G31" s="71"/>
      <c r="H31" s="71"/>
      <c r="I31" s="71"/>
      <c r="J31" s="14"/>
      <c r="K31" s="14"/>
      <c r="L31" s="14"/>
      <c r="M31" s="14"/>
      <c r="N31" s="14"/>
      <c r="O31" s="14"/>
      <c r="P31" s="14"/>
      <c r="Q31" s="14"/>
    </row>
    <row r="32" spans="3:17" x14ac:dyDescent="0.25">
      <c r="C32" s="71"/>
      <c r="D32" s="71"/>
      <c r="E32" s="71"/>
      <c r="F32" s="71"/>
      <c r="G32" s="71"/>
      <c r="H32" s="71"/>
      <c r="I32" s="71"/>
    </row>
    <row r="33" spans="3:9" x14ac:dyDescent="0.25">
      <c r="C33" s="71"/>
      <c r="D33" s="71"/>
      <c r="E33" s="71"/>
      <c r="F33" s="71"/>
      <c r="G33" s="71"/>
      <c r="H33" s="71"/>
      <c r="I33" s="71"/>
    </row>
    <row r="34" spans="3:9" x14ac:dyDescent="0.25">
      <c r="C34" s="71"/>
      <c r="D34" s="71"/>
      <c r="E34" s="71"/>
      <c r="F34" s="71"/>
      <c r="G34" s="71"/>
      <c r="H34" s="71"/>
      <c r="I34" s="71"/>
    </row>
    <row r="35" spans="3:9" x14ac:dyDescent="0.25">
      <c r="C35" s="71"/>
      <c r="D35" s="71"/>
      <c r="E35" s="71"/>
      <c r="F35" s="71"/>
      <c r="G35" s="71"/>
      <c r="H35" s="71"/>
      <c r="I35" s="71"/>
    </row>
    <row r="36" spans="3:9" x14ac:dyDescent="0.25">
      <c r="C36" s="71"/>
      <c r="D36" s="71"/>
      <c r="E36" s="71"/>
      <c r="F36" s="71"/>
      <c r="G36" s="71"/>
      <c r="H36" s="71"/>
      <c r="I36" s="71"/>
    </row>
    <row r="37" spans="3:9" x14ac:dyDescent="0.25">
      <c r="C37" s="71"/>
      <c r="D37" s="71"/>
      <c r="E37" s="71"/>
      <c r="F37" s="71"/>
      <c r="G37" s="71"/>
      <c r="H37" s="71"/>
      <c r="I37" s="71"/>
    </row>
    <row r="38" spans="3:9" x14ac:dyDescent="0.25">
      <c r="C38" s="71"/>
      <c r="D38" s="71"/>
      <c r="E38" s="71"/>
      <c r="F38" s="71"/>
      <c r="G38" s="71"/>
      <c r="H38" s="71"/>
      <c r="I38" s="71"/>
    </row>
    <row r="39" spans="3:9" x14ac:dyDescent="0.25">
      <c r="C39" s="71"/>
      <c r="D39" s="71"/>
      <c r="E39" s="71"/>
      <c r="F39" s="71"/>
      <c r="G39" s="71"/>
      <c r="H39" s="71"/>
      <c r="I39" s="71"/>
    </row>
    <row r="40" spans="3:9" x14ac:dyDescent="0.25">
      <c r="C40" s="71"/>
      <c r="D40" s="71"/>
      <c r="E40" s="71"/>
      <c r="F40" s="71"/>
      <c r="G40" s="71"/>
      <c r="H40" s="71"/>
      <c r="I40" s="71"/>
    </row>
    <row r="41" spans="3:9" x14ac:dyDescent="0.25">
      <c r="C41" s="71"/>
      <c r="D41" s="71"/>
      <c r="E41" s="71"/>
      <c r="F41" s="71"/>
      <c r="G41" s="71"/>
      <c r="H41" s="71"/>
      <c r="I41" s="71"/>
    </row>
    <row r="42" spans="3:9" x14ac:dyDescent="0.25">
      <c r="C42" s="71"/>
      <c r="D42" s="71"/>
      <c r="E42" s="71"/>
      <c r="F42" s="71"/>
      <c r="G42" s="71"/>
      <c r="H42" s="71"/>
      <c r="I42" s="71"/>
    </row>
    <row r="43" spans="3:9" x14ac:dyDescent="0.25">
      <c r="C43" s="71"/>
      <c r="D43" s="71"/>
      <c r="E43" s="71"/>
      <c r="F43" s="71"/>
      <c r="G43" s="71"/>
      <c r="H43" s="71"/>
      <c r="I43" s="71"/>
    </row>
    <row r="44" spans="3:9" x14ac:dyDescent="0.25">
      <c r="C44" s="71"/>
      <c r="D44" s="71"/>
      <c r="E44" s="71"/>
      <c r="F44" s="71"/>
      <c r="G44" s="71"/>
      <c r="H44" s="71"/>
      <c r="I44" s="71"/>
    </row>
  </sheetData>
  <mergeCells count="1">
    <mergeCell ref="C29:I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"/>
  <sheetViews>
    <sheetView showGridLines="0" topLeftCell="D22" zoomScale="145" zoomScaleNormal="145" workbookViewId="0">
      <selection activeCell="F46" sqref="F46"/>
    </sheetView>
  </sheetViews>
  <sheetFormatPr baseColWidth="10" defaultRowHeight="15" x14ac:dyDescent="0.25"/>
  <sheetData/>
  <sheetProtection algorithmName="SHA-512" hashValue="6vSNY1eJc28eCoEbOtE+0R45T6AVyWftxwTlxTok8BzknWYpDVgxLWAVv1JcH9GEBkHvF/JgQ/+lp32pTaJWcg==" saltValue="r9AC3oYppaJqIlqovwVDjQ==" spinCount="100000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"/>
  <sheetViews>
    <sheetView showGridLines="0" topLeftCell="A11" workbookViewId="0">
      <selection activeCell="P40" sqref="P40"/>
    </sheetView>
  </sheetViews>
  <sheetFormatPr baseColWidth="10" defaultRowHeight="15" x14ac:dyDescent="0.25"/>
  <sheetData/>
  <sheetProtection algorithmName="SHA-512" hashValue="KESZ7okHMjjfP0KYYot6je/6zL+WKggXbrPmZTdBgR63z4V25qZZsxY8ZiLwlK4oTJLZIRKIPNPVRHGlB+SJDw==" saltValue="DJ8SgBq07T4i2rG9jrOLgg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"/>
  <sheetViews>
    <sheetView showGridLines="0" topLeftCell="H30" zoomScale="190" zoomScaleNormal="190" workbookViewId="0">
      <selection activeCell="R45" sqref="R45"/>
    </sheetView>
  </sheetViews>
  <sheetFormatPr baseColWidth="10" defaultRowHeight="15" x14ac:dyDescent="0.25"/>
  <sheetData/>
  <sheetProtection algorithmName="SHA-512" hashValue="C7cy6TUtyNh1jhdGVc9R9ChKEFAFbEcrJUClmJ7Qxjz5MSF8p23Fm0x6pTj+W2eVxZIoXnXuENgEu+U9/myuiw==" saltValue="c7ZGWH+xVepzAlkWHDvZMA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L41"/>
  <sheetViews>
    <sheetView showGridLines="0" topLeftCell="B1" zoomScaleNormal="100" workbookViewId="0">
      <selection activeCell="H20" sqref="H20"/>
    </sheetView>
  </sheetViews>
  <sheetFormatPr baseColWidth="10" defaultRowHeight="15" x14ac:dyDescent="0.25"/>
  <cols>
    <col min="1" max="1" width="4.42578125" customWidth="1"/>
    <col min="2" max="2" width="6.28515625" customWidth="1"/>
    <col min="3" max="3" width="14.28515625" customWidth="1"/>
    <col min="4" max="4" width="22.7109375" customWidth="1"/>
    <col min="5" max="5" width="19.28515625" customWidth="1"/>
    <col min="6" max="6" width="32.42578125" customWidth="1"/>
    <col min="7" max="7" width="12.140625" customWidth="1"/>
    <col min="8" max="8" width="6.85546875" bestFit="1" customWidth="1"/>
    <col min="9" max="12" width="18.28515625" customWidth="1"/>
  </cols>
  <sheetData>
    <row r="2" spans="2:12" ht="17.25" customHeight="1" x14ac:dyDescent="0.25">
      <c r="B2" s="102"/>
      <c r="C2" s="103"/>
      <c r="D2" s="103"/>
      <c r="E2" s="104"/>
      <c r="F2" s="76" t="s">
        <v>68</v>
      </c>
      <c r="G2" s="76"/>
      <c r="H2" s="76"/>
      <c r="I2" s="76"/>
      <c r="J2" s="76"/>
      <c r="K2" s="76"/>
      <c r="L2" s="76"/>
    </row>
    <row r="3" spans="2:12" ht="34.5" customHeight="1" x14ac:dyDescent="0.25">
      <c r="B3" s="105"/>
      <c r="C3" s="106"/>
      <c r="D3" s="106"/>
      <c r="E3" s="107"/>
      <c r="F3" s="76"/>
      <c r="G3" s="76"/>
      <c r="H3" s="76"/>
      <c r="I3" s="76"/>
      <c r="J3" s="76"/>
      <c r="K3" s="76"/>
      <c r="L3" s="76"/>
    </row>
    <row r="4" spans="2:12" ht="24" customHeight="1" x14ac:dyDescent="0.25">
      <c r="B4" s="74" t="s">
        <v>62</v>
      </c>
      <c r="C4" s="108" t="s">
        <v>63</v>
      </c>
      <c r="D4" s="108" t="s">
        <v>64</v>
      </c>
      <c r="E4" s="108" t="s">
        <v>65</v>
      </c>
      <c r="F4" s="108" t="s">
        <v>66</v>
      </c>
      <c r="G4" s="108" t="s">
        <v>67</v>
      </c>
      <c r="H4" s="112" t="s">
        <v>61</v>
      </c>
      <c r="I4" s="5" t="s">
        <v>2</v>
      </c>
      <c r="J4" s="5" t="s">
        <v>4</v>
      </c>
      <c r="K4" s="5" t="s">
        <v>5</v>
      </c>
      <c r="L4" s="5" t="s">
        <v>115</v>
      </c>
    </row>
    <row r="5" spans="2:12" ht="23.25" customHeight="1" x14ac:dyDescent="0.25">
      <c r="B5" s="74"/>
      <c r="C5" s="109"/>
      <c r="D5" s="109"/>
      <c r="E5" s="109"/>
      <c r="F5" s="109"/>
      <c r="G5" s="109"/>
      <c r="H5" s="112"/>
      <c r="I5" s="75" t="s">
        <v>58</v>
      </c>
      <c r="J5" s="75" t="s">
        <v>58</v>
      </c>
      <c r="K5" s="75" t="s">
        <v>58</v>
      </c>
      <c r="L5" s="75" t="s">
        <v>58</v>
      </c>
    </row>
    <row r="6" spans="2:12" ht="21" customHeight="1" x14ac:dyDescent="0.25">
      <c r="B6" s="74"/>
      <c r="C6" s="110"/>
      <c r="D6" s="110"/>
      <c r="E6" s="110"/>
      <c r="F6" s="110"/>
      <c r="G6" s="110"/>
      <c r="H6" s="112"/>
      <c r="I6" s="75"/>
      <c r="J6" s="75"/>
      <c r="K6" s="75"/>
      <c r="L6" s="75"/>
    </row>
    <row r="7" spans="2:12" ht="25.5" customHeight="1" x14ac:dyDescent="0.25">
      <c r="B7" s="113">
        <v>1</v>
      </c>
      <c r="C7" s="114" t="s">
        <v>69</v>
      </c>
      <c r="D7" s="114" t="s">
        <v>70</v>
      </c>
      <c r="E7" s="114" t="s">
        <v>71</v>
      </c>
      <c r="F7" s="67" t="s">
        <v>72</v>
      </c>
      <c r="G7" s="67" t="s">
        <v>74</v>
      </c>
      <c r="H7" s="58">
        <v>1</v>
      </c>
      <c r="I7" s="64">
        <v>2463300</v>
      </c>
      <c r="J7" s="64">
        <v>1642200</v>
      </c>
      <c r="K7" s="64">
        <v>5256896</v>
      </c>
      <c r="L7" s="64">
        <v>630600</v>
      </c>
    </row>
    <row r="8" spans="2:12" ht="25.5" x14ac:dyDescent="0.25">
      <c r="B8" s="113">
        <v>2</v>
      </c>
      <c r="C8" s="115"/>
      <c r="D8" s="115"/>
      <c r="E8" s="115"/>
      <c r="F8" s="67" t="s">
        <v>73</v>
      </c>
      <c r="G8" s="67" t="s">
        <v>74</v>
      </c>
      <c r="H8" s="58">
        <v>1</v>
      </c>
      <c r="I8" s="64">
        <v>1756440</v>
      </c>
      <c r="J8" s="64">
        <v>1094800</v>
      </c>
      <c r="K8" s="64">
        <v>1601355</v>
      </c>
      <c r="L8" s="64">
        <v>420400</v>
      </c>
    </row>
    <row r="9" spans="2:12" ht="25.5" x14ac:dyDescent="0.25">
      <c r="B9" s="113">
        <v>3</v>
      </c>
      <c r="C9" s="114" t="s">
        <v>75</v>
      </c>
      <c r="D9" s="114" t="s">
        <v>76</v>
      </c>
      <c r="E9" s="114" t="s">
        <v>77</v>
      </c>
      <c r="F9" s="67" t="s">
        <v>78</v>
      </c>
      <c r="G9" s="67" t="s">
        <v>74</v>
      </c>
      <c r="H9" s="58">
        <v>1</v>
      </c>
      <c r="I9" s="64">
        <v>4000000</v>
      </c>
      <c r="J9" s="64">
        <v>1915900</v>
      </c>
      <c r="K9" s="64">
        <v>5857692</v>
      </c>
      <c r="L9" s="64">
        <v>735700</v>
      </c>
    </row>
    <row r="10" spans="2:12" ht="25.5" x14ac:dyDescent="0.25">
      <c r="B10" s="113">
        <v>4</v>
      </c>
      <c r="C10" s="115"/>
      <c r="D10" s="115"/>
      <c r="E10" s="115"/>
      <c r="F10" s="67" t="s">
        <v>79</v>
      </c>
      <c r="G10" s="67" t="s">
        <v>74</v>
      </c>
      <c r="H10" s="58">
        <v>1</v>
      </c>
      <c r="I10" s="64">
        <v>4000000</v>
      </c>
      <c r="J10" s="64">
        <v>1094800</v>
      </c>
      <c r="K10" s="64">
        <v>1509990</v>
      </c>
      <c r="L10" s="64">
        <v>420400</v>
      </c>
    </row>
    <row r="11" spans="2:12" ht="25.5" x14ac:dyDescent="0.25">
      <c r="B11" s="113">
        <v>5</v>
      </c>
      <c r="C11" s="114" t="s">
        <v>80</v>
      </c>
      <c r="D11" s="114" t="s">
        <v>81</v>
      </c>
      <c r="E11" s="114" t="s">
        <v>82</v>
      </c>
      <c r="F11" s="67" t="s">
        <v>83</v>
      </c>
      <c r="G11" s="67" t="s">
        <v>74</v>
      </c>
      <c r="H11" s="58">
        <v>1</v>
      </c>
      <c r="I11" s="64">
        <v>813960</v>
      </c>
      <c r="J11" s="64">
        <v>684250</v>
      </c>
      <c r="K11" s="64">
        <v>1520837</v>
      </c>
      <c r="L11" s="64">
        <v>262750</v>
      </c>
    </row>
    <row r="12" spans="2:12" ht="25.5" x14ac:dyDescent="0.25">
      <c r="B12" s="113">
        <v>6</v>
      </c>
      <c r="C12" s="115"/>
      <c r="D12" s="115"/>
      <c r="E12" s="115"/>
      <c r="F12" s="67" t="s">
        <v>84</v>
      </c>
      <c r="G12" s="67" t="s">
        <v>74</v>
      </c>
      <c r="H12" s="58">
        <v>1</v>
      </c>
      <c r="I12" s="64">
        <v>749700</v>
      </c>
      <c r="J12" s="64">
        <v>547400</v>
      </c>
      <c r="K12" s="64">
        <v>528634</v>
      </c>
      <c r="L12" s="64">
        <v>210200</v>
      </c>
    </row>
    <row r="13" spans="2:12" ht="25.5" x14ac:dyDescent="0.25">
      <c r="B13" s="113">
        <v>7</v>
      </c>
      <c r="C13" s="114" t="s">
        <v>85</v>
      </c>
      <c r="D13" s="114" t="s">
        <v>86</v>
      </c>
      <c r="E13" s="114" t="s">
        <v>87</v>
      </c>
      <c r="F13" s="67" t="s">
        <v>88</v>
      </c>
      <c r="G13" s="67" t="s">
        <v>74</v>
      </c>
      <c r="H13" s="58">
        <v>1</v>
      </c>
      <c r="I13" s="64">
        <v>1071000</v>
      </c>
      <c r="J13" s="64">
        <v>684250</v>
      </c>
      <c r="K13" s="64">
        <v>1310581</v>
      </c>
      <c r="L13" s="64">
        <v>262750</v>
      </c>
    </row>
    <row r="14" spans="2:12" ht="25.5" x14ac:dyDescent="0.25">
      <c r="B14" s="113">
        <v>8</v>
      </c>
      <c r="C14" s="115"/>
      <c r="D14" s="115"/>
      <c r="E14" s="115"/>
      <c r="F14" s="67" t="s">
        <v>89</v>
      </c>
      <c r="G14" s="67" t="s">
        <v>74</v>
      </c>
      <c r="H14" s="58">
        <v>1</v>
      </c>
      <c r="I14" s="64">
        <v>813960</v>
      </c>
      <c r="J14" s="64">
        <v>547400</v>
      </c>
      <c r="K14" s="64">
        <v>556384</v>
      </c>
      <c r="L14" s="64">
        <v>210200</v>
      </c>
    </row>
    <row r="15" spans="2:12" ht="25.5" x14ac:dyDescent="0.25">
      <c r="B15" s="113">
        <v>9</v>
      </c>
      <c r="C15" s="114" t="s">
        <v>90</v>
      </c>
      <c r="D15" s="114" t="s">
        <v>91</v>
      </c>
      <c r="E15" s="114" t="s">
        <v>92</v>
      </c>
      <c r="F15" s="67" t="s">
        <v>93</v>
      </c>
      <c r="G15" s="67" t="s">
        <v>74</v>
      </c>
      <c r="H15" s="58">
        <v>1</v>
      </c>
      <c r="I15" s="64">
        <v>1178100</v>
      </c>
      <c r="J15" s="64">
        <v>821100</v>
      </c>
      <c r="K15" s="64">
        <v>976454</v>
      </c>
      <c r="L15" s="64">
        <v>315300</v>
      </c>
    </row>
    <row r="16" spans="2:12" ht="25.5" x14ac:dyDescent="0.25">
      <c r="B16" s="113">
        <v>10</v>
      </c>
      <c r="C16" s="115"/>
      <c r="D16" s="115"/>
      <c r="E16" s="115"/>
      <c r="F16" s="67" t="s">
        <v>94</v>
      </c>
      <c r="G16" s="67" t="s">
        <v>74</v>
      </c>
      <c r="H16" s="58">
        <v>1</v>
      </c>
      <c r="I16" s="64">
        <v>685440</v>
      </c>
      <c r="J16" s="64">
        <v>492660</v>
      </c>
      <c r="K16" s="64">
        <v>400893</v>
      </c>
      <c r="L16" s="64">
        <v>189180</v>
      </c>
    </row>
    <row r="17" spans="2:12" ht="25.5" x14ac:dyDescent="0.25">
      <c r="B17" s="113">
        <v>11</v>
      </c>
      <c r="C17" s="114" t="s">
        <v>95</v>
      </c>
      <c r="D17" s="114" t="s">
        <v>96</v>
      </c>
      <c r="E17" s="114" t="s">
        <v>97</v>
      </c>
      <c r="F17" s="67" t="s">
        <v>98</v>
      </c>
      <c r="G17" s="67" t="s">
        <v>74</v>
      </c>
      <c r="H17" s="58">
        <v>1</v>
      </c>
      <c r="I17" s="64">
        <v>1499400</v>
      </c>
      <c r="J17" s="64">
        <v>1094800</v>
      </c>
      <c r="K17" s="64">
        <v>1776695</v>
      </c>
      <c r="L17" s="64">
        <v>420400</v>
      </c>
    </row>
    <row r="18" spans="2:12" ht="25.5" x14ac:dyDescent="0.25">
      <c r="B18" s="113">
        <v>12</v>
      </c>
      <c r="C18" s="115"/>
      <c r="D18" s="115"/>
      <c r="E18" s="115"/>
      <c r="F18" s="67" t="s">
        <v>99</v>
      </c>
      <c r="G18" s="67" t="s">
        <v>74</v>
      </c>
      <c r="H18" s="58">
        <v>1</v>
      </c>
      <c r="I18" s="64">
        <v>685440</v>
      </c>
      <c r="J18" s="64">
        <v>492660</v>
      </c>
      <c r="K18" s="64">
        <v>765975</v>
      </c>
      <c r="L18" s="64">
        <v>189180</v>
      </c>
    </row>
    <row r="19" spans="2:12" ht="25.5" x14ac:dyDescent="0.25">
      <c r="B19" s="113">
        <v>13</v>
      </c>
      <c r="C19" s="114" t="s">
        <v>100</v>
      </c>
      <c r="D19" s="114" t="s">
        <v>101</v>
      </c>
      <c r="E19" s="114" t="s">
        <v>102</v>
      </c>
      <c r="F19" s="67" t="s">
        <v>103</v>
      </c>
      <c r="G19" s="67" t="s">
        <v>74</v>
      </c>
      <c r="H19" s="58">
        <v>1</v>
      </c>
      <c r="I19" s="64">
        <v>1034585</v>
      </c>
      <c r="J19" s="64">
        <v>684250</v>
      </c>
      <c r="K19" s="64">
        <v>1029885</v>
      </c>
      <c r="L19" s="64">
        <v>262750</v>
      </c>
    </row>
    <row r="20" spans="2:12" ht="25.5" x14ac:dyDescent="0.25">
      <c r="B20" s="113">
        <v>14</v>
      </c>
      <c r="C20" s="115"/>
      <c r="D20" s="115"/>
      <c r="E20" s="115"/>
      <c r="F20" s="67" t="s">
        <v>104</v>
      </c>
      <c r="G20" s="67" t="s">
        <v>74</v>
      </c>
      <c r="H20" s="58">
        <v>1</v>
      </c>
      <c r="I20" s="64">
        <v>599760</v>
      </c>
      <c r="J20" s="64">
        <v>410550</v>
      </c>
      <c r="K20" s="64">
        <v>423361</v>
      </c>
      <c r="L20" s="64">
        <v>157650</v>
      </c>
    </row>
    <row r="21" spans="2:12" ht="25.5" x14ac:dyDescent="0.25">
      <c r="B21" s="113">
        <v>15</v>
      </c>
      <c r="C21" s="114" t="s">
        <v>105</v>
      </c>
      <c r="D21" s="114" t="s">
        <v>106</v>
      </c>
      <c r="E21" s="114" t="s">
        <v>107</v>
      </c>
      <c r="F21" s="67" t="s">
        <v>108</v>
      </c>
      <c r="G21" s="67" t="s">
        <v>74</v>
      </c>
      <c r="H21" s="58">
        <v>1</v>
      </c>
      <c r="I21" s="64">
        <v>1606500</v>
      </c>
      <c r="J21" s="64">
        <v>1094800</v>
      </c>
      <c r="K21" s="64">
        <v>1794520</v>
      </c>
      <c r="L21" s="64">
        <v>420400</v>
      </c>
    </row>
    <row r="22" spans="2:12" ht="25.5" x14ac:dyDescent="0.25">
      <c r="B22" s="113">
        <v>16</v>
      </c>
      <c r="C22" s="115"/>
      <c r="D22" s="115"/>
      <c r="E22" s="115"/>
      <c r="F22" s="67" t="s">
        <v>109</v>
      </c>
      <c r="G22" s="67" t="s">
        <v>74</v>
      </c>
      <c r="H22" s="58">
        <v>1</v>
      </c>
      <c r="I22" s="64">
        <v>685440</v>
      </c>
      <c r="J22" s="64">
        <v>410550</v>
      </c>
      <c r="K22" s="64">
        <v>732514</v>
      </c>
      <c r="L22" s="64">
        <v>157650</v>
      </c>
    </row>
    <row r="23" spans="2:12" ht="25.5" x14ac:dyDescent="0.25">
      <c r="B23" s="113">
        <v>17</v>
      </c>
      <c r="C23" s="114" t="s">
        <v>110</v>
      </c>
      <c r="D23" s="114" t="s">
        <v>111</v>
      </c>
      <c r="E23" s="114" t="s">
        <v>112</v>
      </c>
      <c r="F23" s="67" t="s">
        <v>113</v>
      </c>
      <c r="G23" s="67" t="s">
        <v>74</v>
      </c>
      <c r="H23" s="58">
        <v>1</v>
      </c>
      <c r="I23" s="64">
        <v>2356200</v>
      </c>
      <c r="J23" s="64">
        <v>1642200</v>
      </c>
      <c r="K23" s="64">
        <v>4008831</v>
      </c>
      <c r="L23" s="64">
        <v>630600</v>
      </c>
    </row>
    <row r="24" spans="2:12" ht="25.5" x14ac:dyDescent="0.25">
      <c r="B24" s="113">
        <v>18</v>
      </c>
      <c r="C24" s="115"/>
      <c r="D24" s="115"/>
      <c r="E24" s="115"/>
      <c r="F24" s="67" t="s">
        <v>114</v>
      </c>
      <c r="G24" s="67" t="s">
        <v>74</v>
      </c>
      <c r="H24" s="58">
        <v>1</v>
      </c>
      <c r="I24" s="64">
        <v>685440</v>
      </c>
      <c r="J24" s="64">
        <v>410550</v>
      </c>
      <c r="K24" s="64">
        <v>1231221</v>
      </c>
      <c r="L24" s="64">
        <v>157650</v>
      </c>
    </row>
    <row r="25" spans="2:12" x14ac:dyDescent="0.25">
      <c r="B25" s="78" t="s">
        <v>28</v>
      </c>
      <c r="C25" s="78"/>
      <c r="D25" s="78"/>
      <c r="E25" s="78"/>
      <c r="F25" s="78"/>
      <c r="G25" s="78"/>
      <c r="H25" s="78"/>
      <c r="I25" s="65">
        <f>SUM(I7:I24)</f>
        <v>26684665</v>
      </c>
      <c r="J25" s="65">
        <f>SUM(J7:J24)</f>
        <v>15765120</v>
      </c>
      <c r="K25" s="65">
        <f>SUM(K7:K24)</f>
        <v>31282718</v>
      </c>
      <c r="L25" s="65">
        <f>SUM(L7:L24)</f>
        <v>6053760</v>
      </c>
    </row>
    <row r="26" spans="2:12" ht="15" customHeight="1" x14ac:dyDescent="0.25">
      <c r="B26" s="72" t="s">
        <v>59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</row>
    <row r="27" spans="2:12" x14ac:dyDescent="0.25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</row>
    <row r="28" spans="2:12" x14ac:dyDescent="0.25">
      <c r="I28" s="7"/>
      <c r="J28" s="7"/>
      <c r="K28" s="7"/>
      <c r="L28" s="7"/>
    </row>
    <row r="29" spans="2:12" x14ac:dyDescent="0.25">
      <c r="I29" s="4"/>
      <c r="J29" s="4"/>
      <c r="K29" s="4"/>
      <c r="L29" s="4"/>
    </row>
    <row r="30" spans="2:12" x14ac:dyDescent="0.25">
      <c r="I30" s="4"/>
      <c r="J30" s="4"/>
      <c r="K30" s="4"/>
      <c r="L30" s="4"/>
    </row>
    <row r="31" spans="2:12" ht="18.75" x14ac:dyDescent="0.25">
      <c r="I31" s="57" t="s">
        <v>53</v>
      </c>
      <c r="J31" s="57"/>
      <c r="K31" s="57"/>
      <c r="L31" s="57"/>
    </row>
    <row r="32" spans="2:12" ht="18.75" x14ac:dyDescent="0.25">
      <c r="I32" s="57" t="s">
        <v>54</v>
      </c>
      <c r="J32" s="57"/>
      <c r="K32" s="57"/>
      <c r="L32" s="66"/>
    </row>
    <row r="33" spans="9:12" x14ac:dyDescent="0.25">
      <c r="I33" s="7"/>
      <c r="J33" s="7"/>
      <c r="K33" s="7"/>
      <c r="L33" s="7"/>
    </row>
    <row r="35" spans="9:12" x14ac:dyDescent="0.25">
      <c r="I35" s="4"/>
      <c r="J35" s="4"/>
      <c r="K35" s="4"/>
      <c r="L35" s="4"/>
    </row>
    <row r="36" spans="9:12" x14ac:dyDescent="0.25">
      <c r="I36" s="4"/>
      <c r="J36" s="4"/>
      <c r="K36" s="4"/>
      <c r="L36" s="4"/>
    </row>
    <row r="37" spans="9:12" x14ac:dyDescent="0.25">
      <c r="I37" s="4"/>
      <c r="J37" s="4"/>
      <c r="K37" s="4"/>
      <c r="L37" s="4"/>
    </row>
    <row r="38" spans="9:12" x14ac:dyDescent="0.25">
      <c r="L38" s="4"/>
    </row>
    <row r="39" spans="9:12" x14ac:dyDescent="0.25">
      <c r="L39" s="4"/>
    </row>
    <row r="40" spans="9:12" x14ac:dyDescent="0.25">
      <c r="L40" s="4"/>
    </row>
    <row r="41" spans="9:12" x14ac:dyDescent="0.25">
      <c r="L41" s="56"/>
    </row>
  </sheetData>
  <sheetProtection algorithmName="SHA-512" hashValue="NpLdf7BbZSyP3kYmvjwOce3XV2+uwXaJsOkH2XN34F/JZRmDA7HcpY5n36ZSs4nsNj/jgZsy3GfJX/RfjJqSXA==" saltValue="Rwr8lR0gzr95jkZRnCji1Q==" spinCount="100000" sheet="1" objects="1" scenarios="1"/>
  <mergeCells count="42">
    <mergeCell ref="F2:L3"/>
    <mergeCell ref="K5:K6"/>
    <mergeCell ref="B26:L27"/>
    <mergeCell ref="C21:C22"/>
    <mergeCell ref="D21:D22"/>
    <mergeCell ref="E21:E22"/>
    <mergeCell ref="C23:C24"/>
    <mergeCell ref="D23:D24"/>
    <mergeCell ref="E23:E24"/>
    <mergeCell ref="C17:C18"/>
    <mergeCell ref="D17:D18"/>
    <mergeCell ref="E17:E18"/>
    <mergeCell ref="C19:C20"/>
    <mergeCell ref="D19:D20"/>
    <mergeCell ref="E19:E20"/>
    <mergeCell ref="C13:C14"/>
    <mergeCell ref="D13:D14"/>
    <mergeCell ref="E13:E14"/>
    <mergeCell ref="C15:C16"/>
    <mergeCell ref="D15:D16"/>
    <mergeCell ref="E15:E16"/>
    <mergeCell ref="C9:C10"/>
    <mergeCell ref="D9:D10"/>
    <mergeCell ref="E9:E10"/>
    <mergeCell ref="C11:C12"/>
    <mergeCell ref="D11:D12"/>
    <mergeCell ref="E11:E12"/>
    <mergeCell ref="G4:G6"/>
    <mergeCell ref="C7:C8"/>
    <mergeCell ref="D7:D8"/>
    <mergeCell ref="E7:E8"/>
    <mergeCell ref="B25:H25"/>
    <mergeCell ref="B4:B6"/>
    <mergeCell ref="I5:I6"/>
    <mergeCell ref="H4:H6"/>
    <mergeCell ref="L5:L6"/>
    <mergeCell ref="J5:J6"/>
    <mergeCell ref="B2:E3"/>
    <mergeCell ref="C4:C6"/>
    <mergeCell ref="D4:D6"/>
    <mergeCell ref="E4:E6"/>
    <mergeCell ref="F4:F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Q42"/>
  <sheetViews>
    <sheetView showGridLines="0" topLeftCell="A2" zoomScaleNormal="100" workbookViewId="0">
      <selection activeCell="F2" sqref="B2:Q27"/>
    </sheetView>
  </sheetViews>
  <sheetFormatPr baseColWidth="10" defaultRowHeight="15" x14ac:dyDescent="0.25"/>
  <cols>
    <col min="1" max="1" width="4.42578125" customWidth="1"/>
    <col min="2" max="2" width="6.28515625" customWidth="1"/>
    <col min="3" max="3" width="14.28515625" customWidth="1"/>
    <col min="4" max="4" width="22.7109375" customWidth="1"/>
    <col min="5" max="5" width="19.28515625" customWidth="1"/>
    <col min="6" max="6" width="32.42578125" customWidth="1"/>
    <col min="7" max="7" width="19.7109375" customWidth="1"/>
    <col min="8" max="8" width="6.85546875" bestFit="1" customWidth="1"/>
    <col min="9" max="12" width="18.28515625" customWidth="1"/>
    <col min="13" max="14" width="15.85546875" bestFit="1" customWidth="1"/>
    <col min="15" max="15" width="16.5703125" customWidth="1"/>
    <col min="16" max="16" width="16.28515625" customWidth="1"/>
    <col min="17" max="17" width="18.7109375" customWidth="1"/>
  </cols>
  <sheetData>
    <row r="2" spans="2:17" ht="17.25" customHeight="1" x14ac:dyDescent="0.25">
      <c r="B2" s="102"/>
      <c r="C2" s="103"/>
      <c r="D2" s="103"/>
      <c r="E2" s="104"/>
      <c r="F2" s="76" t="s">
        <v>68</v>
      </c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2:17" ht="34.5" customHeight="1" x14ac:dyDescent="0.25">
      <c r="B3" s="105"/>
      <c r="C3" s="106"/>
      <c r="D3" s="106"/>
      <c r="E3" s="107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2:17" ht="24" customHeight="1" x14ac:dyDescent="0.25">
      <c r="B4" s="74" t="s">
        <v>62</v>
      </c>
      <c r="C4" s="108" t="s">
        <v>63</v>
      </c>
      <c r="D4" s="108" t="s">
        <v>64</v>
      </c>
      <c r="E4" s="108" t="s">
        <v>65</v>
      </c>
      <c r="F4" s="108" t="s">
        <v>66</v>
      </c>
      <c r="G4" s="108" t="s">
        <v>67</v>
      </c>
      <c r="H4" s="112" t="s">
        <v>61</v>
      </c>
      <c r="I4" s="5" t="s">
        <v>2</v>
      </c>
      <c r="J4" s="5" t="s">
        <v>4</v>
      </c>
      <c r="K4" s="5" t="s">
        <v>5</v>
      </c>
      <c r="L4" s="5" t="s">
        <v>115</v>
      </c>
      <c r="M4" s="73" t="s">
        <v>55</v>
      </c>
      <c r="N4" s="73"/>
      <c r="O4" s="73"/>
      <c r="P4" s="73"/>
      <c r="Q4" s="77" t="s">
        <v>9</v>
      </c>
    </row>
    <row r="5" spans="2:17" ht="23.25" customHeight="1" x14ac:dyDescent="0.25">
      <c r="B5" s="74"/>
      <c r="C5" s="109"/>
      <c r="D5" s="109"/>
      <c r="E5" s="109"/>
      <c r="F5" s="109"/>
      <c r="G5" s="109"/>
      <c r="H5" s="112"/>
      <c r="I5" s="75" t="s">
        <v>58</v>
      </c>
      <c r="J5" s="75" t="s">
        <v>58</v>
      </c>
      <c r="K5" s="75" t="s">
        <v>58</v>
      </c>
      <c r="L5" s="75" t="s">
        <v>58</v>
      </c>
      <c r="M5" s="69" t="s">
        <v>56</v>
      </c>
      <c r="N5" s="69" t="s">
        <v>6</v>
      </c>
      <c r="O5" s="69" t="s">
        <v>7</v>
      </c>
      <c r="P5" s="69" t="s">
        <v>8</v>
      </c>
      <c r="Q5" s="77"/>
    </row>
    <row r="6" spans="2:17" ht="21" customHeight="1" x14ac:dyDescent="0.25">
      <c r="B6" s="74"/>
      <c r="C6" s="110"/>
      <c r="D6" s="110"/>
      <c r="E6" s="110"/>
      <c r="F6" s="110"/>
      <c r="G6" s="110"/>
      <c r="H6" s="112"/>
      <c r="I6" s="75"/>
      <c r="J6" s="75"/>
      <c r="K6" s="75"/>
      <c r="L6" s="75"/>
      <c r="M6" s="59" t="s">
        <v>57</v>
      </c>
      <c r="N6" s="59" t="s">
        <v>57</v>
      </c>
      <c r="O6" s="59" t="s">
        <v>57</v>
      </c>
      <c r="P6" s="59" t="s">
        <v>57</v>
      </c>
      <c r="Q6" s="63" t="s">
        <v>60</v>
      </c>
    </row>
    <row r="7" spans="2:17" ht="25.5" customHeight="1" x14ac:dyDescent="0.25">
      <c r="B7" s="113">
        <v>1</v>
      </c>
      <c r="C7" s="114" t="s">
        <v>69</v>
      </c>
      <c r="D7" s="114" t="s">
        <v>70</v>
      </c>
      <c r="E7" s="114" t="s">
        <v>71</v>
      </c>
      <c r="F7" s="67" t="s">
        <v>72</v>
      </c>
      <c r="G7" s="67" t="s">
        <v>74</v>
      </c>
      <c r="H7" s="58">
        <v>1</v>
      </c>
      <c r="I7" s="64">
        <v>2463300</v>
      </c>
      <c r="J7" s="64">
        <v>1642200</v>
      </c>
      <c r="K7" s="64">
        <v>5256896</v>
      </c>
      <c r="L7" s="64">
        <v>630600</v>
      </c>
      <c r="M7" s="61">
        <f>+MIN(I7:L7)</f>
        <v>630600</v>
      </c>
      <c r="N7" s="61">
        <f>+AVERAGE(I7:L7)</f>
        <v>2498249</v>
      </c>
      <c r="O7" s="61">
        <f>+GEOMEAN(I7:L7)</f>
        <v>1913624.2972390482</v>
      </c>
      <c r="P7" s="61">
        <f>+HARMEAN(I7:L7)</f>
        <v>1433221.0296490828</v>
      </c>
      <c r="Q7" s="43">
        <f>+_xlfn.STDEV.P(I7:L7)</f>
        <v>1719904.6035181719</v>
      </c>
    </row>
    <row r="8" spans="2:17" ht="25.5" x14ac:dyDescent="0.25">
      <c r="B8" s="113">
        <v>2</v>
      </c>
      <c r="C8" s="115"/>
      <c r="D8" s="115"/>
      <c r="E8" s="115"/>
      <c r="F8" s="67" t="s">
        <v>73</v>
      </c>
      <c r="G8" s="67" t="s">
        <v>74</v>
      </c>
      <c r="H8" s="58">
        <v>1</v>
      </c>
      <c r="I8" s="64">
        <v>1756440</v>
      </c>
      <c r="J8" s="64">
        <v>1094800</v>
      </c>
      <c r="K8" s="64">
        <v>1601355</v>
      </c>
      <c r="L8" s="64">
        <v>420400</v>
      </c>
      <c r="M8" s="61">
        <f t="shared" ref="M8:M24" si="0">+MIN(I8:L8)</f>
        <v>420400</v>
      </c>
      <c r="N8" s="61">
        <f t="shared" ref="N8:N24" si="1">+AVERAGE(I8:L8)</f>
        <v>1218248.75</v>
      </c>
      <c r="O8" s="61">
        <f t="shared" ref="O8:O24" si="2">+GEOMEAN(I8:L8)</f>
        <v>1066668.8407504591</v>
      </c>
      <c r="P8" s="61">
        <f t="shared" ref="P8:P24" si="3">+HARMEAN(I8:L8)</f>
        <v>891682.75248332962</v>
      </c>
      <c r="Q8" s="43">
        <f t="shared" ref="Q8:Q24" si="4">+_xlfn.STDEV.P(I8:L8)</f>
        <v>521589.50385306595</v>
      </c>
    </row>
    <row r="9" spans="2:17" ht="25.5" x14ac:dyDescent="0.25">
      <c r="B9" s="113">
        <v>3</v>
      </c>
      <c r="C9" s="114" t="s">
        <v>75</v>
      </c>
      <c r="D9" s="114" t="s">
        <v>76</v>
      </c>
      <c r="E9" s="114" t="s">
        <v>77</v>
      </c>
      <c r="F9" s="67" t="s">
        <v>78</v>
      </c>
      <c r="G9" s="67" t="s">
        <v>74</v>
      </c>
      <c r="H9" s="58">
        <v>1</v>
      </c>
      <c r="I9" s="64">
        <v>4000000</v>
      </c>
      <c r="J9" s="64">
        <v>1915900</v>
      </c>
      <c r="K9" s="64">
        <v>5857692</v>
      </c>
      <c r="L9" s="64">
        <v>735700</v>
      </c>
      <c r="M9" s="61">
        <f t="shared" si="0"/>
        <v>735700</v>
      </c>
      <c r="N9" s="61">
        <f t="shared" si="1"/>
        <v>3127323</v>
      </c>
      <c r="O9" s="61">
        <f t="shared" si="2"/>
        <v>2397259.3950454625</v>
      </c>
      <c r="P9" s="61">
        <f t="shared" si="3"/>
        <v>1737684.9034825261</v>
      </c>
      <c r="Q9" s="43">
        <f t="shared" si="4"/>
        <v>1962389.2504768262</v>
      </c>
    </row>
    <row r="10" spans="2:17" ht="25.5" x14ac:dyDescent="0.25">
      <c r="B10" s="113">
        <v>4</v>
      </c>
      <c r="C10" s="115"/>
      <c r="D10" s="115"/>
      <c r="E10" s="115"/>
      <c r="F10" s="67" t="s">
        <v>79</v>
      </c>
      <c r="G10" s="67" t="s">
        <v>74</v>
      </c>
      <c r="H10" s="58">
        <v>1</v>
      </c>
      <c r="I10" s="64">
        <v>4000000</v>
      </c>
      <c r="J10" s="64">
        <v>1094800</v>
      </c>
      <c r="K10" s="64">
        <v>1509990</v>
      </c>
      <c r="L10" s="64">
        <v>420400</v>
      </c>
      <c r="M10" s="61">
        <f t="shared" si="0"/>
        <v>420400</v>
      </c>
      <c r="N10" s="61">
        <f t="shared" si="1"/>
        <v>1756297.5</v>
      </c>
      <c r="O10" s="61">
        <f t="shared" si="2"/>
        <v>1291242.7308661023</v>
      </c>
      <c r="P10" s="61">
        <f t="shared" si="3"/>
        <v>951395.16020291811</v>
      </c>
      <c r="Q10" s="43">
        <f t="shared" si="4"/>
        <v>1352504.1003704017</v>
      </c>
    </row>
    <row r="11" spans="2:17" ht="25.5" x14ac:dyDescent="0.25">
      <c r="B11" s="113">
        <v>5</v>
      </c>
      <c r="C11" s="114" t="s">
        <v>80</v>
      </c>
      <c r="D11" s="114" t="s">
        <v>81</v>
      </c>
      <c r="E11" s="114" t="s">
        <v>82</v>
      </c>
      <c r="F11" s="67" t="s">
        <v>83</v>
      </c>
      <c r="G11" s="67" t="s">
        <v>74</v>
      </c>
      <c r="H11" s="58">
        <v>1</v>
      </c>
      <c r="I11" s="64">
        <v>813960</v>
      </c>
      <c r="J11" s="64">
        <v>684250</v>
      </c>
      <c r="K11" s="64">
        <v>1520837</v>
      </c>
      <c r="L11" s="64">
        <v>262750</v>
      </c>
      <c r="M11" s="61">
        <f t="shared" si="0"/>
        <v>262750</v>
      </c>
      <c r="N11" s="61">
        <f t="shared" si="1"/>
        <v>820449.25</v>
      </c>
      <c r="O11" s="61">
        <f t="shared" si="2"/>
        <v>686848.28142061864</v>
      </c>
      <c r="P11" s="61">
        <f t="shared" si="3"/>
        <v>559170.94113972865</v>
      </c>
      <c r="Q11" s="43">
        <f t="shared" si="4"/>
        <v>452814.47632191208</v>
      </c>
    </row>
    <row r="12" spans="2:17" ht="25.5" x14ac:dyDescent="0.25">
      <c r="B12" s="113">
        <v>6</v>
      </c>
      <c r="C12" s="115"/>
      <c r="D12" s="115"/>
      <c r="E12" s="115"/>
      <c r="F12" s="67" t="s">
        <v>84</v>
      </c>
      <c r="G12" s="67" t="s">
        <v>74</v>
      </c>
      <c r="H12" s="58">
        <v>1</v>
      </c>
      <c r="I12" s="64">
        <v>749700</v>
      </c>
      <c r="J12" s="64">
        <v>547400</v>
      </c>
      <c r="K12" s="64">
        <v>528634</v>
      </c>
      <c r="L12" s="64">
        <v>210200</v>
      </c>
      <c r="M12" s="61">
        <f t="shared" si="0"/>
        <v>210200</v>
      </c>
      <c r="N12" s="61">
        <f t="shared" si="1"/>
        <v>508983.5</v>
      </c>
      <c r="O12" s="61">
        <f t="shared" si="2"/>
        <v>462109.63846711378</v>
      </c>
      <c r="P12" s="61">
        <f t="shared" si="3"/>
        <v>407758.56690161431</v>
      </c>
      <c r="Q12" s="43">
        <f t="shared" si="4"/>
        <v>193053.09040973676</v>
      </c>
    </row>
    <row r="13" spans="2:17" ht="25.5" x14ac:dyDescent="0.25">
      <c r="B13" s="113">
        <v>7</v>
      </c>
      <c r="C13" s="114" t="s">
        <v>85</v>
      </c>
      <c r="D13" s="114" t="s">
        <v>86</v>
      </c>
      <c r="E13" s="114" t="s">
        <v>87</v>
      </c>
      <c r="F13" s="67" t="s">
        <v>88</v>
      </c>
      <c r="G13" s="67" t="s">
        <v>74</v>
      </c>
      <c r="H13" s="58">
        <v>1</v>
      </c>
      <c r="I13" s="64">
        <v>1071000</v>
      </c>
      <c r="J13" s="64">
        <v>684250</v>
      </c>
      <c r="K13" s="64">
        <v>1310581</v>
      </c>
      <c r="L13" s="64">
        <v>262750</v>
      </c>
      <c r="M13" s="61">
        <f t="shared" si="0"/>
        <v>262750</v>
      </c>
      <c r="N13" s="61">
        <f t="shared" si="1"/>
        <v>832145.25</v>
      </c>
      <c r="O13" s="61">
        <f t="shared" si="2"/>
        <v>708765.74103056011</v>
      </c>
      <c r="P13" s="61">
        <f t="shared" si="3"/>
        <v>574375.90120212664</v>
      </c>
      <c r="Q13" s="43">
        <f t="shared" si="4"/>
        <v>397503.55789940734</v>
      </c>
    </row>
    <row r="14" spans="2:17" ht="25.5" x14ac:dyDescent="0.25">
      <c r="B14" s="113">
        <v>8</v>
      </c>
      <c r="C14" s="115"/>
      <c r="D14" s="115"/>
      <c r="E14" s="115"/>
      <c r="F14" s="67" t="s">
        <v>89</v>
      </c>
      <c r="G14" s="67" t="s">
        <v>74</v>
      </c>
      <c r="H14" s="58">
        <v>1</v>
      </c>
      <c r="I14" s="64">
        <v>813960</v>
      </c>
      <c r="J14" s="64">
        <v>547400</v>
      </c>
      <c r="K14" s="64">
        <v>556384</v>
      </c>
      <c r="L14" s="64">
        <v>210200</v>
      </c>
      <c r="M14" s="61">
        <f t="shared" si="0"/>
        <v>210200</v>
      </c>
      <c r="N14" s="61">
        <f t="shared" si="1"/>
        <v>531986</v>
      </c>
      <c r="O14" s="61">
        <f t="shared" si="2"/>
        <v>477780.91747598158</v>
      </c>
      <c r="P14" s="61">
        <f t="shared" si="3"/>
        <v>416229.92658016598</v>
      </c>
      <c r="Q14" s="43">
        <f t="shared" si="4"/>
        <v>214411.06563794697</v>
      </c>
    </row>
    <row r="15" spans="2:17" ht="25.5" x14ac:dyDescent="0.25">
      <c r="B15" s="113">
        <v>9</v>
      </c>
      <c r="C15" s="114" t="s">
        <v>90</v>
      </c>
      <c r="D15" s="114" t="s">
        <v>91</v>
      </c>
      <c r="E15" s="114" t="s">
        <v>92</v>
      </c>
      <c r="F15" s="67" t="s">
        <v>93</v>
      </c>
      <c r="G15" s="67" t="s">
        <v>74</v>
      </c>
      <c r="H15" s="58">
        <v>1</v>
      </c>
      <c r="I15" s="64">
        <v>1178100</v>
      </c>
      <c r="J15" s="64">
        <v>821100</v>
      </c>
      <c r="K15" s="64">
        <v>976454</v>
      </c>
      <c r="L15" s="64">
        <v>315300</v>
      </c>
      <c r="M15" s="61">
        <f>+MIN(I15:L15)</f>
        <v>315300</v>
      </c>
      <c r="N15" s="61">
        <f>+AVERAGE(I15:L15)</f>
        <v>822738.5</v>
      </c>
      <c r="O15" s="61">
        <f>+GEOMEAN(I15:L15)</f>
        <v>738734.68750178779</v>
      </c>
      <c r="P15" s="61">
        <f>+HARMEAN(I15:L15)</f>
        <v>638732.83205495123</v>
      </c>
      <c r="Q15" s="43">
        <f>+_xlfn.STDEV.P(I15:L15)</f>
        <v>319142.11825885659</v>
      </c>
    </row>
    <row r="16" spans="2:17" ht="25.5" x14ac:dyDescent="0.25">
      <c r="B16" s="113">
        <v>10</v>
      </c>
      <c r="C16" s="115"/>
      <c r="D16" s="115"/>
      <c r="E16" s="115"/>
      <c r="F16" s="67" t="s">
        <v>94</v>
      </c>
      <c r="G16" s="67" t="s">
        <v>74</v>
      </c>
      <c r="H16" s="58">
        <v>1</v>
      </c>
      <c r="I16" s="64">
        <v>685440</v>
      </c>
      <c r="J16" s="64">
        <v>492660</v>
      </c>
      <c r="K16" s="64">
        <v>400893</v>
      </c>
      <c r="L16" s="64">
        <v>189180</v>
      </c>
      <c r="M16" s="61">
        <f t="shared" si="0"/>
        <v>189180</v>
      </c>
      <c r="N16" s="61">
        <f t="shared" si="1"/>
        <v>442043.25</v>
      </c>
      <c r="O16" s="61">
        <f t="shared" si="2"/>
        <v>400041.5583491014</v>
      </c>
      <c r="P16" s="61">
        <f t="shared" si="3"/>
        <v>354952.40334440616</v>
      </c>
      <c r="Q16" s="43">
        <f t="shared" si="4"/>
        <v>178491.73619999189</v>
      </c>
    </row>
    <row r="17" spans="2:17" ht="25.5" x14ac:dyDescent="0.25">
      <c r="B17" s="113">
        <v>11</v>
      </c>
      <c r="C17" s="114" t="s">
        <v>95</v>
      </c>
      <c r="D17" s="114" t="s">
        <v>96</v>
      </c>
      <c r="E17" s="114" t="s">
        <v>97</v>
      </c>
      <c r="F17" s="67" t="s">
        <v>98</v>
      </c>
      <c r="G17" s="67" t="s">
        <v>74</v>
      </c>
      <c r="H17" s="58">
        <v>1</v>
      </c>
      <c r="I17" s="64">
        <v>1499400</v>
      </c>
      <c r="J17" s="64">
        <v>1094800</v>
      </c>
      <c r="K17" s="64">
        <v>1776695</v>
      </c>
      <c r="L17" s="64">
        <v>420400</v>
      </c>
      <c r="M17" s="61">
        <f t="shared" si="0"/>
        <v>420400</v>
      </c>
      <c r="N17" s="61">
        <f t="shared" si="1"/>
        <v>1197823.75</v>
      </c>
      <c r="O17" s="61">
        <f t="shared" si="2"/>
        <v>1052281.5859852498</v>
      </c>
      <c r="P17" s="61">
        <f t="shared" si="3"/>
        <v>884589.38091210427</v>
      </c>
      <c r="Q17" s="43">
        <f t="shared" si="4"/>
        <v>510157.26466667856</v>
      </c>
    </row>
    <row r="18" spans="2:17" ht="25.5" x14ac:dyDescent="0.25">
      <c r="B18" s="113">
        <v>12</v>
      </c>
      <c r="C18" s="115"/>
      <c r="D18" s="115"/>
      <c r="E18" s="115"/>
      <c r="F18" s="67" t="s">
        <v>99</v>
      </c>
      <c r="G18" s="67" t="s">
        <v>74</v>
      </c>
      <c r="H18" s="58">
        <v>1</v>
      </c>
      <c r="I18" s="64">
        <v>685440</v>
      </c>
      <c r="J18" s="64">
        <v>492660</v>
      </c>
      <c r="K18" s="64">
        <v>765975</v>
      </c>
      <c r="L18" s="64">
        <v>189180</v>
      </c>
      <c r="M18" s="61">
        <f t="shared" si="0"/>
        <v>189180</v>
      </c>
      <c r="N18" s="61">
        <f t="shared" si="1"/>
        <v>533313.75</v>
      </c>
      <c r="O18" s="61">
        <f t="shared" si="2"/>
        <v>470328.87352994439</v>
      </c>
      <c r="P18" s="61">
        <f t="shared" si="3"/>
        <v>396817.09057570581</v>
      </c>
      <c r="Q18" s="43">
        <f t="shared" si="4"/>
        <v>222122.94932579008</v>
      </c>
    </row>
    <row r="19" spans="2:17" ht="25.5" x14ac:dyDescent="0.25">
      <c r="B19" s="113">
        <v>13</v>
      </c>
      <c r="C19" s="114" t="s">
        <v>100</v>
      </c>
      <c r="D19" s="114" t="s">
        <v>101</v>
      </c>
      <c r="E19" s="114" t="s">
        <v>102</v>
      </c>
      <c r="F19" s="67" t="s">
        <v>103</v>
      </c>
      <c r="G19" s="67" t="s">
        <v>74</v>
      </c>
      <c r="H19" s="58">
        <v>1</v>
      </c>
      <c r="I19" s="64">
        <v>1034585</v>
      </c>
      <c r="J19" s="64">
        <v>684250</v>
      </c>
      <c r="K19" s="64">
        <v>1029885</v>
      </c>
      <c r="L19" s="64">
        <v>262750</v>
      </c>
      <c r="M19" s="61">
        <f t="shared" si="0"/>
        <v>262750</v>
      </c>
      <c r="N19" s="61">
        <f t="shared" si="1"/>
        <v>752867.5</v>
      </c>
      <c r="O19" s="61">
        <f t="shared" si="2"/>
        <v>661573.51444135862</v>
      </c>
      <c r="P19" s="61">
        <f t="shared" si="3"/>
        <v>555177.21579157154</v>
      </c>
      <c r="Q19" s="43">
        <f t="shared" si="4"/>
        <v>316633.45141701313</v>
      </c>
    </row>
    <row r="20" spans="2:17" ht="25.5" x14ac:dyDescent="0.25">
      <c r="B20" s="113">
        <v>14</v>
      </c>
      <c r="C20" s="115"/>
      <c r="D20" s="115"/>
      <c r="E20" s="115"/>
      <c r="F20" s="67" t="s">
        <v>104</v>
      </c>
      <c r="G20" s="67" t="s">
        <v>74</v>
      </c>
      <c r="H20" s="58">
        <v>1</v>
      </c>
      <c r="I20" s="64">
        <v>599760</v>
      </c>
      <c r="J20" s="64">
        <v>410550</v>
      </c>
      <c r="K20" s="64">
        <v>423361</v>
      </c>
      <c r="L20" s="64">
        <v>157650</v>
      </c>
      <c r="M20" s="61">
        <f t="shared" si="0"/>
        <v>157650</v>
      </c>
      <c r="N20" s="61">
        <f t="shared" si="1"/>
        <v>397830.25</v>
      </c>
      <c r="O20" s="61">
        <f t="shared" si="2"/>
        <v>358044.57222769322</v>
      </c>
      <c r="P20" s="61">
        <f t="shared" si="3"/>
        <v>312297.34573353571</v>
      </c>
      <c r="Q20" s="43">
        <f t="shared" si="4"/>
        <v>157540.30251077819</v>
      </c>
    </row>
    <row r="21" spans="2:17" ht="25.5" x14ac:dyDescent="0.25">
      <c r="B21" s="113">
        <v>15</v>
      </c>
      <c r="C21" s="114" t="s">
        <v>105</v>
      </c>
      <c r="D21" s="114" t="s">
        <v>106</v>
      </c>
      <c r="E21" s="114" t="s">
        <v>107</v>
      </c>
      <c r="F21" s="67" t="s">
        <v>108</v>
      </c>
      <c r="G21" s="67" t="s">
        <v>74</v>
      </c>
      <c r="H21" s="58">
        <v>1</v>
      </c>
      <c r="I21" s="64">
        <v>1606500</v>
      </c>
      <c r="J21" s="64">
        <v>1094800</v>
      </c>
      <c r="K21" s="64">
        <v>1794520</v>
      </c>
      <c r="L21" s="64">
        <v>420400</v>
      </c>
      <c r="M21" s="61">
        <f t="shared" si="0"/>
        <v>420400</v>
      </c>
      <c r="N21" s="61">
        <f t="shared" si="1"/>
        <v>1229055</v>
      </c>
      <c r="O21" s="61">
        <f t="shared" si="2"/>
        <v>1073264.1728958895</v>
      </c>
      <c r="P21" s="61">
        <f t="shared" si="3"/>
        <v>894490.56732020597</v>
      </c>
      <c r="Q21" s="43">
        <f t="shared" si="4"/>
        <v>532485.37733443908</v>
      </c>
    </row>
    <row r="22" spans="2:17" ht="25.5" x14ac:dyDescent="0.25">
      <c r="B22" s="113">
        <v>16</v>
      </c>
      <c r="C22" s="115"/>
      <c r="D22" s="115"/>
      <c r="E22" s="115"/>
      <c r="F22" s="67" t="s">
        <v>109</v>
      </c>
      <c r="G22" s="67" t="s">
        <v>74</v>
      </c>
      <c r="H22" s="58">
        <v>1</v>
      </c>
      <c r="I22" s="64">
        <v>685440</v>
      </c>
      <c r="J22" s="64">
        <v>410550</v>
      </c>
      <c r="K22" s="64">
        <v>732514</v>
      </c>
      <c r="L22" s="64">
        <v>157650</v>
      </c>
      <c r="M22" s="61">
        <f t="shared" si="0"/>
        <v>157650</v>
      </c>
      <c r="N22" s="61">
        <f t="shared" si="1"/>
        <v>496538.5</v>
      </c>
      <c r="O22" s="61">
        <f t="shared" si="2"/>
        <v>424581.77806901152</v>
      </c>
      <c r="P22" s="61">
        <f t="shared" si="3"/>
        <v>344738.40973593196</v>
      </c>
      <c r="Q22" s="43">
        <f t="shared" si="4"/>
        <v>231088.53869621054</v>
      </c>
    </row>
    <row r="23" spans="2:17" ht="25.5" x14ac:dyDescent="0.25">
      <c r="B23" s="113">
        <v>17</v>
      </c>
      <c r="C23" s="114" t="s">
        <v>110</v>
      </c>
      <c r="D23" s="114" t="s">
        <v>111</v>
      </c>
      <c r="E23" s="114" t="s">
        <v>112</v>
      </c>
      <c r="F23" s="67" t="s">
        <v>113</v>
      </c>
      <c r="G23" s="67" t="s">
        <v>74</v>
      </c>
      <c r="H23" s="58">
        <v>1</v>
      </c>
      <c r="I23" s="64">
        <v>2356200</v>
      </c>
      <c r="J23" s="64">
        <v>1642200</v>
      </c>
      <c r="K23" s="64">
        <v>4008831</v>
      </c>
      <c r="L23" s="64">
        <v>630600</v>
      </c>
      <c r="M23" s="61">
        <f t="shared" si="0"/>
        <v>630600</v>
      </c>
      <c r="N23" s="61">
        <f t="shared" si="1"/>
        <v>2159457.75</v>
      </c>
      <c r="O23" s="61">
        <f t="shared" si="2"/>
        <v>1768489.4709211036</v>
      </c>
      <c r="P23" s="61">
        <f t="shared" si="3"/>
        <v>1394412.3084585129</v>
      </c>
      <c r="Q23" s="43">
        <f t="shared" si="4"/>
        <v>1231244.343176929</v>
      </c>
    </row>
    <row r="24" spans="2:17" ht="25.5" x14ac:dyDescent="0.25">
      <c r="B24" s="113">
        <v>18</v>
      </c>
      <c r="C24" s="115"/>
      <c r="D24" s="115"/>
      <c r="E24" s="115"/>
      <c r="F24" s="67" t="s">
        <v>114</v>
      </c>
      <c r="G24" s="67" t="s">
        <v>74</v>
      </c>
      <c r="H24" s="58">
        <v>1</v>
      </c>
      <c r="I24" s="64">
        <v>685440</v>
      </c>
      <c r="J24" s="64">
        <v>410550</v>
      </c>
      <c r="K24" s="64">
        <v>1231221</v>
      </c>
      <c r="L24" s="64">
        <v>157650</v>
      </c>
      <c r="M24" s="61">
        <f t="shared" si="0"/>
        <v>157650</v>
      </c>
      <c r="N24" s="61">
        <f t="shared" si="1"/>
        <v>621215.25</v>
      </c>
      <c r="O24" s="61">
        <f t="shared" si="2"/>
        <v>483438.65466828964</v>
      </c>
      <c r="P24" s="61">
        <f t="shared" si="3"/>
        <v>361989.60964739573</v>
      </c>
      <c r="Q24" s="43">
        <f t="shared" si="4"/>
        <v>398592.65613867936</v>
      </c>
    </row>
    <row r="25" spans="2:17" x14ac:dyDescent="0.25">
      <c r="B25" s="78" t="s">
        <v>28</v>
      </c>
      <c r="C25" s="78"/>
      <c r="D25" s="78"/>
      <c r="E25" s="78"/>
      <c r="F25" s="78"/>
      <c r="G25" s="78"/>
      <c r="H25" s="78"/>
      <c r="I25" s="65">
        <f>SUM(I7:I24)</f>
        <v>26684665</v>
      </c>
      <c r="J25" s="65">
        <f>SUM(J7:J24)</f>
        <v>15765120</v>
      </c>
      <c r="K25" s="65">
        <f>SUM(K7:K24)</f>
        <v>31282718</v>
      </c>
      <c r="L25" s="65">
        <f>SUM(L7:L24)</f>
        <v>6053760</v>
      </c>
      <c r="M25" s="65">
        <f>SUM(M7:M24)</f>
        <v>6053760</v>
      </c>
      <c r="N25" s="65">
        <f>SUM(N7:N24)</f>
        <v>19946565.75</v>
      </c>
      <c r="O25" s="65">
        <f>SUM(O7:O24)</f>
        <v>16435078.710884774</v>
      </c>
      <c r="P25" s="65">
        <f>SUM(P7:P24)</f>
        <v>13109716.34521581</v>
      </c>
      <c r="Q25" s="65">
        <f>SUM(Q7:Q24)</f>
        <v>10911668.386212833</v>
      </c>
    </row>
    <row r="26" spans="2:17" ht="15" customHeight="1" x14ac:dyDescent="0.25">
      <c r="B26" s="72" t="s">
        <v>59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spans="2:17" x14ac:dyDescent="0.25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spans="2:17" x14ac:dyDescent="0.25">
      <c r="I28" s="7"/>
      <c r="J28" s="7"/>
      <c r="K28" s="7"/>
      <c r="L28" s="7"/>
      <c r="N28" s="60"/>
    </row>
    <row r="29" spans="2:17" x14ac:dyDescent="0.25">
      <c r="I29" s="4"/>
      <c r="J29" s="4"/>
      <c r="K29" s="4"/>
      <c r="L29" s="4"/>
      <c r="N29" s="4"/>
    </row>
    <row r="30" spans="2:17" x14ac:dyDescent="0.25">
      <c r="I30" s="4"/>
      <c r="J30" s="4"/>
      <c r="K30" s="4"/>
      <c r="L30" s="4"/>
      <c r="M30" s="62"/>
      <c r="N30" s="4"/>
    </row>
    <row r="31" spans="2:17" ht="18.75" x14ac:dyDescent="0.25">
      <c r="I31" s="57" t="s">
        <v>53</v>
      </c>
      <c r="J31" s="57"/>
      <c r="K31" s="57"/>
      <c r="L31" s="57"/>
      <c r="N31" s="4"/>
    </row>
    <row r="32" spans="2:17" ht="18.75" x14ac:dyDescent="0.25">
      <c r="I32" s="57" t="s">
        <v>54</v>
      </c>
      <c r="J32" s="57"/>
      <c r="K32" s="57"/>
      <c r="L32" s="66"/>
      <c r="N32" s="4"/>
    </row>
    <row r="33" spans="9:13" x14ac:dyDescent="0.25">
      <c r="I33" s="7"/>
      <c r="J33" s="7"/>
      <c r="K33" s="7"/>
      <c r="L33" s="7"/>
    </row>
    <row r="35" spans="9:13" x14ac:dyDescent="0.25">
      <c r="I35" s="4"/>
      <c r="J35" s="4"/>
      <c r="K35" s="4"/>
      <c r="L35" s="4"/>
    </row>
    <row r="36" spans="9:13" x14ac:dyDescent="0.25">
      <c r="I36" s="4"/>
      <c r="J36" s="4"/>
      <c r="K36" s="4"/>
      <c r="L36" s="4"/>
    </row>
    <row r="37" spans="9:13" x14ac:dyDescent="0.25">
      <c r="I37" s="4"/>
      <c r="J37" s="4"/>
      <c r="K37" s="4"/>
      <c r="L37" s="4"/>
      <c r="M37" s="4"/>
    </row>
    <row r="38" spans="9:13" x14ac:dyDescent="0.25">
      <c r="L38" s="4"/>
      <c r="M38" s="4"/>
    </row>
    <row r="39" spans="9:13" x14ac:dyDescent="0.25">
      <c r="L39" s="4"/>
      <c r="M39" s="4"/>
    </row>
    <row r="40" spans="9:13" x14ac:dyDescent="0.25">
      <c r="L40" s="4"/>
      <c r="M40" s="4"/>
    </row>
    <row r="41" spans="9:13" x14ac:dyDescent="0.25">
      <c r="L41" s="56"/>
    </row>
    <row r="42" spans="9:13" x14ac:dyDescent="0.25">
      <c r="M42" s="56"/>
    </row>
  </sheetData>
  <sheetProtection algorithmName="SHA-512" hashValue="uThPeshCwn0ePWtgrj1aKM7KNTCkFBXEAzTvCnQFis+CNsJvfj3SAI6BiaBXj+xCvxh+zbfuJzL27Ajy7X5ZFw==" saltValue="+UAXIDf+D5x0V0h4x7aHyQ==" spinCount="100000" sheet="1" objects="1" scenarios="1"/>
  <mergeCells count="44">
    <mergeCell ref="C23:C24"/>
    <mergeCell ref="D23:D24"/>
    <mergeCell ref="E23:E24"/>
    <mergeCell ref="B25:H25"/>
    <mergeCell ref="B26:Q27"/>
    <mergeCell ref="C19:C20"/>
    <mergeCell ref="D19:D20"/>
    <mergeCell ref="E19:E20"/>
    <mergeCell ref="C21:C22"/>
    <mergeCell ref="D21:D22"/>
    <mergeCell ref="E21:E22"/>
    <mergeCell ref="C15:C16"/>
    <mergeCell ref="D15:D16"/>
    <mergeCell ref="E15:E16"/>
    <mergeCell ref="C17:C18"/>
    <mergeCell ref="D17:D18"/>
    <mergeCell ref="E17:E18"/>
    <mergeCell ref="C11:C12"/>
    <mergeCell ref="D11:D12"/>
    <mergeCell ref="E11:E12"/>
    <mergeCell ref="C13:C14"/>
    <mergeCell ref="D13:D14"/>
    <mergeCell ref="E13:E14"/>
    <mergeCell ref="C7:C8"/>
    <mergeCell ref="D7:D8"/>
    <mergeCell ref="E7:E8"/>
    <mergeCell ref="C9:C10"/>
    <mergeCell ref="D9:D10"/>
    <mergeCell ref="E9:E10"/>
    <mergeCell ref="Q4:Q5"/>
    <mergeCell ref="I5:I6"/>
    <mergeCell ref="J5:J6"/>
    <mergeCell ref="K5:K6"/>
    <mergeCell ref="L5:L6"/>
    <mergeCell ref="B2:E3"/>
    <mergeCell ref="F2:Q3"/>
    <mergeCell ref="B4:B6"/>
    <mergeCell ref="C4:C6"/>
    <mergeCell ref="D4:D6"/>
    <mergeCell ref="E4:E6"/>
    <mergeCell ref="F4:F6"/>
    <mergeCell ref="G4:G6"/>
    <mergeCell ref="H4:H6"/>
    <mergeCell ref="M4:P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R42"/>
  <sheetViews>
    <sheetView showGridLines="0" topLeftCell="A13" zoomScaleNormal="100" workbookViewId="0">
      <selection activeCell="I37" sqref="I37"/>
    </sheetView>
  </sheetViews>
  <sheetFormatPr baseColWidth="10" defaultRowHeight="15" x14ac:dyDescent="0.25"/>
  <cols>
    <col min="1" max="1" width="4.42578125" customWidth="1"/>
    <col min="2" max="2" width="6.28515625" customWidth="1"/>
    <col min="3" max="3" width="14.28515625" customWidth="1"/>
    <col min="4" max="4" width="22.7109375" customWidth="1"/>
    <col min="5" max="5" width="19.28515625" customWidth="1"/>
    <col min="6" max="6" width="32.42578125" customWidth="1"/>
    <col min="7" max="7" width="19.7109375" customWidth="1"/>
    <col min="8" max="8" width="6.85546875" bestFit="1" customWidth="1"/>
    <col min="9" max="11" width="18.28515625" customWidth="1"/>
    <col min="12" max="12" width="22.7109375" customWidth="1"/>
    <col min="13" max="14" width="15.85546875" bestFit="1" customWidth="1"/>
    <col min="15" max="15" width="16.5703125" customWidth="1"/>
    <col min="16" max="16" width="16.28515625" customWidth="1"/>
    <col min="17" max="17" width="18.7109375" customWidth="1"/>
    <col min="18" max="18" width="14.5703125" bestFit="1" customWidth="1"/>
  </cols>
  <sheetData>
    <row r="2" spans="2:18" ht="17.25" customHeight="1" x14ac:dyDescent="0.25">
      <c r="B2" s="102"/>
      <c r="C2" s="103"/>
      <c r="D2" s="103"/>
      <c r="E2" s="104"/>
      <c r="F2" s="76" t="s">
        <v>68</v>
      </c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2:18" ht="34.5" customHeight="1" x14ac:dyDescent="0.25">
      <c r="B3" s="105"/>
      <c r="C3" s="106"/>
      <c r="D3" s="106"/>
      <c r="E3" s="107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2:18" ht="34.5" customHeight="1" x14ac:dyDescent="0.25">
      <c r="B4" s="74" t="s">
        <v>62</v>
      </c>
      <c r="C4" s="108" t="s">
        <v>63</v>
      </c>
      <c r="D4" s="108" t="s">
        <v>64</v>
      </c>
      <c r="E4" s="108" t="s">
        <v>65</v>
      </c>
      <c r="F4" s="108" t="s">
        <v>66</v>
      </c>
      <c r="G4" s="108" t="s">
        <v>67</v>
      </c>
      <c r="H4" s="112" t="s">
        <v>61</v>
      </c>
      <c r="I4" s="5" t="s">
        <v>2</v>
      </c>
      <c r="J4" s="5" t="s">
        <v>4</v>
      </c>
      <c r="K4" s="5" t="s">
        <v>5</v>
      </c>
      <c r="L4" s="5" t="s">
        <v>118</v>
      </c>
      <c r="M4" s="73" t="s">
        <v>55</v>
      </c>
      <c r="N4" s="73"/>
      <c r="O4" s="73"/>
      <c r="P4" s="73"/>
      <c r="Q4" s="77" t="s">
        <v>9</v>
      </c>
    </row>
    <row r="5" spans="2:18" ht="23.25" customHeight="1" x14ac:dyDescent="0.25">
      <c r="B5" s="74"/>
      <c r="C5" s="109"/>
      <c r="D5" s="109"/>
      <c r="E5" s="109"/>
      <c r="F5" s="109"/>
      <c r="G5" s="109"/>
      <c r="H5" s="112"/>
      <c r="I5" s="75" t="s">
        <v>58</v>
      </c>
      <c r="J5" s="75" t="s">
        <v>58</v>
      </c>
      <c r="K5" s="75" t="s">
        <v>58</v>
      </c>
      <c r="L5" s="75" t="s">
        <v>58</v>
      </c>
      <c r="M5" s="69" t="s">
        <v>56</v>
      </c>
      <c r="N5" s="69" t="s">
        <v>6</v>
      </c>
      <c r="O5" s="69" t="s">
        <v>7</v>
      </c>
      <c r="P5" s="69" t="s">
        <v>8</v>
      </c>
      <c r="Q5" s="77"/>
    </row>
    <row r="6" spans="2:18" ht="21" customHeight="1" x14ac:dyDescent="0.25">
      <c r="B6" s="74"/>
      <c r="C6" s="110"/>
      <c r="D6" s="110"/>
      <c r="E6" s="110"/>
      <c r="F6" s="110"/>
      <c r="G6" s="110"/>
      <c r="H6" s="112"/>
      <c r="I6" s="75"/>
      <c r="J6" s="75"/>
      <c r="K6" s="75"/>
      <c r="L6" s="75"/>
      <c r="M6" s="59" t="s">
        <v>57</v>
      </c>
      <c r="N6" s="59" t="s">
        <v>57</v>
      </c>
      <c r="O6" s="59" t="s">
        <v>57</v>
      </c>
      <c r="P6" s="59" t="s">
        <v>57</v>
      </c>
      <c r="Q6" s="63" t="s">
        <v>60</v>
      </c>
    </row>
    <row r="7" spans="2:18" ht="25.5" customHeight="1" x14ac:dyDescent="0.25">
      <c r="B7" s="113">
        <v>1</v>
      </c>
      <c r="C7" s="114" t="s">
        <v>69</v>
      </c>
      <c r="D7" s="114" t="s">
        <v>70</v>
      </c>
      <c r="E7" s="114" t="s">
        <v>71</v>
      </c>
      <c r="F7" s="67" t="s">
        <v>72</v>
      </c>
      <c r="G7" s="67" t="s">
        <v>74</v>
      </c>
      <c r="H7" s="58">
        <v>1</v>
      </c>
      <c r="I7" s="64">
        <v>2463300</v>
      </c>
      <c r="J7" s="64">
        <v>1642200</v>
      </c>
      <c r="K7" s="116">
        <v>5256896</v>
      </c>
      <c r="L7" s="64">
        <v>630600</v>
      </c>
      <c r="M7" s="61">
        <f>+MIN(I7,J7,L7)</f>
        <v>630600</v>
      </c>
      <c r="N7" s="61">
        <f>+AVERAGE(I7,J7,L7)</f>
        <v>1578700</v>
      </c>
      <c r="O7" s="61">
        <f>+GEOMEAN(I7,J7,L7)</f>
        <v>1366361.9948711668</v>
      </c>
      <c r="P7" s="61">
        <f>+HARMEAN(I7,J7,L7)</f>
        <v>1153540.0118817764</v>
      </c>
      <c r="Q7" s="43">
        <f>+_xlfn.STDEV.P(I7,J7,L7)</f>
        <v>749542.75395070028</v>
      </c>
      <c r="R7" s="117"/>
    </row>
    <row r="8" spans="2:18" ht="25.5" x14ac:dyDescent="0.25">
      <c r="B8" s="113">
        <v>2</v>
      </c>
      <c r="C8" s="115"/>
      <c r="D8" s="115"/>
      <c r="E8" s="115"/>
      <c r="F8" s="67" t="s">
        <v>73</v>
      </c>
      <c r="G8" s="67" t="s">
        <v>74</v>
      </c>
      <c r="H8" s="58">
        <v>1</v>
      </c>
      <c r="I8" s="116">
        <v>1756440</v>
      </c>
      <c r="J8" s="64">
        <v>1094800</v>
      </c>
      <c r="K8" s="64">
        <v>1601355</v>
      </c>
      <c r="L8" s="64">
        <v>420400</v>
      </c>
      <c r="M8" s="61">
        <f>+MIN(J8,K8,L8)</f>
        <v>420400</v>
      </c>
      <c r="N8" s="61">
        <f>+AVERAGE(J8,K8,L8)</f>
        <v>1038851.6666666666</v>
      </c>
      <c r="O8" s="61">
        <f>+GEOMEAN(J8,K8,L8)</f>
        <v>903292.43294713099</v>
      </c>
      <c r="P8" s="61">
        <f>+HARMEAN(J8,K8,L8)</f>
        <v>765976.94677184452</v>
      </c>
      <c r="Q8" s="43">
        <f>+_xlfn.STDEV.P(J8,K8,L8)</f>
        <v>483743.27902882075</v>
      </c>
      <c r="R8" s="117"/>
    </row>
    <row r="9" spans="2:18" ht="25.5" x14ac:dyDescent="0.25">
      <c r="B9" s="113">
        <v>3</v>
      </c>
      <c r="C9" s="114" t="s">
        <v>75</v>
      </c>
      <c r="D9" s="114" t="s">
        <v>76</v>
      </c>
      <c r="E9" s="114" t="s">
        <v>77</v>
      </c>
      <c r="F9" s="67" t="s">
        <v>78</v>
      </c>
      <c r="G9" s="67" t="s">
        <v>74</v>
      </c>
      <c r="H9" s="58">
        <v>1</v>
      </c>
      <c r="I9" s="64">
        <v>4000000</v>
      </c>
      <c r="J9" s="64">
        <v>1915900</v>
      </c>
      <c r="K9" s="116">
        <v>5857692</v>
      </c>
      <c r="L9" s="64">
        <v>735700</v>
      </c>
      <c r="M9" s="61">
        <f>+MIN(I9,J9,L9)</f>
        <v>735700</v>
      </c>
      <c r="N9" s="61">
        <f>+AVERAGE(I9,J9,L9)</f>
        <v>2217200</v>
      </c>
      <c r="O9" s="61">
        <f>+GEOMEAN(I9,J9,L9)</f>
        <v>1779827.2904010855</v>
      </c>
      <c r="P9" s="61">
        <f>+HARMEAN(I9,J9,L9)</f>
        <v>1407659.2403711074</v>
      </c>
      <c r="Q9" s="43">
        <f>+_xlfn.STDEV.P(I9,J9,L9)</f>
        <v>1349567.8048916252</v>
      </c>
      <c r="R9" s="117"/>
    </row>
    <row r="10" spans="2:18" ht="25.5" x14ac:dyDescent="0.25">
      <c r="B10" s="113">
        <v>4</v>
      </c>
      <c r="C10" s="115"/>
      <c r="D10" s="115"/>
      <c r="E10" s="115"/>
      <c r="F10" s="67" t="s">
        <v>79</v>
      </c>
      <c r="G10" s="67" t="s">
        <v>74</v>
      </c>
      <c r="H10" s="58">
        <v>1</v>
      </c>
      <c r="I10" s="116">
        <v>4000000</v>
      </c>
      <c r="J10" s="64">
        <v>1094800</v>
      </c>
      <c r="K10" s="64">
        <v>1509990</v>
      </c>
      <c r="L10" s="64">
        <v>420400</v>
      </c>
      <c r="M10" s="61">
        <f>+MIN(J10,K10,L10)</f>
        <v>420400</v>
      </c>
      <c r="N10" s="61">
        <f>+AVERAGE(J10,K10,L10)</f>
        <v>1008396.6666666666</v>
      </c>
      <c r="O10" s="61">
        <f>+GEOMEAN(J10,K10,L10)</f>
        <v>885775.8915013657</v>
      </c>
      <c r="P10" s="61">
        <f>+HARMEAN(J10,K10,L10)</f>
        <v>758657.83200331323</v>
      </c>
      <c r="Q10" s="43">
        <f>+_xlfn.STDEV.P(J10,K10,L10)</f>
        <v>448999.43877717957</v>
      </c>
      <c r="R10" s="117"/>
    </row>
    <row r="11" spans="2:18" ht="25.5" x14ac:dyDescent="0.25">
      <c r="B11" s="113">
        <v>5</v>
      </c>
      <c r="C11" s="114" t="s">
        <v>80</v>
      </c>
      <c r="D11" s="114" t="s">
        <v>81</v>
      </c>
      <c r="E11" s="114" t="s">
        <v>82</v>
      </c>
      <c r="F11" s="67" t="s">
        <v>83</v>
      </c>
      <c r="G11" s="67" t="s">
        <v>74</v>
      </c>
      <c r="H11" s="58">
        <v>1</v>
      </c>
      <c r="I11" s="64">
        <v>813960</v>
      </c>
      <c r="J11" s="64">
        <v>684250</v>
      </c>
      <c r="K11" s="116">
        <v>1520837</v>
      </c>
      <c r="L11" s="64">
        <v>262750</v>
      </c>
      <c r="M11" s="61">
        <f>+MIN(I11,J11,L11)</f>
        <v>262750</v>
      </c>
      <c r="N11" s="61">
        <f>+AVERAGE(I11,J11,L11)</f>
        <v>586986.66666666663</v>
      </c>
      <c r="O11" s="61">
        <f>+GEOMEAN(I11,J11,L11)</f>
        <v>526971.18035253731</v>
      </c>
      <c r="P11" s="61">
        <f>+HARMEAN(I11,J11,L11)</f>
        <v>461828.7108915954</v>
      </c>
      <c r="Q11" s="43">
        <f>+_xlfn.STDEV.P(I11,J11,L11)</f>
        <v>235305.8053304725</v>
      </c>
      <c r="R11" s="117"/>
    </row>
    <row r="12" spans="2:18" ht="25.5" x14ac:dyDescent="0.25">
      <c r="B12" s="113">
        <v>6</v>
      </c>
      <c r="C12" s="115"/>
      <c r="D12" s="115"/>
      <c r="E12" s="115"/>
      <c r="F12" s="67" t="s">
        <v>84</v>
      </c>
      <c r="G12" s="67" t="s">
        <v>74</v>
      </c>
      <c r="H12" s="58">
        <v>1</v>
      </c>
      <c r="I12" s="116">
        <v>749700</v>
      </c>
      <c r="J12" s="64">
        <v>547400</v>
      </c>
      <c r="K12" s="64">
        <v>528634</v>
      </c>
      <c r="L12" s="64">
        <v>210200</v>
      </c>
      <c r="M12" s="61">
        <f>+MIN(J12,K12,L12)</f>
        <v>210200</v>
      </c>
      <c r="N12" s="61">
        <f>+AVERAGE(J12,K12,L12)</f>
        <v>428744.66666666669</v>
      </c>
      <c r="O12" s="61">
        <f>+GEOMEAN(J12,K12,L12)</f>
        <v>393276.07991797588</v>
      </c>
      <c r="P12" s="61">
        <f>+HARMEAN(J12,K12,L12)</f>
        <v>353946.40205415711</v>
      </c>
      <c r="Q12" s="43">
        <f>+_xlfn.STDEV.P(J12,K12,L12)</f>
        <v>154724.20449589938</v>
      </c>
      <c r="R12" s="117"/>
    </row>
    <row r="13" spans="2:18" ht="25.5" x14ac:dyDescent="0.25">
      <c r="B13" s="113">
        <v>7</v>
      </c>
      <c r="C13" s="114" t="s">
        <v>85</v>
      </c>
      <c r="D13" s="114" t="s">
        <v>86</v>
      </c>
      <c r="E13" s="114" t="s">
        <v>87</v>
      </c>
      <c r="F13" s="67" t="s">
        <v>88</v>
      </c>
      <c r="G13" s="67" t="s">
        <v>74</v>
      </c>
      <c r="H13" s="58">
        <v>1</v>
      </c>
      <c r="I13" s="64">
        <v>1071000</v>
      </c>
      <c r="J13" s="64">
        <v>684250</v>
      </c>
      <c r="K13" s="116">
        <v>1310581</v>
      </c>
      <c r="L13" s="64">
        <v>262750</v>
      </c>
      <c r="M13" s="61">
        <f>+MIN(I13,J13,L13)</f>
        <v>262750</v>
      </c>
      <c r="N13" s="61">
        <f>+AVERAGE(I13,J13,L13)</f>
        <v>672666.66666666663</v>
      </c>
      <c r="O13" s="61">
        <f>+GEOMEAN(I13,J13,L13)</f>
        <v>577451.70395011769</v>
      </c>
      <c r="P13" s="61">
        <f>+HARMEAN(I13,J13,L13)</f>
        <v>483788.2472390231</v>
      </c>
      <c r="Q13" s="43">
        <f>+_xlfn.STDEV.P(I13,J13,L13)</f>
        <v>330068.32205199916</v>
      </c>
      <c r="R13" s="117"/>
    </row>
    <row r="14" spans="2:18" ht="25.5" x14ac:dyDescent="0.25">
      <c r="B14" s="113">
        <v>8</v>
      </c>
      <c r="C14" s="115"/>
      <c r="D14" s="115"/>
      <c r="E14" s="115"/>
      <c r="F14" s="67" t="s">
        <v>89</v>
      </c>
      <c r="G14" s="67" t="s">
        <v>74</v>
      </c>
      <c r="H14" s="58">
        <v>1</v>
      </c>
      <c r="I14" s="116">
        <v>813960</v>
      </c>
      <c r="J14" s="64">
        <v>547400</v>
      </c>
      <c r="K14" s="64">
        <v>556384</v>
      </c>
      <c r="L14" s="64">
        <v>210200</v>
      </c>
      <c r="M14" s="61">
        <f>+MIN(J14,K14,L14)</f>
        <v>210200</v>
      </c>
      <c r="N14" s="61">
        <f>+AVERAGE(J14,K14,L14)</f>
        <v>437994.66666666669</v>
      </c>
      <c r="O14" s="61">
        <f>+GEOMEAN(J14,K14,L14)</f>
        <v>400040.57766749302</v>
      </c>
      <c r="P14" s="61">
        <f>+HARMEAN(J14,K14,L14)</f>
        <v>357930.6689433991</v>
      </c>
      <c r="Q14" s="43">
        <f>+_xlfn.STDEV.P(J14,K14,L14)</f>
        <v>161116.90514516333</v>
      </c>
      <c r="R14" s="117"/>
    </row>
    <row r="15" spans="2:18" ht="25.5" x14ac:dyDescent="0.25">
      <c r="B15" s="113">
        <v>9</v>
      </c>
      <c r="C15" s="114" t="s">
        <v>90</v>
      </c>
      <c r="D15" s="114" t="s">
        <v>91</v>
      </c>
      <c r="E15" s="114" t="s">
        <v>92</v>
      </c>
      <c r="F15" s="67" t="s">
        <v>93</v>
      </c>
      <c r="G15" s="67" t="s">
        <v>74</v>
      </c>
      <c r="H15" s="58">
        <v>1</v>
      </c>
      <c r="I15" s="116">
        <v>1178100</v>
      </c>
      <c r="J15" s="64">
        <v>821100</v>
      </c>
      <c r="K15" s="64">
        <v>976454</v>
      </c>
      <c r="L15" s="64">
        <v>315300</v>
      </c>
      <c r="M15" s="61">
        <f t="shared" ref="M14:M16" si="0">+MIN(J15,K15,L15)</f>
        <v>315300</v>
      </c>
      <c r="N15" s="61">
        <f>+AVERAGE(J15,K15,L15)</f>
        <v>704284.66666666663</v>
      </c>
      <c r="O15" s="61">
        <f t="shared" ref="O14:O16" si="1">+GEOMEAN(J15,K15,L15)</f>
        <v>632301.09983714356</v>
      </c>
      <c r="P15" s="61">
        <f t="shared" ref="P14:P16" si="2">+HARMEAN(J15,K15,L15)</f>
        <v>554162.46719797456</v>
      </c>
      <c r="Q15" s="43">
        <f t="shared" ref="Q14:Q16" si="3">+_xlfn.STDEV.P(J15,K15,L15)</f>
        <v>282271.16927443293</v>
      </c>
      <c r="R15" s="117"/>
    </row>
    <row r="16" spans="2:18" ht="25.5" x14ac:dyDescent="0.25">
      <c r="B16" s="113">
        <v>10</v>
      </c>
      <c r="C16" s="115"/>
      <c r="D16" s="115"/>
      <c r="E16" s="115"/>
      <c r="F16" s="67" t="s">
        <v>94</v>
      </c>
      <c r="G16" s="67" t="s">
        <v>74</v>
      </c>
      <c r="H16" s="58">
        <v>1</v>
      </c>
      <c r="I16" s="116">
        <v>685440</v>
      </c>
      <c r="J16" s="64">
        <v>492660</v>
      </c>
      <c r="K16" s="64">
        <v>400893</v>
      </c>
      <c r="L16" s="64">
        <v>189180</v>
      </c>
      <c r="M16" s="61">
        <f>+MIN(J16,K16,L16)</f>
        <v>189180</v>
      </c>
      <c r="N16" s="61">
        <f>+AVERAGE(J16,K16,L16)</f>
        <v>360911</v>
      </c>
      <c r="O16" s="61">
        <f>+GEOMEAN(J16,K16,L16)</f>
        <v>334310.74259534915</v>
      </c>
      <c r="P16" s="61">
        <f>+HARMEAN(J16,K16,L16)</f>
        <v>305804.17418978503</v>
      </c>
      <c r="Q16" s="43">
        <f>+_xlfn.STDEV.P(J16,K16,L16)</f>
        <v>127079.89047052251</v>
      </c>
      <c r="R16" s="117"/>
    </row>
    <row r="17" spans="2:18" ht="25.5" x14ac:dyDescent="0.25">
      <c r="B17" s="113">
        <v>11</v>
      </c>
      <c r="C17" s="114" t="s">
        <v>95</v>
      </c>
      <c r="D17" s="114" t="s">
        <v>96</v>
      </c>
      <c r="E17" s="114" t="s">
        <v>97</v>
      </c>
      <c r="F17" s="67" t="s">
        <v>98</v>
      </c>
      <c r="G17" s="67" t="s">
        <v>74</v>
      </c>
      <c r="H17" s="58">
        <v>1</v>
      </c>
      <c r="I17" s="64">
        <v>1499400</v>
      </c>
      <c r="J17" s="64">
        <v>1094800</v>
      </c>
      <c r="K17" s="116">
        <v>1776695</v>
      </c>
      <c r="L17" s="64">
        <v>420400</v>
      </c>
      <c r="M17" s="61">
        <f>+MIN(I17,J17,L17)</f>
        <v>420400</v>
      </c>
      <c r="N17" s="61">
        <f>+AVERAGE(I17,J17,L17)</f>
        <v>1004866.6666666666</v>
      </c>
      <c r="O17" s="61">
        <f t="shared" ref="O17:O18" si="4">+GEOMEAN(I17,J17,L17)</f>
        <v>883700.29682498402</v>
      </c>
      <c r="P17" s="61">
        <f t="shared" ref="P17:P18" si="5">+HARMEAN(I17,J17,L17)</f>
        <v>757761.51503536711</v>
      </c>
      <c r="Q17" s="43">
        <f t="shared" ref="Q17:Q18" si="6">+_xlfn.STDEV.P(I17,J17,L17)</f>
        <v>445066.47693225433</v>
      </c>
      <c r="R17" s="117"/>
    </row>
    <row r="18" spans="2:18" ht="25.5" x14ac:dyDescent="0.25">
      <c r="B18" s="113">
        <v>12</v>
      </c>
      <c r="C18" s="115"/>
      <c r="D18" s="115"/>
      <c r="E18" s="115"/>
      <c r="F18" s="67" t="s">
        <v>99</v>
      </c>
      <c r="G18" s="67" t="s">
        <v>74</v>
      </c>
      <c r="H18" s="58">
        <v>1</v>
      </c>
      <c r="I18" s="64">
        <v>685440</v>
      </c>
      <c r="J18" s="64">
        <v>492660</v>
      </c>
      <c r="K18" s="116">
        <v>765975</v>
      </c>
      <c r="L18" s="64">
        <v>189180</v>
      </c>
      <c r="M18" s="61">
        <f>+MIN(I18,J18,L18)</f>
        <v>189180</v>
      </c>
      <c r="N18" s="61">
        <f t="shared" ref="N17:N18" si="7">+AVERAGE(I18,J18,L18)</f>
        <v>455760</v>
      </c>
      <c r="O18" s="61">
        <f t="shared" si="4"/>
        <v>399758.14650976221</v>
      </c>
      <c r="P18" s="61">
        <f t="shared" si="5"/>
        <v>341892.60095330456</v>
      </c>
      <c r="Q18" s="43">
        <f t="shared" si="6"/>
        <v>204270.5793794104</v>
      </c>
      <c r="R18" s="117"/>
    </row>
    <row r="19" spans="2:18" ht="25.5" x14ac:dyDescent="0.25">
      <c r="B19" s="113">
        <v>13</v>
      </c>
      <c r="C19" s="114" t="s">
        <v>100</v>
      </c>
      <c r="D19" s="114" t="s">
        <v>101</v>
      </c>
      <c r="E19" s="114" t="s">
        <v>102</v>
      </c>
      <c r="F19" s="67" t="s">
        <v>103</v>
      </c>
      <c r="G19" s="67" t="s">
        <v>74</v>
      </c>
      <c r="H19" s="58">
        <v>1</v>
      </c>
      <c r="I19" s="116">
        <v>1034585</v>
      </c>
      <c r="J19" s="64">
        <v>684250</v>
      </c>
      <c r="K19" s="64">
        <v>1029885</v>
      </c>
      <c r="L19" s="64">
        <v>262750</v>
      </c>
      <c r="M19" s="61">
        <f>+MIN(J19,K19,L19)</f>
        <v>262750</v>
      </c>
      <c r="N19" s="61">
        <f>+AVERAGE(J19,K19,L19)</f>
        <v>658961.66666666663</v>
      </c>
      <c r="O19" s="61">
        <f>+GEOMEAN(J19,K19,L19)</f>
        <v>569965.74397182174</v>
      </c>
      <c r="P19" s="61">
        <f>+HARMEAN(J19,K19,L19)</f>
        <v>480897.50959495798</v>
      </c>
      <c r="Q19" s="43">
        <f>+_xlfn.STDEV.P(J19,K19,L19)</f>
        <v>313691.6234226785</v>
      </c>
      <c r="R19" s="117"/>
    </row>
    <row r="20" spans="2:18" ht="25.5" x14ac:dyDescent="0.25">
      <c r="B20" s="113">
        <v>14</v>
      </c>
      <c r="C20" s="115"/>
      <c r="D20" s="115"/>
      <c r="E20" s="115"/>
      <c r="F20" s="67" t="s">
        <v>104</v>
      </c>
      <c r="G20" s="67" t="s">
        <v>74</v>
      </c>
      <c r="H20" s="58">
        <v>1</v>
      </c>
      <c r="I20" s="116">
        <v>599760</v>
      </c>
      <c r="J20" s="64">
        <v>410550</v>
      </c>
      <c r="K20" s="64">
        <v>423361</v>
      </c>
      <c r="L20" s="64">
        <v>157650</v>
      </c>
      <c r="M20" s="61">
        <f t="shared" ref="M19:M20" si="8">+MIN(J20,K20,L20)</f>
        <v>157650</v>
      </c>
      <c r="N20" s="61">
        <f t="shared" ref="N19:N20" si="9">+AVERAGE(J20,K20,L20)</f>
        <v>330520.33333333331</v>
      </c>
      <c r="O20" s="61">
        <f t="shared" ref="O19:O20" si="10">+GEOMEAN(J20,K20,L20)</f>
        <v>301478.92635121651</v>
      </c>
      <c r="P20" s="61">
        <f t="shared" ref="P19:P20" si="11">+HARMEAN(J20,K20,L20)</f>
        <v>269276.31305306306</v>
      </c>
      <c r="Q20" s="43">
        <f t="shared" ref="Q19:Q20" si="12">+_xlfn.STDEV.P(J20,K20,L20)</f>
        <v>122349.62073319049</v>
      </c>
      <c r="R20" s="117"/>
    </row>
    <row r="21" spans="2:18" ht="25.5" x14ac:dyDescent="0.25">
      <c r="B21" s="113">
        <v>15</v>
      </c>
      <c r="C21" s="114" t="s">
        <v>105</v>
      </c>
      <c r="D21" s="114" t="s">
        <v>106</v>
      </c>
      <c r="E21" s="114" t="s">
        <v>107</v>
      </c>
      <c r="F21" s="67" t="s">
        <v>108</v>
      </c>
      <c r="G21" s="67" t="s">
        <v>74</v>
      </c>
      <c r="H21" s="58">
        <v>1</v>
      </c>
      <c r="I21" s="64">
        <v>1606500</v>
      </c>
      <c r="J21" s="64">
        <v>1094800</v>
      </c>
      <c r="K21" s="116">
        <v>1794520</v>
      </c>
      <c r="L21" s="64">
        <v>420400</v>
      </c>
      <c r="M21" s="61">
        <f>+MIN(I21,J21,L21)</f>
        <v>420400</v>
      </c>
      <c r="N21" s="61">
        <f>+AVERAGE(I21,J21,L21)</f>
        <v>1040566.6666666666</v>
      </c>
      <c r="O21" s="61">
        <f>+GEOMEAN(I21,J21,L21)</f>
        <v>904258.79605285521</v>
      </c>
      <c r="P21" s="61">
        <f>+HARMEAN(I21,J21,L21)</f>
        <v>766368.28204554727</v>
      </c>
      <c r="Q21" s="43">
        <f>+_xlfn.STDEV.P(I21,J21,L21)</f>
        <v>485739.46606065362</v>
      </c>
      <c r="R21" s="117"/>
    </row>
    <row r="22" spans="2:18" ht="25.5" x14ac:dyDescent="0.25">
      <c r="B22" s="113">
        <v>16</v>
      </c>
      <c r="C22" s="115"/>
      <c r="D22" s="115"/>
      <c r="E22" s="115"/>
      <c r="F22" s="67" t="s">
        <v>109</v>
      </c>
      <c r="G22" s="67" t="s">
        <v>74</v>
      </c>
      <c r="H22" s="58">
        <v>1</v>
      </c>
      <c r="I22" s="64">
        <v>685440</v>
      </c>
      <c r="J22" s="64">
        <v>410550</v>
      </c>
      <c r="K22" s="116">
        <v>732514</v>
      </c>
      <c r="L22" s="64">
        <v>157650</v>
      </c>
      <c r="M22" s="61">
        <f t="shared" ref="M21:M24" si="13">+MIN(I22,J22,L22)</f>
        <v>157650</v>
      </c>
      <c r="N22" s="61">
        <f>+AVERAGE(I22,J22,L22)</f>
        <v>417880</v>
      </c>
      <c r="O22" s="61">
        <f t="shared" ref="O21:O24" si="14">+GEOMEAN(I22,J22,L22)</f>
        <v>354005.34999096376</v>
      </c>
      <c r="P22" s="61">
        <f t="shared" ref="P21:P24" si="15">+HARMEAN(I22,J22,L22)</f>
        <v>293030.58829632582</v>
      </c>
      <c r="Q22" s="43">
        <f t="shared" ref="Q21:Q24" si="16">+_xlfn.STDEV.P(I22,J22,L22)</f>
        <v>215531.69558095161</v>
      </c>
      <c r="R22" s="117"/>
    </row>
    <row r="23" spans="2:18" ht="25.5" x14ac:dyDescent="0.25">
      <c r="B23" s="113">
        <v>17</v>
      </c>
      <c r="C23" s="114" t="s">
        <v>110</v>
      </c>
      <c r="D23" s="114" t="s">
        <v>111</v>
      </c>
      <c r="E23" s="114" t="s">
        <v>112</v>
      </c>
      <c r="F23" s="67" t="s">
        <v>113</v>
      </c>
      <c r="G23" s="67" t="s">
        <v>74</v>
      </c>
      <c r="H23" s="58">
        <v>1</v>
      </c>
      <c r="I23" s="64">
        <v>2356200</v>
      </c>
      <c r="J23" s="64">
        <v>1642200</v>
      </c>
      <c r="K23" s="116">
        <v>4008831</v>
      </c>
      <c r="L23" s="64">
        <v>630600</v>
      </c>
      <c r="M23" s="61">
        <f t="shared" si="13"/>
        <v>630600</v>
      </c>
      <c r="N23" s="61">
        <f>+AVERAGE(I23,J23,L23)</f>
        <v>1543000</v>
      </c>
      <c r="O23" s="61">
        <f t="shared" si="14"/>
        <v>1346265.5168708335</v>
      </c>
      <c r="P23" s="61">
        <f t="shared" si="15"/>
        <v>1145412.9510581391</v>
      </c>
      <c r="Q23" s="43">
        <f t="shared" si="16"/>
        <v>707956.83484235115</v>
      </c>
      <c r="R23" s="117"/>
    </row>
    <row r="24" spans="2:18" ht="25.5" x14ac:dyDescent="0.25">
      <c r="B24" s="113">
        <v>18</v>
      </c>
      <c r="C24" s="115"/>
      <c r="D24" s="115"/>
      <c r="E24" s="115"/>
      <c r="F24" s="67" t="s">
        <v>114</v>
      </c>
      <c r="G24" s="67" t="s">
        <v>74</v>
      </c>
      <c r="H24" s="58">
        <v>1</v>
      </c>
      <c r="I24" s="64">
        <v>685440</v>
      </c>
      <c r="J24" s="64">
        <v>410550</v>
      </c>
      <c r="K24" s="116">
        <v>1231221</v>
      </c>
      <c r="L24" s="64">
        <v>157650</v>
      </c>
      <c r="M24" s="61">
        <f>+MIN(I24,J24,L24)</f>
        <v>157650</v>
      </c>
      <c r="N24" s="61">
        <f>+AVERAGE(I24,J24,L24)</f>
        <v>417880</v>
      </c>
      <c r="O24" s="61">
        <f>+GEOMEAN(I24,J24,L24)</f>
        <v>354005.34999096376</v>
      </c>
      <c r="P24" s="61">
        <f>+HARMEAN(I24,J24,L24)</f>
        <v>293030.58829632582</v>
      </c>
      <c r="Q24" s="43">
        <f>+_xlfn.STDEV.P(I24,J24,L24)</f>
        <v>215531.69558095161</v>
      </c>
      <c r="R24" s="117"/>
    </row>
    <row r="25" spans="2:18" x14ac:dyDescent="0.25">
      <c r="B25" s="78" t="s">
        <v>28</v>
      </c>
      <c r="C25" s="78"/>
      <c r="D25" s="78"/>
      <c r="E25" s="78"/>
      <c r="F25" s="78"/>
      <c r="G25" s="78"/>
      <c r="H25" s="78"/>
      <c r="I25" s="65">
        <f>SUM(I7:I24)</f>
        <v>26684665</v>
      </c>
      <c r="J25" s="65">
        <f>SUM(J7:J24)</f>
        <v>15765120</v>
      </c>
      <c r="K25" s="65">
        <f>SUM(K7:K24)</f>
        <v>31282718</v>
      </c>
      <c r="L25" s="65">
        <f>SUM(L7:L24)</f>
        <v>6053760</v>
      </c>
      <c r="M25" s="65">
        <f>SUM(M7:M24)</f>
        <v>6053760</v>
      </c>
      <c r="N25" s="65">
        <f>SUM(N7:N24)</f>
        <v>14904172</v>
      </c>
      <c r="O25" s="65">
        <f>SUM(O7:O24)</f>
        <v>12913047.120604767</v>
      </c>
      <c r="P25" s="65">
        <f>SUM(P7:P24)</f>
        <v>10950965.049877005</v>
      </c>
      <c r="Q25" s="65">
        <f>SUM(Q7:Q24)</f>
        <v>7032557.5659492575</v>
      </c>
    </row>
    <row r="26" spans="2:18" ht="15" customHeight="1" x14ac:dyDescent="0.25">
      <c r="B26" s="72" t="s">
        <v>59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spans="2:18" x14ac:dyDescent="0.25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spans="2:18" x14ac:dyDescent="0.25">
      <c r="I28" s="7"/>
      <c r="J28" s="7"/>
      <c r="K28" s="7"/>
      <c r="L28" s="7"/>
      <c r="N28" s="60"/>
    </row>
    <row r="29" spans="2:18" x14ac:dyDescent="0.25">
      <c r="I29" s="4"/>
      <c r="J29" s="4"/>
      <c r="K29" s="4"/>
      <c r="L29" s="4"/>
      <c r="N29" s="4"/>
    </row>
    <row r="30" spans="2:18" x14ac:dyDescent="0.25">
      <c r="I30" s="4"/>
      <c r="J30" s="4"/>
      <c r="K30" s="4"/>
      <c r="L30" s="4"/>
      <c r="M30" s="62"/>
      <c r="N30" s="4"/>
    </row>
    <row r="31" spans="2:18" ht="18.75" x14ac:dyDescent="0.25">
      <c r="I31" s="57" t="s">
        <v>53</v>
      </c>
      <c r="J31" s="57"/>
      <c r="K31" s="57"/>
      <c r="L31" s="57"/>
      <c r="N31" s="4"/>
    </row>
    <row r="32" spans="2:18" ht="18.75" x14ac:dyDescent="0.25">
      <c r="I32" s="57" t="s">
        <v>54</v>
      </c>
      <c r="J32" s="57"/>
      <c r="K32" s="57"/>
      <c r="L32" s="66"/>
      <c r="N32" s="4"/>
    </row>
    <row r="33" spans="9:13" x14ac:dyDescent="0.25">
      <c r="I33" s="7"/>
      <c r="J33" s="7"/>
      <c r="K33" s="7"/>
      <c r="L33" s="7"/>
    </row>
    <row r="35" spans="9:13" x14ac:dyDescent="0.25">
      <c r="I35" s="4"/>
      <c r="J35" s="4"/>
      <c r="K35" s="4"/>
      <c r="L35" s="4"/>
    </row>
    <row r="36" spans="9:13" x14ac:dyDescent="0.25">
      <c r="I36" s="4"/>
      <c r="J36" s="4"/>
      <c r="K36" s="4"/>
      <c r="L36" s="4"/>
    </row>
    <row r="37" spans="9:13" x14ac:dyDescent="0.25">
      <c r="I37" s="4"/>
      <c r="J37" s="4"/>
      <c r="K37" s="4"/>
      <c r="L37" s="4"/>
      <c r="M37" s="4"/>
    </row>
    <row r="38" spans="9:13" x14ac:dyDescent="0.25">
      <c r="L38" s="4"/>
      <c r="M38" s="4"/>
    </row>
    <row r="39" spans="9:13" x14ac:dyDescent="0.25">
      <c r="L39" s="4"/>
      <c r="M39" s="4"/>
    </row>
    <row r="40" spans="9:13" x14ac:dyDescent="0.25">
      <c r="L40" s="4"/>
      <c r="M40" s="4"/>
    </row>
    <row r="41" spans="9:13" x14ac:dyDescent="0.25">
      <c r="L41" s="56"/>
    </row>
    <row r="42" spans="9:13" x14ac:dyDescent="0.25">
      <c r="M42" s="56"/>
    </row>
  </sheetData>
  <sheetProtection algorithmName="SHA-512" hashValue="zxJmff/1yP02QUE66rc2cQ5yAfuc/R310xKQSj1DxmT8qDD+Cp4LUWLdcxhm8VFKFvtg0zmh1nUm31x/9NLHUg==" saltValue="CxQVNyzH6x4IcoRnp8BJGQ==" spinCount="100000" sheet="1" objects="1" scenarios="1"/>
  <mergeCells count="44">
    <mergeCell ref="C23:C24"/>
    <mergeCell ref="D23:D24"/>
    <mergeCell ref="E23:E24"/>
    <mergeCell ref="B25:H25"/>
    <mergeCell ref="B26:Q27"/>
    <mergeCell ref="C19:C20"/>
    <mergeCell ref="D19:D20"/>
    <mergeCell ref="E19:E20"/>
    <mergeCell ref="C21:C22"/>
    <mergeCell ref="D21:D22"/>
    <mergeCell ref="E21:E22"/>
    <mergeCell ref="C15:C16"/>
    <mergeCell ref="D15:D16"/>
    <mergeCell ref="E15:E16"/>
    <mergeCell ref="C17:C18"/>
    <mergeCell ref="D17:D18"/>
    <mergeCell ref="E17:E18"/>
    <mergeCell ref="C11:C12"/>
    <mergeCell ref="D11:D12"/>
    <mergeCell ref="E11:E12"/>
    <mergeCell ref="C13:C14"/>
    <mergeCell ref="D13:D14"/>
    <mergeCell ref="E13:E14"/>
    <mergeCell ref="C7:C8"/>
    <mergeCell ref="D7:D8"/>
    <mergeCell ref="E7:E8"/>
    <mergeCell ref="C9:C10"/>
    <mergeCell ref="D9:D10"/>
    <mergeCell ref="E9:E10"/>
    <mergeCell ref="Q4:Q5"/>
    <mergeCell ref="I5:I6"/>
    <mergeCell ref="J5:J6"/>
    <mergeCell ref="K5:K6"/>
    <mergeCell ref="L5:L6"/>
    <mergeCell ref="B2:E3"/>
    <mergeCell ref="F2:Q3"/>
    <mergeCell ref="B4:B6"/>
    <mergeCell ref="C4:C6"/>
    <mergeCell ref="D4:D6"/>
    <mergeCell ref="E4:E6"/>
    <mergeCell ref="F4:F6"/>
    <mergeCell ref="G4:G6"/>
    <mergeCell ref="H4:H6"/>
    <mergeCell ref="M4:P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K30"/>
  <sheetViews>
    <sheetView showGridLines="0" tabSelected="1" topLeftCell="A6" zoomScaleNormal="100" workbookViewId="0">
      <selection activeCell="B24" sqref="B24:J25"/>
    </sheetView>
  </sheetViews>
  <sheetFormatPr baseColWidth="10" defaultRowHeight="15" x14ac:dyDescent="0.25"/>
  <cols>
    <col min="1" max="1" width="4.42578125" customWidth="1"/>
    <col min="2" max="2" width="6.28515625" customWidth="1"/>
    <col min="3" max="3" width="14.28515625" customWidth="1"/>
    <col min="4" max="4" width="22.7109375" customWidth="1"/>
    <col min="5" max="5" width="19.28515625" customWidth="1"/>
    <col min="6" max="6" width="32.42578125" customWidth="1"/>
    <col min="7" max="7" width="19.7109375" customWidth="1"/>
    <col min="8" max="8" width="6.85546875" bestFit="1" customWidth="1"/>
    <col min="9" max="9" width="21.42578125" customWidth="1"/>
    <col min="10" max="10" width="18.42578125" bestFit="1" customWidth="1"/>
    <col min="11" max="11" width="14.5703125" bestFit="1" customWidth="1"/>
  </cols>
  <sheetData>
    <row r="2" spans="2:11" ht="17.25" customHeight="1" x14ac:dyDescent="0.25">
      <c r="B2" s="102"/>
      <c r="C2" s="103"/>
      <c r="D2" s="103"/>
      <c r="E2" s="104"/>
      <c r="F2" s="76" t="s">
        <v>68</v>
      </c>
      <c r="G2" s="76"/>
      <c r="H2" s="76"/>
      <c r="I2" s="76"/>
      <c r="J2" s="76"/>
    </row>
    <row r="3" spans="2:11" ht="34.5" customHeight="1" x14ac:dyDescent="0.25">
      <c r="B3" s="105"/>
      <c r="C3" s="106"/>
      <c r="D3" s="106"/>
      <c r="E3" s="107"/>
      <c r="F3" s="76"/>
      <c r="G3" s="76"/>
      <c r="H3" s="76"/>
      <c r="I3" s="76"/>
      <c r="J3" s="76"/>
    </row>
    <row r="4" spans="2:11" ht="34.5" customHeight="1" x14ac:dyDescent="0.25">
      <c r="B4" s="68" t="s">
        <v>62</v>
      </c>
      <c r="C4" s="111" t="s">
        <v>63</v>
      </c>
      <c r="D4" s="111" t="s">
        <v>64</v>
      </c>
      <c r="E4" s="111" t="s">
        <v>65</v>
      </c>
      <c r="F4" s="111" t="s">
        <v>66</v>
      </c>
      <c r="G4" s="111" t="s">
        <v>67</v>
      </c>
      <c r="H4" s="118" t="s">
        <v>61</v>
      </c>
      <c r="I4" s="59" t="s">
        <v>116</v>
      </c>
      <c r="J4" s="59" t="s">
        <v>117</v>
      </c>
    </row>
    <row r="5" spans="2:11" ht="25.5" customHeight="1" x14ac:dyDescent="0.25">
      <c r="B5" s="113">
        <v>1</v>
      </c>
      <c r="C5" s="114" t="s">
        <v>69</v>
      </c>
      <c r="D5" s="114" t="s">
        <v>70</v>
      </c>
      <c r="E5" s="114" t="s">
        <v>71</v>
      </c>
      <c r="F5" s="67" t="s">
        <v>72</v>
      </c>
      <c r="G5" s="67" t="s">
        <v>74</v>
      </c>
      <c r="H5" s="58">
        <v>3</v>
      </c>
      <c r="I5" s="61">
        <v>1578700</v>
      </c>
      <c r="J5" s="61">
        <f>+I5*H5</f>
        <v>4736100</v>
      </c>
      <c r="K5" s="117"/>
    </row>
    <row r="6" spans="2:11" ht="25.5" x14ac:dyDescent="0.25">
      <c r="B6" s="113">
        <v>2</v>
      </c>
      <c r="C6" s="115"/>
      <c r="D6" s="115"/>
      <c r="E6" s="115"/>
      <c r="F6" s="67" t="s">
        <v>73</v>
      </c>
      <c r="G6" s="67" t="s">
        <v>74</v>
      </c>
      <c r="H6" s="58">
        <v>3</v>
      </c>
      <c r="I6" s="61">
        <v>1038852</v>
      </c>
      <c r="J6" s="61">
        <f t="shared" ref="J6:J22" si="0">+I6*H6</f>
        <v>3116556</v>
      </c>
      <c r="K6" s="117"/>
    </row>
    <row r="7" spans="2:11" ht="25.5" x14ac:dyDescent="0.25">
      <c r="B7" s="113">
        <v>3</v>
      </c>
      <c r="C7" s="114" t="s">
        <v>75</v>
      </c>
      <c r="D7" s="114" t="s">
        <v>76</v>
      </c>
      <c r="E7" s="114" t="s">
        <v>77</v>
      </c>
      <c r="F7" s="67" t="s">
        <v>78</v>
      </c>
      <c r="G7" s="67" t="s">
        <v>74</v>
      </c>
      <c r="H7" s="58">
        <v>3</v>
      </c>
      <c r="I7" s="61">
        <v>2217200</v>
      </c>
      <c r="J7" s="61">
        <f t="shared" si="0"/>
        <v>6651600</v>
      </c>
      <c r="K7" s="117"/>
    </row>
    <row r="8" spans="2:11" ht="25.5" x14ac:dyDescent="0.25">
      <c r="B8" s="113">
        <v>4</v>
      </c>
      <c r="C8" s="115"/>
      <c r="D8" s="115"/>
      <c r="E8" s="115"/>
      <c r="F8" s="67" t="s">
        <v>79</v>
      </c>
      <c r="G8" s="67" t="s">
        <v>74</v>
      </c>
      <c r="H8" s="58">
        <v>6</v>
      </c>
      <c r="I8" s="61">
        <v>1008397</v>
      </c>
      <c r="J8" s="61">
        <f t="shared" si="0"/>
        <v>6050382</v>
      </c>
      <c r="K8" s="117"/>
    </row>
    <row r="9" spans="2:11" ht="25.5" x14ac:dyDescent="0.25">
      <c r="B9" s="113">
        <v>5</v>
      </c>
      <c r="C9" s="114" t="s">
        <v>80</v>
      </c>
      <c r="D9" s="114" t="s">
        <v>81</v>
      </c>
      <c r="E9" s="114" t="s">
        <v>82</v>
      </c>
      <c r="F9" s="67" t="s">
        <v>83</v>
      </c>
      <c r="G9" s="67" t="s">
        <v>74</v>
      </c>
      <c r="H9" s="58">
        <v>3</v>
      </c>
      <c r="I9" s="61">
        <v>586987</v>
      </c>
      <c r="J9" s="61">
        <f t="shared" si="0"/>
        <v>1760961</v>
      </c>
      <c r="K9" s="117"/>
    </row>
    <row r="10" spans="2:11" ht="25.5" x14ac:dyDescent="0.25">
      <c r="B10" s="113">
        <v>6</v>
      </c>
      <c r="C10" s="115"/>
      <c r="D10" s="115"/>
      <c r="E10" s="115"/>
      <c r="F10" s="67" t="s">
        <v>84</v>
      </c>
      <c r="G10" s="67" t="s">
        <v>74</v>
      </c>
      <c r="H10" s="58">
        <v>3</v>
      </c>
      <c r="I10" s="61">
        <v>428745</v>
      </c>
      <c r="J10" s="61">
        <f t="shared" si="0"/>
        <v>1286235</v>
      </c>
      <c r="K10" s="117"/>
    </row>
    <row r="11" spans="2:11" ht="25.5" x14ac:dyDescent="0.25">
      <c r="B11" s="113">
        <v>7</v>
      </c>
      <c r="C11" s="114" t="s">
        <v>85</v>
      </c>
      <c r="D11" s="114" t="s">
        <v>86</v>
      </c>
      <c r="E11" s="114" t="s">
        <v>87</v>
      </c>
      <c r="F11" s="67" t="s">
        <v>88</v>
      </c>
      <c r="G11" s="67" t="s">
        <v>74</v>
      </c>
      <c r="H11" s="58">
        <v>3</v>
      </c>
      <c r="I11" s="61">
        <v>672667</v>
      </c>
      <c r="J11" s="61">
        <f t="shared" si="0"/>
        <v>2018001</v>
      </c>
      <c r="K11" s="117"/>
    </row>
    <row r="12" spans="2:11" ht="25.5" x14ac:dyDescent="0.25">
      <c r="B12" s="113">
        <v>8</v>
      </c>
      <c r="C12" s="115"/>
      <c r="D12" s="115"/>
      <c r="E12" s="115"/>
      <c r="F12" s="67" t="s">
        <v>89</v>
      </c>
      <c r="G12" s="67" t="s">
        <v>74</v>
      </c>
      <c r="H12" s="58">
        <v>3</v>
      </c>
      <c r="I12" s="61">
        <v>437995</v>
      </c>
      <c r="J12" s="61">
        <f t="shared" si="0"/>
        <v>1313985</v>
      </c>
      <c r="K12" s="117"/>
    </row>
    <row r="13" spans="2:11" ht="25.5" x14ac:dyDescent="0.25">
      <c r="B13" s="113">
        <v>9</v>
      </c>
      <c r="C13" s="114" t="s">
        <v>90</v>
      </c>
      <c r="D13" s="114" t="s">
        <v>91</v>
      </c>
      <c r="E13" s="114" t="s">
        <v>92</v>
      </c>
      <c r="F13" s="67" t="s">
        <v>93</v>
      </c>
      <c r="G13" s="67" t="s">
        <v>74</v>
      </c>
      <c r="H13" s="58">
        <v>3</v>
      </c>
      <c r="I13" s="61">
        <v>704285</v>
      </c>
      <c r="J13" s="61">
        <f t="shared" si="0"/>
        <v>2112855</v>
      </c>
      <c r="K13" s="117"/>
    </row>
    <row r="14" spans="2:11" ht="25.5" x14ac:dyDescent="0.25">
      <c r="B14" s="113">
        <v>10</v>
      </c>
      <c r="C14" s="115"/>
      <c r="D14" s="115"/>
      <c r="E14" s="115"/>
      <c r="F14" s="67" t="s">
        <v>94</v>
      </c>
      <c r="G14" s="67" t="s">
        <v>74</v>
      </c>
      <c r="H14" s="58">
        <v>6</v>
      </c>
      <c r="I14" s="61">
        <v>360911</v>
      </c>
      <c r="J14" s="61">
        <f t="shared" si="0"/>
        <v>2165466</v>
      </c>
      <c r="K14" s="117"/>
    </row>
    <row r="15" spans="2:11" ht="25.5" x14ac:dyDescent="0.25">
      <c r="B15" s="113">
        <v>11</v>
      </c>
      <c r="C15" s="114" t="s">
        <v>95</v>
      </c>
      <c r="D15" s="114" t="s">
        <v>96</v>
      </c>
      <c r="E15" s="114" t="s">
        <v>97</v>
      </c>
      <c r="F15" s="67" t="s">
        <v>98</v>
      </c>
      <c r="G15" s="67" t="s">
        <v>74</v>
      </c>
      <c r="H15" s="58">
        <v>3</v>
      </c>
      <c r="I15" s="61">
        <v>1004867</v>
      </c>
      <c r="J15" s="61">
        <f t="shared" si="0"/>
        <v>3014601</v>
      </c>
      <c r="K15" s="117"/>
    </row>
    <row r="16" spans="2:11" ht="25.5" x14ac:dyDescent="0.25">
      <c r="B16" s="113">
        <v>12</v>
      </c>
      <c r="C16" s="115"/>
      <c r="D16" s="115"/>
      <c r="E16" s="115"/>
      <c r="F16" s="67" t="s">
        <v>99</v>
      </c>
      <c r="G16" s="67" t="s">
        <v>74</v>
      </c>
      <c r="H16" s="58">
        <v>3</v>
      </c>
      <c r="I16" s="61">
        <v>455760</v>
      </c>
      <c r="J16" s="61">
        <f t="shared" si="0"/>
        <v>1367280</v>
      </c>
      <c r="K16" s="117"/>
    </row>
    <row r="17" spans="2:11" ht="25.5" x14ac:dyDescent="0.25">
      <c r="B17" s="113">
        <v>13</v>
      </c>
      <c r="C17" s="114" t="s">
        <v>100</v>
      </c>
      <c r="D17" s="114" t="s">
        <v>101</v>
      </c>
      <c r="E17" s="114" t="s">
        <v>102</v>
      </c>
      <c r="F17" s="67" t="s">
        <v>103</v>
      </c>
      <c r="G17" s="67" t="s">
        <v>74</v>
      </c>
      <c r="H17" s="58">
        <v>3</v>
      </c>
      <c r="I17" s="61">
        <v>658962</v>
      </c>
      <c r="J17" s="61">
        <f t="shared" si="0"/>
        <v>1976886</v>
      </c>
      <c r="K17" s="117"/>
    </row>
    <row r="18" spans="2:11" ht="25.5" x14ac:dyDescent="0.25">
      <c r="B18" s="113">
        <v>14</v>
      </c>
      <c r="C18" s="115"/>
      <c r="D18" s="115"/>
      <c r="E18" s="115"/>
      <c r="F18" s="67" t="s">
        <v>104</v>
      </c>
      <c r="G18" s="67" t="s">
        <v>74</v>
      </c>
      <c r="H18" s="58">
        <v>3</v>
      </c>
      <c r="I18" s="61">
        <v>330520</v>
      </c>
      <c r="J18" s="61">
        <f t="shared" si="0"/>
        <v>991560</v>
      </c>
      <c r="K18" s="117"/>
    </row>
    <row r="19" spans="2:11" ht="25.5" x14ac:dyDescent="0.25">
      <c r="B19" s="113">
        <v>15</v>
      </c>
      <c r="C19" s="114" t="s">
        <v>105</v>
      </c>
      <c r="D19" s="114" t="s">
        <v>106</v>
      </c>
      <c r="E19" s="114" t="s">
        <v>107</v>
      </c>
      <c r="F19" s="67" t="s">
        <v>108</v>
      </c>
      <c r="G19" s="67" t="s">
        <v>74</v>
      </c>
      <c r="H19" s="58">
        <v>3</v>
      </c>
      <c r="I19" s="61">
        <v>1040567</v>
      </c>
      <c r="J19" s="61">
        <f t="shared" si="0"/>
        <v>3121701</v>
      </c>
      <c r="K19" s="117"/>
    </row>
    <row r="20" spans="2:11" ht="25.5" x14ac:dyDescent="0.25">
      <c r="B20" s="113">
        <v>16</v>
      </c>
      <c r="C20" s="115"/>
      <c r="D20" s="115"/>
      <c r="E20" s="115"/>
      <c r="F20" s="67" t="s">
        <v>109</v>
      </c>
      <c r="G20" s="67" t="s">
        <v>74</v>
      </c>
      <c r="H20" s="58">
        <v>3</v>
      </c>
      <c r="I20" s="61">
        <v>417880</v>
      </c>
      <c r="J20" s="61">
        <f t="shared" si="0"/>
        <v>1253640</v>
      </c>
      <c r="K20" s="117"/>
    </row>
    <row r="21" spans="2:11" ht="25.5" x14ac:dyDescent="0.25">
      <c r="B21" s="113">
        <v>17</v>
      </c>
      <c r="C21" s="114" t="s">
        <v>110</v>
      </c>
      <c r="D21" s="114" t="s">
        <v>111</v>
      </c>
      <c r="E21" s="114" t="s">
        <v>112</v>
      </c>
      <c r="F21" s="67" t="s">
        <v>113</v>
      </c>
      <c r="G21" s="67" t="s">
        <v>74</v>
      </c>
      <c r="H21" s="58">
        <v>3</v>
      </c>
      <c r="I21" s="61">
        <v>1543000</v>
      </c>
      <c r="J21" s="61">
        <f t="shared" si="0"/>
        <v>4629000</v>
      </c>
      <c r="K21" s="117"/>
    </row>
    <row r="22" spans="2:11" ht="25.5" x14ac:dyDescent="0.25">
      <c r="B22" s="113">
        <v>18</v>
      </c>
      <c r="C22" s="115"/>
      <c r="D22" s="115"/>
      <c r="E22" s="115"/>
      <c r="F22" s="67" t="s">
        <v>114</v>
      </c>
      <c r="G22" s="67" t="s">
        <v>74</v>
      </c>
      <c r="H22" s="58">
        <v>3</v>
      </c>
      <c r="I22" s="61">
        <v>417880</v>
      </c>
      <c r="J22" s="61">
        <f t="shared" si="0"/>
        <v>1253640</v>
      </c>
      <c r="K22" s="117"/>
    </row>
    <row r="23" spans="2:11" x14ac:dyDescent="0.25">
      <c r="B23" s="78" t="s">
        <v>28</v>
      </c>
      <c r="C23" s="78"/>
      <c r="D23" s="78"/>
      <c r="E23" s="78"/>
      <c r="F23" s="78"/>
      <c r="G23" s="78"/>
      <c r="H23" s="78"/>
      <c r="I23" s="65">
        <f>SUM(I5:I22)</f>
        <v>14904175</v>
      </c>
      <c r="J23" s="65">
        <f>SUM(J5:J22)</f>
        <v>48820449</v>
      </c>
    </row>
    <row r="24" spans="2:11" ht="15" customHeight="1" x14ac:dyDescent="0.25">
      <c r="B24" s="72" t="s">
        <v>59</v>
      </c>
      <c r="C24" s="72"/>
      <c r="D24" s="72"/>
      <c r="E24" s="72"/>
      <c r="F24" s="72"/>
      <c r="G24" s="72"/>
      <c r="H24" s="72"/>
      <c r="I24" s="72"/>
      <c r="J24" s="72"/>
    </row>
    <row r="25" spans="2:11" x14ac:dyDescent="0.25">
      <c r="B25" s="72"/>
      <c r="C25" s="72"/>
      <c r="D25" s="72"/>
      <c r="E25" s="72"/>
      <c r="F25" s="72"/>
      <c r="G25" s="72"/>
      <c r="H25" s="72"/>
      <c r="I25" s="72"/>
      <c r="J25" s="72"/>
    </row>
    <row r="29" spans="2:11" ht="18.75" x14ac:dyDescent="0.25">
      <c r="F29" s="57" t="s">
        <v>53</v>
      </c>
    </row>
    <row r="30" spans="2:11" ht="18.75" x14ac:dyDescent="0.25">
      <c r="F30" s="57" t="s">
        <v>54</v>
      </c>
    </row>
  </sheetData>
  <sheetProtection algorithmName="SHA-512" hashValue="6z4qW7SvrHMEpEdBc94wlkVM/mNUKHOJE26GPnf+oGQ8kzHBbj52/GWetN0jxHu/LdP6mqnlzuk+Rc9wBUJAuQ==" saltValue="50rZ4qPjaqcm/3jgzGieTA==" spinCount="100000" sheet="1" objects="1" scenarios="1"/>
  <mergeCells count="31">
    <mergeCell ref="C21:C22"/>
    <mergeCell ref="D21:D22"/>
    <mergeCell ref="E21:E22"/>
    <mergeCell ref="B23:H23"/>
    <mergeCell ref="B24:J25"/>
    <mergeCell ref="C17:C18"/>
    <mergeCell ref="D17:D18"/>
    <mergeCell ref="E17:E18"/>
    <mergeCell ref="C19:C20"/>
    <mergeCell ref="D19:D20"/>
    <mergeCell ref="E19:E20"/>
    <mergeCell ref="C13:C14"/>
    <mergeCell ref="D13:D14"/>
    <mergeCell ref="E13:E14"/>
    <mergeCell ref="C15:C16"/>
    <mergeCell ref="D15:D16"/>
    <mergeCell ref="E15:E16"/>
    <mergeCell ref="C9:C10"/>
    <mergeCell ref="D9:D10"/>
    <mergeCell ref="E9:E10"/>
    <mergeCell ref="C11:C12"/>
    <mergeCell ref="D11:D12"/>
    <mergeCell ref="E11:E12"/>
    <mergeCell ref="B2:E3"/>
    <mergeCell ref="F2:J3"/>
    <mergeCell ref="C5:C6"/>
    <mergeCell ref="D5:D6"/>
    <mergeCell ref="E5:E6"/>
    <mergeCell ref="C7:C8"/>
    <mergeCell ref="D7:D8"/>
    <mergeCell ref="E7:E8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33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</cols>
  <sheetData>
    <row r="1" spans="2:8" ht="15.75" thickBot="1" x14ac:dyDescent="0.3"/>
    <row r="2" spans="2:8" ht="17.25" customHeight="1" x14ac:dyDescent="0.25">
      <c r="B2" s="82"/>
      <c r="C2" s="84" t="s">
        <v>37</v>
      </c>
      <c r="D2" s="85"/>
      <c r="E2" s="85"/>
      <c r="F2" s="85"/>
      <c r="G2" s="85"/>
      <c r="H2" s="85"/>
    </row>
    <row r="3" spans="2:8" ht="34.5" customHeight="1" thickBot="1" x14ac:dyDescent="0.3">
      <c r="B3" s="83"/>
      <c r="C3" s="84"/>
      <c r="D3" s="85"/>
      <c r="E3" s="85"/>
      <c r="F3" s="85"/>
      <c r="G3" s="85"/>
      <c r="H3" s="85"/>
    </row>
    <row r="4" spans="2:8" ht="17.25" customHeight="1" x14ac:dyDescent="0.25">
      <c r="B4" s="86" t="s">
        <v>29</v>
      </c>
      <c r="C4" s="30" t="s">
        <v>2</v>
      </c>
      <c r="D4" s="5" t="s">
        <v>4</v>
      </c>
      <c r="E4" s="5" t="s">
        <v>5</v>
      </c>
      <c r="F4" s="89"/>
      <c r="G4" s="89"/>
      <c r="H4" s="89"/>
    </row>
    <row r="5" spans="2:8" ht="17.25" customHeight="1" x14ac:dyDescent="0.25">
      <c r="B5" s="87"/>
      <c r="C5" s="90" t="s">
        <v>34</v>
      </c>
      <c r="D5" s="92" t="s">
        <v>34</v>
      </c>
      <c r="E5" s="92" t="s">
        <v>34</v>
      </c>
      <c r="F5" s="6" t="s">
        <v>7</v>
      </c>
      <c r="G5" s="6" t="s">
        <v>9</v>
      </c>
      <c r="H5" s="75" t="s">
        <v>10</v>
      </c>
    </row>
    <row r="6" spans="2:8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75"/>
    </row>
    <row r="7" spans="2:8" ht="15" customHeight="1" x14ac:dyDescent="0.25">
      <c r="B7" s="79" t="s">
        <v>38</v>
      </c>
      <c r="C7" s="80"/>
      <c r="D7" s="80"/>
      <c r="E7" s="80"/>
      <c r="F7" s="80"/>
      <c r="G7" s="80"/>
      <c r="H7" s="81"/>
    </row>
    <row r="8" spans="2:8" ht="15.75" x14ac:dyDescent="0.25">
      <c r="B8" s="27" t="s">
        <v>31</v>
      </c>
      <c r="C8" s="1">
        <v>560500000</v>
      </c>
      <c r="D8" s="1">
        <v>538598000</v>
      </c>
      <c r="E8" s="1">
        <v>498977000</v>
      </c>
      <c r="F8" s="9">
        <f>+GEOMEAN(C8:E8)</f>
        <v>532075947.36219543</v>
      </c>
      <c r="G8" s="9">
        <f>+_xlfn.STDEV.P(C8:E8)</f>
        <v>25461519.492930677</v>
      </c>
      <c r="H8" s="34">
        <f>+G8/F8</f>
        <v>4.7853167614807589E-2</v>
      </c>
    </row>
    <row r="9" spans="2:8" ht="15.75" x14ac:dyDescent="0.25">
      <c r="B9" s="27" t="s">
        <v>30</v>
      </c>
      <c r="C9" s="2">
        <v>540320000</v>
      </c>
      <c r="D9" s="2">
        <v>641145000</v>
      </c>
      <c r="E9" s="2">
        <v>498977000</v>
      </c>
      <c r="F9" s="9">
        <f t="shared" ref="F9:F14" si="0">+GEOMEAN(C9:E9)</f>
        <v>557052263.85835826</v>
      </c>
      <c r="G9" s="9">
        <f>+_xlfn.STDEV.P(C9:E9)</f>
        <v>59709169.682907231</v>
      </c>
      <c r="H9" s="34">
        <f>+G9/F9</f>
        <v>0.10718773364161301</v>
      </c>
    </row>
    <row r="10" spans="2:8" ht="31.5" x14ac:dyDescent="0.25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1010872752.8046186</v>
      </c>
      <c r="G10" s="9">
        <f>+_xlfn.STDEV.P(C10:E10)</f>
        <v>47955939.84991733</v>
      </c>
      <c r="H10" s="34">
        <f>+G10/F10</f>
        <v>4.7440134989162427E-2</v>
      </c>
    </row>
    <row r="11" spans="2:8" ht="15.75" x14ac:dyDescent="0.25">
      <c r="B11" s="27" t="s">
        <v>36</v>
      </c>
      <c r="C11" s="1">
        <v>920500000</v>
      </c>
      <c r="D11" s="1">
        <v>1024355000</v>
      </c>
      <c r="E11" s="1">
        <v>997665000</v>
      </c>
      <c r="F11" s="9">
        <f t="shared" si="0"/>
        <v>979835131.97470129</v>
      </c>
      <c r="G11" s="9">
        <f>+_xlfn.STDEV.P(C11:E11)</f>
        <v>44036164.872371286</v>
      </c>
      <c r="H11" s="34">
        <f>+G11/F11</f>
        <v>4.4942422898864041E-2</v>
      </c>
    </row>
    <row r="12" spans="2:8" ht="15" customHeight="1" x14ac:dyDescent="0.25">
      <c r="B12" s="79" t="s">
        <v>35</v>
      </c>
      <c r="C12" s="80"/>
      <c r="D12" s="80"/>
      <c r="E12" s="80"/>
      <c r="F12" s="80"/>
      <c r="G12" s="80"/>
      <c r="H12" s="81"/>
    </row>
    <row r="13" spans="2:8" ht="15.75" x14ac:dyDescent="0.25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si="0"/>
        <v>450630718.62022907</v>
      </c>
      <c r="G13" s="9">
        <f>+_xlfn.STDEV.P(C13:E13)</f>
        <v>85587902.035795197</v>
      </c>
      <c r="H13" s="34">
        <f>+G13/F13</f>
        <v>0.18992913376578918</v>
      </c>
    </row>
    <row r="14" spans="2:8" ht="15.75" x14ac:dyDescent="0.25">
      <c r="B14" s="27" t="s">
        <v>33</v>
      </c>
      <c r="C14" s="1">
        <v>540320000</v>
      </c>
      <c r="D14" s="1">
        <v>641145000</v>
      </c>
      <c r="E14" s="1">
        <v>498977000</v>
      </c>
      <c r="F14" s="9">
        <f t="shared" si="0"/>
        <v>557052263.85835826</v>
      </c>
      <c r="G14" s="9">
        <f>+_xlfn.STDEV.P(C14:E14)</f>
        <v>59709169.682907231</v>
      </c>
      <c r="H14" s="34">
        <f>+G14/F14</f>
        <v>0.10718773364161301</v>
      </c>
    </row>
    <row r="15" spans="2:8" ht="31.5" x14ac:dyDescent="0.25">
      <c r="B15" s="27" t="s">
        <v>32</v>
      </c>
      <c r="C15" s="1">
        <v>950350000</v>
      </c>
      <c r="D15" s="1">
        <v>945431000</v>
      </c>
      <c r="E15" s="1">
        <v>998954000</v>
      </c>
      <c r="F15" s="9">
        <f>+GEOMEAN(C15:E15)</f>
        <v>964612686.05550313</v>
      </c>
      <c r="G15" s="9">
        <f>+_xlfn.STDEV.P(C15:E15)</f>
        <v>24155185.562432669</v>
      </c>
      <c r="H15" s="34">
        <f>+G15/F15</f>
        <v>2.5041331004268794E-2</v>
      </c>
    </row>
    <row r="16" spans="2:8" ht="15.75" x14ac:dyDescent="0.25">
      <c r="B16" s="31" t="s">
        <v>27</v>
      </c>
      <c r="C16" s="32"/>
      <c r="D16" s="32"/>
      <c r="E16" s="32"/>
      <c r="F16" s="33"/>
      <c r="G16" s="33"/>
      <c r="H16" s="35"/>
    </row>
    <row r="17" spans="2:8" x14ac:dyDescent="0.25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5052131764.5339642</v>
      </c>
      <c r="G17" s="36">
        <f>+_xlfn.STDEV.P(C17:E17)</f>
        <v>248015750.05677006</v>
      </c>
      <c r="H17" s="37">
        <f>+G17/F17</f>
        <v>4.909130672280642E-2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J33"/>
  <sheetViews>
    <sheetView showGridLines="0" zoomScaleNormal="100" workbookViewId="0">
      <selection activeCell="H27" sqref="H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  <col min="9" max="9" width="15.5703125" bestFit="1" customWidth="1"/>
  </cols>
  <sheetData>
    <row r="1" spans="2:10" ht="15.75" thickBot="1" x14ac:dyDescent="0.3"/>
    <row r="2" spans="2:10" ht="17.25" customHeight="1" x14ac:dyDescent="0.25">
      <c r="B2" s="82"/>
      <c r="C2" s="84" t="s">
        <v>37</v>
      </c>
      <c r="D2" s="85"/>
      <c r="E2" s="85"/>
      <c r="F2" s="85"/>
      <c r="G2" s="85"/>
      <c r="H2" s="85"/>
    </row>
    <row r="3" spans="2:10" ht="34.5" customHeight="1" thickBot="1" x14ac:dyDescent="0.3">
      <c r="B3" s="83"/>
      <c r="C3" s="84"/>
      <c r="D3" s="85"/>
      <c r="E3" s="85"/>
      <c r="F3" s="85"/>
      <c r="G3" s="85"/>
      <c r="H3" s="85"/>
    </row>
    <row r="4" spans="2:10" ht="17.25" customHeight="1" x14ac:dyDescent="0.25">
      <c r="B4" s="86" t="s">
        <v>29</v>
      </c>
      <c r="C4" s="30" t="s">
        <v>2</v>
      </c>
      <c r="D4" s="5" t="s">
        <v>4</v>
      </c>
      <c r="E4" s="5" t="s">
        <v>5</v>
      </c>
      <c r="F4" s="89"/>
      <c r="G4" s="89"/>
      <c r="H4" s="89"/>
    </row>
    <row r="5" spans="2:10" ht="17.25" customHeight="1" x14ac:dyDescent="0.25">
      <c r="B5" s="87"/>
      <c r="C5" s="90" t="s">
        <v>34</v>
      </c>
      <c r="D5" s="92" t="s">
        <v>34</v>
      </c>
      <c r="E5" s="92" t="s">
        <v>34</v>
      </c>
      <c r="F5" s="6" t="s">
        <v>8</v>
      </c>
      <c r="G5" s="6" t="s">
        <v>9</v>
      </c>
      <c r="H5" s="75" t="s">
        <v>10</v>
      </c>
    </row>
    <row r="6" spans="2:10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75"/>
    </row>
    <row r="7" spans="2:10" ht="15" customHeight="1" x14ac:dyDescent="0.25">
      <c r="B7" s="79" t="s">
        <v>38</v>
      </c>
      <c r="C7" s="80"/>
      <c r="D7" s="80"/>
      <c r="E7" s="80"/>
      <c r="F7" s="80"/>
      <c r="G7" s="80"/>
      <c r="H7" s="81"/>
    </row>
    <row r="8" spans="2:10" ht="15.75" x14ac:dyDescent="0.25">
      <c r="B8" s="27" t="s">
        <v>31</v>
      </c>
      <c r="C8" s="1">
        <v>560500000</v>
      </c>
      <c r="D8" s="1">
        <v>538598000</v>
      </c>
      <c r="E8" s="1">
        <v>498977000</v>
      </c>
      <c r="F8" s="9">
        <f>+HARMEAN(C8:E8)</f>
        <v>531453731.89920044</v>
      </c>
      <c r="G8" s="9">
        <f>+_xlfn.STDEV.P(C8:E8)</f>
        <v>25461519.492930677</v>
      </c>
      <c r="H8" s="34">
        <f>+G8/F8</f>
        <v>4.790919315203887E-2</v>
      </c>
      <c r="I8" s="4"/>
      <c r="J8" s="12"/>
    </row>
    <row r="9" spans="2:10" ht="15.75" x14ac:dyDescent="0.25">
      <c r="B9" s="27" t="s">
        <v>30</v>
      </c>
      <c r="C9" s="2">
        <v>540320000</v>
      </c>
      <c r="D9" s="2">
        <v>641145000</v>
      </c>
      <c r="E9" s="2">
        <v>498977000</v>
      </c>
      <c r="F9" s="9">
        <f t="shared" ref="F9:F10" si="0">+HARMEAN(C9:E9)</f>
        <v>554061121.42356193</v>
      </c>
      <c r="G9" s="9">
        <f>+_xlfn.STDEV.P(C9:E9)</f>
        <v>59709169.682907231</v>
      </c>
      <c r="H9" s="34">
        <f>+G9/F9</f>
        <v>0.10776639503146349</v>
      </c>
    </row>
    <row r="10" spans="2:10" ht="31.5" x14ac:dyDescent="0.25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1009763080.4893733</v>
      </c>
      <c r="G10" s="9">
        <f>+_xlfn.STDEV.P(C10:E10)</f>
        <v>47955939.84991733</v>
      </c>
      <c r="H10" s="34">
        <f>+G10/F10</f>
        <v>4.7492269004998561E-2</v>
      </c>
    </row>
    <row r="11" spans="2:10" ht="15.75" x14ac:dyDescent="0.25">
      <c r="B11" s="27" t="s">
        <v>36</v>
      </c>
      <c r="C11" s="1">
        <v>920500000</v>
      </c>
      <c r="D11" s="1">
        <v>1024355000</v>
      </c>
      <c r="E11" s="1">
        <v>997665000</v>
      </c>
      <c r="F11" s="9">
        <f>+HARMEAN(C11:E11)</f>
        <v>978814974.60187066</v>
      </c>
      <c r="G11" s="9">
        <f>+_xlfn.STDEV.P(C11:E11)</f>
        <v>44036164.872371286</v>
      </c>
      <c r="H11" s="34">
        <f>+G11/F11</f>
        <v>4.4989263563609487E-2</v>
      </c>
    </row>
    <row r="12" spans="2:10" ht="15" customHeight="1" x14ac:dyDescent="0.25">
      <c r="B12" s="79" t="s">
        <v>35</v>
      </c>
      <c r="C12" s="80"/>
      <c r="D12" s="80"/>
      <c r="E12" s="80"/>
      <c r="F12" s="80"/>
      <c r="G12" s="80"/>
      <c r="H12" s="81"/>
    </row>
    <row r="13" spans="2:10" ht="15.75" x14ac:dyDescent="0.25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ref="F13:F15" si="1">+HARMEAN(C13:E13)</f>
        <v>441330269.3108272</v>
      </c>
      <c r="G13" s="9">
        <f>+_xlfn.STDEV.P(C13:E13)</f>
        <v>85587902.035795197</v>
      </c>
      <c r="H13" s="34">
        <f>+G13/F13</f>
        <v>0.19393163802122074</v>
      </c>
    </row>
    <row r="14" spans="2:10" ht="15.75" x14ac:dyDescent="0.25">
      <c r="B14" s="27" t="s">
        <v>33</v>
      </c>
      <c r="C14" s="1">
        <v>540320000</v>
      </c>
      <c r="D14" s="1">
        <v>641145000</v>
      </c>
      <c r="E14" s="1">
        <v>498977000</v>
      </c>
      <c r="F14" s="9">
        <f t="shared" si="1"/>
        <v>554061121.42356193</v>
      </c>
      <c r="G14" s="9">
        <f>+_xlfn.STDEV.P(C14:E14)</f>
        <v>59709169.682907231</v>
      </c>
      <c r="H14" s="34">
        <f>+G14/F14</f>
        <v>0.10776639503146349</v>
      </c>
    </row>
    <row r="15" spans="2:10" ht="31.5" x14ac:dyDescent="0.25">
      <c r="B15" s="27" t="s">
        <v>32</v>
      </c>
      <c r="C15" s="1">
        <v>950350000</v>
      </c>
      <c r="D15" s="1">
        <v>945431000</v>
      </c>
      <c r="E15" s="1">
        <v>998954000</v>
      </c>
      <c r="F15" s="9">
        <f t="shared" si="1"/>
        <v>964317161.72933245</v>
      </c>
      <c r="G15" s="9">
        <f>+_xlfn.STDEV.P(C15:E15)</f>
        <v>24155185.562432669</v>
      </c>
      <c r="H15" s="34">
        <f>+G15/F15</f>
        <v>2.5049005162486801E-2</v>
      </c>
    </row>
    <row r="16" spans="2:10" ht="15.75" x14ac:dyDescent="0.25">
      <c r="B16" s="31" t="s">
        <v>27</v>
      </c>
      <c r="C16" s="32"/>
      <c r="D16" s="32"/>
      <c r="E16" s="32"/>
      <c r="F16" s="33"/>
      <c r="G16" s="33"/>
      <c r="H16" s="35"/>
    </row>
    <row r="17" spans="2:8" x14ac:dyDescent="0.25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5033801460.8777275</v>
      </c>
      <c r="G17" s="36">
        <f>+_xlfn.STDEV.P(C17:E17)</f>
        <v>248015750.05677006</v>
      </c>
      <c r="H17" s="37">
        <f>+G17/F17</f>
        <v>4.9270069943029571E-2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E15" sqref="E15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4" t="s">
        <v>41</v>
      </c>
      <c r="D2" s="95"/>
      <c r="E2" s="95"/>
      <c r="F2" s="95"/>
      <c r="G2" s="95"/>
      <c r="H2" s="96"/>
    </row>
    <row r="3" spans="2:8" ht="34.5" customHeight="1" thickBot="1" x14ac:dyDescent="0.3">
      <c r="B3" s="83"/>
      <c r="C3" s="97"/>
      <c r="D3" s="98"/>
      <c r="E3" s="98"/>
      <c r="F3" s="98"/>
      <c r="G3" s="98"/>
      <c r="H3" s="99"/>
    </row>
    <row r="4" spans="2:8" ht="17.25" customHeight="1" x14ac:dyDescent="0.25">
      <c r="B4" s="86" t="s">
        <v>29</v>
      </c>
      <c r="C4" s="40" t="s">
        <v>2</v>
      </c>
      <c r="D4" s="41" t="s">
        <v>4</v>
      </c>
      <c r="E4" s="41" t="s">
        <v>5</v>
      </c>
      <c r="F4" s="44"/>
      <c r="G4" s="100" t="s">
        <v>9</v>
      </c>
      <c r="H4" s="93" t="s">
        <v>10</v>
      </c>
    </row>
    <row r="5" spans="2:8" ht="24" customHeight="1" x14ac:dyDescent="0.25">
      <c r="B5" s="87"/>
      <c r="C5" s="90" t="s">
        <v>34</v>
      </c>
      <c r="D5" s="92" t="s">
        <v>34</v>
      </c>
      <c r="E5" s="92" t="s">
        <v>34</v>
      </c>
      <c r="F5" s="6" t="s">
        <v>6</v>
      </c>
      <c r="G5" s="101"/>
      <c r="H5" s="75"/>
    </row>
    <row r="6" spans="2:8" ht="21" customHeight="1" thickBot="1" x14ac:dyDescent="0.3">
      <c r="B6" s="88"/>
      <c r="C6" s="91"/>
      <c r="D6" s="93"/>
      <c r="E6" s="93"/>
      <c r="F6" s="38" t="s">
        <v>3</v>
      </c>
      <c r="G6" s="38" t="s">
        <v>3</v>
      </c>
      <c r="H6" s="38" t="s">
        <v>3</v>
      </c>
    </row>
    <row r="7" spans="2:8" ht="15.75" x14ac:dyDescent="0.25">
      <c r="B7" s="39" t="s">
        <v>39</v>
      </c>
      <c r="C7" s="1">
        <v>243950</v>
      </c>
      <c r="D7" s="1">
        <v>297500</v>
      </c>
      <c r="E7" s="1">
        <v>107100</v>
      </c>
      <c r="F7" s="9">
        <f>+AVERAGE(C7:E7)</f>
        <v>216183.33333333334</v>
      </c>
      <c r="G7" s="43">
        <f>+_xlfn.STDEV.P(C7:E7)</f>
        <v>80171.818961250683</v>
      </c>
      <c r="H7" s="34">
        <f>+G7/F7</f>
        <v>0.3708510629616098</v>
      </c>
    </row>
    <row r="8" spans="2:8" ht="31.5" x14ac:dyDescent="0.25">
      <c r="B8" s="39" t="s">
        <v>40</v>
      </c>
      <c r="C8" s="2">
        <v>654500</v>
      </c>
      <c r="D8" s="2">
        <v>856800</v>
      </c>
      <c r="E8" s="2">
        <v>178500</v>
      </c>
      <c r="F8" s="9">
        <f>+AVERAGE(C8:E8)</f>
        <v>563266.66666666663</v>
      </c>
      <c r="G8" s="43">
        <f>+_xlfn.STDEV.P(C8:E8)</f>
        <v>284330.0468743245</v>
      </c>
      <c r="H8" s="34">
        <f>+G8/F8</f>
        <v>0.50478763204105426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3">
        <f>SUM(F7:F8)</f>
        <v>779450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H4:H5"/>
    <mergeCell ref="C2:H3"/>
    <mergeCell ref="G4:G5"/>
    <mergeCell ref="B2:B3"/>
    <mergeCell ref="B4:B6"/>
    <mergeCell ref="C5:C6"/>
    <mergeCell ref="D5:D6"/>
    <mergeCell ref="E5:E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F22" sqref="F22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4" t="s">
        <v>41</v>
      </c>
      <c r="D2" s="95"/>
      <c r="E2" s="95"/>
      <c r="F2" s="95"/>
      <c r="G2" s="95"/>
      <c r="H2" s="96"/>
    </row>
    <row r="3" spans="2:8" ht="34.5" customHeight="1" thickBot="1" x14ac:dyDescent="0.3">
      <c r="B3" s="83"/>
      <c r="C3" s="97"/>
      <c r="D3" s="98"/>
      <c r="E3" s="98"/>
      <c r="F3" s="98"/>
      <c r="G3" s="98"/>
      <c r="H3" s="99"/>
    </row>
    <row r="4" spans="2:8" ht="17.25" customHeight="1" x14ac:dyDescent="0.25">
      <c r="B4" s="86" t="s">
        <v>52</v>
      </c>
      <c r="C4" s="40" t="s">
        <v>2</v>
      </c>
      <c r="D4" s="41" t="s">
        <v>4</v>
      </c>
      <c r="E4" s="41" t="s">
        <v>5</v>
      </c>
      <c r="F4" s="100" t="s">
        <v>7</v>
      </c>
      <c r="G4" s="100" t="s">
        <v>9</v>
      </c>
      <c r="H4" s="93" t="s">
        <v>10</v>
      </c>
    </row>
    <row r="5" spans="2:8" ht="24" customHeight="1" x14ac:dyDescent="0.25">
      <c r="B5" s="87"/>
      <c r="C5" s="90" t="s">
        <v>34</v>
      </c>
      <c r="D5" s="92" t="s">
        <v>34</v>
      </c>
      <c r="E5" s="92" t="s">
        <v>34</v>
      </c>
      <c r="F5" s="101"/>
      <c r="G5" s="101"/>
      <c r="H5" s="75"/>
    </row>
    <row r="6" spans="2:8" ht="21" customHeight="1" thickBot="1" x14ac:dyDescent="0.3">
      <c r="B6" s="88"/>
      <c r="C6" s="91"/>
      <c r="D6" s="93"/>
      <c r="E6" s="93"/>
      <c r="F6" s="38" t="s">
        <v>3</v>
      </c>
      <c r="G6" s="38" t="s">
        <v>3</v>
      </c>
      <c r="H6" s="38" t="s">
        <v>3</v>
      </c>
    </row>
    <row r="7" spans="2:8" ht="15.75" x14ac:dyDescent="0.25">
      <c r="B7" s="39" t="s">
        <v>39</v>
      </c>
      <c r="C7" s="1">
        <v>243950</v>
      </c>
      <c r="D7" s="1">
        <v>297500</v>
      </c>
      <c r="E7" s="1">
        <v>107100</v>
      </c>
      <c r="F7" s="8">
        <f>+GEOMEAN(C7:E7)</f>
        <v>198088.4199135169</v>
      </c>
      <c r="G7" s="43">
        <f>+_xlfn.STDEV.P(C7:E7)</f>
        <v>80171.818961250683</v>
      </c>
      <c r="H7" s="34">
        <f>+G7/F7</f>
        <v>0.40472743937405714</v>
      </c>
    </row>
    <row r="8" spans="2:8" ht="31.5" x14ac:dyDescent="0.25">
      <c r="B8" s="39" t="s">
        <v>40</v>
      </c>
      <c r="C8" s="2">
        <v>654500</v>
      </c>
      <c r="D8" s="2">
        <v>856800</v>
      </c>
      <c r="E8" s="2">
        <v>178500</v>
      </c>
      <c r="F8" s="8">
        <f>+GEOMEAN(C8:E8)</f>
        <v>464311.14652594511</v>
      </c>
      <c r="G8" s="43">
        <f>+_xlfn.STDEV.P(C8:E8)</f>
        <v>284330.0468743245</v>
      </c>
      <c r="H8" s="34">
        <f>+G8/F8</f>
        <v>0.61236963403039157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662399.56643946201</v>
      </c>
      <c r="G9" s="10">
        <f>SUM(G7:G8)</f>
        <v>364501.86583557515</v>
      </c>
    </row>
    <row r="11" spans="2:8" x14ac:dyDescent="0.25">
      <c r="H11" s="12"/>
    </row>
    <row r="13" spans="2:8" x14ac:dyDescent="0.25">
      <c r="F13" s="56"/>
    </row>
    <row r="14" spans="2:8" x14ac:dyDescent="0.25">
      <c r="C14" s="7"/>
      <c r="F14" s="56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9">
    <mergeCell ref="B2:B3"/>
    <mergeCell ref="C2:H3"/>
    <mergeCell ref="B4:B6"/>
    <mergeCell ref="G4:G5"/>
    <mergeCell ref="H4:H5"/>
    <mergeCell ref="C5:C6"/>
    <mergeCell ref="D5:D6"/>
    <mergeCell ref="E5:E6"/>
    <mergeCell ref="F4:F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I24" sqref="I24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4" t="s">
        <v>41</v>
      </c>
      <c r="D2" s="95"/>
      <c r="E2" s="95"/>
      <c r="F2" s="95"/>
      <c r="G2" s="95"/>
      <c r="H2" s="96"/>
    </row>
    <row r="3" spans="2:8" ht="34.5" customHeight="1" thickBot="1" x14ac:dyDescent="0.3">
      <c r="B3" s="83"/>
      <c r="C3" s="97"/>
      <c r="D3" s="98"/>
      <c r="E3" s="98"/>
      <c r="F3" s="98"/>
      <c r="G3" s="98"/>
      <c r="H3" s="99"/>
    </row>
    <row r="4" spans="2:8" ht="17.25" customHeight="1" x14ac:dyDescent="0.25">
      <c r="B4" s="86" t="s">
        <v>29</v>
      </c>
      <c r="C4" s="40" t="s">
        <v>2</v>
      </c>
      <c r="D4" s="41" t="s">
        <v>4</v>
      </c>
      <c r="E4" s="41" t="s">
        <v>5</v>
      </c>
      <c r="F4" s="45"/>
      <c r="G4" s="100" t="s">
        <v>9</v>
      </c>
      <c r="H4" s="93" t="s">
        <v>10</v>
      </c>
    </row>
    <row r="5" spans="2:8" ht="24" customHeight="1" x14ac:dyDescent="0.25">
      <c r="B5" s="87"/>
      <c r="C5" s="90" t="s">
        <v>34</v>
      </c>
      <c r="D5" s="92" t="s">
        <v>34</v>
      </c>
      <c r="E5" s="92" t="s">
        <v>34</v>
      </c>
      <c r="F5" s="6" t="s">
        <v>8</v>
      </c>
      <c r="G5" s="101"/>
      <c r="H5" s="75"/>
    </row>
    <row r="6" spans="2:8" ht="21" customHeight="1" thickBot="1" x14ac:dyDescent="0.3">
      <c r="B6" s="88"/>
      <c r="C6" s="91"/>
      <c r="D6" s="93"/>
      <c r="E6" s="93"/>
      <c r="F6" s="38" t="s">
        <v>3</v>
      </c>
      <c r="G6" s="38" t="s">
        <v>3</v>
      </c>
      <c r="H6" s="38" t="s">
        <v>3</v>
      </c>
    </row>
    <row r="7" spans="2:8" ht="15.75" x14ac:dyDescent="0.25">
      <c r="B7" s="39" t="s">
        <v>39</v>
      </c>
      <c r="C7" s="1">
        <v>243950</v>
      </c>
      <c r="D7" s="1">
        <v>297500</v>
      </c>
      <c r="E7" s="1">
        <v>107100</v>
      </c>
      <c r="F7" s="8">
        <f>+HARMEAN(C7:E7)</f>
        <v>178596.80043383947</v>
      </c>
      <c r="G7" s="43">
        <f>+_xlfn.STDEV.P(C7:E7)</f>
        <v>80171.818961250683</v>
      </c>
      <c r="H7" s="34">
        <f>+G7/F7</f>
        <v>0.44889840560693606</v>
      </c>
    </row>
    <row r="8" spans="2:8" ht="31.5" x14ac:dyDescent="0.25">
      <c r="B8" s="39" t="s">
        <v>40</v>
      </c>
      <c r="C8" s="2">
        <v>654500</v>
      </c>
      <c r="D8" s="2">
        <v>856800</v>
      </c>
      <c r="E8" s="2">
        <v>178500</v>
      </c>
      <c r="F8" s="8">
        <f>+HARMEAN(C8:E8)</f>
        <v>361565.21739130438</v>
      </c>
      <c r="G8" s="43">
        <f>+_xlfn.STDEV.P(C8:E8)</f>
        <v>284330.0468743245</v>
      </c>
      <c r="H8" s="34">
        <f>+G8/F8</f>
        <v>0.78638661352927641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540162.01782514388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B2:B3"/>
    <mergeCell ref="C2:H3"/>
    <mergeCell ref="B4:B6"/>
    <mergeCell ref="G4:G5"/>
    <mergeCell ref="H4:H5"/>
    <mergeCell ref="C5:C6"/>
    <mergeCell ref="D5:D6"/>
    <mergeCell ref="E5:E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8"/>
  <sheetViews>
    <sheetView showGridLines="0" workbookViewId="0">
      <selection activeCell="I8" sqref="I8"/>
    </sheetView>
  </sheetViews>
  <sheetFormatPr baseColWidth="10" defaultRowHeight="15" x14ac:dyDescent="0.25"/>
  <cols>
    <col min="2" max="2" width="2.85546875" bestFit="1" customWidth="1"/>
    <col min="3" max="3" width="21.42578125" customWidth="1"/>
    <col min="4" max="4" width="21.7109375" bestFit="1" customWidth="1"/>
    <col min="5" max="5" width="14.85546875" customWidth="1"/>
    <col min="6" max="6" width="12" bestFit="1" customWidth="1"/>
    <col min="7" max="7" width="14" customWidth="1"/>
    <col min="8" max="8" width="12" bestFit="1" customWidth="1"/>
    <col min="9" max="9" width="13" bestFit="1" customWidth="1"/>
  </cols>
  <sheetData>
    <row r="6" spans="2:9" ht="22.5" x14ac:dyDescent="0.25">
      <c r="B6" s="46" t="s">
        <v>42</v>
      </c>
      <c r="C6" s="46" t="s">
        <v>43</v>
      </c>
      <c r="D6" s="47" t="s">
        <v>49</v>
      </c>
      <c r="E6" s="48" t="s">
        <v>50</v>
      </c>
      <c r="F6" s="49" t="s">
        <v>44</v>
      </c>
      <c r="G6" s="49" t="s">
        <v>45</v>
      </c>
      <c r="H6" s="49" t="s">
        <v>46</v>
      </c>
      <c r="I6" s="49" t="s">
        <v>47</v>
      </c>
    </row>
    <row r="7" spans="2:9" x14ac:dyDescent="0.25">
      <c r="B7" s="50">
        <v>1</v>
      </c>
      <c r="C7" s="51" t="s">
        <v>48</v>
      </c>
      <c r="D7" s="52">
        <v>30</v>
      </c>
      <c r="E7" s="53">
        <v>114799</v>
      </c>
      <c r="F7" s="42">
        <f>+E7*1.61%</f>
        <v>1848.2638999999999</v>
      </c>
      <c r="G7" s="54">
        <f>+E7+F7</f>
        <v>116647.26390000001</v>
      </c>
      <c r="H7" s="42">
        <f>+G7*5.62%</f>
        <v>6555.5762311799999</v>
      </c>
      <c r="I7" s="55">
        <f>+G7+H7</f>
        <v>123202.84013118001</v>
      </c>
    </row>
    <row r="8" spans="2:9" x14ac:dyDescent="0.25">
      <c r="B8" s="50">
        <v>2</v>
      </c>
      <c r="C8" s="51" t="s">
        <v>51</v>
      </c>
      <c r="D8" s="52">
        <v>45</v>
      </c>
      <c r="E8" s="53">
        <v>49623</v>
      </c>
      <c r="F8" s="42">
        <f>+E8*1.61%</f>
        <v>798.93029999999999</v>
      </c>
      <c r="G8" s="54">
        <f>+E8+F8</f>
        <v>50421.9303</v>
      </c>
      <c r="H8" s="42">
        <f>+G8*5.62%</f>
        <v>2833.7124828599999</v>
      </c>
      <c r="I8" s="55">
        <f>+G8+H8</f>
        <v>53255.642782859999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Analisis Estadistico</vt:lpstr>
      <vt:lpstr>Cotizacion N°1</vt:lpstr>
      <vt:lpstr>Cotizacion N°2</vt:lpstr>
      <vt:lpstr>Cotizacion N°3</vt:lpstr>
      <vt:lpstr> Cotizaciones</vt:lpstr>
      <vt:lpstr>Analisis Cotizaciones</vt:lpstr>
      <vt:lpstr>Analisis Exclusiones</vt:lpstr>
      <vt:lpstr>Presupuesto Oficial</vt:lpstr>
      <vt:lpstr>Analisis Geometrica</vt:lpstr>
      <vt:lpstr>Analisis Armonica</vt:lpstr>
      <vt:lpstr>Analisis M.Aritmetica</vt:lpstr>
      <vt:lpstr>Analisis M.Geometrica</vt:lpstr>
      <vt:lpstr>Analisis M.Armonica</vt:lpstr>
      <vt:lpstr>Historicos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familiar</cp:lastModifiedBy>
  <dcterms:created xsi:type="dcterms:W3CDTF">2022-06-23T08:09:39Z</dcterms:created>
  <dcterms:modified xsi:type="dcterms:W3CDTF">2026-05-29T21:41:19Z</dcterms:modified>
</cp:coreProperties>
</file>