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D:\Users\lmerinod\Downloads\ADENDA VIGILANCIA\"/>
    </mc:Choice>
  </mc:AlternateContent>
  <xr:revisionPtr revIDLastSave="0" documentId="13_ncr:1_{D42E1D5C-5836-4FC7-B088-5361E0BF7BF5}" xr6:coauthVersionLast="47" xr6:coauthVersionMax="47" xr10:uidLastSave="{00000000-0000-0000-0000-000000000000}"/>
  <bookViews>
    <workbookView xWindow="-120" yWindow="-120" windowWidth="29040" windowHeight="15720" firstSheet="1" activeTab="1" xr2:uid="{00000000-000D-0000-FFFF-FFFF00000000}"/>
  </bookViews>
  <sheets>
    <sheet name="INICIAL" sheetId="3" state="hidden" r:id="rId1"/>
    <sheet name="ESTUDIO DE MERCADO" sheetId="4" r:id="rId2"/>
    <sheet name="RESUMIDO" sheetId="7" r:id="rId3"/>
    <sheet name="TARIFAS2026" sheetId="6" r:id="rId4"/>
    <sheet name="SEDES JUDICIALES" sheetId="5" r:id="rId5"/>
  </sheets>
  <calcPr calcId="191028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7" i="6" l="1"/>
  <c r="C12" i="5"/>
  <c r="G8" i="7"/>
  <c r="G9" i="7"/>
  <c r="G7" i="7"/>
  <c r="AE11" i="4"/>
  <c r="AE10" i="4"/>
  <c r="AD12" i="4"/>
  <c r="AD11" i="4"/>
  <c r="AD10" i="4"/>
  <c r="AC12" i="4"/>
  <c r="AC11" i="4"/>
  <c r="AC10" i="4"/>
  <c r="AB11" i="4"/>
  <c r="AB12" i="4"/>
  <c r="AB10" i="4"/>
  <c r="T10" i="4"/>
  <c r="Z12" i="4"/>
  <c r="W12" i="4"/>
  <c r="W11" i="4"/>
  <c r="X11" i="4" s="1"/>
  <c r="W10" i="4"/>
  <c r="O11" i="4"/>
  <c r="G10" i="7" l="1"/>
  <c r="Y11" i="4"/>
  <c r="AA11" i="4" s="1"/>
  <c r="Z11" i="4"/>
  <c r="X12" i="4"/>
  <c r="X10" i="4"/>
  <c r="Y10" i="4" s="1"/>
  <c r="Z10" i="4" l="1"/>
  <c r="AA10" i="4"/>
  <c r="Y12" i="4"/>
  <c r="AA12" i="4" l="1"/>
  <c r="O10" i="4" l="1"/>
  <c r="O12" i="4" l="1"/>
  <c r="P12" i="4" s="1"/>
  <c r="P11" i="4"/>
  <c r="P10" i="4"/>
  <c r="Q10" i="4" s="1"/>
  <c r="Q11" i="4" l="1"/>
  <c r="S11" i="4" s="1"/>
  <c r="R10" i="4"/>
  <c r="S10" i="4"/>
  <c r="Q12" i="4"/>
  <c r="R12" i="4" s="1"/>
  <c r="T12" i="4" s="1"/>
  <c r="R11" i="4" l="1"/>
  <c r="T11" i="4" s="1"/>
  <c r="S12" i="4"/>
  <c r="G10" i="4" l="1"/>
  <c r="G12" i="4" l="1"/>
  <c r="H12" i="4" s="1"/>
  <c r="G11" i="4"/>
  <c r="H10" i="4"/>
  <c r="H11" i="4" l="1"/>
  <c r="K11" i="4"/>
  <c r="J11" i="4"/>
  <c r="J12" i="4"/>
  <c r="K12" i="4"/>
  <c r="J10" i="4"/>
  <c r="L10" i="4" s="1"/>
  <c r="L11" i="4" l="1"/>
  <c r="K10" i="4"/>
  <c r="L12" i="4"/>
  <c r="AE12" i="4" s="1"/>
  <c r="AE13" i="4" s="1"/>
  <c r="N8" i="3" l="1"/>
  <c r="N7" i="3"/>
  <c r="N6" i="3"/>
  <c r="E8" i="3"/>
  <c r="E7" i="3"/>
  <c r="E6" i="3"/>
  <c r="M8" i="3"/>
  <c r="M7" i="3"/>
  <c r="M6" i="3"/>
  <c r="D6" i="3"/>
  <c r="D8" i="3"/>
  <c r="D7" i="3"/>
  <c r="F6" i="3" l="1"/>
  <c r="F7" i="3"/>
  <c r="F8" i="3"/>
  <c r="O8" i="3"/>
  <c r="O7" i="3"/>
  <c r="P7" i="3" s="1"/>
  <c r="O6" i="3"/>
  <c r="P6" i="3" s="1"/>
  <c r="Q6" i="3" s="1"/>
  <c r="G6" i="3"/>
  <c r="P8" i="3"/>
  <c r="G8" i="3"/>
  <c r="G7" i="3"/>
  <c r="H7" i="3" s="1"/>
  <c r="H6" i="3" l="1"/>
  <c r="I6" i="3" s="1"/>
  <c r="J6" i="3" s="1"/>
  <c r="L6" i="3" s="1"/>
  <c r="R6" i="3"/>
  <c r="S6" i="3" s="1"/>
  <c r="U6" i="3" s="1"/>
  <c r="Q8" i="3"/>
  <c r="R8" i="3" s="1"/>
  <c r="S8" i="3" s="1"/>
  <c r="U8" i="3" s="1"/>
  <c r="Q7" i="3"/>
  <c r="R7" i="3" s="1"/>
  <c r="S7" i="3" s="1"/>
  <c r="U7" i="3" s="1"/>
  <c r="H8" i="3"/>
  <c r="I8" i="3" s="1"/>
  <c r="J8" i="3" s="1"/>
  <c r="L8" i="3" s="1"/>
  <c r="I7" i="3"/>
  <c r="J7" i="3" s="1"/>
  <c r="L7" i="3" s="1"/>
  <c r="U9" i="3" l="1"/>
  <c r="L9" i="3"/>
  <c r="U10" i="3" l="1"/>
</calcChain>
</file>

<file path=xl/sharedStrings.xml><?xml version="1.0" encoding="utf-8"?>
<sst xmlns="http://schemas.openxmlformats.org/spreadsheetml/2006/main" count="124" uniqueCount="53">
  <si>
    <t>ANEXO 3</t>
  </si>
  <si>
    <t xml:space="preserve">FORMATO DE PROPUESTA ECONÓMICA </t>
  </si>
  <si>
    <t>SERVICIOS DE VIGILANCIA Y SEGURIDAD PRIVADA</t>
  </si>
  <si>
    <t>ÍTEM</t>
  </si>
  <si>
    <t>DESCRIPCIÓN DEL SERVICIO DE VIGILANCIA</t>
  </si>
  <si>
    <t>Del 1 de marzo de 2025 al 14 de julio de 2025, según Circular 20241300000445 del 30/12/2024</t>
  </si>
  <si>
    <t>Del 15 de julio de 2025 al 31 de octubre de 2025, según Circular 20241300000445 del 30/12/2024</t>
  </si>
  <si>
    <t>CANTIDAD DE SERVICIOS</t>
  </si>
  <si>
    <t xml:space="preserve">VALOR BASE TARIFA </t>
  </si>
  <si>
    <t>VALOR PRIMA SEGURO DE VIDA</t>
  </si>
  <si>
    <t>VALOR BASE + PRIMA SEGURO DE VIDA</t>
  </si>
  <si>
    <t>VALOR AYS</t>
  </si>
  <si>
    <t>VALOR IVA</t>
  </si>
  <si>
    <t>VALOR UNITARIO TARIFA X DIA (INCLUIDO POLIZA, IVA, AYS)</t>
  </si>
  <si>
    <t>VALOR TARIFA MENSUAL (INCLUIDO POLIZA, IVA, AYS)</t>
  </si>
  <si>
    <t>TIEMPO DE EJECUCION (dias)</t>
  </si>
  <si>
    <t>VALOR TOTAL X CANTIDAD DE SERVICIOS X TIEMPO DE EJECUCION</t>
  </si>
  <si>
    <t xml:space="preserve">A </t>
  </si>
  <si>
    <t>Servicio 24 horas/mes de lunes a domingo incluyendo festivos, con armas sin caninos</t>
  </si>
  <si>
    <t>B</t>
  </si>
  <si>
    <t>Servicio 12 horas diurnas de lunes a domingo incluye festivos, con armas sin caninos</t>
  </si>
  <si>
    <t>C</t>
  </si>
  <si>
    <r>
      <t xml:space="preserve">Servicio 10 horas diurnas de lunes a viernes sin festivo, </t>
    </r>
    <r>
      <rPr>
        <b/>
        <sz val="9"/>
        <color rgb="FF000000"/>
        <rFont val="Arial"/>
        <family val="2"/>
      </rPr>
      <t xml:space="preserve">sin armas </t>
    </r>
    <r>
      <rPr>
        <sz val="9"/>
        <color rgb="FF000000"/>
        <rFont val="Arial"/>
        <family val="2"/>
      </rPr>
      <t>sin caninos</t>
    </r>
  </si>
  <si>
    <t>SUBTOTAL 1</t>
  </si>
  <si>
    <t>SUBTOTAL 2</t>
  </si>
  <si>
    <t>TOTAL PROPUESTA ECONOMICA SAMC 01 DE 2025</t>
  </si>
  <si>
    <t>VALOR EN LETRAS: MIL CUATROCIENTOS DIECISIETE MILLONES CUATROCIENTOS OCHENTA Y SIETE MIL DOSCIENTOS ONCE PESOS</t>
  </si>
  <si>
    <t xml:space="preserve">Observaciones: Tener en cuenta que para determinar el valor dia de los servicios que se prestan de lunes a viernes debe divirse la tarifa mensual entre 30 dias y para los servicios de lunes a viernes debe dividirse entre 20 dias.  </t>
  </si>
  <si>
    <t>FORMATO ESTUDIO DE MERCADO / PRESUPUESTO OFICIAL</t>
  </si>
  <si>
    <t xml:space="preserve">OBJETO: </t>
  </si>
  <si>
    <t>Contratar en nombre de la Nación – Consejo Superior de la Judicatura – Dirección Seccional de Administración Judicial de Sincelejo, la prestación del servicio de vigilancia y seguridad privada, con destino a los diferentes Despachos Judiciales y Sedes Administrativas a cargo de la Dirección  Seccional de Administración Judicial de Sincelejo</t>
  </si>
  <si>
    <t>ESTUDIO DE MERCADO SAMC 10 DE 2026</t>
  </si>
  <si>
    <t xml:space="preserve">No. Dias (Del 11 de agosto al 30 de noviembre 2026) Circular #20251300000115CS del 30/12/2025 y Resolucion #20251000059517CS del 08/08/2025 </t>
  </si>
  <si>
    <t>COTIZACION 1</t>
  </si>
  <si>
    <t>COTIZACION 2</t>
  </si>
  <si>
    <t>COTIZACION 3</t>
  </si>
  <si>
    <t>VALOR PROMEDIO TARIFA MENSUAL (INCLUIDO POLIZA, IVA, AYS)</t>
  </si>
  <si>
    <t>VALOR PROMEDIO UNITARIO TARIFA X DIA (INCLUIDO POLIZA, IVA, AYS)</t>
  </si>
  <si>
    <t xml:space="preserve">VALOR TOTAL PROMEDIO </t>
  </si>
  <si>
    <t xml:space="preserve">VALOR BASE TARIFA según Circular #20251300000115CS del 30/12/2025 y Resolucion #20251000059517CS del 08/08/2025 </t>
  </si>
  <si>
    <t>VALOR TOTAL</t>
  </si>
  <si>
    <t xml:space="preserve">VALOR TOTAL </t>
  </si>
  <si>
    <r>
      <t xml:space="preserve">Servicio 10 horas diurnas de lunes a viernes sin festivo, </t>
    </r>
    <r>
      <rPr>
        <b/>
        <sz val="9"/>
        <color rgb="FF000000"/>
        <rFont val="Arial"/>
        <family val="2"/>
      </rPr>
      <t xml:space="preserve">sin armas </t>
    </r>
    <r>
      <rPr>
        <sz val="9"/>
        <color rgb="FF000000"/>
        <rFont val="Arial"/>
        <family val="2"/>
      </rPr>
      <t xml:space="preserve">sin caninos </t>
    </r>
  </si>
  <si>
    <t>VALOR TOTAL PRESUPUESTO OFICIAL 2026</t>
  </si>
  <si>
    <t>VALOR PROMEDIO TARIFA MENSUAL 2026 (INCLUIDO POLIZA, IVA, AYS) (Del 11 de agosto al 30 de noviembre 2025) Circular externa Nº 20251300000115CS del 30/12/2025, la Resolución Nº 20251000059517CS del 08/08/2025</t>
  </si>
  <si>
    <t xml:space="preserve">SEDES JUDICIALES </t>
  </si>
  <si>
    <t>A</t>
  </si>
  <si>
    <t>Servicio 24 horas/mes de lunes a domingo incluidos festivos con arma sin canino</t>
  </si>
  <si>
    <t xml:space="preserve"> Palacio de Justicia de Corozal, Torre A Y B, Edificio Gentium, Torre C de Sincelejo</t>
  </si>
  <si>
    <t>Servicio 12 horas diurnas de lunes a domingo incluye festivos, con arma sin caninos (de 6pm a 6pm)</t>
  </si>
  <si>
    <t>Sucre, Majagual, San Marcos, Sincé, Las Marias</t>
  </si>
  <si>
    <t>Servicio 10 horas diurnas de lunes a viernes laborales, sin arma sin caninos (de 8am a 6pm)</t>
  </si>
  <si>
    <t>Galeras, Guaranda, La Unión, El Roble, Betulia, Caimito, Los Palmitos, Buenavista, San pedro, San Benito, Palmito, Sampués, Sampues (arriendo), San Onofre, Coloso, Chalan, Almacen, CCTV, Archivo Histórico, Toluviejo, Ovejas, Coveñas, Morroa, Santiago de Tolú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</si>
</sst>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5" formatCode="&quot;$&quot;\ #,##0;\-&quot;$&quot;\ #,##0"/>
    <numFmt numFmtId="43" formatCode="_-* #,##0.00_-;\-* #,##0.00_-;_-* &quot;-&quot;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sz val="7"/>
      <color theme="1"/>
      <name val="Arial"/>
      <family val="2"/>
    </font>
    <font>
      <sz val="7"/>
      <color rgb="FFFF0000"/>
      <name val="Arial"/>
      <family val="2"/>
    </font>
    <font>
      <sz val="9"/>
      <name val="Arial"/>
      <family val="2"/>
    </font>
    <font>
      <b/>
      <sz val="9"/>
      <color theme="1"/>
      <name val="Arial"/>
      <family val="2"/>
    </font>
    <font>
      <b/>
      <sz val="9"/>
      <name val="Arial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sz val="11"/>
      <color theme="0"/>
      <name val="Calibri"/>
      <family val="2"/>
      <scheme val="minor"/>
    </font>
    <font>
      <b/>
      <sz val="11"/>
      <name val="Arial"/>
      <family val="2"/>
    </font>
    <font>
      <b/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DEBF7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6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5" fillId="0" borderId="1" xfId="1" applyNumberFormat="1" applyFont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5" fillId="0" borderId="4" xfId="1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5" fontId="5" fillId="0" borderId="1" xfId="1" applyNumberFormat="1" applyFont="1" applyBorder="1" applyAlignment="1">
      <alignment horizontal="center" vertical="center" wrapText="1"/>
    </xf>
    <xf numFmtId="5" fontId="2" fillId="0" borderId="1" xfId="0" applyNumberFormat="1" applyFont="1" applyBorder="1" applyAlignment="1">
      <alignment horizontal="center" vertical="center" wrapText="1"/>
    </xf>
    <xf numFmtId="5" fontId="6" fillId="0" borderId="1" xfId="0" applyNumberFormat="1" applyFont="1" applyBorder="1" applyAlignment="1">
      <alignment horizontal="left" vertical="center" wrapText="1"/>
    </xf>
    <xf numFmtId="5" fontId="7" fillId="3" borderId="1" xfId="0" applyNumberFormat="1" applyFont="1" applyFill="1" applyBorder="1" applyAlignment="1">
      <alignment horizontal="left" vertical="center" wrapText="1"/>
    </xf>
    <xf numFmtId="5" fontId="6" fillId="0" borderId="1" xfId="0" applyNumberFormat="1" applyFont="1" applyBorder="1"/>
    <xf numFmtId="0" fontId="10" fillId="0" borderId="0" xfId="0" applyFont="1"/>
    <xf numFmtId="0" fontId="6" fillId="2" borderId="1" xfId="0" applyFont="1" applyFill="1" applyBorder="1" applyAlignment="1">
      <alignment horizontal="center" vertical="center" wrapText="1"/>
    </xf>
    <xf numFmtId="0" fontId="9" fillId="0" borderId="0" xfId="0" applyFont="1"/>
    <xf numFmtId="5" fontId="6" fillId="0" borderId="0" xfId="0" applyNumberFormat="1" applyFont="1" applyAlignment="1">
      <alignment horizontal="left" vertical="center" wrapText="1"/>
    </xf>
    <xf numFmtId="0" fontId="2" fillId="3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6" fillId="3" borderId="0" xfId="0" applyFont="1" applyFill="1" applyAlignment="1">
      <alignment horizontal="right" vertical="center" wrapText="1"/>
    </xf>
    <xf numFmtId="5" fontId="2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7" fillId="2" borderId="4" xfId="0" applyFont="1" applyFill="1" applyBorder="1" applyAlignment="1">
      <alignment horizontal="center" vertical="center" wrapText="1"/>
    </xf>
    <xf numFmtId="5" fontId="5" fillId="0" borderId="9" xfId="1" applyNumberFormat="1" applyFont="1" applyBorder="1" applyAlignment="1">
      <alignment horizontal="center" vertical="center" wrapText="1"/>
    </xf>
    <xf numFmtId="5" fontId="2" fillId="0" borderId="9" xfId="0" applyNumberFormat="1" applyFont="1" applyBorder="1" applyAlignment="1">
      <alignment horizontal="center" vertical="center" wrapText="1"/>
    </xf>
    <xf numFmtId="5" fontId="5" fillId="0" borderId="2" xfId="1" applyNumberFormat="1" applyFont="1" applyBorder="1" applyAlignment="1">
      <alignment horizontal="center" vertical="center" wrapText="1"/>
    </xf>
    <xf numFmtId="5" fontId="2" fillId="0" borderId="3" xfId="0" applyNumberFormat="1" applyFont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5" fontId="5" fillId="0" borderId="4" xfId="1" applyNumberFormat="1" applyFont="1" applyBorder="1" applyAlignment="1">
      <alignment horizontal="center" vertical="center" wrapText="1"/>
    </xf>
    <xf numFmtId="5" fontId="2" fillId="0" borderId="4" xfId="0" applyNumberFormat="1" applyFont="1" applyBorder="1" applyAlignment="1">
      <alignment horizontal="center" vertical="center" wrapText="1"/>
    </xf>
    <xf numFmtId="5" fontId="5" fillId="0" borderId="6" xfId="1" applyNumberFormat="1" applyFont="1" applyBorder="1" applyAlignment="1">
      <alignment horizontal="center" vertical="center" wrapText="1"/>
    </xf>
    <xf numFmtId="5" fontId="5" fillId="0" borderId="10" xfId="1" applyNumberFormat="1" applyFont="1" applyBorder="1" applyAlignment="1">
      <alignment horizontal="center" vertical="center" wrapText="1"/>
    </xf>
    <xf numFmtId="5" fontId="2" fillId="0" borderId="10" xfId="0" applyNumberFormat="1" applyFont="1" applyBorder="1" applyAlignment="1">
      <alignment horizontal="center" vertical="center" wrapText="1"/>
    </xf>
    <xf numFmtId="5" fontId="2" fillId="0" borderId="11" xfId="0" applyNumberFormat="1" applyFont="1" applyBorder="1" applyAlignment="1">
      <alignment horizontal="center" vertical="center"/>
    </xf>
    <xf numFmtId="5" fontId="2" fillId="0" borderId="4" xfId="0" applyNumberFormat="1" applyFont="1" applyBorder="1" applyAlignment="1">
      <alignment horizontal="center" vertical="center"/>
    </xf>
    <xf numFmtId="5" fontId="12" fillId="0" borderId="1" xfId="0" applyNumberFormat="1" applyFont="1" applyBorder="1" applyAlignment="1">
      <alignment horizontal="center" vertical="center"/>
    </xf>
    <xf numFmtId="5" fontId="0" fillId="0" borderId="0" xfId="0" applyNumberFormat="1"/>
    <xf numFmtId="0" fontId="6" fillId="0" borderId="0" xfId="0" applyFont="1" applyAlignment="1">
      <alignment vertical="center" wrapText="1"/>
    </xf>
    <xf numFmtId="5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3" borderId="5" xfId="0" applyFont="1" applyFill="1" applyBorder="1" applyAlignment="1">
      <alignment horizontal="right" vertical="center" wrapText="1"/>
    </xf>
    <xf numFmtId="0" fontId="6" fillId="3" borderId="3" xfId="0" applyFont="1" applyFill="1" applyBorder="1" applyAlignment="1">
      <alignment horizontal="right" vertical="center" wrapText="1"/>
    </xf>
    <xf numFmtId="0" fontId="6" fillId="0" borderId="1" xfId="0" applyFont="1" applyBorder="1" applyAlignment="1">
      <alignment horizontal="center"/>
    </xf>
    <xf numFmtId="0" fontId="7" fillId="3" borderId="2" xfId="0" applyFont="1" applyFill="1" applyBorder="1" applyAlignment="1">
      <alignment horizontal="right" vertical="center" wrapText="1"/>
    </xf>
    <xf numFmtId="0" fontId="7" fillId="3" borderId="5" xfId="0" applyFont="1" applyFill="1" applyBorder="1" applyAlignment="1">
      <alignment horizontal="right" vertical="center" wrapText="1"/>
    </xf>
    <xf numFmtId="0" fontId="7" fillId="3" borderId="3" xfId="0" applyFont="1" applyFill="1" applyBorder="1" applyAlignment="1">
      <alignment horizontal="right" vertical="center" wrapText="1"/>
    </xf>
    <xf numFmtId="0" fontId="6" fillId="0" borderId="2" xfId="0" applyFont="1" applyBorder="1" applyAlignment="1">
      <alignment horizontal="right"/>
    </xf>
    <xf numFmtId="0" fontId="6" fillId="0" borderId="5" xfId="0" applyFont="1" applyBorder="1" applyAlignment="1">
      <alignment horizontal="right"/>
    </xf>
    <xf numFmtId="0" fontId="6" fillId="0" borderId="3" xfId="0" applyFont="1" applyBorder="1" applyAlignment="1">
      <alignment horizontal="right"/>
    </xf>
    <xf numFmtId="0" fontId="6" fillId="0" borderId="2" xfId="0" applyFont="1" applyBorder="1" applyAlignment="1">
      <alignment horizontal="left" vertical="top"/>
    </xf>
    <xf numFmtId="0" fontId="6" fillId="0" borderId="5" xfId="0" applyFont="1" applyBorder="1" applyAlignment="1">
      <alignment horizontal="left" vertical="top"/>
    </xf>
    <xf numFmtId="0" fontId="6" fillId="0" borderId="3" xfId="0" applyFont="1" applyBorder="1" applyAlignment="1">
      <alignment horizontal="left" vertical="top"/>
    </xf>
    <xf numFmtId="0" fontId="11" fillId="0" borderId="2" xfId="0" applyFont="1" applyBorder="1" applyAlignment="1">
      <alignment horizontal="right" vertical="center" wrapText="1"/>
    </xf>
    <xf numFmtId="0" fontId="11" fillId="0" borderId="5" xfId="0" applyFont="1" applyBorder="1" applyAlignment="1">
      <alignment horizontal="right" vertical="center" wrapText="1"/>
    </xf>
    <xf numFmtId="0" fontId="11" fillId="0" borderId="3" xfId="0" applyFont="1" applyBorder="1" applyAlignment="1">
      <alignment horizontal="right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190500</xdr:colOff>
      <xdr:row>0</xdr:row>
      <xdr:rowOff>55562</xdr:rowOff>
    </xdr:from>
    <xdr:to>
      <xdr:col>2</xdr:col>
      <xdr:colOff>301409</xdr:colOff>
      <xdr:row>2</xdr:row>
      <xdr:rowOff>254000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0500" y="55562"/>
          <a:ext cx="1992097" cy="65881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1</xdr:row>
      <xdr:rowOff>90055</xdr:rowOff>
    </xdr:from>
    <xdr:to>
      <xdr:col>3</xdr:col>
      <xdr:colOff>87312</xdr:colOff>
      <xdr:row>1</xdr:row>
      <xdr:rowOff>747425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BBF21B5D-2050-434F-B2F9-5E248C6E82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9575" y="280555"/>
          <a:ext cx="2335212" cy="65737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1</xdr:row>
      <xdr:rowOff>171450</xdr:rowOff>
    </xdr:from>
    <xdr:to>
      <xdr:col>1</xdr:col>
      <xdr:colOff>1447800</xdr:colOff>
      <xdr:row>1</xdr:row>
      <xdr:rowOff>680901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500FDCEE-E6ED-4A67-BC8B-9FF8EC4A64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9550" y="361950"/>
          <a:ext cx="1809750" cy="50945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3"/>
  <sheetViews>
    <sheetView zoomScale="80" zoomScaleNormal="80" workbookViewId="0">
      <selection activeCell="K6" sqref="K6"/>
    </sheetView>
  </sheetViews>
  <sheetFormatPr baseColWidth="10" defaultColWidth="11.42578125" defaultRowHeight="15" x14ac:dyDescent="0.25"/>
  <cols>
    <col min="1" max="1" width="5.85546875" customWidth="1"/>
    <col min="2" max="2" width="22.42578125" customWidth="1"/>
    <col min="3" max="3" width="10.85546875" customWidth="1"/>
    <col min="4" max="4" width="16" customWidth="1"/>
    <col min="5" max="5" width="14" customWidth="1"/>
    <col min="6" max="6" width="15.42578125" customWidth="1"/>
    <col min="7" max="7" width="15.7109375" customWidth="1"/>
    <col min="8" max="8" width="12.5703125" customWidth="1"/>
    <col min="9" max="9" width="17.140625" customWidth="1"/>
    <col min="10" max="10" width="16" customWidth="1"/>
    <col min="11" max="11" width="10.85546875" customWidth="1"/>
    <col min="12" max="12" width="15.85546875" customWidth="1"/>
    <col min="13" max="13" width="14.42578125" customWidth="1"/>
    <col min="14" max="14" width="15.140625" customWidth="1"/>
    <col min="15" max="15" width="19.140625" customWidth="1"/>
    <col min="16" max="16" width="14.5703125" customWidth="1"/>
    <col min="18" max="18" width="13.42578125" customWidth="1"/>
    <col min="19" max="19" width="16" customWidth="1"/>
    <col min="21" max="21" width="18.28515625" customWidth="1"/>
  </cols>
  <sheetData>
    <row r="1" spans="1:21" x14ac:dyDescent="0.25">
      <c r="A1" s="54" t="s">
        <v>0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</row>
    <row r="2" spans="1:21" ht="21" customHeight="1" x14ac:dyDescent="0.25">
      <c r="A2" s="54" t="s">
        <v>1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</row>
    <row r="3" spans="1:21" ht="23.25" customHeight="1" x14ac:dyDescent="0.25">
      <c r="A3" s="55" t="s">
        <v>2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4"/>
      <c r="N3" s="54"/>
      <c r="O3" s="54"/>
      <c r="P3" s="54"/>
    </row>
    <row r="4" spans="1:21" ht="23.25" customHeight="1" x14ac:dyDescent="0.25">
      <c r="A4" s="51" t="s">
        <v>3</v>
      </c>
      <c r="B4" s="51" t="s">
        <v>4</v>
      </c>
      <c r="C4" s="56" t="s">
        <v>5</v>
      </c>
      <c r="D4" s="57"/>
      <c r="E4" s="57"/>
      <c r="F4" s="57"/>
      <c r="G4" s="57"/>
      <c r="H4" s="57"/>
      <c r="I4" s="57"/>
      <c r="J4" s="57"/>
      <c r="K4" s="57"/>
      <c r="L4" s="58"/>
      <c r="M4" s="61" t="s">
        <v>6</v>
      </c>
      <c r="N4" s="61"/>
      <c r="O4" s="61"/>
      <c r="P4" s="61"/>
      <c r="Q4" s="61"/>
      <c r="R4" s="61"/>
      <c r="S4" s="61"/>
      <c r="T4" s="61"/>
      <c r="U4" s="61"/>
    </row>
    <row r="5" spans="1:21" s="2" customFormat="1" ht="78" customHeight="1" x14ac:dyDescent="0.25">
      <c r="A5" s="51"/>
      <c r="B5" s="51"/>
      <c r="C5" s="7" t="s">
        <v>7</v>
      </c>
      <c r="D5" s="7" t="s">
        <v>8</v>
      </c>
      <c r="E5" s="7" t="s">
        <v>9</v>
      </c>
      <c r="F5" s="7" t="s">
        <v>10</v>
      </c>
      <c r="G5" s="7" t="s">
        <v>11</v>
      </c>
      <c r="H5" s="8" t="s">
        <v>12</v>
      </c>
      <c r="I5" s="8" t="s">
        <v>13</v>
      </c>
      <c r="J5" s="9" t="s">
        <v>14</v>
      </c>
      <c r="K5" s="9" t="s">
        <v>15</v>
      </c>
      <c r="L5" s="9" t="s">
        <v>16</v>
      </c>
      <c r="M5" s="7" t="s">
        <v>8</v>
      </c>
      <c r="N5" s="7" t="s">
        <v>9</v>
      </c>
      <c r="O5" s="7" t="s">
        <v>10</v>
      </c>
      <c r="P5" s="7" t="s">
        <v>11</v>
      </c>
      <c r="Q5" s="8" t="s">
        <v>12</v>
      </c>
      <c r="R5" s="8" t="s">
        <v>13</v>
      </c>
      <c r="S5" s="9" t="s">
        <v>14</v>
      </c>
      <c r="T5" s="9" t="s">
        <v>15</v>
      </c>
      <c r="U5" s="9" t="s">
        <v>16</v>
      </c>
    </row>
    <row r="6" spans="1:21" s="2" customFormat="1" ht="48.75" customHeight="1" x14ac:dyDescent="0.25">
      <c r="A6" s="1" t="s">
        <v>17</v>
      </c>
      <c r="B6" s="1" t="s">
        <v>18</v>
      </c>
      <c r="C6" s="1">
        <v>4</v>
      </c>
      <c r="D6" s="14">
        <f>(1423500*9.14)</f>
        <v>13010790</v>
      </c>
      <c r="E6" s="14">
        <f>A12</f>
        <v>3000</v>
      </c>
      <c r="F6" s="14">
        <f>D6+E6</f>
        <v>13013790</v>
      </c>
      <c r="G6" s="14">
        <f>F6*10%</f>
        <v>1301379</v>
      </c>
      <c r="H6" s="14">
        <f>((F6+G6)*1.9%)</f>
        <v>271988.21100000001</v>
      </c>
      <c r="I6" s="14">
        <f>F6+G6+H6</f>
        <v>14587157.210999999</v>
      </c>
      <c r="J6" s="14">
        <f>I6*C6</f>
        <v>58348628.843999997</v>
      </c>
      <c r="K6" s="6">
        <v>134</v>
      </c>
      <c r="L6" s="15">
        <f>(J6/30)*134</f>
        <v>260623875.50319996</v>
      </c>
      <c r="M6" s="14">
        <f>(1423500*9.29)</f>
        <v>13224314.999999998</v>
      </c>
      <c r="N6" s="14">
        <f>A12</f>
        <v>3000</v>
      </c>
      <c r="O6" s="14">
        <f>M6+N6</f>
        <v>13227314.999999998</v>
      </c>
      <c r="P6" s="14">
        <f>O6*10%</f>
        <v>1322731.5</v>
      </c>
      <c r="Q6" s="14">
        <f>((O6+P6)*1.9%)</f>
        <v>276450.88349999994</v>
      </c>
      <c r="R6" s="14">
        <f>O6+P6+Q6</f>
        <v>14826497.383499999</v>
      </c>
      <c r="S6" s="14">
        <f>R6*C6</f>
        <v>59305989.533999994</v>
      </c>
      <c r="T6" s="1">
        <v>106</v>
      </c>
      <c r="U6" s="15">
        <f>(S6/30)*106</f>
        <v>209547829.68679997</v>
      </c>
    </row>
    <row r="7" spans="1:21" s="2" customFormat="1" ht="69" customHeight="1" x14ac:dyDescent="0.25">
      <c r="A7" s="1" t="s">
        <v>19</v>
      </c>
      <c r="B7" s="1" t="s">
        <v>20</v>
      </c>
      <c r="C7" s="1">
        <v>6</v>
      </c>
      <c r="D7" s="14">
        <f>(((((1423500*9.14)*55.97%)/15)*12)/30)*30</f>
        <v>5825711.3303999994</v>
      </c>
      <c r="E7" s="14">
        <f>(((((A12)*55.97%)/15)*12)/30)*30</f>
        <v>1343.28</v>
      </c>
      <c r="F7" s="14">
        <f t="shared" ref="F7:F8" si="0">D7+E7</f>
        <v>5827054.6103999997</v>
      </c>
      <c r="G7" s="14">
        <f t="shared" ref="G7" si="1">F7*10%</f>
        <v>582705.46103999997</v>
      </c>
      <c r="H7" s="14">
        <f t="shared" ref="H7:H8" si="2">((F7+G7)*1.9%)</f>
        <v>121785.44135736</v>
      </c>
      <c r="I7" s="14">
        <f t="shared" ref="I7:I8" si="3">F7+G7+H7</f>
        <v>6531545.5127973603</v>
      </c>
      <c r="J7" s="14">
        <f>I7*C7</f>
        <v>39189273.076784164</v>
      </c>
      <c r="K7" s="12">
        <v>134</v>
      </c>
      <c r="L7" s="15">
        <f>(J7/30)*134</f>
        <v>175045419.74296927</v>
      </c>
      <c r="M7" s="14">
        <f>(((((1423500*9.29)*55.97%)/15)*12)/30)*30</f>
        <v>5921319.2843999993</v>
      </c>
      <c r="N7" s="14">
        <f>(((((A12)*55.97%)/15)*12)/30)*30</f>
        <v>1343.28</v>
      </c>
      <c r="O7" s="14">
        <f t="shared" ref="O7:O8" si="4">M7+N7</f>
        <v>5922662.5643999996</v>
      </c>
      <c r="P7" s="14">
        <f t="shared" ref="P7" si="5">O7*10%</f>
        <v>592266.25644000003</v>
      </c>
      <c r="Q7" s="14">
        <f t="shared" ref="Q7:Q8" si="6">((O7+P7)*1.9%)</f>
        <v>123783.64759595998</v>
      </c>
      <c r="R7" s="14">
        <f t="shared" ref="R7:R8" si="7">O7+P7+Q7</f>
        <v>6638712.468435959</v>
      </c>
      <c r="S7" s="14">
        <f>R7*C7</f>
        <v>39832274.810615756</v>
      </c>
      <c r="T7" s="1">
        <v>106</v>
      </c>
      <c r="U7" s="15">
        <f t="shared" ref="U7" si="8">(S7/30)*106</f>
        <v>140740704.33084232</v>
      </c>
    </row>
    <row r="8" spans="1:21" s="3" customFormat="1" ht="67.5" customHeight="1" x14ac:dyDescent="0.25">
      <c r="A8" s="5" t="s">
        <v>21</v>
      </c>
      <c r="B8" s="13" t="s">
        <v>22</v>
      </c>
      <c r="C8" s="13">
        <v>22</v>
      </c>
      <c r="D8" s="14">
        <f>(((((1423500*9.14)*55.97%)/15)*10)/30)*20</f>
        <v>3236506.2946666665</v>
      </c>
      <c r="E8" s="14">
        <f>(((((A12)*55.97%)/15)*10)/30)*20</f>
        <v>746.26666666666677</v>
      </c>
      <c r="F8" s="14">
        <f t="shared" si="0"/>
        <v>3237252.5613333331</v>
      </c>
      <c r="G8" s="14">
        <f>F8*8%</f>
        <v>258980.20490666665</v>
      </c>
      <c r="H8" s="14">
        <f t="shared" si="2"/>
        <v>66428.422558559992</v>
      </c>
      <c r="I8" s="14">
        <f t="shared" si="3"/>
        <v>3562661.1887985598</v>
      </c>
      <c r="J8" s="14">
        <f>I8*C8</f>
        <v>78378546.153568313</v>
      </c>
      <c r="K8" s="6">
        <v>90</v>
      </c>
      <c r="L8" s="15">
        <f>(J8/20)*90</f>
        <v>352703457.69105738</v>
      </c>
      <c r="M8" s="14">
        <f>(((((1423500*9.29)*55.97%)/15)*10)/30)*20</f>
        <v>3289621.8246666659</v>
      </c>
      <c r="N8" s="14">
        <f>(((((A12)*55.97%)/15)*10)/30)*20</f>
        <v>746.26666666666677</v>
      </c>
      <c r="O8" s="14">
        <f t="shared" si="4"/>
        <v>3290368.0913333325</v>
      </c>
      <c r="P8" s="14">
        <f>O8*8%</f>
        <v>263229.44730666658</v>
      </c>
      <c r="Q8" s="14">
        <f t="shared" si="6"/>
        <v>67518.353234159978</v>
      </c>
      <c r="R8" s="14">
        <f t="shared" si="7"/>
        <v>3621115.8918741588</v>
      </c>
      <c r="S8" s="14">
        <f>R8*C8</f>
        <v>79664549.621231496</v>
      </c>
      <c r="T8" s="5">
        <v>70</v>
      </c>
      <c r="U8" s="15">
        <f>(S8/20)*70</f>
        <v>278825923.67431027</v>
      </c>
    </row>
    <row r="9" spans="1:21" s="4" customFormat="1" ht="19.5" customHeight="1" x14ac:dyDescent="0.25">
      <c r="A9" s="10"/>
      <c r="B9" s="11"/>
      <c r="C9" s="59" t="s">
        <v>23</v>
      </c>
      <c r="D9" s="59"/>
      <c r="E9" s="59"/>
      <c r="F9" s="59"/>
      <c r="G9" s="59"/>
      <c r="H9" s="59"/>
      <c r="I9" s="59"/>
      <c r="J9" s="59"/>
      <c r="K9" s="60"/>
      <c r="L9" s="16">
        <f>SUM(L6:L8)</f>
        <v>788372752.93722653</v>
      </c>
      <c r="M9" s="62" t="s">
        <v>24</v>
      </c>
      <c r="N9" s="63"/>
      <c r="O9" s="63"/>
      <c r="P9" s="63"/>
      <c r="Q9" s="63"/>
      <c r="R9" s="63"/>
      <c r="S9" s="63"/>
      <c r="T9" s="64"/>
      <c r="U9" s="17">
        <f>SUM(U6:U8)</f>
        <v>629114457.69195247</v>
      </c>
    </row>
    <row r="10" spans="1:21" x14ac:dyDescent="0.25">
      <c r="A10" s="65" t="s">
        <v>25</v>
      </c>
      <c r="B10" s="66"/>
      <c r="C10" s="66"/>
      <c r="D10" s="66"/>
      <c r="E10" s="66"/>
      <c r="F10" s="66"/>
      <c r="G10" s="66"/>
      <c r="H10" s="66"/>
      <c r="I10" s="66"/>
      <c r="J10" s="66"/>
      <c r="K10" s="66"/>
      <c r="L10" s="66"/>
      <c r="M10" s="66"/>
      <c r="N10" s="66"/>
      <c r="O10" s="66"/>
      <c r="P10" s="66"/>
      <c r="Q10" s="66"/>
      <c r="R10" s="66"/>
      <c r="S10" s="66"/>
      <c r="T10" s="67"/>
      <c r="U10" s="18">
        <f>L9+U9</f>
        <v>1417487210.629179</v>
      </c>
    </row>
    <row r="11" spans="1:21" ht="30.75" customHeight="1" x14ac:dyDescent="0.25">
      <c r="A11" s="68" t="s">
        <v>26</v>
      </c>
      <c r="B11" s="69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69"/>
      <c r="T11" s="69"/>
      <c r="U11" s="70"/>
    </row>
    <row r="12" spans="1:21" x14ac:dyDescent="0.25">
      <c r="A12" s="19">
        <v>3000</v>
      </c>
    </row>
    <row r="13" spans="1:21" x14ac:dyDescent="0.25">
      <c r="A13" t="s">
        <v>27</v>
      </c>
    </row>
  </sheetData>
  <mergeCells count="11">
    <mergeCell ref="C9:K9"/>
    <mergeCell ref="M4:U4"/>
    <mergeCell ref="M9:T9"/>
    <mergeCell ref="A10:T10"/>
    <mergeCell ref="A11:U11"/>
    <mergeCell ref="A1:P1"/>
    <mergeCell ref="A2:P2"/>
    <mergeCell ref="A3:P3"/>
    <mergeCell ref="C4:L4"/>
    <mergeCell ref="B4:B5"/>
    <mergeCell ref="A4:A5"/>
  </mergeCells>
  <pageMargins left="0.39370078740157483" right="0.39370078740157483" top="0.74803149606299213" bottom="0.74803149606299213" header="0.31496062992125984" footer="0.31496062992125984"/>
  <pageSetup scale="80" orientation="landscape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AF15"/>
  <sheetViews>
    <sheetView tabSelected="1" topLeftCell="A2" zoomScaleNormal="100" workbookViewId="0">
      <selection activeCell="A13" sqref="A13:AD13"/>
    </sheetView>
  </sheetViews>
  <sheetFormatPr baseColWidth="10" defaultColWidth="11.42578125" defaultRowHeight="15" x14ac:dyDescent="0.25"/>
  <cols>
    <col min="1" max="1" width="8.140625" customWidth="1"/>
    <col min="2" max="2" width="20.42578125" customWidth="1"/>
    <col min="3" max="3" width="13.5703125" customWidth="1"/>
    <col min="4" max="4" width="18.28515625" customWidth="1"/>
    <col min="5" max="5" width="18.85546875" customWidth="1"/>
    <col min="6" max="6" width="14" customWidth="1"/>
    <col min="7" max="7" width="15.42578125" customWidth="1"/>
    <col min="8" max="8" width="13.42578125" customWidth="1"/>
    <col min="9" max="9" width="12.140625" customWidth="1"/>
    <col min="10" max="10" width="17.140625" customWidth="1"/>
    <col min="11" max="11" width="16" customWidth="1"/>
    <col min="12" max="12" width="14.85546875" customWidth="1"/>
    <col min="13" max="13" width="19" customWidth="1"/>
    <col min="14" max="14" width="14.28515625" customWidth="1"/>
    <col min="15" max="15" width="14.85546875" customWidth="1"/>
    <col min="16" max="16" width="14" customWidth="1"/>
    <col min="18" max="18" width="16.5703125" customWidth="1"/>
    <col min="19" max="19" width="16.140625" customWidth="1"/>
    <col min="20" max="20" width="16" customWidth="1"/>
    <col min="21" max="21" width="16.7109375" customWidth="1"/>
    <col min="22" max="27" width="16" customWidth="1"/>
    <col min="28" max="28" width="17.7109375" customWidth="1"/>
    <col min="29" max="29" width="16.140625" customWidth="1"/>
    <col min="30" max="30" width="15.85546875" customWidth="1"/>
    <col min="31" max="31" width="18.28515625" customWidth="1"/>
  </cols>
  <sheetData>
    <row r="2" spans="1:32" ht="64.5" customHeight="1" x14ac:dyDescent="0.25">
      <c r="A2" s="46" t="s">
        <v>28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  <c r="X2" s="46"/>
      <c r="Y2" s="46"/>
      <c r="Z2" s="46"/>
      <c r="AA2" s="46"/>
      <c r="AB2" s="46"/>
      <c r="AC2" s="46"/>
      <c r="AD2" s="46"/>
      <c r="AE2" s="46"/>
      <c r="AF2" s="46"/>
    </row>
    <row r="3" spans="1:32" ht="27.75" customHeight="1" x14ac:dyDescent="0.25">
      <c r="A3" s="27" t="s">
        <v>29</v>
      </c>
      <c r="B3" s="46" t="s">
        <v>30</v>
      </c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46"/>
      <c r="V3" s="46"/>
      <c r="W3" s="46"/>
      <c r="X3" s="46"/>
      <c r="Y3" s="46"/>
      <c r="Z3" s="46"/>
      <c r="AA3" s="46"/>
      <c r="AB3" s="46"/>
      <c r="AC3" s="46"/>
      <c r="AD3" s="46"/>
      <c r="AE3" s="46"/>
      <c r="AF3" s="46"/>
    </row>
    <row r="4" spans="1:32" ht="15" customHeight="1" x14ac:dyDescent="0.25">
      <c r="A4" s="46" t="s">
        <v>31</v>
      </c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  <c r="AA4" s="46"/>
      <c r="AB4" s="46"/>
      <c r="AC4" s="46"/>
      <c r="AD4" s="46"/>
      <c r="AE4" s="46"/>
      <c r="AF4" s="46"/>
    </row>
    <row r="5" spans="1:32" x14ac:dyDescent="0.25">
      <c r="A5" s="23"/>
      <c r="B5" s="24"/>
      <c r="C5" s="25"/>
      <c r="D5" s="25"/>
      <c r="E5" s="25"/>
      <c r="F5" s="25"/>
      <c r="G5" s="25"/>
      <c r="H5" s="25"/>
      <c r="I5" s="25"/>
      <c r="J5" s="25"/>
      <c r="K5" s="25"/>
      <c r="L5" s="25"/>
      <c r="M5" s="22"/>
    </row>
    <row r="6" spans="1:32" x14ac:dyDescent="0.25">
      <c r="A6" s="19"/>
    </row>
    <row r="7" spans="1:32" x14ac:dyDescent="0.25">
      <c r="A7" s="19"/>
    </row>
    <row r="8" spans="1:32" ht="29.25" customHeight="1" x14ac:dyDescent="0.25">
      <c r="A8" s="51" t="s">
        <v>3</v>
      </c>
      <c r="B8" s="51" t="s">
        <v>4</v>
      </c>
      <c r="C8" s="52" t="s">
        <v>7</v>
      </c>
      <c r="D8" s="52" t="s">
        <v>32</v>
      </c>
      <c r="E8" s="56" t="s">
        <v>33</v>
      </c>
      <c r="F8" s="57"/>
      <c r="G8" s="57"/>
      <c r="H8" s="57"/>
      <c r="I8" s="57"/>
      <c r="J8" s="57"/>
      <c r="K8" s="57"/>
      <c r="L8" s="58"/>
      <c r="M8" s="56" t="s">
        <v>34</v>
      </c>
      <c r="N8" s="57"/>
      <c r="O8" s="57"/>
      <c r="P8" s="57"/>
      <c r="Q8" s="57"/>
      <c r="R8" s="57"/>
      <c r="S8" s="57"/>
      <c r="T8" s="58"/>
      <c r="U8" s="56" t="s">
        <v>35</v>
      </c>
      <c r="V8" s="57"/>
      <c r="W8" s="57"/>
      <c r="X8" s="57"/>
      <c r="Y8" s="57"/>
      <c r="Z8" s="57"/>
      <c r="AA8" s="57"/>
      <c r="AB8" s="58"/>
      <c r="AC8" s="47" t="s">
        <v>36</v>
      </c>
      <c r="AD8" s="47" t="s">
        <v>37</v>
      </c>
      <c r="AE8" s="47" t="s">
        <v>38</v>
      </c>
    </row>
    <row r="9" spans="1:32" ht="101.25" customHeight="1" x14ac:dyDescent="0.25">
      <c r="A9" s="51"/>
      <c r="B9" s="51"/>
      <c r="C9" s="53"/>
      <c r="D9" s="53"/>
      <c r="E9" s="20" t="s">
        <v>39</v>
      </c>
      <c r="F9" s="20" t="s">
        <v>9</v>
      </c>
      <c r="G9" s="20" t="s">
        <v>10</v>
      </c>
      <c r="H9" s="20" t="s">
        <v>11</v>
      </c>
      <c r="I9" s="20" t="s">
        <v>12</v>
      </c>
      <c r="J9" s="20" t="s">
        <v>13</v>
      </c>
      <c r="K9" s="9" t="s">
        <v>14</v>
      </c>
      <c r="L9" s="9" t="s">
        <v>40</v>
      </c>
      <c r="M9" s="20" t="s">
        <v>39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28" t="s">
        <v>14</v>
      </c>
      <c r="T9" s="28" t="s">
        <v>41</v>
      </c>
      <c r="U9" s="20" t="s">
        <v>39</v>
      </c>
      <c r="V9" s="7" t="s">
        <v>9</v>
      </c>
      <c r="W9" s="7" t="s">
        <v>10</v>
      </c>
      <c r="X9" s="7" t="s">
        <v>11</v>
      </c>
      <c r="Y9" s="7" t="s">
        <v>12</v>
      </c>
      <c r="Z9" s="7" t="s">
        <v>13</v>
      </c>
      <c r="AA9" s="28" t="s">
        <v>14</v>
      </c>
      <c r="AB9" s="28" t="s">
        <v>41</v>
      </c>
      <c r="AC9" s="47"/>
      <c r="AD9" s="47"/>
      <c r="AE9" s="47"/>
    </row>
    <row r="10" spans="1:32" ht="48" x14ac:dyDescent="0.25">
      <c r="A10" s="1" t="s">
        <v>17</v>
      </c>
      <c r="B10" s="1" t="s">
        <v>18</v>
      </c>
      <c r="C10" s="1">
        <v>4</v>
      </c>
      <c r="D10" s="1">
        <v>110</v>
      </c>
      <c r="E10" s="14">
        <v>17876740</v>
      </c>
      <c r="F10" s="14">
        <v>5500</v>
      </c>
      <c r="G10" s="14">
        <f>E10+F10</f>
        <v>17882240</v>
      </c>
      <c r="H10" s="14">
        <f>G10*10%</f>
        <v>1788224</v>
      </c>
      <c r="I10" s="14">
        <v>339763</v>
      </c>
      <c r="J10" s="14">
        <f>(G10+H10+I10)/30</f>
        <v>667007.56666666665</v>
      </c>
      <c r="K10" s="14">
        <f>G10+H10+I10</f>
        <v>20010227</v>
      </c>
      <c r="L10" s="15">
        <f>J10*C10*D10</f>
        <v>293483329.33333331</v>
      </c>
      <c r="M10" s="31">
        <v>17876740</v>
      </c>
      <c r="N10" s="29">
        <v>5475</v>
      </c>
      <c r="O10" s="29">
        <f>M10+N10</f>
        <v>17882215</v>
      </c>
      <c r="P10" s="29">
        <f>O10*10%</f>
        <v>1788221.5</v>
      </c>
      <c r="Q10" s="29">
        <f>(O10+P10)*1.9%</f>
        <v>373738.29349999997</v>
      </c>
      <c r="R10" s="29">
        <f>(O10+P10+Q10)/30</f>
        <v>668139.15978333331</v>
      </c>
      <c r="S10" s="29">
        <f>O10+P10+Q10</f>
        <v>20044174.793499999</v>
      </c>
      <c r="T10" s="30">
        <f>R10*C10*D10</f>
        <v>293981230.30466664</v>
      </c>
      <c r="U10" s="31">
        <v>17876740</v>
      </c>
      <c r="V10" s="29">
        <v>4509</v>
      </c>
      <c r="W10" s="29">
        <f>U10+V10</f>
        <v>17881249</v>
      </c>
      <c r="X10" s="29">
        <f>W10*10%</f>
        <v>1788124.9000000001</v>
      </c>
      <c r="Y10" s="29">
        <f>(W10+X10)*1.9%</f>
        <v>373718.10409999994</v>
      </c>
      <c r="Z10" s="29">
        <f>(W10+X10+Y10)/30</f>
        <v>668103.06680333323</v>
      </c>
      <c r="AA10" s="29">
        <f>W10+X10+Y10</f>
        <v>20043092.004099999</v>
      </c>
      <c r="AB10" s="30">
        <f>C10*D10*Z10</f>
        <v>293965349.39346665</v>
      </c>
      <c r="AC10" s="32">
        <f>(K10+S10+AA10)/3</f>
        <v>20032497.932533335</v>
      </c>
      <c r="AD10" s="26">
        <f>(J10+R10+Z10)/3</f>
        <v>667749.9310844444</v>
      </c>
      <c r="AE10" s="26">
        <f>(L10+T10+AB10)/3</f>
        <v>293809969.67715555</v>
      </c>
    </row>
    <row r="11" spans="1:32" ht="60" x14ac:dyDescent="0.25">
      <c r="A11" s="1" t="s">
        <v>19</v>
      </c>
      <c r="B11" s="1" t="s">
        <v>20</v>
      </c>
      <c r="C11" s="1">
        <v>5</v>
      </c>
      <c r="D11" s="1">
        <v>110</v>
      </c>
      <c r="E11" s="14">
        <v>7853114</v>
      </c>
      <c r="F11" s="14">
        <v>5500</v>
      </c>
      <c r="G11" s="14">
        <f t="shared" ref="G11:G12" si="0">E11+F11</f>
        <v>7858614</v>
      </c>
      <c r="H11" s="14">
        <f t="shared" ref="H11" si="1">G11*10%</f>
        <v>785861.4</v>
      </c>
      <c r="I11" s="14">
        <v>149314</v>
      </c>
      <c r="J11" s="14">
        <f>(G11+H11+I11)/30</f>
        <v>293126.31333333335</v>
      </c>
      <c r="K11" s="14">
        <f t="shared" ref="K11:K12" si="2">G11+H11+I11</f>
        <v>8793789.4000000004</v>
      </c>
      <c r="L11" s="15">
        <f t="shared" ref="L11:L12" si="3">J11*C11*D11</f>
        <v>161219472.33333334</v>
      </c>
      <c r="M11" s="31">
        <v>7853114</v>
      </c>
      <c r="N11" s="29">
        <v>2405</v>
      </c>
      <c r="O11" s="29">
        <f>M11+N11</f>
        <v>7855519</v>
      </c>
      <c r="P11" s="29">
        <f t="shared" ref="P11" si="4">O11*10%</f>
        <v>785551.9</v>
      </c>
      <c r="Q11" s="29">
        <f t="shared" ref="Q11:Q12" si="5">(O11+P11)*1.9%</f>
        <v>164180.34710000001</v>
      </c>
      <c r="R11" s="29">
        <f>(O11+P11+Q11)/30</f>
        <v>293508.37490333337</v>
      </c>
      <c r="S11" s="29">
        <f t="shared" ref="S11:S12" si="6">O11+P11+Q11</f>
        <v>8805251.2471000012</v>
      </c>
      <c r="T11" s="30">
        <f t="shared" ref="T11:T12" si="7">R11*C11*D11</f>
        <v>161429606.19683334</v>
      </c>
      <c r="U11" s="31">
        <v>7853114</v>
      </c>
      <c r="V11" s="29">
        <v>1651</v>
      </c>
      <c r="W11" s="29">
        <f>U11+V11</f>
        <v>7854765</v>
      </c>
      <c r="X11" s="29">
        <f t="shared" ref="X11" si="8">W11*10%</f>
        <v>785476.5</v>
      </c>
      <c r="Y11" s="29">
        <f t="shared" ref="Y11:Y12" si="9">(W11+X11)*1.9%</f>
        <v>164164.58849999998</v>
      </c>
      <c r="Z11" s="29">
        <f>(W11+X11+Y11)/30</f>
        <v>293480.20295000001</v>
      </c>
      <c r="AA11" s="29">
        <f t="shared" ref="AA11:AA12" si="10">W11+X11+Y11</f>
        <v>8804406.0885000005</v>
      </c>
      <c r="AB11" s="30">
        <f t="shared" ref="AB11:AB12" si="11">C11*D11*Z11</f>
        <v>161414111.6225</v>
      </c>
      <c r="AC11" s="32">
        <f>(K11+S11+AA11)/3</f>
        <v>8801148.9118666667</v>
      </c>
      <c r="AD11" s="26">
        <f>(J11+R11+Z11)/3</f>
        <v>293371.63039555558</v>
      </c>
      <c r="AE11" s="26">
        <f>(L11+T11+AB11)/3</f>
        <v>161354396.71755555</v>
      </c>
    </row>
    <row r="12" spans="1:32" ht="48" x14ac:dyDescent="0.25">
      <c r="A12" s="33" t="s">
        <v>21</v>
      </c>
      <c r="B12" s="34" t="s">
        <v>42</v>
      </c>
      <c r="C12" s="34">
        <v>24</v>
      </c>
      <c r="D12" s="34">
        <v>73</v>
      </c>
      <c r="E12" s="35">
        <v>4362841</v>
      </c>
      <c r="F12" s="35">
        <v>5500</v>
      </c>
      <c r="G12" s="35">
        <f t="shared" si="0"/>
        <v>4368341</v>
      </c>
      <c r="H12" s="35">
        <f>G12*8%</f>
        <v>349467.28</v>
      </c>
      <c r="I12" s="35">
        <v>66399</v>
      </c>
      <c r="J12" s="35">
        <f>(G12+H12+I12)/20</f>
        <v>239210.364</v>
      </c>
      <c r="K12" s="35">
        <f t="shared" si="2"/>
        <v>4784207.28</v>
      </c>
      <c r="L12" s="36">
        <f t="shared" si="3"/>
        <v>419096557.72799999</v>
      </c>
      <c r="M12" s="37">
        <v>4362841</v>
      </c>
      <c r="N12" s="38">
        <v>1336</v>
      </c>
      <c r="O12" s="38">
        <f t="shared" ref="O12" si="12">M12+N12</f>
        <v>4364177</v>
      </c>
      <c r="P12" s="38">
        <f>O12*8%</f>
        <v>349134.16000000003</v>
      </c>
      <c r="Q12" s="38">
        <f t="shared" si="5"/>
        <v>89552.912039999996</v>
      </c>
      <c r="R12" s="38">
        <f>(O12+P12+Q12)/20</f>
        <v>240143.20360199999</v>
      </c>
      <c r="S12" s="38">
        <f t="shared" si="6"/>
        <v>4802864.07204</v>
      </c>
      <c r="T12" s="39">
        <f t="shared" si="7"/>
        <v>420730892.71070397</v>
      </c>
      <c r="U12" s="37">
        <v>4362841</v>
      </c>
      <c r="V12" s="38">
        <v>1100</v>
      </c>
      <c r="W12" s="38">
        <f t="shared" ref="W12" si="13">U12+V12</f>
        <v>4363941</v>
      </c>
      <c r="X12" s="38">
        <f>W12*8%</f>
        <v>349115.28</v>
      </c>
      <c r="Y12" s="38">
        <f t="shared" si="9"/>
        <v>89548.06932000001</v>
      </c>
      <c r="Z12" s="38">
        <f>(W12+X12+Y12)/20</f>
        <v>240130.217466</v>
      </c>
      <c r="AA12" s="38">
        <f t="shared" si="10"/>
        <v>4802604.34932</v>
      </c>
      <c r="AB12" s="39">
        <f t="shared" si="11"/>
        <v>420708141.00043201</v>
      </c>
      <c r="AC12" s="40">
        <f>(K12+S12+AA12)/3</f>
        <v>4796558.5671199998</v>
      </c>
      <c r="AD12" s="41">
        <f>(J12+R12+Z12)/3</f>
        <v>239827.92835599999</v>
      </c>
      <c r="AE12" s="41">
        <f>(L12+T12+AB12)/3</f>
        <v>420178530.47971201</v>
      </c>
    </row>
    <row r="13" spans="1:32" ht="26.25" customHeight="1" x14ac:dyDescent="0.25">
      <c r="A13" s="71" t="s">
        <v>43</v>
      </c>
      <c r="B13" s="72"/>
      <c r="C13" s="72"/>
      <c r="D13" s="72"/>
      <c r="E13" s="72"/>
      <c r="F13" s="72"/>
      <c r="G13" s="72"/>
      <c r="H13" s="72"/>
      <c r="I13" s="72"/>
      <c r="J13" s="72"/>
      <c r="K13" s="72"/>
      <c r="L13" s="72"/>
      <c r="M13" s="72"/>
      <c r="N13" s="72"/>
      <c r="O13" s="72"/>
      <c r="P13" s="72"/>
      <c r="Q13" s="72"/>
      <c r="R13" s="72"/>
      <c r="S13" s="72"/>
      <c r="T13" s="72"/>
      <c r="U13" s="72"/>
      <c r="V13" s="72"/>
      <c r="W13" s="72"/>
      <c r="X13" s="72"/>
      <c r="Y13" s="72"/>
      <c r="Z13" s="72"/>
      <c r="AA13" s="72"/>
      <c r="AB13" s="72"/>
      <c r="AC13" s="72"/>
      <c r="AD13" s="73"/>
      <c r="AE13" s="42">
        <f>SUM(AE10:AE12)</f>
        <v>875342896.87442315</v>
      </c>
    </row>
    <row r="14" spans="1:32" x14ac:dyDescent="0.25">
      <c r="A14" s="21"/>
    </row>
    <row r="15" spans="1:32" x14ac:dyDescent="0.25">
      <c r="A15" s="21"/>
    </row>
  </sheetData>
  <mergeCells count="14">
    <mergeCell ref="A13:AD13"/>
    <mergeCell ref="U8:AB8"/>
    <mergeCell ref="A2:AF2"/>
    <mergeCell ref="B3:AF3"/>
    <mergeCell ref="A4:AF4"/>
    <mergeCell ref="C8:C9"/>
    <mergeCell ref="D8:D9"/>
    <mergeCell ref="E8:L8"/>
    <mergeCell ref="M8:T8"/>
    <mergeCell ref="AC8:AC9"/>
    <mergeCell ref="AD8:AD9"/>
    <mergeCell ref="AE8:AE9"/>
    <mergeCell ref="A8:A9"/>
    <mergeCell ref="B8:B9"/>
  </mergeCells>
  <pageMargins left="0.39370078740157483" right="0.39370078740157483" top="0.39370078740157483" bottom="0.39370078740157483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159970-091D-46DD-AC25-1DDB9A987346}">
  <dimension ref="A2:I10"/>
  <sheetViews>
    <sheetView topLeftCell="A6" workbookViewId="0">
      <selection activeCell="F13" sqref="F13"/>
    </sheetView>
  </sheetViews>
  <sheetFormatPr baseColWidth="10" defaultColWidth="11.42578125" defaultRowHeight="15" x14ac:dyDescent="0.25"/>
  <cols>
    <col min="1" max="1" width="8.5703125" customWidth="1"/>
    <col min="2" max="2" width="26.42578125" customWidth="1"/>
    <col min="3" max="3" width="10.5703125" customWidth="1"/>
    <col min="4" max="5" width="18.7109375" customWidth="1"/>
    <col min="6" max="6" width="14.7109375" customWidth="1"/>
    <col min="7" max="7" width="14" customWidth="1"/>
    <col min="8" max="8" width="12.5703125" bestFit="1" customWidth="1"/>
  </cols>
  <sheetData>
    <row r="2" spans="1:9" ht="64.5" customHeight="1" x14ac:dyDescent="0.25">
      <c r="A2" s="46" t="s">
        <v>28</v>
      </c>
      <c r="B2" s="46"/>
      <c r="C2" s="46"/>
      <c r="D2" s="46"/>
      <c r="E2" s="46"/>
      <c r="F2" s="46"/>
      <c r="G2" s="46"/>
      <c r="H2" s="44"/>
      <c r="I2" s="44"/>
    </row>
    <row r="3" spans="1:9" ht="47.25" customHeight="1" x14ac:dyDescent="0.25">
      <c r="A3" s="27" t="s">
        <v>29</v>
      </c>
      <c r="B3" s="46" t="s">
        <v>30</v>
      </c>
      <c r="C3" s="46"/>
      <c r="D3" s="46"/>
      <c r="E3" s="46"/>
      <c r="F3" s="46"/>
      <c r="G3" s="46"/>
      <c r="H3" s="44"/>
      <c r="I3" s="44"/>
    </row>
    <row r="4" spans="1:9" ht="23.25" customHeight="1" x14ac:dyDescent="0.25">
      <c r="A4" s="46" t="s">
        <v>31</v>
      </c>
      <c r="B4" s="46"/>
      <c r="C4" s="46"/>
      <c r="D4" s="46"/>
      <c r="E4" s="46"/>
      <c r="F4" s="46"/>
      <c r="G4" s="46"/>
      <c r="H4" s="44"/>
      <c r="I4" s="44"/>
    </row>
    <row r="5" spans="1:9" ht="15" customHeight="1" x14ac:dyDescent="0.25">
      <c r="A5" s="51" t="s">
        <v>3</v>
      </c>
      <c r="B5" s="51" t="s">
        <v>4</v>
      </c>
      <c r="C5" s="52" t="s">
        <v>7</v>
      </c>
      <c r="D5" s="52" t="s">
        <v>32</v>
      </c>
      <c r="E5" s="47" t="s">
        <v>44</v>
      </c>
      <c r="F5" s="47" t="s">
        <v>37</v>
      </c>
      <c r="G5" s="47" t="s">
        <v>38</v>
      </c>
    </row>
    <row r="6" spans="1:9" ht="168" customHeight="1" x14ac:dyDescent="0.25">
      <c r="A6" s="51"/>
      <c r="B6" s="51"/>
      <c r="C6" s="53"/>
      <c r="D6" s="53"/>
      <c r="E6" s="47"/>
      <c r="F6" s="47"/>
      <c r="G6" s="47"/>
    </row>
    <row r="7" spans="1:9" ht="45.75" customHeight="1" x14ac:dyDescent="0.25">
      <c r="A7" s="1" t="s">
        <v>17</v>
      </c>
      <c r="B7" s="1" t="s">
        <v>18</v>
      </c>
      <c r="C7" s="1">
        <v>4</v>
      </c>
      <c r="D7" s="1">
        <v>110</v>
      </c>
      <c r="E7" s="15">
        <v>20032497.932533335</v>
      </c>
      <c r="F7" s="15">
        <v>667749.9310844444</v>
      </c>
      <c r="G7" s="15">
        <f>(F7*D7)*C7</f>
        <v>293809969.67715555</v>
      </c>
      <c r="H7" s="43"/>
    </row>
    <row r="8" spans="1:9" ht="48" customHeight="1" x14ac:dyDescent="0.25">
      <c r="A8" s="1" t="s">
        <v>19</v>
      </c>
      <c r="B8" s="1" t="s">
        <v>20</v>
      </c>
      <c r="C8" s="1">
        <v>5</v>
      </c>
      <c r="D8" s="1">
        <v>110</v>
      </c>
      <c r="E8" s="15">
        <v>8801148.9118666667</v>
      </c>
      <c r="F8" s="15">
        <v>293371.63039555558</v>
      </c>
      <c r="G8" s="15">
        <f t="shared" ref="G8:G9" si="0">(F8*D8)*C8</f>
        <v>161354396.71755555</v>
      </c>
      <c r="H8" s="43"/>
    </row>
    <row r="9" spans="1:9" ht="60" customHeight="1" x14ac:dyDescent="0.25">
      <c r="A9" s="33" t="s">
        <v>21</v>
      </c>
      <c r="B9" s="34" t="s">
        <v>42</v>
      </c>
      <c r="C9" s="34">
        <v>24</v>
      </c>
      <c r="D9" s="34">
        <v>73</v>
      </c>
      <c r="E9" s="15">
        <v>4796558.5671199998</v>
      </c>
      <c r="F9" s="15">
        <v>239827.92835599999</v>
      </c>
      <c r="G9" s="15">
        <f t="shared" si="0"/>
        <v>420178530.47971201</v>
      </c>
      <c r="H9" s="43"/>
    </row>
    <row r="10" spans="1:9" ht="15" customHeight="1" x14ac:dyDescent="0.25">
      <c r="A10" s="48" t="s">
        <v>43</v>
      </c>
      <c r="B10" s="49"/>
      <c r="C10" s="49"/>
      <c r="D10" s="49"/>
      <c r="E10" s="49"/>
      <c r="F10" s="50"/>
      <c r="G10" s="45">
        <f>SUM(G7:G9)</f>
        <v>875342896.87442315</v>
      </c>
    </row>
  </sheetData>
  <mergeCells count="11">
    <mergeCell ref="A10:F10"/>
    <mergeCell ref="A5:A6"/>
    <mergeCell ref="B5:B6"/>
    <mergeCell ref="C5:C6"/>
    <mergeCell ref="D5:D6"/>
    <mergeCell ref="A2:G2"/>
    <mergeCell ref="B3:G3"/>
    <mergeCell ref="A4:G4"/>
    <mergeCell ref="E5:E6"/>
    <mergeCell ref="F5:F6"/>
    <mergeCell ref="G5:G6"/>
  </mergeCells>
  <printOptions horizontalCentered="1"/>
  <pageMargins left="0.39370078740157483" right="0.39370078740157483" top="0.39370078740157483" bottom="0.39370078740157483" header="0.31496062992125984" footer="0.31496062992125984"/>
  <pageSetup scale="9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DDACC0-D97B-4B18-A52F-721CFC731FF3}">
  <dimension ref="A2:E7"/>
  <sheetViews>
    <sheetView workbookViewId="0">
      <selection activeCell="D20" sqref="D20"/>
    </sheetView>
  </sheetViews>
  <sheetFormatPr baseColWidth="10" defaultColWidth="9.140625" defaultRowHeight="15" x14ac:dyDescent="0.25"/>
  <cols>
    <col min="2" max="2" width="23.42578125" customWidth="1"/>
    <col min="3" max="3" width="11.28515625" customWidth="1"/>
    <col min="4" max="4" width="24" customWidth="1"/>
    <col min="5" max="5" width="17.140625" customWidth="1"/>
  </cols>
  <sheetData>
    <row r="2" spans="1:5" ht="15" customHeight="1" x14ac:dyDescent="0.25">
      <c r="A2" s="51" t="s">
        <v>3</v>
      </c>
      <c r="B2" s="51" t="s">
        <v>4</v>
      </c>
      <c r="C2" s="51" t="s">
        <v>7</v>
      </c>
      <c r="D2" s="47" t="s">
        <v>44</v>
      </c>
      <c r="E2" s="47" t="s">
        <v>37</v>
      </c>
    </row>
    <row r="3" spans="1:5" ht="136.5" customHeight="1" x14ac:dyDescent="0.25">
      <c r="A3" s="51"/>
      <c r="B3" s="51"/>
      <c r="C3" s="51"/>
      <c r="D3" s="47"/>
      <c r="E3" s="47"/>
    </row>
    <row r="4" spans="1:5" ht="62.25" customHeight="1" x14ac:dyDescent="0.25">
      <c r="A4" s="1" t="s">
        <v>17</v>
      </c>
      <c r="B4" s="1" t="s">
        <v>18</v>
      </c>
      <c r="C4" s="1">
        <v>4</v>
      </c>
      <c r="D4" s="15">
        <v>20032497.932533335</v>
      </c>
      <c r="E4" s="15">
        <v>667749.9310844444</v>
      </c>
    </row>
    <row r="5" spans="1:5" ht="56.25" customHeight="1" x14ac:dyDescent="0.25">
      <c r="A5" s="1" t="s">
        <v>19</v>
      </c>
      <c r="B5" s="1" t="s">
        <v>20</v>
      </c>
      <c r="C5" s="1">
        <v>5</v>
      </c>
      <c r="D5" s="15">
        <v>8801148.9118666667</v>
      </c>
      <c r="E5" s="15">
        <v>293371.63039555558</v>
      </c>
    </row>
    <row r="6" spans="1:5" ht="64.5" customHeight="1" x14ac:dyDescent="0.25">
      <c r="A6" s="5" t="s">
        <v>21</v>
      </c>
      <c r="B6" s="13" t="s">
        <v>22</v>
      </c>
      <c r="C6" s="13">
        <v>24</v>
      </c>
      <c r="D6" s="15">
        <v>4796558.5671199998</v>
      </c>
      <c r="E6" s="15">
        <v>239827.92835599999</v>
      </c>
    </row>
    <row r="7" spans="1:5" x14ac:dyDescent="0.25">
      <c r="C7" s="75">
        <f>SUM(C4:C6)</f>
        <v>33</v>
      </c>
    </row>
  </sheetData>
  <mergeCells count="5">
    <mergeCell ref="A2:A3"/>
    <mergeCell ref="B2:B3"/>
    <mergeCell ref="C2:C3"/>
    <mergeCell ref="D2:D3"/>
    <mergeCell ref="E2:E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B73562-482B-46BD-8656-1EF2215AFC8C}">
  <dimension ref="A7:D12"/>
  <sheetViews>
    <sheetView workbookViewId="0">
      <selection activeCell="C12" sqref="C12"/>
    </sheetView>
  </sheetViews>
  <sheetFormatPr baseColWidth="10" defaultColWidth="11.42578125" defaultRowHeight="15" x14ac:dyDescent="0.25"/>
  <cols>
    <col min="2" max="2" width="28" customWidth="1"/>
    <col min="3" max="3" width="21.85546875" customWidth="1"/>
    <col min="4" max="4" width="48.5703125" customWidth="1"/>
  </cols>
  <sheetData>
    <row r="7" spans="1:4" ht="15" customHeight="1" x14ac:dyDescent="0.25">
      <c r="A7" s="74" t="s">
        <v>3</v>
      </c>
      <c r="B7" s="74" t="s">
        <v>4</v>
      </c>
      <c r="C7" s="74" t="s">
        <v>7</v>
      </c>
      <c r="D7" s="74" t="s">
        <v>45</v>
      </c>
    </row>
    <row r="8" spans="1:4" x14ac:dyDescent="0.25">
      <c r="A8" s="74"/>
      <c r="B8" s="74"/>
      <c r="C8" s="74"/>
      <c r="D8" s="74"/>
    </row>
    <row r="9" spans="1:4" ht="37.5" customHeight="1" x14ac:dyDescent="0.25">
      <c r="A9" s="13" t="s">
        <v>46</v>
      </c>
      <c r="B9" s="13" t="s">
        <v>47</v>
      </c>
      <c r="C9" s="13">
        <v>4</v>
      </c>
      <c r="D9" s="13" t="s">
        <v>48</v>
      </c>
    </row>
    <row r="10" spans="1:4" ht="48" x14ac:dyDescent="0.25">
      <c r="A10" s="13" t="s">
        <v>19</v>
      </c>
      <c r="B10" s="13" t="s">
        <v>49</v>
      </c>
      <c r="C10" s="13">
        <v>5</v>
      </c>
      <c r="D10" s="13" t="s">
        <v>50</v>
      </c>
    </row>
    <row r="11" spans="1:4" ht="66" customHeight="1" x14ac:dyDescent="0.25">
      <c r="A11" s="13" t="s">
        <v>21</v>
      </c>
      <c r="B11" s="13" t="s">
        <v>51</v>
      </c>
      <c r="C11" s="13">
        <v>24</v>
      </c>
      <c r="D11" s="1" t="s">
        <v>52</v>
      </c>
    </row>
    <row r="12" spans="1:4" x14ac:dyDescent="0.25">
      <c r="C12" s="75">
        <f>SUM(C9:C11)</f>
        <v>33</v>
      </c>
    </row>
  </sheetData>
  <mergeCells count="4">
    <mergeCell ref="A7:A8"/>
    <mergeCell ref="B7:B8"/>
    <mergeCell ref="C7:C8"/>
    <mergeCell ref="D7:D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INICIAL</vt:lpstr>
      <vt:lpstr>ESTUDIO DE MERCADO</vt:lpstr>
      <vt:lpstr>RESUMIDO</vt:lpstr>
      <vt:lpstr>TARIFAS2026</vt:lpstr>
      <vt:lpstr>SEDES JUDICIALES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lmerinod</dc:creator>
  <cp:keywords/>
  <dc:description/>
  <cp:lastModifiedBy>Seccional Administrativa - Sucre - Sincelejo</cp:lastModifiedBy>
  <cp:revision/>
  <dcterms:created xsi:type="dcterms:W3CDTF">2019-09-09T21:07:07Z</dcterms:created>
  <dcterms:modified xsi:type="dcterms:W3CDTF">2026-07-22T21:04:08Z</dcterms:modified>
  <cp:category/>
  <cp:contentStatus/>
</cp:coreProperties>
</file>