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 Geologico Colombiano\SGC Año 2026\Procesos de Contratacion\E.S Adquisición, instalación y puesta en funcionamiento de un equipo de cromatografía iónica\"/>
    </mc:Choice>
  </mc:AlternateContent>
  <bookViews>
    <workbookView xWindow="0" yWindow="0" windowWidth="28800" windowHeight="11505" tabRatio="959" firstSheet="1" activeTab="9"/>
  </bookViews>
  <sheets>
    <sheet name="Analisis Estadistico" sheetId="12" state="hidden" r:id="rId1"/>
    <sheet name=" Cotizaciones Todas" sheetId="50" r:id="rId2"/>
    <sheet name="Analisis Geometrica" sheetId="19" state="hidden" r:id="rId3"/>
    <sheet name="Analisis Armonica" sheetId="20" state="hidden" r:id="rId4"/>
    <sheet name="Analisis M.Aritmetica" sheetId="27" state="hidden" r:id="rId5"/>
    <sheet name="Analisis M.Geometrica" sheetId="28" state="hidden" r:id="rId6"/>
    <sheet name="Analisis M.Armonica" sheetId="29" state="hidden" r:id="rId7"/>
    <sheet name="Historicos" sheetId="31" state="hidden" r:id="rId8"/>
    <sheet name=" Analisis Cotizaciones." sheetId="58" r:id="rId9"/>
    <sheet name="Presupuesto Oficial" sheetId="59" r:id="rId10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58" l="1"/>
  <c r="D9" i="59"/>
  <c r="L7" i="58"/>
  <c r="K7" i="58"/>
  <c r="I11" i="58"/>
  <c r="H11" i="58"/>
  <c r="G11" i="58"/>
  <c r="F11" i="58"/>
  <c r="E11" i="58"/>
  <c r="D11" i="58"/>
  <c r="J7" i="58"/>
  <c r="J11" i="58" s="1"/>
  <c r="I7" i="58"/>
  <c r="H7" i="58"/>
  <c r="G7" i="58"/>
  <c r="J7" i="50"/>
  <c r="I7" i="50"/>
  <c r="H7" i="50"/>
  <c r="G7" i="50"/>
  <c r="F11" i="50"/>
  <c r="E11" i="50"/>
  <c r="D11" i="50"/>
  <c r="H11" i="50" l="1"/>
  <c r="I11" i="50"/>
  <c r="J11" i="50"/>
  <c r="G11" i="50"/>
  <c r="F8" i="31"/>
  <c r="G8" i="31" s="1"/>
  <c r="F7" i="31"/>
  <c r="G7" i="31" s="1"/>
  <c r="H8" i="31" l="1"/>
  <c r="I8" i="31" s="1"/>
  <c r="H7" i="31"/>
  <c r="I7" i="31" s="1"/>
  <c r="H7" i="29"/>
  <c r="G7" i="27"/>
  <c r="H7" i="27" s="1"/>
  <c r="E9" i="29"/>
  <c r="D9" i="29"/>
  <c r="C9" i="29"/>
  <c r="G8" i="29"/>
  <c r="H8" i="29" s="1"/>
  <c r="F8" i="29"/>
  <c r="G7" i="29"/>
  <c r="F7" i="29"/>
  <c r="E9" i="28"/>
  <c r="D9" i="28"/>
  <c r="C9" i="28"/>
  <c r="G8" i="28"/>
  <c r="F8" i="28"/>
  <c r="G7" i="28"/>
  <c r="F7" i="28"/>
  <c r="G8" i="27"/>
  <c r="H8" i="27" s="1"/>
  <c r="G9" i="27"/>
  <c r="E9" i="27"/>
  <c r="D9" i="27"/>
  <c r="C9" i="27"/>
  <c r="F8" i="27"/>
  <c r="F7" i="27"/>
  <c r="H8" i="28" l="1"/>
  <c r="G9" i="29"/>
  <c r="G9" i="28"/>
  <c r="H7" i="28"/>
  <c r="F9" i="29"/>
  <c r="F9" i="28"/>
  <c r="F9" i="27"/>
  <c r="G15" i="20" l="1"/>
  <c r="H15" i="20" s="1"/>
  <c r="F15" i="20"/>
  <c r="F14" i="20"/>
  <c r="F13" i="20"/>
  <c r="F11" i="20"/>
  <c r="F9" i="20"/>
  <c r="H9" i="20" s="1"/>
  <c r="F10" i="20"/>
  <c r="F8" i="20"/>
  <c r="F17" i="20"/>
  <c r="E17" i="20"/>
  <c r="D17" i="20"/>
  <c r="C17" i="20"/>
  <c r="G17" i="20" s="1"/>
  <c r="G14" i="20"/>
  <c r="G13" i="20"/>
  <c r="G11" i="20"/>
  <c r="H11" i="20" s="1"/>
  <c r="G10" i="20"/>
  <c r="H10" i="20" s="1"/>
  <c r="G9" i="20"/>
  <c r="G8" i="20"/>
  <c r="F15" i="19"/>
  <c r="G9" i="19"/>
  <c r="H9" i="19" s="1"/>
  <c r="G8" i="19"/>
  <c r="H8" i="19"/>
  <c r="G15" i="19"/>
  <c r="G14" i="19"/>
  <c r="H14" i="19" s="1"/>
  <c r="G13" i="19"/>
  <c r="G11" i="19"/>
  <c r="G10" i="19"/>
  <c r="H10" i="19" s="1"/>
  <c r="F14" i="19"/>
  <c r="F13" i="19"/>
  <c r="F9" i="19"/>
  <c r="F10" i="19"/>
  <c r="F11" i="19"/>
  <c r="F8" i="19"/>
  <c r="F17" i="19" s="1"/>
  <c r="E17" i="19"/>
  <c r="D17" i="19"/>
  <c r="C17" i="19"/>
  <c r="G17" i="19" s="1"/>
  <c r="H15" i="19"/>
  <c r="H11" i="19"/>
  <c r="H13" i="20" l="1"/>
  <c r="H14" i="20"/>
  <c r="H17" i="20"/>
  <c r="H8" i="20"/>
  <c r="H13" i="19"/>
  <c r="H17" i="19"/>
  <c r="H16" i="12" l="1"/>
  <c r="H21" i="12" s="1"/>
  <c r="E10" i="12"/>
  <c r="F10" i="12" s="1"/>
  <c r="E9" i="12"/>
  <c r="F9" i="12" s="1"/>
  <c r="D12" i="12"/>
  <c r="E8" i="12"/>
  <c r="F8" i="12" s="1"/>
  <c r="H17" i="12" s="1"/>
  <c r="E24" i="12"/>
  <c r="F24" i="12" s="1"/>
  <c r="E23" i="12"/>
  <c r="F23" i="12" s="1"/>
  <c r="E22" i="12"/>
  <c r="F22" i="12" s="1"/>
  <c r="E21" i="12"/>
  <c r="F21" i="12" s="1"/>
  <c r="E20" i="12"/>
  <c r="F20" i="12" s="1"/>
  <c r="E7" i="12"/>
  <c r="F7" i="12" s="1"/>
  <c r="D11" i="12" l="1"/>
  <c r="D15" i="12" s="1"/>
  <c r="D13" i="12"/>
  <c r="E6" i="12"/>
  <c r="E11" i="12" s="1"/>
  <c r="D14" i="12"/>
  <c r="E13" i="12" l="1"/>
  <c r="E14" i="12"/>
  <c r="E12" i="12"/>
  <c r="E15" i="12" s="1"/>
  <c r="F6" i="12"/>
  <c r="I17" i="12"/>
  <c r="I20" i="12" s="1"/>
  <c r="F11" i="12" l="1"/>
  <c r="F14" i="12"/>
  <c r="F12" i="12"/>
  <c r="F13" i="12"/>
  <c r="F15" i="12" l="1"/>
</calcChain>
</file>

<file path=xl/sharedStrings.xml><?xml version="1.0" encoding="utf-8"?>
<sst xmlns="http://schemas.openxmlformats.org/spreadsheetml/2006/main" count="181" uniqueCount="68">
  <si>
    <t>Cotizacion N° 1</t>
  </si>
  <si>
    <t>Cotizacion N° 2</t>
  </si>
  <si>
    <t>Cotizacion N°1</t>
  </si>
  <si>
    <t xml:space="preserve"> Valor Total  Incluido Iva</t>
  </si>
  <si>
    <t>Cotizacion N°2</t>
  </si>
  <si>
    <t>Cotizacion N°3</t>
  </si>
  <si>
    <t>Media Aritmetica</t>
  </si>
  <si>
    <t>Media Geometrica</t>
  </si>
  <si>
    <t>Media Armonica</t>
  </si>
  <si>
    <t>Desviacion Estandar</t>
  </si>
  <si>
    <t>% Desviacion Estandar Valor  Total</t>
  </si>
  <si>
    <t>Cotizacion N° 4</t>
  </si>
  <si>
    <t>Cotizacion N° 3</t>
  </si>
  <si>
    <t>Cotizacion N° 5</t>
  </si>
  <si>
    <t>Descripción</t>
  </si>
  <si>
    <t xml:space="preserve">Valor antes de Iva </t>
  </si>
  <si>
    <t>Iva 19%</t>
  </si>
  <si>
    <t>Valor total IVA Incluido</t>
  </si>
  <si>
    <t xml:space="preserve"> Promedio </t>
  </si>
  <si>
    <t xml:space="preserve"> Desviación estándar </t>
  </si>
  <si>
    <t xml:space="preserve"> Mínimo </t>
  </si>
  <si>
    <t xml:space="preserve"> Máximo </t>
  </si>
  <si>
    <t xml:space="preserve"> % De desviación frente promedio </t>
  </si>
  <si>
    <t xml:space="preserve"> % De incremento  entre  las  cotizaciones más baja y más alta  </t>
  </si>
  <si>
    <t>Acorde a la Tabla anterior en la cual se evidencia una desviación estándar demasiado alta en relación al promedio se revisaron las cotizaciones (1,2,3,4 y 5 ) recibidas, las cuales cumplen con las especificaciones técnicas requeridas por la entidad; sin embargo se identificó que la cotización No. 5 presenta un incremento  significativo  en comparación a las  otras cotizaciones, es así que entre la  cotización  más baja Dos Mil Cuatrocientos Treinta  y Tres Millones Seiscientos Mil Pesos Mcte ( $ 2.433.600.000,00)  y la  cotización más alta Cuatro Mil Ciento  Sesenta y Cinco Millones de Pesos Mcte.($ 4.165.000.000,00) hay  un incremento del 41,57% lo cual representa un incremento significativo en la determinación del presupuesto Oficial  del proceso a desarrollar.
Conforme al análisis anterior, para definir el presupuesto oficial del este proceso se tuvieron en cuenta las cotizaciones No. 1,2,3 y 4 excluyendo las cotizaciones N° 5 sacando un promedio entre estas.</t>
  </si>
  <si>
    <t>1.3. Desarrollo primera versión con implementación y lanzamiento.</t>
  </si>
  <si>
    <t>3.1. Fase análisis.</t>
  </si>
  <si>
    <t>4.     Licenciamiento Requerido.</t>
  </si>
  <si>
    <t>Desarrollo de Software como Servicio.</t>
  </si>
  <si>
    <t>1.2. Fase Diseño.</t>
  </si>
  <si>
    <t>1.1. Fase análisis.</t>
  </si>
  <si>
    <t>3.3. Desarrollo primera versión con implementación y lanzamiento.</t>
  </si>
  <si>
    <t>3.2. Fase Diseño.</t>
  </si>
  <si>
    <t>Valor Total (COP)</t>
  </si>
  <si>
    <t>3.Desarrollo del Sistema Fase 2</t>
  </si>
  <si>
    <t>2.Soporte técnico  y nuevas versiones (12 meses).</t>
  </si>
  <si>
    <t>Estudio  del Mercado / Senado de la Republica
"Contratar el de Desarrollo de Software, con Metodologías Ágiles, para la Construcción del Sistema de Información"</t>
  </si>
  <si>
    <t xml:space="preserve">1.Desarrollo del Sistema Fase 1. </t>
  </si>
  <si>
    <t>Certificados digitales función pública (SIIF Nación)</t>
  </si>
  <si>
    <t>Certificados digitales para realizar el proceso de facturación electrónica por Olimpia</t>
  </si>
  <si>
    <t>Estudio  del Mercado / Senado de la Republica
“Adquisición de Certificados de Función Pública con su Dispositivo Criptográfico Token para el Senado de la República”</t>
  </si>
  <si>
    <t>No</t>
  </si>
  <si>
    <t>Contrato</t>
  </si>
  <si>
    <t>IPC Año 2020 (1,61%)</t>
  </si>
  <si>
    <t>Valor  Total  año 2020</t>
  </si>
  <si>
    <t>IPC Año 2021 (5,62%)</t>
  </si>
  <si>
    <t xml:space="preserve">Valor  Total Año 2021 </t>
  </si>
  <si>
    <t>Contrato No 174 de 2020</t>
  </si>
  <si>
    <t>Total Token</t>
  </si>
  <si>
    <t>Valor  Unitario Iva Incluido</t>
  </si>
  <si>
    <r>
      <t>Contrato</t>
    </r>
    <r>
      <rPr>
        <sz val="9"/>
        <color rgb="FF000000"/>
        <rFont val="Calibri"/>
        <family val="2"/>
      </rPr>
      <t xml:space="preserve"> No 649 de 2021</t>
    </r>
  </si>
  <si>
    <t xml:space="preserve">Descripcion </t>
  </si>
  <si>
    <t>Medidas de Tendencia  Central</t>
  </si>
  <si>
    <t>Menor Valor</t>
  </si>
  <si>
    <t xml:space="preserve">Valor  Total </t>
  </si>
  <si>
    <t>Diagonal 53 N° 34-53, Bogotá D.C., Colombia, PBX (571) 2200000, 2200100, 2200200 Fax: 2220797
www.sgc.gov.co</t>
  </si>
  <si>
    <t>Item</t>
  </si>
  <si>
    <t xml:space="preserve">Valor Unitario Incluido  Iva </t>
  </si>
  <si>
    <t>% Desviacion Estandar</t>
  </si>
  <si>
    <t>Valor  Total</t>
  </si>
  <si>
    <t>Descripcion</t>
  </si>
  <si>
    <t>unidad de control y procesamiento de datos del cromatógrafo iónico debe cumplir con los requisitos del fabricante y permitir la comunicación del equipo, el control total del instrumento y la generación de los datos. Requisitos mínimos:Computador
Procesador i7, de cuatro núcleos
-Memoria RAM de 16GB o más
-Disco Duro 256 GB SSD + 1 TB SATA HD
-Pantalla con resolución gráfica de al menos 1280 x 1024
-Última versión del software para el Sistema de Cromatografía Iónica ofertado</t>
  </si>
  <si>
    <t>UPS
Potencia nominal:
Mínimo 3 kVA.
Autonomía: Al menos de 20 minutos.
Baterías: modulares.
Frecuencia: 60 Hz con variación máxima de ± 5 %.
Dimensiones aproximadas:
Ancho: 20cm
Alto: 50cm
Largo: 55cm</t>
  </si>
  <si>
    <t>Estructura de soporte o mesa estructural fija o móvil con superficie de trabajo estable y resistente para la instalación y puesta en marcha del sistema de cromatografía y los equipos complementarios
Dimensiones
Alto: 90 cm
Ancho: 70 cm
Largo: 210 cm
Nota: tener en cuenta que la superficie de trabajo debe ser resistente al agua, dado que las muestras a analizar son aguas naturales</t>
  </si>
  <si>
    <r>
      <t xml:space="preserve">Sistema de cromatografía iónica con detector de conductividad, supresión química, 
</t>
    </r>
    <r>
      <rPr>
        <b/>
        <sz val="10"/>
        <color rgb="FFFF0000"/>
        <rFont val="Calibri"/>
        <family val="2"/>
        <scheme val="minor"/>
      </rPr>
      <t>Bomba de alta presió</t>
    </r>
    <r>
      <rPr>
        <sz val="10"/>
        <color theme="1"/>
        <rFont val="Calibri"/>
        <family val="2"/>
        <scheme val="minor"/>
      </rPr>
      <t xml:space="preserve">n:
Diseño de doble pistón en serie, Rango de presión: 0 – 50 MPa, Químicamente inerte
Flujo: 0,01 – 5 mL/min  Incrementos de flujo: 0,01 mL/min o mejores  Desviación: &lt;0,1%
Compartimiento columnas: Horno con un rango de temperatura: 10 – 60°C
Temperatura ajustable en gradientes de 0,1°C  Reproducibilidad de la temperatura: 0,5°C o mejor
Exactitud de temperatura: ±0,5 °C o mejor
</t>
    </r>
    <r>
      <rPr>
        <b/>
        <sz val="10"/>
        <color rgb="FFFF0000"/>
        <rFont val="Calibri"/>
        <family val="2"/>
        <scheme val="minor"/>
      </rPr>
      <t>Automuestreador</t>
    </r>
    <r>
      <rPr>
        <sz val="10"/>
        <color theme="1"/>
        <rFont val="Calibri"/>
        <family val="2"/>
        <scheme val="minor"/>
      </rPr>
      <t xml:space="preserve">
volumen de alta precisión: 0,01 mL hasta 5 mL en incrementos de 0,1 mL. N
Capacidad de viales entre 1,5 mL a 11 mL   Mínimo 120 posiciones de viales
Incluir al menos 200 viales poliméricos con sus respectivas tapas
Supresor: Supresión electroquímica; Supresión química: Supresión de CO2
</t>
    </r>
    <r>
      <rPr>
        <sz val="10"/>
        <color rgb="FFFF0000"/>
        <rFont val="Calibri"/>
        <family val="2"/>
        <scheme val="minor"/>
      </rPr>
      <t>Software</t>
    </r>
    <r>
      <rPr>
        <sz val="10"/>
        <color theme="1"/>
        <rFont val="Calibri"/>
        <family val="2"/>
        <scheme val="minor"/>
      </rPr>
      <t xml:space="preserve">
</t>
    </r>
    <r>
      <rPr>
        <b/>
        <sz val="10"/>
        <color rgb="FFFF0000"/>
        <rFont val="Calibri"/>
        <family val="2"/>
        <scheme val="minor"/>
      </rPr>
      <t xml:space="preserve">Consumibles </t>
    </r>
    <r>
      <rPr>
        <sz val="10"/>
        <color theme="1"/>
        <rFont val="Calibri"/>
        <family val="2"/>
        <scheme val="minor"/>
      </rPr>
      <t xml:space="preserve">Incluir tres columnas y seis precolumnas para análisis de aniones en agua
Incluir loop de 20μL, 50μL y 100μL.
Incluir tubería peek
Incluir 1 supresor de repuesto en caso de que el consumible tenga una vida útil inferior a 1-2 años
</t>
    </r>
    <r>
      <rPr>
        <sz val="10"/>
        <color rgb="FFFF0000"/>
        <rFont val="Calibri"/>
        <family val="2"/>
        <scheme val="minor"/>
      </rPr>
      <t>Dimensiones aproximadas cromatógrafo iónico</t>
    </r>
    <r>
      <rPr>
        <sz val="10"/>
        <color theme="1"/>
        <rFont val="Calibri"/>
        <family val="2"/>
        <scheme val="minor"/>
      </rPr>
      <t xml:space="preserve">
Ancho: 40 – 60cm o menor  Altura: 70 – 80 cm o menor Profundidad: 40 - 50cm o r
Peso aproximado: 30Kg o menor
</t>
    </r>
    <r>
      <rPr>
        <sz val="10"/>
        <color rgb="FFFF0000"/>
        <rFont val="Calibri"/>
        <family val="2"/>
        <scheme val="minor"/>
      </rPr>
      <t>Dimensiones aproximadas del automuestreador</t>
    </r>
    <r>
      <rPr>
        <sz val="10"/>
        <color theme="1"/>
        <rFont val="Calibri"/>
        <family val="2"/>
        <scheme val="minor"/>
      </rPr>
      <t xml:space="preserve">
Ancho: 40cm o menor Altura: 75cm o menor Profundidad: 60cm o menor</t>
    </r>
  </si>
  <si>
    <r>
      <rPr>
        <b/>
        <u/>
        <sz val="12"/>
        <color theme="1"/>
        <rFont val="Calibri"/>
        <family val="2"/>
        <scheme val="minor"/>
      </rPr>
      <t>Estudio  del Mercado / Servicio Geologico Colombiano - SGC</t>
    </r>
    <r>
      <rPr>
        <sz val="12"/>
        <color theme="1"/>
        <rFont val="Calibri"/>
        <family val="2"/>
        <scheme val="minor"/>
      </rPr>
      <t xml:space="preserve">
“Adquisición, instalación y puesta en funcionamiento de un equipo de cromatografía iónica con detector de conductividad, supresor, automuestrador, consumibles y demás 
accesorios y periféricos requeridos para su adecuado funcionamiento, para la sede de Manizales de la Dirección de Laboratorios del Servicio Geológico Colombiano”</t>
    </r>
  </si>
  <si>
    <t xml:space="preserve">Valor Total Incluido  Iva </t>
  </si>
  <si>
    <r>
      <rPr>
        <b/>
        <u/>
        <sz val="9"/>
        <color theme="1"/>
        <rFont val="Calibri"/>
        <family val="2"/>
        <scheme val="minor"/>
      </rPr>
      <t>Estudio  del Mercado / Servicio Geologico Colombiano - SGC</t>
    </r>
    <r>
      <rPr>
        <sz val="9"/>
        <color theme="1"/>
        <rFont val="Calibri"/>
        <family val="2"/>
        <scheme val="minor"/>
      </rPr>
      <t xml:space="preserve">
“Adquisición, instalación y puesta en funcionamiento de un equipo de cromatografía iónica con detector de conductividad, supresor, automuestrador, consumibles y demás 
accesorios y periféricos requeridos para su adecuado funcionamiento, para la sede de Manizales de la Dirección de Laboratorios del Servicio Geológico Colombiano”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</si>
</sst>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0"/>
      <name val="Calibri"/>
      <family val="2"/>
    </font>
    <font>
      <b/>
      <sz val="10"/>
      <color theme="1"/>
      <name val="Century Gothic"/>
      <family val="2"/>
    </font>
    <font>
      <b/>
      <sz val="10"/>
      <color theme="5" tint="-0.249977111117893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12"/>
      <color theme="0"/>
      <name val="Arial Narrow"/>
      <family val="2"/>
    </font>
    <font>
      <sz val="12"/>
      <name val="Arial Narrow"/>
      <family val="2"/>
    </font>
    <font>
      <b/>
      <sz val="12"/>
      <color rgb="FFF2F2F2"/>
      <name val="Arial Narrow"/>
      <family val="2"/>
    </font>
    <font>
      <sz val="9"/>
      <color theme="1"/>
      <name val="Calibri"/>
      <family val="2"/>
    </font>
    <font>
      <b/>
      <u/>
      <sz val="8"/>
      <color rgb="FF000000"/>
      <name val="Calibri"/>
      <family val="2"/>
    </font>
    <font>
      <sz val="9"/>
      <color rgb="FF000000"/>
      <name val="Calibri"/>
      <family val="2"/>
    </font>
    <font>
      <b/>
      <sz val="10"/>
      <color theme="7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theme="0" tint="-0.34998626667073579"/>
        <bgColor rgb="FFA5A5A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9">
    <xf numFmtId="0" fontId="0" fillId="0" borderId="0" xfId="0"/>
    <xf numFmtId="6" fontId="8" fillId="0" borderId="1" xfId="0" applyNumberFormat="1" applyFont="1" applyBorder="1" applyAlignment="1">
      <alignment horizontal="center" vertical="center"/>
    </xf>
    <xf numFmtId="6" fontId="8" fillId="0" borderId="1" xfId="0" applyNumberFormat="1" applyFont="1" applyBorder="1" applyAlignment="1">
      <alignment horizontal="center" vertical="center" wrapText="1"/>
    </xf>
    <xf numFmtId="8" fontId="6" fillId="2" borderId="1" xfId="0" applyNumberFormat="1" applyFont="1" applyFill="1" applyBorder="1" applyAlignment="1">
      <alignment horizontal="center" vertical="center"/>
    </xf>
    <xf numFmtId="44" fontId="0" fillId="0" borderId="0" xfId="3" applyFont="1"/>
    <xf numFmtId="0" fontId="3" fillId="8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8" fontId="0" fillId="0" borderId="0" xfId="0" applyNumberFormat="1"/>
    <xf numFmtId="44" fontId="5" fillId="0" borderId="1" xfId="3" applyFont="1" applyBorder="1" applyAlignment="1">
      <alignment horizontal="center" vertical="center"/>
    </xf>
    <xf numFmtId="6" fontId="5" fillId="0" borderId="1" xfId="3" applyNumberFormat="1" applyFont="1" applyBorder="1" applyAlignment="1">
      <alignment horizontal="center" vertical="center"/>
    </xf>
    <xf numFmtId="44" fontId="6" fillId="2" borderId="1" xfId="0" applyNumberFormat="1" applyFont="1" applyFill="1" applyBorder="1" applyAlignment="1">
      <alignment horizontal="center" vertical="center"/>
    </xf>
    <xf numFmtId="9" fontId="0" fillId="0" borderId="0" xfId="5" applyFont="1"/>
    <xf numFmtId="10" fontId="0" fillId="0" borderId="0" xfId="5" applyNumberFormat="1" applyFont="1"/>
    <xf numFmtId="0" fontId="11" fillId="3" borderId="1" xfId="0" applyFont="1" applyFill="1" applyBorder="1" applyAlignment="1">
      <alignment horizontal="center" vertical="center" wrapText="1"/>
    </xf>
    <xf numFmtId="42" fontId="0" fillId="0" borderId="0" xfId="4" applyFont="1"/>
    <xf numFmtId="0" fontId="4" fillId="4" borderId="1" xfId="0" applyFont="1" applyFill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3" fontId="13" fillId="3" borderId="1" xfId="1" applyFont="1" applyFill="1" applyBorder="1" applyAlignment="1">
      <alignment horizontal="center" vertical="center" wrapText="1"/>
    </xf>
    <xf numFmtId="164" fontId="14" fillId="5" borderId="1" xfId="3" applyNumberFormat="1" applyFont="1" applyFill="1" applyBorder="1" applyAlignment="1">
      <alignment horizontal="center" vertical="center"/>
    </xf>
    <xf numFmtId="10" fontId="14" fillId="5" borderId="1" xfId="5" applyNumberFormat="1" applyFont="1" applyFill="1" applyBorder="1" applyAlignment="1">
      <alignment horizontal="center" vertical="center"/>
    </xf>
    <xf numFmtId="10" fontId="14" fillId="5" borderId="1" xfId="0" applyNumberFormat="1" applyFont="1" applyFill="1" applyBorder="1" applyAlignment="1">
      <alignment horizontal="center" vertical="center"/>
    </xf>
    <xf numFmtId="10" fontId="0" fillId="0" borderId="0" xfId="4" applyNumberFormat="1" applyFont="1"/>
    <xf numFmtId="164" fontId="0" fillId="0" borderId="0" xfId="4" applyNumberFormat="1" applyFont="1"/>
    <xf numFmtId="10" fontId="0" fillId="0" borderId="0" xfId="0" applyNumberFormat="1"/>
    <xf numFmtId="8" fontId="15" fillId="0" borderId="0" xfId="0" applyNumberFormat="1" applyFont="1"/>
    <xf numFmtId="0" fontId="18" fillId="0" borderId="9" xfId="0" applyFont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 wrapText="1"/>
    </xf>
    <xf numFmtId="0" fontId="19" fillId="10" borderId="10" xfId="0" applyFont="1" applyFill="1" applyBorder="1" applyAlignment="1">
      <alignment vertical="center" wrapText="1"/>
    </xf>
    <xf numFmtId="6" fontId="8" fillId="11" borderId="1" xfId="0" applyNumberFormat="1" applyFont="1" applyFill="1" applyBorder="1" applyAlignment="1">
      <alignment horizontal="center" vertical="center"/>
    </xf>
    <xf numFmtId="6" fontId="5" fillId="11" borderId="1" xfId="3" applyNumberFormat="1" applyFont="1" applyFill="1" applyBorder="1" applyAlignment="1">
      <alignment horizontal="center" vertical="center"/>
    </xf>
    <xf numFmtId="10" fontId="0" fillId="0" borderId="1" xfId="5" applyNumberFormat="1" applyFont="1" applyBorder="1" applyAlignment="1">
      <alignment horizontal="center" vertical="center"/>
    </xf>
    <xf numFmtId="0" fontId="0" fillId="11" borderId="1" xfId="0" applyFill="1" applyBorder="1"/>
    <xf numFmtId="6" fontId="5" fillId="12" borderId="1" xfId="3" applyNumberFormat="1" applyFont="1" applyFill="1" applyBorder="1" applyAlignment="1">
      <alignment horizontal="center" vertical="center"/>
    </xf>
    <xf numFmtId="10" fontId="0" fillId="12" borderId="1" xfId="5" applyNumberFormat="1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44" fontId="0" fillId="0" borderId="1" xfId="3" applyFont="1" applyBorder="1"/>
    <xf numFmtId="44" fontId="0" fillId="0" borderId="1" xfId="3" applyFont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 wrapText="1"/>
    </xf>
    <xf numFmtId="0" fontId="7" fillId="13" borderId="7" xfId="0" applyFont="1" applyFill="1" applyBorder="1" applyAlignment="1">
      <alignment horizontal="center" vertical="center" wrapText="1"/>
    </xf>
    <xf numFmtId="0" fontId="7" fillId="13" borderId="26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3" fontId="22" fillId="0" borderId="1" xfId="0" applyNumberFormat="1" applyFont="1" applyBorder="1" applyAlignment="1">
      <alignment horizontal="center" vertical="center" wrapText="1"/>
    </xf>
    <xf numFmtId="8" fontId="22" fillId="0" borderId="1" xfId="0" applyNumberFormat="1" applyFont="1" applyBorder="1" applyAlignment="1">
      <alignment horizontal="center" vertical="center" wrapText="1"/>
    </xf>
    <xf numFmtId="44" fontId="2" fillId="0" borderId="1" xfId="3" applyFont="1" applyBorder="1"/>
    <xf numFmtId="44" fontId="2" fillId="14" borderId="1" xfId="0" applyNumberFormat="1" applyFont="1" applyFill="1" applyBorder="1"/>
    <xf numFmtId="44" fontId="0" fillId="0" borderId="0" xfId="0" applyNumberFormat="1"/>
    <xf numFmtId="0" fontId="2" fillId="5" borderId="1" xfId="0" applyFont="1" applyFill="1" applyBorder="1" applyAlignment="1">
      <alignment horizontal="center" vertical="center" wrapText="1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center" vertical="center" wrapText="1"/>
    </xf>
    <xf numFmtId="44" fontId="4" fillId="5" borderId="1" xfId="3" applyFont="1" applyFill="1" applyBorder="1" applyAlignment="1">
      <alignment horizontal="center" vertical="center" wrapText="1"/>
    </xf>
    <xf numFmtId="44" fontId="24" fillId="0" borderId="0" xfId="3" applyFont="1" applyAlignment="1">
      <alignment horizontal="center" vertical="center" wrapText="1"/>
    </xf>
    <xf numFmtId="3" fontId="24" fillId="0" borderId="0" xfId="0" applyNumberFormat="1" applyFont="1" applyAlignment="1">
      <alignment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5" fillId="5" borderId="2" xfId="0" applyFont="1" applyFill="1" applyBorder="1" applyAlignment="1">
      <alignment horizontal="center" vertical="center" wrapText="1"/>
    </xf>
    <xf numFmtId="0" fontId="25" fillId="5" borderId="27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center" vertical="center" wrapText="1"/>
    </xf>
    <xf numFmtId="41" fontId="2" fillId="5" borderId="1" xfId="2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7" borderId="27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44" fontId="2" fillId="16" borderId="7" xfId="3" applyFont="1" applyFill="1" applyBorder="1" applyAlignment="1">
      <alignment horizontal="center" vertical="center" wrapText="1"/>
    </xf>
    <xf numFmtId="44" fontId="2" fillId="16" borderId="8" xfId="3" applyFont="1" applyFill="1" applyBorder="1" applyAlignment="1">
      <alignment horizontal="center" vertical="center" wrapText="1"/>
    </xf>
    <xf numFmtId="0" fontId="17" fillId="9" borderId="11" xfId="0" applyFont="1" applyFill="1" applyBorder="1" applyAlignment="1">
      <alignment horizontal="left" vertical="center" wrapText="1"/>
    </xf>
    <xf numFmtId="0" fontId="17" fillId="9" borderId="0" xfId="0" applyFont="1" applyFill="1" applyAlignment="1">
      <alignment horizontal="left" vertical="center" wrapText="1"/>
    </xf>
    <xf numFmtId="0" fontId="17" fillId="9" borderId="12" xfId="0" applyFont="1" applyFill="1" applyBorder="1" applyAlignment="1">
      <alignment horizontal="left" vertical="center" wrapText="1"/>
    </xf>
    <xf numFmtId="41" fontId="0" fillId="5" borderId="13" xfId="2" applyFont="1" applyFill="1" applyBorder="1" applyAlignment="1">
      <alignment horizontal="center"/>
    </xf>
    <xf numFmtId="41" fontId="0" fillId="5" borderId="14" xfId="2" applyFont="1" applyFill="1" applyBorder="1" applyAlignment="1">
      <alignment horizontal="center"/>
    </xf>
    <xf numFmtId="41" fontId="10" fillId="5" borderId="18" xfId="2" applyFont="1" applyFill="1" applyBorder="1" applyAlignment="1">
      <alignment horizontal="center" vertical="center" wrapText="1"/>
    </xf>
    <xf numFmtId="41" fontId="10" fillId="5" borderId="0" xfId="2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2" fillId="7" borderId="0" xfId="0" applyFont="1" applyFill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41" fontId="10" fillId="5" borderId="19" xfId="2" applyFont="1" applyFill="1" applyBorder="1" applyAlignment="1">
      <alignment horizontal="center" vertical="center" wrapText="1"/>
    </xf>
    <xf numFmtId="41" fontId="10" fillId="5" borderId="20" xfId="2" applyFont="1" applyFill="1" applyBorder="1" applyAlignment="1">
      <alignment horizontal="center" vertical="center" wrapText="1"/>
    </xf>
    <xf numFmtId="41" fontId="10" fillId="5" borderId="21" xfId="2" applyFont="1" applyFill="1" applyBorder="1" applyAlignment="1">
      <alignment horizontal="center" vertical="center" wrapText="1"/>
    </xf>
    <xf numFmtId="41" fontId="10" fillId="5" borderId="22" xfId="2" applyFont="1" applyFill="1" applyBorder="1" applyAlignment="1">
      <alignment horizontal="center" vertical="center" wrapText="1"/>
    </xf>
    <xf numFmtId="41" fontId="10" fillId="5" borderId="23" xfId="2" applyFont="1" applyFill="1" applyBorder="1" applyAlignment="1">
      <alignment horizontal="center" vertical="center" wrapText="1"/>
    </xf>
    <xf numFmtId="41" fontId="10" fillId="5" borderId="24" xfId="2" applyFont="1" applyFill="1" applyBorder="1" applyAlignment="1">
      <alignment horizontal="center" vertical="center" wrapText="1"/>
    </xf>
    <xf numFmtId="0" fontId="9" fillId="7" borderId="25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top" wrapText="1"/>
    </xf>
    <xf numFmtId="0" fontId="25" fillId="0" borderId="0" xfId="0" applyFont="1" applyAlignment="1">
      <alignment vertical="top" wrapText="1"/>
    </xf>
    <xf numFmtId="0" fontId="24" fillId="0" borderId="7" xfId="0" applyFont="1" applyBorder="1" applyAlignment="1">
      <alignment horizontal="left" vertical="top" wrapText="1"/>
    </xf>
    <xf numFmtId="44" fontId="24" fillId="0" borderId="1" xfId="3" applyFont="1" applyBorder="1" applyAlignment="1">
      <alignment horizontal="center" vertical="center" wrapText="1"/>
    </xf>
    <xf numFmtId="44" fontId="24" fillId="0" borderId="7" xfId="3" applyFont="1" applyBorder="1" applyAlignment="1">
      <alignment horizontal="center" vertical="center" wrapText="1"/>
    </xf>
    <xf numFmtId="44" fontId="24" fillId="0" borderId="26" xfId="3" applyFont="1" applyBorder="1" applyAlignment="1">
      <alignment horizontal="center" vertical="center" wrapText="1"/>
    </xf>
    <xf numFmtId="44" fontId="24" fillId="0" borderId="8" xfId="3" applyFont="1" applyBorder="1" applyAlignment="1">
      <alignment horizontal="center" vertical="center" wrapText="1"/>
    </xf>
    <xf numFmtId="44" fontId="23" fillId="0" borderId="1" xfId="3" applyFont="1" applyBorder="1" applyAlignment="1">
      <alignment horizontal="center" vertical="center"/>
    </xf>
    <xf numFmtId="44" fontId="23" fillId="0" borderId="7" xfId="3" applyFont="1" applyBorder="1" applyAlignment="1">
      <alignment horizontal="center" vertical="center"/>
    </xf>
    <xf numFmtId="44" fontId="23" fillId="0" borderId="26" xfId="3" applyFont="1" applyBorder="1" applyAlignment="1">
      <alignment horizontal="center" vertical="center"/>
    </xf>
    <xf numFmtId="44" fontId="23" fillId="0" borderId="8" xfId="3" applyFont="1" applyBorder="1" applyAlignment="1">
      <alignment horizontal="center" vertical="center"/>
    </xf>
    <xf numFmtId="44" fontId="24" fillId="0" borderId="7" xfId="3" applyNumberFormat="1" applyFont="1" applyBorder="1" applyAlignment="1">
      <alignment horizontal="center" vertical="center" wrapText="1"/>
    </xf>
    <xf numFmtId="44" fontId="24" fillId="0" borderId="26" xfId="3" applyNumberFormat="1" applyFont="1" applyBorder="1" applyAlignment="1">
      <alignment horizontal="center" vertical="center" wrapText="1"/>
    </xf>
    <xf numFmtId="44" fontId="24" fillId="0" borderId="8" xfId="3" applyNumberFormat="1" applyFont="1" applyBorder="1" applyAlignment="1">
      <alignment horizontal="center" vertical="center" wrapText="1"/>
    </xf>
    <xf numFmtId="0" fontId="10" fillId="15" borderId="2" xfId="0" applyFont="1" applyFill="1" applyBorder="1" applyAlignment="1">
      <alignment horizontal="center" vertical="center" wrapText="1"/>
    </xf>
    <xf numFmtId="0" fontId="10" fillId="15" borderId="27" xfId="0" applyFont="1" applyFill="1" applyBorder="1" applyAlignment="1">
      <alignment horizontal="center" vertical="center" wrapText="1"/>
    </xf>
    <xf numFmtId="44" fontId="10" fillId="15" borderId="1" xfId="3" applyFont="1" applyFill="1" applyBorder="1" applyAlignment="1">
      <alignment horizontal="center" vertical="center" wrapText="1"/>
    </xf>
    <xf numFmtId="10" fontId="24" fillId="0" borderId="1" xfId="5" applyNumberFormat="1" applyFont="1" applyBorder="1" applyAlignment="1">
      <alignment horizontal="center" vertical="center" wrapText="1"/>
    </xf>
    <xf numFmtId="44" fontId="24" fillId="0" borderId="0" xfId="3" applyFont="1" applyAlignment="1">
      <alignment wrapText="1"/>
    </xf>
    <xf numFmtId="0" fontId="28" fillId="0" borderId="7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4" fontId="2" fillId="16" borderId="1" xfId="3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left" vertical="top" wrapText="1"/>
    </xf>
    <xf numFmtId="44" fontId="24" fillId="0" borderId="1" xfId="3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vertical="top" wrapText="1"/>
    </xf>
    <xf numFmtId="0" fontId="10" fillId="15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wrapTex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2</xdr:row>
      <xdr:rowOff>123825</xdr:rowOff>
    </xdr:from>
    <xdr:to>
      <xdr:col>2</xdr:col>
      <xdr:colOff>590551</xdr:colOff>
      <xdr:row>2</xdr:row>
      <xdr:rowOff>676275</xdr:rowOff>
    </xdr:to>
    <xdr:pic>
      <xdr:nvPicPr>
        <xdr:cNvPr id="2" name="image15.png" descr="Logo_SGC_Escal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 l="3342" t="6641" r="3723" b="8843"/>
        <a:stretch>
          <a:fillRect/>
        </a:stretch>
      </xdr:blipFill>
      <xdr:spPr>
        <a:xfrm>
          <a:off x="323851" y="476250"/>
          <a:ext cx="895350" cy="55245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47625</xdr:rowOff>
    </xdr:from>
    <xdr:to>
      <xdr:col>1</xdr:col>
      <xdr:colOff>3495675</xdr:colOff>
      <xdr:row>2</xdr:row>
      <xdr:rowOff>419100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47650"/>
          <a:ext cx="3438525" cy="5905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524997</xdr:colOff>
      <xdr:row>2</xdr:row>
      <xdr:rowOff>135031</xdr:rowOff>
    </xdr:from>
    <xdr:to>
      <xdr:col>2</xdr:col>
      <xdr:colOff>1419786</xdr:colOff>
      <xdr:row>2</xdr:row>
      <xdr:rowOff>687481</xdr:rowOff>
    </xdr:to>
    <xdr:pic>
      <xdr:nvPicPr>
        <xdr:cNvPr id="2" name="image15.png" descr="Logo_SGC_Escal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>
          <a:lum/>
          <a:alphaModFix/>
        </a:blip>
        <a:srcRect l="3342" t="6641" r="3723" b="8843"/>
        <a:stretch>
          <a:fillRect/>
        </a:stretch>
      </xdr:blipFill>
      <xdr:spPr>
        <a:xfrm>
          <a:off x="1152526" y="482413"/>
          <a:ext cx="894789" cy="552450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Q44"/>
  <sheetViews>
    <sheetView showGridLines="0" workbookViewId="0">
      <selection activeCell="F27" sqref="F27"/>
    </sheetView>
  </sheetViews>
  <sheetFormatPr baseColWidth="10" defaultRowHeight="15" x14ac:dyDescent="0.25"/>
  <cols>
    <col min="2" max="2" width="38" customWidth="1"/>
    <col min="3" max="3" width="38.7109375" customWidth="1"/>
    <col min="4" max="4" width="16.5703125" customWidth="1"/>
    <col min="5" max="5" width="14.28515625" customWidth="1"/>
    <col min="6" max="6" width="20.5703125" customWidth="1"/>
    <col min="8" max="8" width="15.5703125" style="14" bestFit="1" customWidth="1"/>
    <col min="9" max="9" width="15.85546875" customWidth="1"/>
    <col min="12" max="12" width="14" bestFit="1" customWidth="1"/>
  </cols>
  <sheetData>
    <row r="5" spans="3:17" x14ac:dyDescent="0.25">
      <c r="C5" s="13" t="s">
        <v>14</v>
      </c>
      <c r="D5" s="13" t="s">
        <v>15</v>
      </c>
      <c r="E5" s="13" t="s">
        <v>16</v>
      </c>
      <c r="F5" s="13" t="s">
        <v>17</v>
      </c>
    </row>
    <row r="6" spans="3:17" x14ac:dyDescent="0.25">
      <c r="C6" s="15" t="s">
        <v>0</v>
      </c>
      <c r="D6" s="16">
        <v>79788400</v>
      </c>
      <c r="E6" s="16">
        <f>+D6*19%</f>
        <v>15159796</v>
      </c>
      <c r="F6" s="17">
        <f>+D6+E6</f>
        <v>94948196</v>
      </c>
      <c r="I6" s="18"/>
    </row>
    <row r="7" spans="3:17" x14ac:dyDescent="0.25">
      <c r="C7" s="15" t="s">
        <v>1</v>
      </c>
      <c r="D7" s="16">
        <v>56108000</v>
      </c>
      <c r="E7" s="16">
        <f t="shared" ref="E7:E10" si="0">+D7*19%</f>
        <v>10660520</v>
      </c>
      <c r="F7" s="17">
        <f t="shared" ref="F7:F10" si="1">+D7+E7</f>
        <v>66768520</v>
      </c>
      <c r="I7" s="18"/>
    </row>
    <row r="8" spans="3:17" x14ac:dyDescent="0.25">
      <c r="C8" s="15" t="s">
        <v>12</v>
      </c>
      <c r="D8" s="16">
        <v>43078000</v>
      </c>
      <c r="E8" s="16">
        <f t="shared" ref="E8" si="2">+D8*19%</f>
        <v>8184820</v>
      </c>
      <c r="F8" s="17">
        <f t="shared" ref="F8" si="3">+D8+E8</f>
        <v>51262820</v>
      </c>
      <c r="I8" s="18"/>
    </row>
    <row r="9" spans="3:17" x14ac:dyDescent="0.25">
      <c r="C9" s="15" t="s">
        <v>11</v>
      </c>
      <c r="D9" s="16">
        <v>103021260.50420168</v>
      </c>
      <c r="E9" s="16">
        <f t="shared" si="0"/>
        <v>19574039.49579832</v>
      </c>
      <c r="F9" s="17">
        <f t="shared" si="1"/>
        <v>122595300</v>
      </c>
      <c r="I9" s="18"/>
    </row>
    <row r="10" spans="3:17" x14ac:dyDescent="0.25">
      <c r="C10" s="15" t="s">
        <v>13</v>
      </c>
      <c r="D10" s="16">
        <v>94069053.781512603</v>
      </c>
      <c r="E10" s="16">
        <f t="shared" si="0"/>
        <v>17873120.218487393</v>
      </c>
      <c r="F10" s="17">
        <f t="shared" si="1"/>
        <v>111942174</v>
      </c>
      <c r="I10" s="18"/>
    </row>
    <row r="11" spans="3:17" x14ac:dyDescent="0.25">
      <c r="C11" s="19" t="s">
        <v>18</v>
      </c>
      <c r="D11" s="20">
        <f>+AVERAGE(D6:D10)</f>
        <v>75212942.857142851</v>
      </c>
      <c r="E11" s="20">
        <f>+AVERAGE(E6:E10)</f>
        <v>14290459.142857144</v>
      </c>
      <c r="F11" s="20">
        <f>+AVERAGE(F6:F10)</f>
        <v>89503402</v>
      </c>
    </row>
    <row r="12" spans="3:17" x14ac:dyDescent="0.25">
      <c r="C12" s="19" t="s">
        <v>19</v>
      </c>
      <c r="D12" s="20">
        <f>+STDEVA(D6:D10)</f>
        <v>25236103.362170022</v>
      </c>
      <c r="E12" s="20">
        <f>+STDEVA(E6:E10)</f>
        <v>4794859.6388122933</v>
      </c>
      <c r="F12" s="20">
        <f>+STDEVA(F6:F10)</f>
        <v>30030963.000982303</v>
      </c>
    </row>
    <row r="13" spans="3:17" x14ac:dyDescent="0.25">
      <c r="C13" s="19" t="s">
        <v>20</v>
      </c>
      <c r="D13" s="20">
        <f>+MIN(D6:D10)</f>
        <v>43078000</v>
      </c>
      <c r="E13" s="20">
        <f>+MIN(E6:E10)</f>
        <v>8184820</v>
      </c>
      <c r="F13" s="20">
        <f>+MIN(F6:F10)</f>
        <v>51262820</v>
      </c>
      <c r="I13" s="14"/>
      <c r="J13" s="14"/>
      <c r="K13" s="14"/>
      <c r="L13" s="14"/>
      <c r="M13" s="14"/>
      <c r="N13" s="14"/>
      <c r="O13" s="14"/>
      <c r="P13" s="14"/>
      <c r="Q13" s="14"/>
    </row>
    <row r="14" spans="3:17" x14ac:dyDescent="0.25">
      <c r="C14" s="19" t="s">
        <v>21</v>
      </c>
      <c r="D14" s="20">
        <f>+MAX(D6:D10)</f>
        <v>103021260.50420168</v>
      </c>
      <c r="E14" s="20">
        <f>+MAX(E6:E10)</f>
        <v>19574039.49579832</v>
      </c>
      <c r="F14" s="20">
        <f>+MAX(F6:F10)</f>
        <v>122595300</v>
      </c>
      <c r="I14" s="14"/>
      <c r="J14" s="14"/>
      <c r="K14" s="14"/>
      <c r="L14" s="14"/>
      <c r="M14" s="14"/>
      <c r="N14" s="14"/>
      <c r="O14" s="14"/>
      <c r="P14" s="14"/>
      <c r="Q14" s="14"/>
    </row>
    <row r="15" spans="3:17" x14ac:dyDescent="0.25">
      <c r="C15" s="19" t="s">
        <v>22</v>
      </c>
      <c r="D15" s="21">
        <f>+D12/D11</f>
        <v>0.33552873220374718</v>
      </c>
      <c r="E15" s="21">
        <f>+E12/E11</f>
        <v>0.33552873220374635</v>
      </c>
      <c r="F15" s="21">
        <f>+F12/F11</f>
        <v>0.3355287322037469</v>
      </c>
      <c r="I15" s="14"/>
      <c r="J15" s="14"/>
      <c r="K15" s="14"/>
      <c r="L15" s="14"/>
      <c r="M15" s="14"/>
      <c r="N15" s="14"/>
      <c r="O15" s="14"/>
      <c r="P15" s="14"/>
      <c r="Q15" s="14"/>
    </row>
    <row r="16" spans="3:17" ht="25.5" x14ac:dyDescent="0.25">
      <c r="C16" s="19" t="s">
        <v>23</v>
      </c>
      <c r="D16" s="22">
        <v>0.58189999999999997</v>
      </c>
      <c r="E16" s="22">
        <v>0.58189999999999997</v>
      </c>
      <c r="F16" s="22">
        <v>0.58189999999999997</v>
      </c>
      <c r="H16" s="18">
        <f>+F9</f>
        <v>122595300</v>
      </c>
      <c r="I16" s="11">
        <v>1</v>
      </c>
      <c r="J16" s="14"/>
      <c r="K16" s="14"/>
      <c r="L16" s="14"/>
      <c r="M16" s="14"/>
      <c r="N16" s="14"/>
      <c r="O16" s="14"/>
      <c r="P16" s="14"/>
      <c r="Q16" s="14"/>
    </row>
    <row r="17" spans="3:17" x14ac:dyDescent="0.25">
      <c r="H17" s="18">
        <f>+F8</f>
        <v>51262820</v>
      </c>
      <c r="I17" s="12">
        <f>+H17*I16/H16</f>
        <v>0.41814669893544043</v>
      </c>
      <c r="J17" s="14"/>
      <c r="K17" s="14"/>
      <c r="L17" s="14"/>
      <c r="M17" s="14"/>
      <c r="N17" s="14"/>
      <c r="O17" s="14"/>
      <c r="P17" s="14"/>
      <c r="Q17" s="14"/>
    </row>
    <row r="18" spans="3:17" x14ac:dyDescent="0.25">
      <c r="H18"/>
      <c r="I18" s="23"/>
      <c r="J18" s="14"/>
      <c r="K18" s="14"/>
      <c r="L18" s="14"/>
      <c r="M18" s="14"/>
      <c r="N18" s="14"/>
      <c r="O18" s="14"/>
      <c r="P18" s="14"/>
      <c r="Q18" s="14"/>
    </row>
    <row r="19" spans="3:17" x14ac:dyDescent="0.25">
      <c r="H19"/>
      <c r="I19" s="23"/>
      <c r="J19" s="14"/>
      <c r="K19" s="14"/>
      <c r="L19" s="14"/>
      <c r="M19" s="14"/>
      <c r="N19" s="14"/>
      <c r="O19" s="14"/>
      <c r="P19" s="14"/>
      <c r="Q19" s="14"/>
    </row>
    <row r="20" spans="3:17" x14ac:dyDescent="0.25">
      <c r="D20" s="26">
        <v>94948196</v>
      </c>
      <c r="E20" s="14">
        <f>+D20/1.19</f>
        <v>79788400</v>
      </c>
      <c r="F20" s="14">
        <f>+D20-E20</f>
        <v>15159796</v>
      </c>
      <c r="G20" s="11"/>
      <c r="H20"/>
      <c r="I20" s="12">
        <f>+I16-I17</f>
        <v>0.58185330106455957</v>
      </c>
      <c r="J20" s="14"/>
      <c r="K20" s="14"/>
      <c r="L20" s="14"/>
      <c r="M20" s="14"/>
      <c r="N20" s="14"/>
      <c r="O20" s="14"/>
      <c r="P20" s="14"/>
      <c r="Q20" s="14"/>
    </row>
    <row r="21" spans="3:17" x14ac:dyDescent="0.25">
      <c r="D21" s="26">
        <v>66768520</v>
      </c>
      <c r="E21" s="14">
        <f>+D21/1.19</f>
        <v>56108000</v>
      </c>
      <c r="F21" s="14">
        <f>+D21-E21</f>
        <v>10660520</v>
      </c>
      <c r="G21" s="11"/>
      <c r="H21" s="4">
        <f>+H16/2</f>
        <v>61297650</v>
      </c>
      <c r="I21" s="14"/>
      <c r="J21" s="14"/>
      <c r="K21" s="14"/>
      <c r="L21" s="14"/>
      <c r="M21" s="14"/>
      <c r="N21" s="14"/>
      <c r="O21" s="14"/>
      <c r="P21" s="14"/>
      <c r="Q21" s="14"/>
    </row>
    <row r="22" spans="3:17" x14ac:dyDescent="0.25">
      <c r="D22" s="26">
        <v>51262820</v>
      </c>
      <c r="E22" s="14">
        <f t="shared" ref="E22:E24" si="4">+D22/1.19</f>
        <v>43078000</v>
      </c>
      <c r="F22" s="14">
        <f t="shared" ref="F22:F24" si="5">+D22-E22</f>
        <v>8184820</v>
      </c>
      <c r="G22" s="11"/>
      <c r="I22" s="14"/>
      <c r="J22" s="14"/>
      <c r="K22" s="14"/>
      <c r="L22" s="14"/>
      <c r="M22" s="14"/>
      <c r="N22" s="14"/>
      <c r="O22" s="14"/>
      <c r="P22" s="14"/>
      <c r="Q22" s="14"/>
    </row>
    <row r="23" spans="3:17" x14ac:dyDescent="0.25">
      <c r="D23" s="26">
        <v>122595300</v>
      </c>
      <c r="E23" s="14">
        <f t="shared" si="4"/>
        <v>103021260.50420168</v>
      </c>
      <c r="F23" s="14">
        <f t="shared" si="5"/>
        <v>19574039.49579832</v>
      </c>
      <c r="G23" s="11"/>
      <c r="H23" s="24"/>
      <c r="I23" s="14"/>
      <c r="J23" s="14"/>
      <c r="K23" s="14"/>
      <c r="L23" s="14"/>
      <c r="M23" s="14"/>
      <c r="N23" s="14"/>
      <c r="O23" s="14"/>
      <c r="P23" s="14"/>
      <c r="Q23" s="14"/>
    </row>
    <row r="24" spans="3:17" x14ac:dyDescent="0.25">
      <c r="D24" s="26">
        <v>111942174</v>
      </c>
      <c r="E24" s="14">
        <f t="shared" si="4"/>
        <v>94069053.781512603</v>
      </c>
      <c r="F24" s="14">
        <f t="shared" si="5"/>
        <v>17873120.218487397</v>
      </c>
      <c r="G24" s="12"/>
      <c r="I24" s="14"/>
      <c r="J24" s="14"/>
      <c r="K24" s="14"/>
      <c r="L24" s="14"/>
      <c r="M24" s="14"/>
      <c r="N24" s="14"/>
      <c r="O24" s="14"/>
      <c r="P24" s="14"/>
      <c r="Q24" s="14"/>
    </row>
    <row r="25" spans="3:17" x14ac:dyDescent="0.25">
      <c r="G25" s="25"/>
      <c r="I25" s="14"/>
      <c r="J25" s="14"/>
      <c r="K25" s="14"/>
      <c r="L25" s="14"/>
      <c r="M25" s="14"/>
      <c r="N25" s="14"/>
      <c r="O25" s="14"/>
      <c r="P25" s="14"/>
      <c r="Q25" s="14"/>
    </row>
    <row r="26" spans="3:17" x14ac:dyDescent="0.25">
      <c r="I26" s="14"/>
      <c r="J26" s="14"/>
      <c r="K26" s="14"/>
      <c r="L26" s="14"/>
      <c r="M26" s="14"/>
      <c r="N26" s="14"/>
      <c r="O26" s="14"/>
      <c r="P26" s="14"/>
      <c r="Q26" s="14"/>
    </row>
    <row r="27" spans="3:17" x14ac:dyDescent="0.25">
      <c r="I27" s="14"/>
      <c r="J27" s="14"/>
      <c r="K27" s="14"/>
      <c r="L27" s="14"/>
      <c r="M27" s="14"/>
      <c r="N27" s="14"/>
      <c r="O27" s="14"/>
      <c r="P27" s="14"/>
      <c r="Q27" s="14"/>
    </row>
    <row r="28" spans="3:17" x14ac:dyDescent="0.25">
      <c r="I28" s="14"/>
      <c r="J28" s="14"/>
      <c r="K28" s="14"/>
      <c r="L28" s="14"/>
      <c r="M28" s="14"/>
      <c r="N28" s="14"/>
      <c r="O28" s="14"/>
      <c r="P28" s="14"/>
      <c r="Q28" s="14"/>
    </row>
    <row r="29" spans="3:17" x14ac:dyDescent="0.25">
      <c r="C29" s="65" t="s">
        <v>24</v>
      </c>
      <c r="D29" s="66"/>
      <c r="E29" s="66"/>
      <c r="F29" s="66"/>
      <c r="G29" s="66"/>
      <c r="H29" s="66"/>
      <c r="I29" s="66"/>
      <c r="J29" s="14"/>
      <c r="K29" s="14"/>
      <c r="L29" s="14"/>
      <c r="M29" s="14"/>
      <c r="N29" s="14"/>
      <c r="O29" s="14"/>
      <c r="P29" s="14"/>
      <c r="Q29" s="14"/>
    </row>
    <row r="30" spans="3:17" x14ac:dyDescent="0.25">
      <c r="C30" s="66"/>
      <c r="D30" s="66"/>
      <c r="E30" s="66"/>
      <c r="F30" s="66"/>
      <c r="G30" s="66"/>
      <c r="H30" s="66"/>
      <c r="I30" s="66"/>
      <c r="J30" s="14"/>
      <c r="K30" s="14"/>
      <c r="L30" s="14"/>
      <c r="M30" s="14"/>
      <c r="N30" s="14"/>
      <c r="O30" s="14"/>
      <c r="P30" s="14"/>
      <c r="Q30" s="14"/>
    </row>
    <row r="31" spans="3:17" x14ac:dyDescent="0.25">
      <c r="C31" s="66"/>
      <c r="D31" s="66"/>
      <c r="E31" s="66"/>
      <c r="F31" s="66"/>
      <c r="G31" s="66"/>
      <c r="H31" s="66"/>
      <c r="I31" s="66"/>
      <c r="J31" s="14"/>
      <c r="K31" s="14"/>
      <c r="L31" s="14"/>
      <c r="M31" s="14"/>
      <c r="N31" s="14"/>
      <c r="O31" s="14"/>
      <c r="P31" s="14"/>
      <c r="Q31" s="14"/>
    </row>
    <row r="32" spans="3:17" x14ac:dyDescent="0.25">
      <c r="C32" s="66"/>
      <c r="D32" s="66"/>
      <c r="E32" s="66"/>
      <c r="F32" s="66"/>
      <c r="G32" s="66"/>
      <c r="H32" s="66"/>
      <c r="I32" s="66"/>
    </row>
    <row r="33" spans="3:9" x14ac:dyDescent="0.25">
      <c r="C33" s="66"/>
      <c r="D33" s="66"/>
      <c r="E33" s="66"/>
      <c r="F33" s="66"/>
      <c r="G33" s="66"/>
      <c r="H33" s="66"/>
      <c r="I33" s="66"/>
    </row>
    <row r="34" spans="3:9" x14ac:dyDescent="0.25">
      <c r="C34" s="66"/>
      <c r="D34" s="66"/>
      <c r="E34" s="66"/>
      <c r="F34" s="66"/>
      <c r="G34" s="66"/>
      <c r="H34" s="66"/>
      <c r="I34" s="66"/>
    </row>
    <row r="35" spans="3:9" x14ac:dyDescent="0.25">
      <c r="C35" s="66"/>
      <c r="D35" s="66"/>
      <c r="E35" s="66"/>
      <c r="F35" s="66"/>
      <c r="G35" s="66"/>
      <c r="H35" s="66"/>
      <c r="I35" s="66"/>
    </row>
    <row r="36" spans="3:9" x14ac:dyDescent="0.25">
      <c r="C36" s="66"/>
      <c r="D36" s="66"/>
      <c r="E36" s="66"/>
      <c r="F36" s="66"/>
      <c r="G36" s="66"/>
      <c r="H36" s="66"/>
      <c r="I36" s="66"/>
    </row>
    <row r="37" spans="3:9" x14ac:dyDescent="0.25">
      <c r="C37" s="66"/>
      <c r="D37" s="66"/>
      <c r="E37" s="66"/>
      <c r="F37" s="66"/>
      <c r="G37" s="66"/>
      <c r="H37" s="66"/>
      <c r="I37" s="66"/>
    </row>
    <row r="38" spans="3:9" x14ac:dyDescent="0.25">
      <c r="C38" s="66"/>
      <c r="D38" s="66"/>
      <c r="E38" s="66"/>
      <c r="F38" s="66"/>
      <c r="G38" s="66"/>
      <c r="H38" s="66"/>
      <c r="I38" s="66"/>
    </row>
    <row r="39" spans="3:9" x14ac:dyDescent="0.25">
      <c r="C39" s="66"/>
      <c r="D39" s="66"/>
      <c r="E39" s="66"/>
      <c r="F39" s="66"/>
      <c r="G39" s="66"/>
      <c r="H39" s="66"/>
      <c r="I39" s="66"/>
    </row>
    <row r="40" spans="3:9" x14ac:dyDescent="0.25">
      <c r="C40" s="66"/>
      <c r="D40" s="66"/>
      <c r="E40" s="66"/>
      <c r="F40" s="66"/>
      <c r="G40" s="66"/>
      <c r="H40" s="66"/>
      <c r="I40" s="66"/>
    </row>
    <row r="41" spans="3:9" x14ac:dyDescent="0.25">
      <c r="C41" s="66"/>
      <c r="D41" s="66"/>
      <c r="E41" s="66"/>
      <c r="F41" s="66"/>
      <c r="G41" s="66"/>
      <c r="H41" s="66"/>
      <c r="I41" s="66"/>
    </row>
    <row r="42" spans="3:9" x14ac:dyDescent="0.25">
      <c r="C42" s="66"/>
      <c r="D42" s="66"/>
      <c r="E42" s="66"/>
      <c r="F42" s="66"/>
      <c r="G42" s="66"/>
      <c r="H42" s="66"/>
      <c r="I42" s="66"/>
    </row>
    <row r="43" spans="3:9" x14ac:dyDescent="0.25">
      <c r="C43" s="66"/>
      <c r="D43" s="66"/>
      <c r="E43" s="66"/>
      <c r="F43" s="66"/>
      <c r="G43" s="66"/>
      <c r="H43" s="66"/>
      <c r="I43" s="66"/>
    </row>
    <row r="44" spans="3:9" x14ac:dyDescent="0.25">
      <c r="C44" s="66"/>
      <c r="D44" s="66"/>
      <c r="E44" s="66"/>
      <c r="F44" s="66"/>
      <c r="G44" s="66"/>
      <c r="H44" s="66"/>
      <c r="I44" s="66"/>
    </row>
  </sheetData>
  <mergeCells count="1">
    <mergeCell ref="C29:I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2:L21"/>
  <sheetViews>
    <sheetView showGridLines="0" topLeftCell="A8" zoomScale="85" zoomScaleNormal="85" workbookViewId="0">
      <selection activeCell="C19" sqref="C19"/>
    </sheetView>
  </sheetViews>
  <sheetFormatPr baseColWidth="10" defaultColWidth="12.42578125" defaultRowHeight="15" x14ac:dyDescent="0.25"/>
  <cols>
    <col min="1" max="1" width="4.7109375" style="57" customWidth="1"/>
    <col min="2" max="2" width="4.7109375" style="58" bestFit="1" customWidth="1"/>
    <col min="3" max="3" width="68" style="58" customWidth="1"/>
    <col min="4" max="5" width="19.42578125" style="60" customWidth="1"/>
    <col min="6" max="6" width="21.7109375" style="60" customWidth="1"/>
    <col min="7" max="10" width="19" bestFit="1" customWidth="1"/>
    <col min="11" max="16384" width="12.42578125" style="57"/>
  </cols>
  <sheetData>
    <row r="2" spans="2:12" ht="12.75" x14ac:dyDescent="0.2">
      <c r="G2" s="57"/>
      <c r="H2" s="57"/>
      <c r="I2" s="57"/>
      <c r="J2" s="57"/>
    </row>
    <row r="3" spans="2:12" ht="64.5" customHeight="1" x14ac:dyDescent="0.2">
      <c r="B3" s="67" t="s">
        <v>65</v>
      </c>
      <c r="C3" s="68"/>
      <c r="D3" s="68"/>
      <c r="E3" s="68"/>
      <c r="F3" s="68"/>
      <c r="G3" s="68"/>
      <c r="H3" s="68"/>
      <c r="I3" s="68"/>
      <c r="J3" s="69"/>
    </row>
    <row r="4" spans="2:12" ht="24" customHeight="1" x14ac:dyDescent="0.2">
      <c r="B4" s="74" t="s">
        <v>56</v>
      </c>
      <c r="C4" s="74" t="s">
        <v>60</v>
      </c>
      <c r="D4" s="77" t="s">
        <v>2</v>
      </c>
      <c r="E4" s="77" t="s">
        <v>4</v>
      </c>
      <c r="F4" s="77" t="s">
        <v>5</v>
      </c>
      <c r="G4" s="71" t="s">
        <v>52</v>
      </c>
      <c r="H4" s="72"/>
      <c r="I4" s="72"/>
      <c r="J4" s="73"/>
    </row>
    <row r="5" spans="2:12" ht="25.5" customHeight="1" x14ac:dyDescent="0.2">
      <c r="B5" s="75"/>
      <c r="C5" s="75"/>
      <c r="D5" s="78"/>
      <c r="E5" s="78"/>
      <c r="F5" s="78"/>
      <c r="G5" s="6" t="s">
        <v>53</v>
      </c>
      <c r="H5" s="6" t="s">
        <v>6</v>
      </c>
      <c r="I5" s="6" t="s">
        <v>7</v>
      </c>
      <c r="J5" s="6" t="s">
        <v>8</v>
      </c>
      <c r="L5" s="61"/>
    </row>
    <row r="6" spans="2:12" ht="37.5" customHeight="1" x14ac:dyDescent="0.2">
      <c r="B6" s="76"/>
      <c r="C6" s="76"/>
      <c r="D6" s="59" t="s">
        <v>57</v>
      </c>
      <c r="E6" s="59" t="s">
        <v>57</v>
      </c>
      <c r="F6" s="59" t="s">
        <v>57</v>
      </c>
      <c r="G6" s="56" t="s">
        <v>54</v>
      </c>
      <c r="H6" s="56" t="s">
        <v>54</v>
      </c>
      <c r="I6" s="56" t="s">
        <v>54</v>
      </c>
      <c r="J6" s="56" t="s">
        <v>54</v>
      </c>
      <c r="L6" s="61"/>
    </row>
    <row r="7" spans="2:12" ht="363.75" customHeight="1" x14ac:dyDescent="0.2">
      <c r="B7" s="62">
        <v>1</v>
      </c>
      <c r="C7" s="109" t="s">
        <v>64</v>
      </c>
      <c r="D7" s="111">
        <v>647077252</v>
      </c>
      <c r="E7" s="111">
        <v>770876425</v>
      </c>
      <c r="F7" s="118">
        <v>532382900</v>
      </c>
      <c r="G7" s="115">
        <f>+MIN(D7:F10)</f>
        <v>532382900</v>
      </c>
      <c r="H7" s="115">
        <f>+AVERAGE(D7:F10)</f>
        <v>650112192.33333337</v>
      </c>
      <c r="I7" s="115">
        <f>+GEOMEAN(D7:F10)</f>
        <v>642769111.04140747</v>
      </c>
      <c r="J7" s="115">
        <f>+HARMEAN(D7:F10)</f>
        <v>635460925.60433626</v>
      </c>
    </row>
    <row r="8" spans="2:12" ht="110.25" customHeight="1" x14ac:dyDescent="0.2">
      <c r="B8" s="62">
        <v>2</v>
      </c>
      <c r="C8" s="106" t="s">
        <v>61</v>
      </c>
      <c r="D8" s="112"/>
      <c r="E8" s="112"/>
      <c r="F8" s="119"/>
      <c r="G8" s="116"/>
      <c r="H8" s="116"/>
      <c r="I8" s="116"/>
      <c r="J8" s="116"/>
      <c r="L8" s="61"/>
    </row>
    <row r="9" spans="2:12" ht="165.75" customHeight="1" x14ac:dyDescent="0.2">
      <c r="B9" s="62">
        <v>3</v>
      </c>
      <c r="C9" s="107" t="s">
        <v>62</v>
      </c>
      <c r="D9" s="112"/>
      <c r="E9" s="112"/>
      <c r="F9" s="119"/>
      <c r="G9" s="116"/>
      <c r="H9" s="116"/>
      <c r="I9" s="116"/>
      <c r="J9" s="116"/>
    </row>
    <row r="10" spans="2:12" ht="148.5" customHeight="1" x14ac:dyDescent="0.2">
      <c r="B10" s="62">
        <v>4</v>
      </c>
      <c r="C10" s="108" t="s">
        <v>63</v>
      </c>
      <c r="D10" s="113"/>
      <c r="E10" s="113"/>
      <c r="F10" s="120"/>
      <c r="G10" s="117"/>
      <c r="H10" s="117"/>
      <c r="I10" s="117"/>
      <c r="J10" s="117"/>
    </row>
    <row r="11" spans="2:12" ht="15.75" x14ac:dyDescent="0.2">
      <c r="B11" s="121" t="s">
        <v>59</v>
      </c>
      <c r="C11" s="122"/>
      <c r="D11" s="123">
        <f>SUM(D7)</f>
        <v>647077252</v>
      </c>
      <c r="E11" s="123">
        <f t="shared" ref="E11:F11" si="0">SUM(E7)</f>
        <v>770876425</v>
      </c>
      <c r="F11" s="123">
        <f t="shared" si="0"/>
        <v>532382900</v>
      </c>
      <c r="G11" s="123">
        <f>SUM(G7:G10)</f>
        <v>532382900</v>
      </c>
      <c r="H11" s="123">
        <f>SUM(H7:H10)</f>
        <v>650112192.33333337</v>
      </c>
      <c r="I11" s="123">
        <f>SUM(I7:I10)</f>
        <v>642769111.04140747</v>
      </c>
      <c r="J11" s="123">
        <f>SUM(J7:J10)</f>
        <v>635460925.60433626</v>
      </c>
    </row>
    <row r="12" spans="2:12" ht="15" customHeight="1" x14ac:dyDescent="0.2">
      <c r="B12" s="70" t="s">
        <v>55</v>
      </c>
      <c r="C12" s="70"/>
      <c r="D12" s="70"/>
      <c r="E12" s="70"/>
      <c r="F12" s="70"/>
      <c r="G12" s="70"/>
      <c r="H12" s="70"/>
      <c r="I12" s="70"/>
      <c r="J12" s="70"/>
    </row>
    <row r="13" spans="2:12" ht="15" customHeight="1" x14ac:dyDescent="0.2">
      <c r="B13" s="70"/>
      <c r="C13" s="70"/>
      <c r="D13" s="70"/>
      <c r="E13" s="70"/>
      <c r="F13" s="70"/>
      <c r="G13" s="70"/>
      <c r="H13" s="70"/>
      <c r="I13" s="70"/>
      <c r="J13" s="70"/>
    </row>
    <row r="15" spans="2:12" x14ac:dyDescent="0.25">
      <c r="D15" s="4"/>
      <c r="E15" s="4"/>
      <c r="F15" s="4"/>
    </row>
    <row r="16" spans="2:12" x14ac:dyDescent="0.25">
      <c r="D16" s="4"/>
      <c r="E16" s="4"/>
      <c r="F16" s="4"/>
    </row>
    <row r="17" spans="4:9" x14ac:dyDescent="0.25">
      <c r="D17" s="4"/>
      <c r="E17" s="4"/>
      <c r="F17" s="4"/>
      <c r="I17" s="61"/>
    </row>
    <row r="18" spans="4:9" x14ac:dyDescent="0.25">
      <c r="D18" s="4"/>
      <c r="E18" s="4"/>
      <c r="F18" s="4"/>
      <c r="I18" s="11"/>
    </row>
    <row r="19" spans="4:9" x14ac:dyDescent="0.25">
      <c r="D19" s="4"/>
      <c r="E19" s="4"/>
      <c r="F19" s="4"/>
      <c r="I19" s="4"/>
    </row>
    <row r="20" spans="4:9" x14ac:dyDescent="0.25">
      <c r="D20" s="4"/>
      <c r="E20" s="4"/>
      <c r="F20" s="4"/>
      <c r="I20" s="4"/>
    </row>
    <row r="21" spans="4:9" x14ac:dyDescent="0.25">
      <c r="D21" s="4"/>
      <c r="E21" s="4"/>
      <c r="F21" s="4"/>
    </row>
  </sheetData>
  <sheetProtection algorithmName="SHA-512" hashValue="MIBlFttiv2kn+bkps/d8dpEoA9NSVqr0ADXQe6bX7R4Zm/XQ23mXPJJA5RWG4UfaBUOtCC4yqOJNV3Rf8UbcvQ==" saltValue="lAprTvehU11RTE7mQH+K+w==" spinCount="100000" sheet="1" objects="1" scenarios="1"/>
  <mergeCells count="16">
    <mergeCell ref="H7:H10"/>
    <mergeCell ref="I7:I10"/>
    <mergeCell ref="J7:J10"/>
    <mergeCell ref="B3:J3"/>
    <mergeCell ref="B11:C11"/>
    <mergeCell ref="B12:J13"/>
    <mergeCell ref="G4:J4"/>
    <mergeCell ref="B4:B6"/>
    <mergeCell ref="C4:C6"/>
    <mergeCell ref="D4:D5"/>
    <mergeCell ref="D7:D10"/>
    <mergeCell ref="E4:E5"/>
    <mergeCell ref="F4:F5"/>
    <mergeCell ref="E7:E10"/>
    <mergeCell ref="F7:F10"/>
    <mergeCell ref="G7:G1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33"/>
  <sheetViews>
    <sheetView showGridLines="0" zoomScaleNormal="100" workbookViewId="0">
      <selection activeCell="E27" sqref="E27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6.7109375" bestFit="1" customWidth="1"/>
    <col min="7" max="7" width="22.42578125" customWidth="1"/>
  </cols>
  <sheetData>
    <row r="1" spans="2:8" ht="15.75" thickBot="1" x14ac:dyDescent="0.3"/>
    <row r="2" spans="2:8" ht="17.25" customHeight="1" x14ac:dyDescent="0.25">
      <c r="B2" s="82"/>
      <c r="C2" s="84" t="s">
        <v>36</v>
      </c>
      <c r="D2" s="85"/>
      <c r="E2" s="85"/>
      <c r="F2" s="85"/>
      <c r="G2" s="85"/>
      <c r="H2" s="85"/>
    </row>
    <row r="3" spans="2:8" ht="34.5" customHeight="1" thickBot="1" x14ac:dyDescent="0.3">
      <c r="B3" s="83"/>
      <c r="C3" s="84"/>
      <c r="D3" s="85"/>
      <c r="E3" s="85"/>
      <c r="F3" s="85"/>
      <c r="G3" s="85"/>
      <c r="H3" s="85"/>
    </row>
    <row r="4" spans="2:8" ht="17.25" customHeight="1" x14ac:dyDescent="0.25">
      <c r="B4" s="86" t="s">
        <v>28</v>
      </c>
      <c r="C4" s="30" t="s">
        <v>2</v>
      </c>
      <c r="D4" s="5" t="s">
        <v>4</v>
      </c>
      <c r="E4" s="5" t="s">
        <v>5</v>
      </c>
      <c r="F4" s="89"/>
      <c r="G4" s="89"/>
      <c r="H4" s="89"/>
    </row>
    <row r="5" spans="2:8" ht="17.25" customHeight="1" x14ac:dyDescent="0.25">
      <c r="B5" s="87"/>
      <c r="C5" s="90" t="s">
        <v>33</v>
      </c>
      <c r="D5" s="92" t="s">
        <v>33</v>
      </c>
      <c r="E5" s="92" t="s">
        <v>33</v>
      </c>
      <c r="F5" s="6" t="s">
        <v>7</v>
      </c>
      <c r="G5" s="6" t="s">
        <v>9</v>
      </c>
      <c r="H5" s="94" t="s">
        <v>10</v>
      </c>
    </row>
    <row r="6" spans="2:8" ht="21" customHeight="1" thickBot="1" x14ac:dyDescent="0.3">
      <c r="B6" s="88"/>
      <c r="C6" s="91"/>
      <c r="D6" s="93"/>
      <c r="E6" s="93"/>
      <c r="F6" s="28" t="s">
        <v>3</v>
      </c>
      <c r="G6" s="28" t="s">
        <v>3</v>
      </c>
      <c r="H6" s="94"/>
    </row>
    <row r="7" spans="2:8" ht="15" customHeight="1" x14ac:dyDescent="0.25">
      <c r="B7" s="79" t="s">
        <v>37</v>
      </c>
      <c r="C7" s="80"/>
      <c r="D7" s="80"/>
      <c r="E7" s="80"/>
      <c r="F7" s="80"/>
      <c r="G7" s="80"/>
      <c r="H7" s="81"/>
    </row>
    <row r="8" spans="2:8" ht="15.75" x14ac:dyDescent="0.25">
      <c r="B8" s="27" t="s">
        <v>30</v>
      </c>
      <c r="C8" s="1">
        <v>560500000</v>
      </c>
      <c r="D8" s="1">
        <v>538598000</v>
      </c>
      <c r="E8" s="1">
        <v>498977000</v>
      </c>
      <c r="F8" s="9">
        <f>+GEOMEAN(C8:E8)</f>
        <v>532075947.36219543</v>
      </c>
      <c r="G8" s="9">
        <f>+_xlfn.STDEV.P(C8:E8)</f>
        <v>25461519.492930677</v>
      </c>
      <c r="H8" s="34">
        <f>+G8/F8</f>
        <v>4.7853167614807589E-2</v>
      </c>
    </row>
    <row r="9" spans="2:8" ht="15.75" x14ac:dyDescent="0.25">
      <c r="B9" s="27" t="s">
        <v>29</v>
      </c>
      <c r="C9" s="2">
        <v>540320000</v>
      </c>
      <c r="D9" s="2">
        <v>641145000</v>
      </c>
      <c r="E9" s="2">
        <v>498977000</v>
      </c>
      <c r="F9" s="9">
        <f t="shared" ref="F9:F14" si="0">+GEOMEAN(C9:E9)</f>
        <v>557052263.85835826</v>
      </c>
      <c r="G9" s="9">
        <f>+_xlfn.STDEV.P(C9:E9)</f>
        <v>59709169.682907231</v>
      </c>
      <c r="H9" s="34">
        <f>+G9/F9</f>
        <v>0.10718773364161301</v>
      </c>
    </row>
    <row r="10" spans="2:8" ht="31.5" x14ac:dyDescent="0.25">
      <c r="B10" s="27" t="s">
        <v>25</v>
      </c>
      <c r="C10" s="1">
        <v>960880000</v>
      </c>
      <c r="D10" s="1">
        <v>1076155000</v>
      </c>
      <c r="E10" s="1">
        <v>998954000</v>
      </c>
      <c r="F10" s="9">
        <f t="shared" si="0"/>
        <v>1010872752.8046186</v>
      </c>
      <c r="G10" s="9">
        <f>+_xlfn.STDEV.P(C10:E10)</f>
        <v>47955939.84991733</v>
      </c>
      <c r="H10" s="34">
        <f>+G10/F10</f>
        <v>4.7440134989162427E-2</v>
      </c>
    </row>
    <row r="11" spans="2:8" ht="15.75" x14ac:dyDescent="0.25">
      <c r="B11" s="27" t="s">
        <v>35</v>
      </c>
      <c r="C11" s="1">
        <v>920500000</v>
      </c>
      <c r="D11" s="1">
        <v>1024355000</v>
      </c>
      <c r="E11" s="1">
        <v>997665000</v>
      </c>
      <c r="F11" s="9">
        <f t="shared" si="0"/>
        <v>979835131.97470129</v>
      </c>
      <c r="G11" s="9">
        <f>+_xlfn.STDEV.P(C11:E11)</f>
        <v>44036164.872371286</v>
      </c>
      <c r="H11" s="34">
        <f>+G11/F11</f>
        <v>4.4942422898864041E-2</v>
      </c>
    </row>
    <row r="12" spans="2:8" ht="15" customHeight="1" x14ac:dyDescent="0.25">
      <c r="B12" s="79" t="s">
        <v>34</v>
      </c>
      <c r="C12" s="80"/>
      <c r="D12" s="80"/>
      <c r="E12" s="80"/>
      <c r="F12" s="80"/>
      <c r="G12" s="80"/>
      <c r="H12" s="81"/>
    </row>
    <row r="13" spans="2:8" ht="15.75" x14ac:dyDescent="0.25">
      <c r="B13" s="27" t="s">
        <v>26</v>
      </c>
      <c r="C13" s="1">
        <v>340500000</v>
      </c>
      <c r="D13" s="1">
        <v>538598000</v>
      </c>
      <c r="E13" s="1">
        <v>498977000</v>
      </c>
      <c r="F13" s="9">
        <f t="shared" si="0"/>
        <v>450630718.62022907</v>
      </c>
      <c r="G13" s="9">
        <f>+_xlfn.STDEV.P(C13:E13)</f>
        <v>85587902.035795197</v>
      </c>
      <c r="H13" s="34">
        <f>+G13/F13</f>
        <v>0.18992913376578918</v>
      </c>
    </row>
    <row r="14" spans="2:8" ht="15.75" x14ac:dyDescent="0.25">
      <c r="B14" s="27" t="s">
        <v>32</v>
      </c>
      <c r="C14" s="1">
        <v>540320000</v>
      </c>
      <c r="D14" s="1">
        <v>641145000</v>
      </c>
      <c r="E14" s="1">
        <v>498977000</v>
      </c>
      <c r="F14" s="9">
        <f t="shared" si="0"/>
        <v>557052263.85835826</v>
      </c>
      <c r="G14" s="9">
        <f>+_xlfn.STDEV.P(C14:E14)</f>
        <v>59709169.682907231</v>
      </c>
      <c r="H14" s="34">
        <f>+G14/F14</f>
        <v>0.10718773364161301</v>
      </c>
    </row>
    <row r="15" spans="2:8" ht="31.5" x14ac:dyDescent="0.25">
      <c r="B15" s="27" t="s">
        <v>31</v>
      </c>
      <c r="C15" s="1">
        <v>950350000</v>
      </c>
      <c r="D15" s="1">
        <v>945431000</v>
      </c>
      <c r="E15" s="1">
        <v>998954000</v>
      </c>
      <c r="F15" s="9">
        <f>+GEOMEAN(C15:E15)</f>
        <v>964612686.05550313</v>
      </c>
      <c r="G15" s="9">
        <f>+_xlfn.STDEV.P(C15:E15)</f>
        <v>24155185.562432669</v>
      </c>
      <c r="H15" s="34">
        <f>+G15/F15</f>
        <v>2.5041331004268794E-2</v>
      </c>
    </row>
    <row r="16" spans="2:8" ht="15.75" x14ac:dyDescent="0.25">
      <c r="B16" s="31" t="s">
        <v>27</v>
      </c>
      <c r="C16" s="32"/>
      <c r="D16" s="32"/>
      <c r="E16" s="32"/>
      <c r="F16" s="33"/>
      <c r="G16" s="33"/>
      <c r="H16" s="35"/>
    </row>
    <row r="17" spans="2:8" x14ac:dyDescent="0.25">
      <c r="B17" s="29"/>
      <c r="C17" s="3">
        <f>SUM(C7:C16)</f>
        <v>4813370000</v>
      </c>
      <c r="D17" s="3">
        <f>SUM(D7:D16)</f>
        <v>5405427000</v>
      </c>
      <c r="E17" s="3">
        <f>SUM(E7:E16)</f>
        <v>4991481000</v>
      </c>
      <c r="F17" s="3">
        <f>SUM(F7:F16)</f>
        <v>5052131764.5339642</v>
      </c>
      <c r="G17" s="36">
        <f>+_xlfn.STDEV.P(C17:E17)</f>
        <v>248015750.05677006</v>
      </c>
      <c r="H17" s="37">
        <f>+G17/F17</f>
        <v>4.909130672280642E-2</v>
      </c>
    </row>
    <row r="21" spans="2:8" x14ac:dyDescent="0.25">
      <c r="F21" s="4"/>
    </row>
    <row r="22" spans="2:8" x14ac:dyDescent="0.25">
      <c r="C22" s="7"/>
    </row>
    <row r="23" spans="2:8" x14ac:dyDescent="0.25">
      <c r="C23" s="7"/>
    </row>
    <row r="24" spans="2:8" x14ac:dyDescent="0.25">
      <c r="C24" s="7"/>
    </row>
    <row r="25" spans="2:8" x14ac:dyDescent="0.25">
      <c r="C25" s="4"/>
    </row>
    <row r="26" spans="2:8" x14ac:dyDescent="0.25">
      <c r="C26" s="4"/>
    </row>
    <row r="29" spans="2:8" x14ac:dyDescent="0.25">
      <c r="C29" s="7"/>
    </row>
    <row r="31" spans="2:8" x14ac:dyDescent="0.25">
      <c r="C31" s="4"/>
    </row>
    <row r="32" spans="2:8" x14ac:dyDescent="0.25">
      <c r="C32" s="4"/>
    </row>
    <row r="33" spans="3:3" x14ac:dyDescent="0.25">
      <c r="C33" s="4"/>
    </row>
  </sheetData>
  <mergeCells count="10">
    <mergeCell ref="B7:H7"/>
    <mergeCell ref="B12:H12"/>
    <mergeCell ref="B2:B3"/>
    <mergeCell ref="C2:H3"/>
    <mergeCell ref="B4:B6"/>
    <mergeCell ref="F4:H4"/>
    <mergeCell ref="C5:C6"/>
    <mergeCell ref="D5:D6"/>
    <mergeCell ref="E5:E6"/>
    <mergeCell ref="H5:H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J33"/>
  <sheetViews>
    <sheetView showGridLines="0" zoomScaleNormal="100" workbookViewId="0">
      <selection activeCell="H27" sqref="H27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6.7109375" bestFit="1" customWidth="1"/>
    <col min="7" max="7" width="22.42578125" customWidth="1"/>
    <col min="9" max="9" width="15.5703125" bestFit="1" customWidth="1"/>
  </cols>
  <sheetData>
    <row r="1" spans="2:10" ht="15.75" thickBot="1" x14ac:dyDescent="0.3"/>
    <row r="2" spans="2:10" ht="17.25" customHeight="1" x14ac:dyDescent="0.25">
      <c r="B2" s="82"/>
      <c r="C2" s="84" t="s">
        <v>36</v>
      </c>
      <c r="D2" s="85"/>
      <c r="E2" s="85"/>
      <c r="F2" s="85"/>
      <c r="G2" s="85"/>
      <c r="H2" s="85"/>
    </row>
    <row r="3" spans="2:10" ht="34.5" customHeight="1" thickBot="1" x14ac:dyDescent="0.3">
      <c r="B3" s="83"/>
      <c r="C3" s="84"/>
      <c r="D3" s="85"/>
      <c r="E3" s="85"/>
      <c r="F3" s="85"/>
      <c r="G3" s="85"/>
      <c r="H3" s="85"/>
    </row>
    <row r="4" spans="2:10" ht="17.25" customHeight="1" x14ac:dyDescent="0.25">
      <c r="B4" s="86" t="s">
        <v>28</v>
      </c>
      <c r="C4" s="30" t="s">
        <v>2</v>
      </c>
      <c r="D4" s="5" t="s">
        <v>4</v>
      </c>
      <c r="E4" s="5" t="s">
        <v>5</v>
      </c>
      <c r="F4" s="89"/>
      <c r="G4" s="89"/>
      <c r="H4" s="89"/>
    </row>
    <row r="5" spans="2:10" ht="17.25" customHeight="1" x14ac:dyDescent="0.25">
      <c r="B5" s="87"/>
      <c r="C5" s="90" t="s">
        <v>33</v>
      </c>
      <c r="D5" s="92" t="s">
        <v>33</v>
      </c>
      <c r="E5" s="92" t="s">
        <v>33</v>
      </c>
      <c r="F5" s="6" t="s">
        <v>8</v>
      </c>
      <c r="G5" s="6" t="s">
        <v>9</v>
      </c>
      <c r="H5" s="94" t="s">
        <v>10</v>
      </c>
    </row>
    <row r="6" spans="2:10" ht="21" customHeight="1" thickBot="1" x14ac:dyDescent="0.3">
      <c r="B6" s="88"/>
      <c r="C6" s="91"/>
      <c r="D6" s="93"/>
      <c r="E6" s="93"/>
      <c r="F6" s="28" t="s">
        <v>3</v>
      </c>
      <c r="G6" s="28" t="s">
        <v>3</v>
      </c>
      <c r="H6" s="94"/>
    </row>
    <row r="7" spans="2:10" ht="15" customHeight="1" x14ac:dyDescent="0.25">
      <c r="B7" s="79" t="s">
        <v>37</v>
      </c>
      <c r="C7" s="80"/>
      <c r="D7" s="80"/>
      <c r="E7" s="80"/>
      <c r="F7" s="80"/>
      <c r="G7" s="80"/>
      <c r="H7" s="81"/>
    </row>
    <row r="8" spans="2:10" ht="15.75" x14ac:dyDescent="0.25">
      <c r="B8" s="27" t="s">
        <v>30</v>
      </c>
      <c r="C8" s="1">
        <v>560500000</v>
      </c>
      <c r="D8" s="1">
        <v>538598000</v>
      </c>
      <c r="E8" s="1">
        <v>498977000</v>
      </c>
      <c r="F8" s="9">
        <f>+HARMEAN(C8:E8)</f>
        <v>531453731.89920044</v>
      </c>
      <c r="G8" s="9">
        <f>+_xlfn.STDEV.P(C8:E8)</f>
        <v>25461519.492930677</v>
      </c>
      <c r="H8" s="34">
        <f>+G8/F8</f>
        <v>4.790919315203887E-2</v>
      </c>
      <c r="I8" s="4"/>
      <c r="J8" s="12"/>
    </row>
    <row r="9" spans="2:10" ht="15.75" x14ac:dyDescent="0.25">
      <c r="B9" s="27" t="s">
        <v>29</v>
      </c>
      <c r="C9" s="2">
        <v>540320000</v>
      </c>
      <c r="D9" s="2">
        <v>641145000</v>
      </c>
      <c r="E9" s="2">
        <v>498977000</v>
      </c>
      <c r="F9" s="9">
        <f t="shared" ref="F9:F10" si="0">+HARMEAN(C9:E9)</f>
        <v>554061121.42356193</v>
      </c>
      <c r="G9" s="9">
        <f>+_xlfn.STDEV.P(C9:E9)</f>
        <v>59709169.682907231</v>
      </c>
      <c r="H9" s="34">
        <f>+G9/F9</f>
        <v>0.10776639503146349</v>
      </c>
    </row>
    <row r="10" spans="2:10" ht="31.5" x14ac:dyDescent="0.25">
      <c r="B10" s="27" t="s">
        <v>25</v>
      </c>
      <c r="C10" s="1">
        <v>960880000</v>
      </c>
      <c r="D10" s="1">
        <v>1076155000</v>
      </c>
      <c r="E10" s="1">
        <v>998954000</v>
      </c>
      <c r="F10" s="9">
        <f t="shared" si="0"/>
        <v>1009763080.4893733</v>
      </c>
      <c r="G10" s="9">
        <f>+_xlfn.STDEV.P(C10:E10)</f>
        <v>47955939.84991733</v>
      </c>
      <c r="H10" s="34">
        <f>+G10/F10</f>
        <v>4.7492269004998561E-2</v>
      </c>
    </row>
    <row r="11" spans="2:10" ht="15.75" x14ac:dyDescent="0.25">
      <c r="B11" s="27" t="s">
        <v>35</v>
      </c>
      <c r="C11" s="1">
        <v>920500000</v>
      </c>
      <c r="D11" s="1">
        <v>1024355000</v>
      </c>
      <c r="E11" s="1">
        <v>997665000</v>
      </c>
      <c r="F11" s="9">
        <f>+HARMEAN(C11:E11)</f>
        <v>978814974.60187066</v>
      </c>
      <c r="G11" s="9">
        <f>+_xlfn.STDEV.P(C11:E11)</f>
        <v>44036164.872371286</v>
      </c>
      <c r="H11" s="34">
        <f>+G11/F11</f>
        <v>4.4989263563609487E-2</v>
      </c>
    </row>
    <row r="12" spans="2:10" ht="15" customHeight="1" x14ac:dyDescent="0.25">
      <c r="B12" s="79" t="s">
        <v>34</v>
      </c>
      <c r="C12" s="80"/>
      <c r="D12" s="80"/>
      <c r="E12" s="80"/>
      <c r="F12" s="80"/>
      <c r="G12" s="80"/>
      <c r="H12" s="81"/>
    </row>
    <row r="13" spans="2:10" ht="15.75" x14ac:dyDescent="0.25">
      <c r="B13" s="27" t="s">
        <v>26</v>
      </c>
      <c r="C13" s="1">
        <v>340500000</v>
      </c>
      <c r="D13" s="1">
        <v>538598000</v>
      </c>
      <c r="E13" s="1">
        <v>498977000</v>
      </c>
      <c r="F13" s="9">
        <f t="shared" ref="F13:F15" si="1">+HARMEAN(C13:E13)</f>
        <v>441330269.3108272</v>
      </c>
      <c r="G13" s="9">
        <f>+_xlfn.STDEV.P(C13:E13)</f>
        <v>85587902.035795197</v>
      </c>
      <c r="H13" s="34">
        <f>+G13/F13</f>
        <v>0.19393163802122074</v>
      </c>
    </row>
    <row r="14" spans="2:10" ht="15.75" x14ac:dyDescent="0.25">
      <c r="B14" s="27" t="s">
        <v>32</v>
      </c>
      <c r="C14" s="1">
        <v>540320000</v>
      </c>
      <c r="D14" s="1">
        <v>641145000</v>
      </c>
      <c r="E14" s="1">
        <v>498977000</v>
      </c>
      <c r="F14" s="9">
        <f t="shared" si="1"/>
        <v>554061121.42356193</v>
      </c>
      <c r="G14" s="9">
        <f>+_xlfn.STDEV.P(C14:E14)</f>
        <v>59709169.682907231</v>
      </c>
      <c r="H14" s="34">
        <f>+G14/F14</f>
        <v>0.10776639503146349</v>
      </c>
    </row>
    <row r="15" spans="2:10" ht="31.5" x14ac:dyDescent="0.25">
      <c r="B15" s="27" t="s">
        <v>31</v>
      </c>
      <c r="C15" s="1">
        <v>950350000</v>
      </c>
      <c r="D15" s="1">
        <v>945431000</v>
      </c>
      <c r="E15" s="1">
        <v>998954000</v>
      </c>
      <c r="F15" s="9">
        <f t="shared" si="1"/>
        <v>964317161.72933245</v>
      </c>
      <c r="G15" s="9">
        <f>+_xlfn.STDEV.P(C15:E15)</f>
        <v>24155185.562432669</v>
      </c>
      <c r="H15" s="34">
        <f>+G15/F15</f>
        <v>2.5049005162486801E-2</v>
      </c>
    </row>
    <row r="16" spans="2:10" ht="15.75" x14ac:dyDescent="0.25">
      <c r="B16" s="31" t="s">
        <v>27</v>
      </c>
      <c r="C16" s="32"/>
      <c r="D16" s="32"/>
      <c r="E16" s="32"/>
      <c r="F16" s="33"/>
      <c r="G16" s="33"/>
      <c r="H16" s="35"/>
    </row>
    <row r="17" spans="2:8" x14ac:dyDescent="0.25">
      <c r="B17" s="29"/>
      <c r="C17" s="3">
        <f>SUM(C7:C16)</f>
        <v>4813370000</v>
      </c>
      <c r="D17" s="3">
        <f>SUM(D7:D16)</f>
        <v>5405427000</v>
      </c>
      <c r="E17" s="3">
        <f>SUM(E7:E16)</f>
        <v>4991481000</v>
      </c>
      <c r="F17" s="3">
        <f>SUM(F7:F16)</f>
        <v>5033801460.8777275</v>
      </c>
      <c r="G17" s="36">
        <f>+_xlfn.STDEV.P(C17:E17)</f>
        <v>248015750.05677006</v>
      </c>
      <c r="H17" s="37">
        <f>+G17/F17</f>
        <v>4.9270069943029571E-2</v>
      </c>
    </row>
    <row r="21" spans="2:8" x14ac:dyDescent="0.25">
      <c r="F21" s="4"/>
    </row>
    <row r="22" spans="2:8" x14ac:dyDescent="0.25">
      <c r="C22" s="7"/>
    </row>
    <row r="23" spans="2:8" x14ac:dyDescent="0.25">
      <c r="C23" s="7"/>
    </row>
    <row r="24" spans="2:8" x14ac:dyDescent="0.25">
      <c r="C24" s="7"/>
    </row>
    <row r="25" spans="2:8" x14ac:dyDescent="0.25">
      <c r="C25" s="4"/>
    </row>
    <row r="26" spans="2:8" x14ac:dyDescent="0.25">
      <c r="C26" s="4"/>
    </row>
    <row r="29" spans="2:8" x14ac:dyDescent="0.25">
      <c r="C29" s="7"/>
    </row>
    <row r="31" spans="2:8" x14ac:dyDescent="0.25">
      <c r="C31" s="4"/>
    </row>
    <row r="32" spans="2:8" x14ac:dyDescent="0.25">
      <c r="C32" s="4"/>
    </row>
    <row r="33" spans="3:3" x14ac:dyDescent="0.25">
      <c r="C33" s="4"/>
    </row>
  </sheetData>
  <mergeCells count="10">
    <mergeCell ref="B7:H7"/>
    <mergeCell ref="B12:H12"/>
    <mergeCell ref="B2:B3"/>
    <mergeCell ref="C2:H3"/>
    <mergeCell ref="B4:B6"/>
    <mergeCell ref="F4:H4"/>
    <mergeCell ref="C5:C6"/>
    <mergeCell ref="D5:D6"/>
    <mergeCell ref="E5:E6"/>
    <mergeCell ref="H5:H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E15" sqref="E15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82"/>
      <c r="C2" s="95" t="s">
        <v>40</v>
      </c>
      <c r="D2" s="96"/>
      <c r="E2" s="96"/>
      <c r="F2" s="96"/>
      <c r="G2" s="96"/>
      <c r="H2" s="97"/>
    </row>
    <row r="3" spans="2:8" ht="34.5" customHeight="1" thickBot="1" x14ac:dyDescent="0.3">
      <c r="B3" s="83"/>
      <c r="C3" s="98"/>
      <c r="D3" s="99"/>
      <c r="E3" s="99"/>
      <c r="F3" s="99"/>
      <c r="G3" s="99"/>
      <c r="H3" s="100"/>
    </row>
    <row r="4" spans="2:8" ht="17.25" customHeight="1" x14ac:dyDescent="0.25">
      <c r="B4" s="86" t="s">
        <v>28</v>
      </c>
      <c r="C4" s="39" t="s">
        <v>2</v>
      </c>
      <c r="D4" s="40" t="s">
        <v>4</v>
      </c>
      <c r="E4" s="40" t="s">
        <v>5</v>
      </c>
      <c r="F4" s="43"/>
      <c r="G4" s="101" t="s">
        <v>9</v>
      </c>
      <c r="H4" s="93" t="s">
        <v>10</v>
      </c>
    </row>
    <row r="5" spans="2:8" ht="24" customHeight="1" x14ac:dyDescent="0.25">
      <c r="B5" s="87"/>
      <c r="C5" s="90" t="s">
        <v>33</v>
      </c>
      <c r="D5" s="92" t="s">
        <v>33</v>
      </c>
      <c r="E5" s="92" t="s">
        <v>33</v>
      </c>
      <c r="F5" s="6" t="s">
        <v>6</v>
      </c>
      <c r="G5" s="102"/>
      <c r="H5" s="94"/>
    </row>
    <row r="6" spans="2:8" ht="21" customHeight="1" thickBot="1" x14ac:dyDescent="0.3">
      <c r="B6" s="88"/>
      <c r="C6" s="91"/>
      <c r="D6" s="93"/>
      <c r="E6" s="93"/>
      <c r="F6" s="28" t="s">
        <v>3</v>
      </c>
      <c r="G6" s="28" t="s">
        <v>3</v>
      </c>
      <c r="H6" s="28" t="s">
        <v>3</v>
      </c>
    </row>
    <row r="7" spans="2:8" ht="15.75" x14ac:dyDescent="0.25">
      <c r="B7" s="38" t="s">
        <v>38</v>
      </c>
      <c r="C7" s="1">
        <v>243950</v>
      </c>
      <c r="D7" s="1">
        <v>297500</v>
      </c>
      <c r="E7" s="1">
        <v>107100</v>
      </c>
      <c r="F7" s="9">
        <f>+AVERAGE(C7:E7)</f>
        <v>216183.33333333334</v>
      </c>
      <c r="G7" s="42">
        <f>+_xlfn.STDEV.P(C7:E7)</f>
        <v>80171.818961250683</v>
      </c>
      <c r="H7" s="34">
        <f>+G7/F7</f>
        <v>0.3708510629616098</v>
      </c>
    </row>
    <row r="8" spans="2:8" ht="31.5" x14ac:dyDescent="0.25">
      <c r="B8" s="38" t="s">
        <v>39</v>
      </c>
      <c r="C8" s="2">
        <v>654500</v>
      </c>
      <c r="D8" s="2">
        <v>856800</v>
      </c>
      <c r="E8" s="2">
        <v>178500</v>
      </c>
      <c r="F8" s="9">
        <f>+AVERAGE(C8:E8)</f>
        <v>563266.66666666663</v>
      </c>
      <c r="G8" s="42">
        <f>+_xlfn.STDEV.P(C8:E8)</f>
        <v>284330.0468743245</v>
      </c>
      <c r="H8" s="34">
        <f>+G8/F8</f>
        <v>0.50478763204105426</v>
      </c>
    </row>
    <row r="9" spans="2:8" x14ac:dyDescent="0.25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3">
        <f>SUM(F7:F8)</f>
        <v>779450</v>
      </c>
      <c r="G9" s="10">
        <f>SUM(G7:G8)</f>
        <v>364501.86583557515</v>
      </c>
    </row>
    <row r="14" spans="2:8" x14ac:dyDescent="0.25">
      <c r="C14" s="7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8">
    <mergeCell ref="H4:H5"/>
    <mergeCell ref="C2:H3"/>
    <mergeCell ref="G4:G5"/>
    <mergeCell ref="B2:B3"/>
    <mergeCell ref="B4:B6"/>
    <mergeCell ref="C5:C6"/>
    <mergeCell ref="D5:D6"/>
    <mergeCell ref="E5:E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F22" sqref="F22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82"/>
      <c r="C2" s="95" t="s">
        <v>40</v>
      </c>
      <c r="D2" s="96"/>
      <c r="E2" s="96"/>
      <c r="F2" s="96"/>
      <c r="G2" s="96"/>
      <c r="H2" s="97"/>
    </row>
    <row r="3" spans="2:8" ht="34.5" customHeight="1" thickBot="1" x14ac:dyDescent="0.3">
      <c r="B3" s="83"/>
      <c r="C3" s="98"/>
      <c r="D3" s="99"/>
      <c r="E3" s="99"/>
      <c r="F3" s="99"/>
      <c r="G3" s="99"/>
      <c r="H3" s="100"/>
    </row>
    <row r="4" spans="2:8" ht="17.25" customHeight="1" x14ac:dyDescent="0.25">
      <c r="B4" s="86" t="s">
        <v>51</v>
      </c>
      <c r="C4" s="39" t="s">
        <v>2</v>
      </c>
      <c r="D4" s="40" t="s">
        <v>4</v>
      </c>
      <c r="E4" s="40" t="s">
        <v>5</v>
      </c>
      <c r="F4" s="101" t="s">
        <v>7</v>
      </c>
      <c r="G4" s="101" t="s">
        <v>9</v>
      </c>
      <c r="H4" s="93" t="s">
        <v>10</v>
      </c>
    </row>
    <row r="5" spans="2:8" ht="24" customHeight="1" x14ac:dyDescent="0.25">
      <c r="B5" s="87"/>
      <c r="C5" s="90" t="s">
        <v>33</v>
      </c>
      <c r="D5" s="92" t="s">
        <v>33</v>
      </c>
      <c r="E5" s="92" t="s">
        <v>33</v>
      </c>
      <c r="F5" s="102"/>
      <c r="G5" s="102"/>
      <c r="H5" s="94"/>
    </row>
    <row r="6" spans="2:8" ht="21" customHeight="1" thickBot="1" x14ac:dyDescent="0.3">
      <c r="B6" s="88"/>
      <c r="C6" s="91"/>
      <c r="D6" s="93"/>
      <c r="E6" s="93"/>
      <c r="F6" s="28" t="s">
        <v>3</v>
      </c>
      <c r="G6" s="28" t="s">
        <v>3</v>
      </c>
      <c r="H6" s="28" t="s">
        <v>3</v>
      </c>
    </row>
    <row r="7" spans="2:8" ht="15.75" x14ac:dyDescent="0.25">
      <c r="B7" s="38" t="s">
        <v>38</v>
      </c>
      <c r="C7" s="1">
        <v>243950</v>
      </c>
      <c r="D7" s="1">
        <v>297500</v>
      </c>
      <c r="E7" s="1">
        <v>107100</v>
      </c>
      <c r="F7" s="8">
        <f>+GEOMEAN(C7:E7)</f>
        <v>198088.4199135169</v>
      </c>
      <c r="G7" s="42">
        <f>+_xlfn.STDEV.P(C7:E7)</f>
        <v>80171.818961250683</v>
      </c>
      <c r="H7" s="34">
        <f>+G7/F7</f>
        <v>0.40472743937405714</v>
      </c>
    </row>
    <row r="8" spans="2:8" ht="31.5" x14ac:dyDescent="0.25">
      <c r="B8" s="38" t="s">
        <v>39</v>
      </c>
      <c r="C8" s="2">
        <v>654500</v>
      </c>
      <c r="D8" s="2">
        <v>856800</v>
      </c>
      <c r="E8" s="2">
        <v>178500</v>
      </c>
      <c r="F8" s="8">
        <f>+GEOMEAN(C8:E8)</f>
        <v>464311.14652594511</v>
      </c>
      <c r="G8" s="42">
        <f>+_xlfn.STDEV.P(C8:E8)</f>
        <v>284330.0468743245</v>
      </c>
      <c r="H8" s="34">
        <f>+G8/F8</f>
        <v>0.61236963403039157</v>
      </c>
    </row>
    <row r="9" spans="2:8" x14ac:dyDescent="0.25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10">
        <f>SUM(F7:F8)</f>
        <v>662399.56643946201</v>
      </c>
      <c r="G9" s="10">
        <f>SUM(G7:G8)</f>
        <v>364501.86583557515</v>
      </c>
    </row>
    <row r="11" spans="2:8" x14ac:dyDescent="0.25">
      <c r="H11" s="12"/>
    </row>
    <row r="13" spans="2:8" x14ac:dyDescent="0.25">
      <c r="F13" s="55"/>
    </row>
    <row r="14" spans="2:8" x14ac:dyDescent="0.25">
      <c r="C14" s="7"/>
      <c r="F14" s="55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9">
    <mergeCell ref="B2:B3"/>
    <mergeCell ref="C2:H3"/>
    <mergeCell ref="B4:B6"/>
    <mergeCell ref="G4:G5"/>
    <mergeCell ref="H4:H5"/>
    <mergeCell ref="C5:C6"/>
    <mergeCell ref="D5:D6"/>
    <mergeCell ref="E5:E6"/>
    <mergeCell ref="F4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H25"/>
  <sheetViews>
    <sheetView showGridLines="0" zoomScaleNormal="100" workbookViewId="0">
      <selection activeCell="I24" sqref="I24"/>
    </sheetView>
  </sheetViews>
  <sheetFormatPr baseColWidth="10" defaultRowHeight="15" x14ac:dyDescent="0.25"/>
  <cols>
    <col min="1" max="1" width="4.42578125" customWidth="1"/>
    <col min="2" max="2" width="52.7109375" customWidth="1"/>
    <col min="3" max="3" width="18.28515625" customWidth="1"/>
    <col min="4" max="4" width="16.140625" customWidth="1"/>
    <col min="5" max="5" width="15.85546875" customWidth="1"/>
    <col min="6" max="6" width="15.5703125" bestFit="1" customWidth="1"/>
    <col min="7" max="7" width="16.7109375" bestFit="1" customWidth="1"/>
    <col min="8" max="8" width="16.7109375" customWidth="1"/>
  </cols>
  <sheetData>
    <row r="1" spans="2:8" ht="15.75" thickBot="1" x14ac:dyDescent="0.3"/>
    <row r="2" spans="2:8" ht="17.25" customHeight="1" x14ac:dyDescent="0.25">
      <c r="B2" s="82"/>
      <c r="C2" s="95" t="s">
        <v>40</v>
      </c>
      <c r="D2" s="96"/>
      <c r="E2" s="96"/>
      <c r="F2" s="96"/>
      <c r="G2" s="96"/>
      <c r="H2" s="97"/>
    </row>
    <row r="3" spans="2:8" ht="34.5" customHeight="1" thickBot="1" x14ac:dyDescent="0.3">
      <c r="B3" s="83"/>
      <c r="C3" s="98"/>
      <c r="D3" s="99"/>
      <c r="E3" s="99"/>
      <c r="F3" s="99"/>
      <c r="G3" s="99"/>
      <c r="H3" s="100"/>
    </row>
    <row r="4" spans="2:8" ht="17.25" customHeight="1" x14ac:dyDescent="0.25">
      <c r="B4" s="86" t="s">
        <v>28</v>
      </c>
      <c r="C4" s="39" t="s">
        <v>2</v>
      </c>
      <c r="D4" s="40" t="s">
        <v>4</v>
      </c>
      <c r="E4" s="40" t="s">
        <v>5</v>
      </c>
      <c r="F4" s="44"/>
      <c r="G4" s="101" t="s">
        <v>9</v>
      </c>
      <c r="H4" s="93" t="s">
        <v>10</v>
      </c>
    </row>
    <row r="5" spans="2:8" ht="24" customHeight="1" x14ac:dyDescent="0.25">
      <c r="B5" s="87"/>
      <c r="C5" s="90" t="s">
        <v>33</v>
      </c>
      <c r="D5" s="92" t="s">
        <v>33</v>
      </c>
      <c r="E5" s="92" t="s">
        <v>33</v>
      </c>
      <c r="F5" s="6" t="s">
        <v>8</v>
      </c>
      <c r="G5" s="102"/>
      <c r="H5" s="94"/>
    </row>
    <row r="6" spans="2:8" ht="21" customHeight="1" thickBot="1" x14ac:dyDescent="0.3">
      <c r="B6" s="88"/>
      <c r="C6" s="91"/>
      <c r="D6" s="93"/>
      <c r="E6" s="93"/>
      <c r="F6" s="28" t="s">
        <v>3</v>
      </c>
      <c r="G6" s="28" t="s">
        <v>3</v>
      </c>
      <c r="H6" s="28" t="s">
        <v>3</v>
      </c>
    </row>
    <row r="7" spans="2:8" ht="15.75" x14ac:dyDescent="0.25">
      <c r="B7" s="38" t="s">
        <v>38</v>
      </c>
      <c r="C7" s="1">
        <v>243950</v>
      </c>
      <c r="D7" s="1">
        <v>297500</v>
      </c>
      <c r="E7" s="1">
        <v>107100</v>
      </c>
      <c r="F7" s="8">
        <f>+HARMEAN(C7:E7)</f>
        <v>178596.80043383947</v>
      </c>
      <c r="G7" s="42">
        <f>+_xlfn.STDEV.P(C7:E7)</f>
        <v>80171.818961250683</v>
      </c>
      <c r="H7" s="34">
        <f>+G7/F7</f>
        <v>0.44889840560693606</v>
      </c>
    </row>
    <row r="8" spans="2:8" ht="31.5" x14ac:dyDescent="0.25">
      <c r="B8" s="38" t="s">
        <v>39</v>
      </c>
      <c r="C8" s="2">
        <v>654500</v>
      </c>
      <c r="D8" s="2">
        <v>856800</v>
      </c>
      <c r="E8" s="2">
        <v>178500</v>
      </c>
      <c r="F8" s="8">
        <f>+HARMEAN(C8:E8)</f>
        <v>361565.21739130438</v>
      </c>
      <c r="G8" s="42">
        <f>+_xlfn.STDEV.P(C8:E8)</f>
        <v>284330.0468743245</v>
      </c>
      <c r="H8" s="34">
        <f>+G8/F8</f>
        <v>0.78638661352927641</v>
      </c>
    </row>
    <row r="9" spans="2:8" x14ac:dyDescent="0.25">
      <c r="B9" s="29"/>
      <c r="C9" s="3">
        <f>SUM(C7:C8)</f>
        <v>898450</v>
      </c>
      <c r="D9" s="3">
        <f>SUM(D7:D8)</f>
        <v>1154300</v>
      </c>
      <c r="E9" s="3">
        <f>SUM(E7:E8)</f>
        <v>285600</v>
      </c>
      <c r="F9" s="10">
        <f>SUM(F7:F8)</f>
        <v>540162.01782514388</v>
      </c>
      <c r="G9" s="10">
        <f>SUM(G7:G8)</f>
        <v>364501.86583557515</v>
      </c>
    </row>
    <row r="14" spans="2:8" x14ac:dyDescent="0.25">
      <c r="C14" s="7"/>
    </row>
    <row r="15" spans="2:8" x14ac:dyDescent="0.25">
      <c r="C15" s="7"/>
    </row>
    <row r="16" spans="2:8" x14ac:dyDescent="0.25">
      <c r="C16" s="7"/>
    </row>
    <row r="17" spans="3:3" x14ac:dyDescent="0.25">
      <c r="C17" s="4"/>
    </row>
    <row r="18" spans="3:3" x14ac:dyDescent="0.25">
      <c r="C18" s="4"/>
    </row>
    <row r="21" spans="3:3" x14ac:dyDescent="0.25">
      <c r="C21" s="7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</sheetData>
  <mergeCells count="8">
    <mergeCell ref="B2:B3"/>
    <mergeCell ref="C2:H3"/>
    <mergeCell ref="B4:B6"/>
    <mergeCell ref="G4:G5"/>
    <mergeCell ref="H4:H5"/>
    <mergeCell ref="C5:C6"/>
    <mergeCell ref="D5:D6"/>
    <mergeCell ref="E5:E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8"/>
  <sheetViews>
    <sheetView showGridLines="0" workbookViewId="0">
      <selection activeCell="I8" sqref="I8"/>
    </sheetView>
  </sheetViews>
  <sheetFormatPr baseColWidth="10" defaultRowHeight="15" x14ac:dyDescent="0.25"/>
  <cols>
    <col min="2" max="2" width="2.85546875" bestFit="1" customWidth="1"/>
    <col min="3" max="3" width="21.42578125" customWidth="1"/>
    <col min="4" max="4" width="21.7109375" bestFit="1" customWidth="1"/>
    <col min="5" max="5" width="14.85546875" customWidth="1"/>
    <col min="6" max="6" width="12" bestFit="1" customWidth="1"/>
    <col min="7" max="7" width="14" customWidth="1"/>
    <col min="8" max="8" width="12" bestFit="1" customWidth="1"/>
    <col min="9" max="9" width="13" bestFit="1" customWidth="1"/>
  </cols>
  <sheetData>
    <row r="6" spans="2:9" ht="22.5" x14ac:dyDescent="0.25">
      <c r="B6" s="45" t="s">
        <v>41</v>
      </c>
      <c r="C6" s="45" t="s">
        <v>42</v>
      </c>
      <c r="D6" s="46" t="s">
        <v>48</v>
      </c>
      <c r="E6" s="47" t="s">
        <v>49</v>
      </c>
      <c r="F6" s="48" t="s">
        <v>43</v>
      </c>
      <c r="G6" s="48" t="s">
        <v>44</v>
      </c>
      <c r="H6" s="48" t="s">
        <v>45</v>
      </c>
      <c r="I6" s="48" t="s">
        <v>46</v>
      </c>
    </row>
    <row r="7" spans="2:9" x14ac:dyDescent="0.25">
      <c r="B7" s="49">
        <v>1</v>
      </c>
      <c r="C7" s="50" t="s">
        <v>47</v>
      </c>
      <c r="D7" s="51">
        <v>30</v>
      </c>
      <c r="E7" s="52">
        <v>114799</v>
      </c>
      <c r="F7" s="41">
        <f>+E7*1.61%</f>
        <v>1848.2638999999999</v>
      </c>
      <c r="G7" s="53">
        <f>+E7+F7</f>
        <v>116647.26390000001</v>
      </c>
      <c r="H7" s="41">
        <f>+G7*5.62%</f>
        <v>6555.5762311799999</v>
      </c>
      <c r="I7" s="54">
        <f>+G7+H7</f>
        <v>123202.84013118001</v>
      </c>
    </row>
    <row r="8" spans="2:9" x14ac:dyDescent="0.25">
      <c r="B8" s="49">
        <v>2</v>
      </c>
      <c r="C8" s="50" t="s">
        <v>50</v>
      </c>
      <c r="D8" s="51">
        <v>45</v>
      </c>
      <c r="E8" s="52">
        <v>49623</v>
      </c>
      <c r="F8" s="41">
        <f>+E8*1.61%</f>
        <v>798.93029999999999</v>
      </c>
      <c r="G8" s="53">
        <f>+E8+F8</f>
        <v>50421.9303</v>
      </c>
      <c r="H8" s="41">
        <f>+G8*5.62%</f>
        <v>2833.7124828599999</v>
      </c>
      <c r="I8" s="54">
        <f>+G8+H8</f>
        <v>53255.642782859999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2:L21"/>
  <sheetViews>
    <sheetView showGridLines="0" topLeftCell="A8" zoomScale="85" zoomScaleNormal="85" workbookViewId="0">
      <selection activeCell="G21" sqref="G21"/>
    </sheetView>
  </sheetViews>
  <sheetFormatPr baseColWidth="10" defaultColWidth="12.42578125" defaultRowHeight="15" x14ac:dyDescent="0.25"/>
  <cols>
    <col min="1" max="1" width="4.7109375" style="57" customWidth="1"/>
    <col min="2" max="2" width="4.7109375" style="58" bestFit="1" customWidth="1"/>
    <col min="3" max="3" width="68" style="58" customWidth="1"/>
    <col min="4" max="5" width="19.42578125" style="60" customWidth="1"/>
    <col min="6" max="6" width="21.7109375" style="60" customWidth="1"/>
    <col min="7" max="10" width="19" bestFit="1" customWidth="1"/>
    <col min="11" max="11" width="18.5703125" style="57" customWidth="1"/>
    <col min="12" max="16384" width="12.42578125" style="57"/>
  </cols>
  <sheetData>
    <row r="2" spans="2:12" ht="12.75" x14ac:dyDescent="0.2">
      <c r="G2" s="57"/>
      <c r="H2" s="57"/>
      <c r="I2" s="57"/>
      <c r="J2" s="57"/>
    </row>
    <row r="3" spans="2:12" ht="64.5" customHeight="1" x14ac:dyDescent="0.2">
      <c r="B3" s="104" t="s">
        <v>65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</row>
    <row r="4" spans="2:12" ht="24" customHeight="1" x14ac:dyDescent="0.2">
      <c r="B4" s="130" t="s">
        <v>56</v>
      </c>
      <c r="C4" s="130" t="s">
        <v>60</v>
      </c>
      <c r="D4" s="131" t="s">
        <v>2</v>
      </c>
      <c r="E4" s="131" t="s">
        <v>4</v>
      </c>
      <c r="F4" s="131" t="s">
        <v>5</v>
      </c>
      <c r="G4" s="132" t="s">
        <v>52</v>
      </c>
      <c r="H4" s="132"/>
      <c r="I4" s="132"/>
      <c r="J4" s="132"/>
      <c r="K4" s="103" t="s">
        <v>9</v>
      </c>
      <c r="L4" s="103" t="s">
        <v>58</v>
      </c>
    </row>
    <row r="5" spans="2:12" ht="25.5" customHeight="1" x14ac:dyDescent="0.2">
      <c r="B5" s="130"/>
      <c r="C5" s="130"/>
      <c r="D5" s="131"/>
      <c r="E5" s="131"/>
      <c r="F5" s="131"/>
      <c r="G5" s="64" t="s">
        <v>53</v>
      </c>
      <c r="H5" s="64" t="s">
        <v>6</v>
      </c>
      <c r="I5" s="64" t="s">
        <v>7</v>
      </c>
      <c r="J5" s="64" t="s">
        <v>8</v>
      </c>
      <c r="K5" s="103"/>
      <c r="L5" s="103"/>
    </row>
    <row r="6" spans="2:12" ht="37.5" customHeight="1" x14ac:dyDescent="0.2">
      <c r="B6" s="130"/>
      <c r="C6" s="130"/>
      <c r="D6" s="59" t="s">
        <v>66</v>
      </c>
      <c r="E6" s="59" t="s">
        <v>66</v>
      </c>
      <c r="F6" s="59" t="s">
        <v>66</v>
      </c>
      <c r="G6" s="59" t="s">
        <v>66</v>
      </c>
      <c r="H6" s="59" t="s">
        <v>66</v>
      </c>
      <c r="I6" s="59" t="s">
        <v>66</v>
      </c>
      <c r="J6" s="59" t="s">
        <v>66</v>
      </c>
      <c r="K6" s="59" t="s">
        <v>66</v>
      </c>
      <c r="L6" s="103"/>
    </row>
    <row r="7" spans="2:12" ht="363.75" customHeight="1" x14ac:dyDescent="0.2">
      <c r="B7" s="62">
        <v>1</v>
      </c>
      <c r="C7" s="133" t="s">
        <v>64</v>
      </c>
      <c r="D7" s="110">
        <v>647077252</v>
      </c>
      <c r="E7" s="110">
        <v>770876425</v>
      </c>
      <c r="F7" s="134">
        <v>532382900</v>
      </c>
      <c r="G7" s="114">
        <f>+MIN(D7:F10)</f>
        <v>532382900</v>
      </c>
      <c r="H7" s="114">
        <f>+AVERAGE(D7:F10)</f>
        <v>650112192.33333337</v>
      </c>
      <c r="I7" s="114">
        <f>+GEOMEAN(D7:F10)</f>
        <v>642769111.04140747</v>
      </c>
      <c r="J7" s="114">
        <f>+HARMEAN(D7:F10)</f>
        <v>635460925.60433626</v>
      </c>
      <c r="K7" s="110">
        <f>+_xlfn.STDEV.P(D7:F10)</f>
        <v>97388221.443360597</v>
      </c>
      <c r="L7" s="124">
        <f>+K7/I7</f>
        <v>0.15151353693019454</v>
      </c>
    </row>
    <row r="8" spans="2:12" ht="110.25" customHeight="1" x14ac:dyDescent="0.2">
      <c r="B8" s="62">
        <v>2</v>
      </c>
      <c r="C8" s="135" t="s">
        <v>61</v>
      </c>
      <c r="D8" s="110"/>
      <c r="E8" s="110"/>
      <c r="F8" s="134"/>
      <c r="G8" s="114"/>
      <c r="H8" s="114"/>
      <c r="I8" s="114"/>
      <c r="J8" s="114"/>
      <c r="K8" s="110"/>
      <c r="L8" s="124"/>
    </row>
    <row r="9" spans="2:12" ht="165.75" customHeight="1" x14ac:dyDescent="0.2">
      <c r="B9" s="62">
        <v>3</v>
      </c>
      <c r="C9" s="107" t="s">
        <v>62</v>
      </c>
      <c r="D9" s="110"/>
      <c r="E9" s="110"/>
      <c r="F9" s="134"/>
      <c r="G9" s="114"/>
      <c r="H9" s="114"/>
      <c r="I9" s="114"/>
      <c r="J9" s="114"/>
      <c r="K9" s="110"/>
      <c r="L9" s="124"/>
    </row>
    <row r="10" spans="2:12" ht="148.5" customHeight="1" x14ac:dyDescent="0.2">
      <c r="B10" s="62">
        <v>4</v>
      </c>
      <c r="C10" s="136" t="s">
        <v>63</v>
      </c>
      <c r="D10" s="110"/>
      <c r="E10" s="110"/>
      <c r="F10" s="134"/>
      <c r="G10" s="114"/>
      <c r="H10" s="114"/>
      <c r="I10" s="114"/>
      <c r="J10" s="114"/>
      <c r="K10" s="110"/>
      <c r="L10" s="124"/>
    </row>
    <row r="11" spans="2:12" ht="15.75" x14ac:dyDescent="0.2">
      <c r="B11" s="137" t="s">
        <v>59</v>
      </c>
      <c r="C11" s="137"/>
      <c r="D11" s="123">
        <f>SUM(D7)</f>
        <v>647077252</v>
      </c>
      <c r="E11" s="123">
        <f t="shared" ref="E11:F11" si="0">SUM(E7)</f>
        <v>770876425</v>
      </c>
      <c r="F11" s="123">
        <f t="shared" si="0"/>
        <v>532382900</v>
      </c>
      <c r="G11" s="123">
        <f>SUM(G7:G10)</f>
        <v>532382900</v>
      </c>
      <c r="H11" s="123">
        <f>SUM(H7:H10)</f>
        <v>650112192.33333337</v>
      </c>
      <c r="I11" s="123">
        <f>SUM(I7:I10)</f>
        <v>642769111.04140747</v>
      </c>
      <c r="J11" s="123">
        <f>SUM(J7:J10)</f>
        <v>635460925.60433626</v>
      </c>
      <c r="K11" s="123">
        <f>SUM(K7:K10)</f>
        <v>97388221.443360597</v>
      </c>
      <c r="L11" s="138"/>
    </row>
    <row r="12" spans="2:12" ht="15" customHeight="1" x14ac:dyDescent="0.2">
      <c r="B12" s="70" t="s">
        <v>55</v>
      </c>
      <c r="C12" s="70"/>
      <c r="D12" s="70"/>
      <c r="E12" s="70"/>
      <c r="F12" s="70"/>
      <c r="G12" s="70"/>
      <c r="H12" s="70"/>
      <c r="I12" s="70"/>
      <c r="J12" s="70"/>
      <c r="K12" s="70"/>
      <c r="L12" s="70"/>
    </row>
    <row r="13" spans="2:12" ht="15" customHeight="1" x14ac:dyDescent="0.2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</row>
    <row r="15" spans="2:12" x14ac:dyDescent="0.25">
      <c r="D15" s="4"/>
      <c r="E15" s="4"/>
      <c r="F15" s="4"/>
    </row>
    <row r="16" spans="2:12" x14ac:dyDescent="0.25">
      <c r="D16" s="4"/>
      <c r="E16" s="4"/>
      <c r="F16" s="4"/>
    </row>
    <row r="17" spans="4:9" x14ac:dyDescent="0.25">
      <c r="D17" s="4"/>
      <c r="E17" s="4"/>
      <c r="F17" s="4"/>
      <c r="I17" s="61"/>
    </row>
    <row r="18" spans="4:9" x14ac:dyDescent="0.25">
      <c r="D18" s="4"/>
      <c r="E18" s="4"/>
      <c r="F18" s="4"/>
      <c r="I18" s="11"/>
    </row>
    <row r="19" spans="4:9" x14ac:dyDescent="0.25">
      <c r="D19" s="4"/>
      <c r="E19" s="4"/>
      <c r="F19" s="4"/>
      <c r="I19" s="4"/>
    </row>
    <row r="20" spans="4:9" x14ac:dyDescent="0.25">
      <c r="D20" s="4"/>
      <c r="E20" s="4"/>
      <c r="F20" s="4"/>
      <c r="I20" s="4"/>
    </row>
    <row r="21" spans="4:9" x14ac:dyDescent="0.25">
      <c r="D21" s="4"/>
      <c r="E21" s="4"/>
      <c r="F21" s="4"/>
    </row>
  </sheetData>
  <sheetProtection algorithmName="SHA-512" hashValue="SrkvLqWuyt6gb0EAnjCqaBdRJOpAOB3GLxzyIJPUqTfCjZu82m1cy1eXdzChpsHLcwMhNxzcpPnGjLCE60yFAA==" saltValue="Iw2SGIdcCRXBqYeYd+L25Q==" spinCount="100000" sheet="1" objects="1" scenarios="1"/>
  <mergeCells count="20">
    <mergeCell ref="J7:J10"/>
    <mergeCell ref="B11:C11"/>
    <mergeCell ref="K4:K5"/>
    <mergeCell ref="L4:L6"/>
    <mergeCell ref="K7:K10"/>
    <mergeCell ref="L7:L10"/>
    <mergeCell ref="B12:L13"/>
    <mergeCell ref="D7:D10"/>
    <mergeCell ref="E7:E10"/>
    <mergeCell ref="F7:F10"/>
    <mergeCell ref="G7:G10"/>
    <mergeCell ref="H7:H10"/>
    <mergeCell ref="I7:I10"/>
    <mergeCell ref="B4:B6"/>
    <mergeCell ref="C4:C6"/>
    <mergeCell ref="D4:D5"/>
    <mergeCell ref="E4:E5"/>
    <mergeCell ref="F4:F5"/>
    <mergeCell ref="G4:J4"/>
    <mergeCell ref="B3:L3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2:N19"/>
  <sheetViews>
    <sheetView showGridLines="0" tabSelected="1" topLeftCell="A6" zoomScale="85" zoomScaleNormal="85" workbookViewId="0">
      <selection activeCell="D18" sqref="D18"/>
    </sheetView>
  </sheetViews>
  <sheetFormatPr baseColWidth="10" defaultColWidth="12.42578125" defaultRowHeight="15" x14ac:dyDescent="0.25"/>
  <cols>
    <col min="1" max="1" width="4.7109375" style="57" customWidth="1"/>
    <col min="2" max="2" width="4.7109375" style="58" bestFit="1" customWidth="1"/>
    <col min="3" max="3" width="88.7109375" style="58" customWidth="1"/>
    <col min="4" max="4" width="19" bestFit="1" customWidth="1"/>
    <col min="5" max="5" width="15.7109375" style="57" bestFit="1" customWidth="1"/>
    <col min="6" max="16384" width="12.42578125" style="57"/>
  </cols>
  <sheetData>
    <row r="2" spans="2:14" ht="12.75" x14ac:dyDescent="0.2">
      <c r="D2" s="57"/>
    </row>
    <row r="3" spans="2:14" ht="64.5" customHeight="1" x14ac:dyDescent="0.2">
      <c r="B3" s="105" t="s">
        <v>67</v>
      </c>
      <c r="C3" s="105"/>
      <c r="D3" s="105"/>
    </row>
    <row r="4" spans="2:14" ht="37.5" customHeight="1" x14ac:dyDescent="0.2">
      <c r="B4" s="63" t="s">
        <v>56</v>
      </c>
      <c r="C4" s="63" t="s">
        <v>60</v>
      </c>
      <c r="D4" s="59" t="s">
        <v>66</v>
      </c>
    </row>
    <row r="5" spans="2:14" ht="315" customHeight="1" x14ac:dyDescent="0.2">
      <c r="B5" s="62">
        <v>1</v>
      </c>
      <c r="C5" s="127" t="s">
        <v>64</v>
      </c>
      <c r="D5" s="115">
        <v>642769111</v>
      </c>
      <c r="E5" s="125"/>
    </row>
    <row r="6" spans="2:14" ht="110.25" customHeight="1" x14ac:dyDescent="0.2">
      <c r="B6" s="62">
        <v>2</v>
      </c>
      <c r="C6" s="126" t="s">
        <v>61</v>
      </c>
      <c r="D6" s="116"/>
    </row>
    <row r="7" spans="2:14" ht="165.75" customHeight="1" x14ac:dyDescent="0.2">
      <c r="B7" s="62">
        <v>3</v>
      </c>
      <c r="C7" s="128" t="s">
        <v>62</v>
      </c>
      <c r="D7" s="116"/>
    </row>
    <row r="8" spans="2:14" ht="148.5" customHeight="1" x14ac:dyDescent="0.2">
      <c r="B8" s="62">
        <v>4</v>
      </c>
      <c r="C8" s="129" t="s">
        <v>63</v>
      </c>
      <c r="D8" s="117"/>
    </row>
    <row r="9" spans="2:14" ht="15.75" x14ac:dyDescent="0.2">
      <c r="B9" s="121" t="s">
        <v>59</v>
      </c>
      <c r="C9" s="122"/>
      <c r="D9" s="123">
        <f>SUM(D5:D8)</f>
        <v>642769111</v>
      </c>
    </row>
    <row r="10" spans="2:14" ht="15" customHeight="1" x14ac:dyDescent="0.2">
      <c r="B10" s="70" t="s">
        <v>55</v>
      </c>
      <c r="C10" s="70"/>
      <c r="D10" s="70"/>
    </row>
    <row r="11" spans="2:14" ht="15" customHeight="1" x14ac:dyDescent="0.2">
      <c r="B11" s="70"/>
      <c r="C11" s="70"/>
      <c r="D11" s="70"/>
    </row>
    <row r="15" spans="2:14" customFormat="1" x14ac:dyDescent="0.25">
      <c r="B15" s="58"/>
      <c r="C15" s="58"/>
      <c r="D15" s="61"/>
      <c r="E15" s="57"/>
      <c r="F15" s="57"/>
      <c r="G15" s="57"/>
      <c r="H15" s="57"/>
      <c r="I15" s="57"/>
      <c r="J15" s="57"/>
      <c r="K15" s="57"/>
      <c r="L15" s="57"/>
      <c r="M15" s="57"/>
      <c r="N15" s="57"/>
    </row>
    <row r="16" spans="2:14" customFormat="1" x14ac:dyDescent="0.25">
      <c r="B16" s="58"/>
      <c r="C16" s="58"/>
      <c r="D16" s="11"/>
      <c r="E16" s="57"/>
      <c r="F16" s="57"/>
      <c r="G16" s="57"/>
      <c r="H16" s="57"/>
      <c r="I16" s="57"/>
      <c r="J16" s="57"/>
      <c r="K16" s="57"/>
      <c r="L16" s="57"/>
      <c r="M16" s="57"/>
      <c r="N16" s="57"/>
    </row>
    <row r="17" spans="2:14" customFormat="1" x14ac:dyDescent="0.25">
      <c r="B17" s="58"/>
      <c r="C17" s="58"/>
      <c r="D17" s="4"/>
      <c r="E17" s="57"/>
      <c r="F17" s="57"/>
      <c r="G17" s="57"/>
      <c r="H17" s="57"/>
      <c r="I17" s="57"/>
      <c r="J17" s="57"/>
      <c r="K17" s="57"/>
      <c r="L17" s="57"/>
      <c r="M17" s="57"/>
      <c r="N17" s="57"/>
    </row>
    <row r="18" spans="2:14" customFormat="1" x14ac:dyDescent="0.25">
      <c r="B18" s="58"/>
      <c r="C18" s="58"/>
      <c r="D18" s="4"/>
      <c r="E18" s="57"/>
      <c r="F18" s="57"/>
      <c r="G18" s="57"/>
      <c r="H18" s="57"/>
      <c r="I18" s="57"/>
      <c r="J18" s="57"/>
      <c r="K18" s="57"/>
      <c r="L18" s="57"/>
      <c r="M18" s="57"/>
      <c r="N18" s="57"/>
    </row>
    <row r="19" spans="2:14" customFormat="1" x14ac:dyDescent="0.25">
      <c r="B19" s="58"/>
      <c r="C19" s="58"/>
      <c r="E19" s="57"/>
      <c r="F19" s="57"/>
      <c r="G19" s="57"/>
      <c r="H19" s="57"/>
      <c r="I19" s="57"/>
      <c r="J19" s="57"/>
      <c r="K19" s="57"/>
      <c r="L19" s="57"/>
      <c r="M19" s="57"/>
      <c r="N19" s="57"/>
    </row>
  </sheetData>
  <sheetProtection algorithmName="SHA-512" hashValue="NgxMFNTj9koEYOKJn6WR4ELG85NU/zlXIOU8XGPQ4Gf7/6WGcyUehSJn2X+GPAuw80mjGKdjBtTx6RdPKWX2oQ==" saltValue="dHMsJnAcVBD0navUfa3b0g==" spinCount="100000" sheet="1" objects="1" scenarios="1"/>
  <mergeCells count="4">
    <mergeCell ref="B9:C9"/>
    <mergeCell ref="B10:D11"/>
    <mergeCell ref="D5:D8"/>
    <mergeCell ref="B3:D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Analisis Estadistico</vt:lpstr>
      <vt:lpstr> Cotizaciones Todas</vt:lpstr>
      <vt:lpstr>Analisis Geometrica</vt:lpstr>
      <vt:lpstr>Analisis Armonica</vt:lpstr>
      <vt:lpstr>Analisis M.Aritmetica</vt:lpstr>
      <vt:lpstr>Analisis M.Geometrica</vt:lpstr>
      <vt:lpstr>Analisis M.Armonica</vt:lpstr>
      <vt:lpstr>Historicos</vt:lpstr>
      <vt:lpstr> Analisis Cotizaciones.</vt:lpstr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familiar</dc:creator>
  <cp:lastModifiedBy>familiar</cp:lastModifiedBy>
  <dcterms:created xsi:type="dcterms:W3CDTF">2022-06-23T08:09:39Z</dcterms:created>
  <dcterms:modified xsi:type="dcterms:W3CDTF">2026-03-27T18:16:55Z</dcterms:modified>
</cp:coreProperties>
</file>