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inframed\Desktop\RAMA JUDICIAL\PROCESOS DE SELECCION 2026\PROCESOS DE SELECCIÓN 2026\6. INTERVENTORIA REMODELACIÓN Y CERRAMIENTO TRIBUNAL POBLADO\ESTUDIO DEL MERCADO\"/>
    </mc:Choice>
  </mc:AlternateContent>
  <xr:revisionPtr revIDLastSave="38" documentId="13_ncr:1_{713F8E15-01B3-425E-85BC-B0E77C34FF84}" xr6:coauthVersionLast="47" xr6:coauthVersionMax="47" xr10:uidLastSave="{4DD3C557-8B09-4B3E-AE74-A29408FBF417}"/>
  <bookViews>
    <workbookView xWindow="28680" yWindow="-120" windowWidth="29040" windowHeight="15720" xr2:uid="{535D1267-C3FE-48EF-9EC4-66837CB39E50}"/>
  </bookViews>
  <sheets>
    <sheet name="AJUSTES (2)" sheetId="3" r:id="rId1"/>
    <sheet name="AJUSTES" sheetId="2" r:id="rId2"/>
    <sheet name="INTERVENTORIA PLAZOLETA POBLADO" sheetId="1" r:id="rId3"/>
  </sheet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3" l="1"/>
  <c r="F21" i="3"/>
  <c r="Q12" i="3"/>
  <c r="O14" i="3"/>
  <c r="L14" i="3"/>
  <c r="I14" i="3"/>
  <c r="F14" i="3"/>
  <c r="O13" i="3"/>
  <c r="L13" i="3"/>
  <c r="I13" i="3"/>
  <c r="F13" i="3"/>
  <c r="O12" i="3"/>
  <c r="O15" i="3" s="1"/>
  <c r="L12" i="3"/>
  <c r="L15" i="3" s="1"/>
  <c r="I12" i="3"/>
  <c r="I15" i="3" s="1"/>
  <c r="F12" i="3"/>
  <c r="F15" i="3" s="1"/>
  <c r="O9" i="3"/>
  <c r="L9" i="3"/>
  <c r="I9" i="3"/>
  <c r="F9" i="3"/>
  <c r="O8" i="3"/>
  <c r="L8" i="3"/>
  <c r="I8" i="3"/>
  <c r="F8" i="3"/>
  <c r="O7" i="3"/>
  <c r="O10" i="3" s="1"/>
  <c r="L7" i="3"/>
  <c r="L10" i="3" s="1"/>
  <c r="I7" i="3"/>
  <c r="I10" i="3" s="1"/>
  <c r="F7" i="3"/>
  <c r="F10" i="3" s="1"/>
  <c r="F16" i="3" s="1"/>
  <c r="I7" i="2"/>
  <c r="O14" i="2"/>
  <c r="L14" i="2"/>
  <c r="I14" i="2"/>
  <c r="F14" i="2" s="1"/>
  <c r="O13" i="2"/>
  <c r="L13" i="2"/>
  <c r="I13" i="2"/>
  <c r="F13" i="2" s="1"/>
  <c r="O12" i="2"/>
  <c r="O15" i="2" s="1"/>
  <c r="L12" i="2"/>
  <c r="L15" i="2" s="1"/>
  <c r="I12" i="2"/>
  <c r="O9" i="2"/>
  <c r="L9" i="2"/>
  <c r="I9" i="2"/>
  <c r="F9" i="2" s="1"/>
  <c r="O8" i="2"/>
  <c r="L8" i="2"/>
  <c r="I8" i="2"/>
  <c r="F8" i="2" s="1"/>
  <c r="O7" i="2"/>
  <c r="O10" i="2" s="1"/>
  <c r="L7" i="2"/>
  <c r="I10" i="2"/>
  <c r="F16" i="1"/>
  <c r="F10" i="1"/>
  <c r="O16" i="1"/>
  <c r="O14" i="1"/>
  <c r="O15" i="1"/>
  <c r="O13" i="1"/>
  <c r="O10" i="1"/>
  <c r="O8" i="1"/>
  <c r="O9" i="1"/>
  <c r="O7" i="1"/>
  <c r="L7" i="1"/>
  <c r="F7" i="1"/>
  <c r="L16" i="1"/>
  <c r="L14" i="1"/>
  <c r="L15" i="1"/>
  <c r="L13" i="1"/>
  <c r="L10" i="1"/>
  <c r="L8" i="1"/>
  <c r="F8" i="1" s="1"/>
  <c r="L9" i="1"/>
  <c r="F9" i="1" s="1"/>
  <c r="F13" i="1"/>
  <c r="F14" i="1"/>
  <c r="I14" i="1"/>
  <c r="I15" i="1"/>
  <c r="I13" i="1"/>
  <c r="I8" i="1"/>
  <c r="I9" i="1"/>
  <c r="I7" i="1"/>
  <c r="F17" i="3" l="1"/>
  <c r="F18" i="3" s="1"/>
  <c r="I15" i="2"/>
  <c r="F12" i="2"/>
  <c r="F15" i="2" s="1"/>
  <c r="L10" i="2"/>
  <c r="F7" i="2"/>
  <c r="F10" i="2" s="1"/>
  <c r="F16" i="2" s="1"/>
  <c r="F17" i="2"/>
  <c r="F18" i="2" s="1"/>
  <c r="F15" i="1"/>
  <c r="F17" i="1"/>
  <c r="F18" i="1" s="1"/>
  <c r="F19" i="1" s="1"/>
  <c r="I10" i="1"/>
  <c r="I16" i="1"/>
</calcChain>
</file>

<file path=xl/sharedStrings.xml><?xml version="1.0" encoding="utf-8"?>
<sst xmlns="http://schemas.openxmlformats.org/spreadsheetml/2006/main" count="173" uniqueCount="27">
  <si>
    <t>CONTRATAR LA INTERVENTORÍA AL CONTRATO DE OBRA CUYO OBJETO ES: “REALIZAR LAS OBRAS CIVILES NECESARIAS PARA LA REMODELACIÓN INTEGRAL DE LA PLAZOLETA PERIMETRAL, ASÍ COMO LA IMPERMEABILIZACIÓN DE LA CUBIERTA Y EL MANTENIMIENTO MEDIANTE SELLADO DE LA FACHADA PERIMETRAL EN VIDRIO DEL EDIFICIO HORACIO MONTOYA GIL – SEDE DEL TRIBUNAL SUPERIOR DE MEDELLÍN.”</t>
  </si>
  <si>
    <t xml:space="preserve">CATEGORIA </t>
  </si>
  <si>
    <t xml:space="preserve">CANTIDAD </t>
  </si>
  <si>
    <t xml:space="preserve">DEDICACION </t>
  </si>
  <si>
    <t xml:space="preserve">DURACION MESES </t>
  </si>
  <si>
    <t xml:space="preserve">Valor Total </t>
  </si>
  <si>
    <t>Valor x mes</t>
  </si>
  <si>
    <t xml:space="preserve">F.M. </t>
  </si>
  <si>
    <t>Valor Total</t>
  </si>
  <si>
    <t>PROMEDIO</t>
  </si>
  <si>
    <t>Cotización 1</t>
  </si>
  <si>
    <t>Cotización 2</t>
  </si>
  <si>
    <t>Cotización 3</t>
  </si>
  <si>
    <t xml:space="preserve">Personal </t>
  </si>
  <si>
    <t xml:space="preserve">  </t>
  </si>
  <si>
    <t xml:space="preserve">Residente de Interventoría que podrá ser ingeniero civil, arquitecto, arquitecto constructor </t>
  </si>
  <si>
    <t xml:space="preserve">Residente en Seguridad y Salud en el Trabajo de interventoría que podrá ser ingeniero o tecnólogo en seguridad y salud en el trabajo </t>
  </si>
  <si>
    <t xml:space="preserve">Residente Ambiental de interventoría, que deberá ser ingeniero ambiental  </t>
  </si>
  <si>
    <t xml:space="preserve">Subtotal </t>
  </si>
  <si>
    <t>Otros</t>
  </si>
  <si>
    <t xml:space="preserve">Arriendo oficina incluye servicios  </t>
  </si>
  <si>
    <t>Papelería y cafetería</t>
  </si>
  <si>
    <t>Transporte personal profesional</t>
  </si>
  <si>
    <t>Total antes de IVA</t>
  </si>
  <si>
    <t xml:space="preserve">IVA </t>
  </si>
  <si>
    <t>Total despue de IVA</t>
  </si>
  <si>
    <t xml:space="preserve">IVA 19%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</si>
</sst>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&quot;$&quot;\ #,##0.00"/>
    <numFmt numFmtId="167" formatCode="&quot;$&quot;\ #,##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7" fontId="3" fillId="0" borderId="0" xfId="1" applyNumberFormat="1" applyFont="1" applyBorder="1" applyAlignment="1">
      <alignment horizontal="center" vertical="center" wrapText="1"/>
    </xf>
    <xf numFmtId="167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4" fillId="0" borderId="1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167" fontId="4" fillId="0" borderId="11" xfId="1" applyNumberFormat="1" applyFont="1" applyBorder="1" applyAlignment="1">
      <alignment horizontal="center" vertical="center" wrapText="1"/>
    </xf>
    <xf numFmtId="167" fontId="7" fillId="0" borderId="3" xfId="0" applyNumberFormat="1" applyFont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justify" vertical="center" wrapText="1"/>
    </xf>
    <xf numFmtId="167" fontId="5" fillId="2" borderId="11" xfId="1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/>
    </xf>
    <xf numFmtId="167" fontId="7" fillId="2" borderId="1" xfId="0" applyNumberFormat="1" applyFont="1" applyFill="1" applyBorder="1" applyAlignment="1">
      <alignment horizontal="center" vertical="center"/>
    </xf>
    <xf numFmtId="167" fontId="4" fillId="3" borderId="11" xfId="1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justify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66" fontId="7" fillId="2" borderId="3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justify" vertical="center" wrapText="1"/>
    </xf>
    <xf numFmtId="167" fontId="5" fillId="2" borderId="9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7" fontId="5" fillId="0" borderId="9" xfId="1" applyNumberFormat="1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>
      <alignment horizontal="center" vertical="center" wrapText="1"/>
    </xf>
    <xf numFmtId="167" fontId="5" fillId="2" borderId="14" xfId="1" applyNumberFormat="1" applyFont="1" applyFill="1" applyBorder="1" applyAlignment="1">
      <alignment horizontal="center" vertical="center" wrapText="1"/>
    </xf>
    <xf numFmtId="0" fontId="7" fillId="0" borderId="0" xfId="0" applyFont="1"/>
    <xf numFmtId="9" fontId="2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E64E9-A835-4CF2-B686-4B180D5C7BFA}">
  <dimension ref="B1:Q36"/>
  <sheetViews>
    <sheetView tabSelected="1" topLeftCell="A4" zoomScaleNormal="100" workbookViewId="0">
      <selection activeCell="F23" sqref="F23"/>
    </sheetView>
  </sheetViews>
  <sheetFormatPr defaultColWidth="11.42578125" defaultRowHeight="12.75"/>
  <cols>
    <col min="1" max="1" width="11.42578125" style="1"/>
    <col min="2" max="2" width="16.85546875" style="1" customWidth="1"/>
    <col min="3" max="3" width="6.85546875" style="1" customWidth="1"/>
    <col min="4" max="4" width="7.5703125" style="1" customWidth="1"/>
    <col min="5" max="5" width="7.42578125" style="1" customWidth="1"/>
    <col min="6" max="6" width="14" style="1" customWidth="1"/>
    <col min="7" max="7" width="10.7109375" style="1" customWidth="1"/>
    <col min="8" max="8" width="7" style="1" customWidth="1"/>
    <col min="9" max="9" width="11.5703125" style="1" customWidth="1"/>
    <col min="10" max="10" width="9.5703125" style="1" customWidth="1"/>
    <col min="11" max="11" width="7.7109375" style="1" customWidth="1"/>
    <col min="12" max="12" width="11.7109375" style="1" customWidth="1"/>
    <col min="13" max="13" width="9.85546875" style="1" customWidth="1"/>
    <col min="14" max="14" width="7.28515625" style="1" customWidth="1"/>
    <col min="15" max="15" width="10.42578125" style="1" customWidth="1"/>
    <col min="16" max="16384" width="11.42578125" style="1"/>
  </cols>
  <sheetData>
    <row r="1" spans="2:17" ht="35.25" customHeight="1">
      <c r="B1" s="44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2:17" ht="24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7" ht="15" customHeight="1">
      <c r="B3" s="45"/>
      <c r="C3" s="45"/>
      <c r="D3" s="45"/>
      <c r="E3" s="45"/>
      <c r="F3" s="45"/>
      <c r="G3" s="44"/>
      <c r="H3" s="44"/>
      <c r="I3" s="44"/>
      <c r="J3" s="44"/>
      <c r="K3" s="44"/>
      <c r="L3" s="44"/>
      <c r="M3" s="44"/>
      <c r="N3" s="44"/>
      <c r="O3" s="44"/>
    </row>
    <row r="4" spans="2:17" ht="54.75" customHeight="1">
      <c r="B4" s="8" t="s">
        <v>1</v>
      </c>
      <c r="C4" s="9" t="s">
        <v>2</v>
      </c>
      <c r="D4" s="9" t="s">
        <v>3</v>
      </c>
      <c r="E4" s="9" t="s">
        <v>4</v>
      </c>
      <c r="F4" s="10" t="s">
        <v>5</v>
      </c>
      <c r="G4" s="11" t="s">
        <v>6</v>
      </c>
      <c r="H4" s="12" t="s">
        <v>7</v>
      </c>
      <c r="I4" s="13" t="s">
        <v>8</v>
      </c>
      <c r="J4" s="12" t="s">
        <v>6</v>
      </c>
      <c r="K4" s="12" t="s">
        <v>7</v>
      </c>
      <c r="L4" s="13" t="s">
        <v>8</v>
      </c>
      <c r="M4" s="12" t="s">
        <v>6</v>
      </c>
      <c r="N4" s="12" t="s">
        <v>7</v>
      </c>
      <c r="O4" s="13" t="s">
        <v>8</v>
      </c>
    </row>
    <row r="5" spans="2:17" ht="22.5" customHeight="1">
      <c r="B5" s="46" t="s">
        <v>9</v>
      </c>
      <c r="C5" s="47"/>
      <c r="D5" s="47"/>
      <c r="E5" s="47"/>
      <c r="F5" s="48"/>
      <c r="G5" s="49" t="s">
        <v>10</v>
      </c>
      <c r="H5" s="50"/>
      <c r="I5" s="51"/>
      <c r="J5" s="49" t="s">
        <v>11</v>
      </c>
      <c r="K5" s="50"/>
      <c r="L5" s="51"/>
      <c r="M5" s="49" t="s">
        <v>12</v>
      </c>
      <c r="N5" s="50"/>
      <c r="O5" s="51"/>
    </row>
    <row r="6" spans="2:17" ht="22.5" customHeight="1">
      <c r="B6" s="14" t="s">
        <v>13</v>
      </c>
      <c r="C6" s="7" t="s">
        <v>14</v>
      </c>
      <c r="D6" s="7" t="s">
        <v>14</v>
      </c>
      <c r="E6" s="7" t="s">
        <v>14</v>
      </c>
      <c r="F6" s="15" t="s">
        <v>14</v>
      </c>
      <c r="G6" s="16"/>
      <c r="H6" s="7" t="s">
        <v>14</v>
      </c>
      <c r="I6" s="17"/>
      <c r="J6" s="17"/>
      <c r="K6" s="17"/>
      <c r="L6" s="17"/>
      <c r="M6" s="17"/>
      <c r="N6" s="17"/>
      <c r="O6" s="17"/>
    </row>
    <row r="7" spans="2:17" ht="62.25" customHeight="1">
      <c r="B7" s="18" t="s">
        <v>15</v>
      </c>
      <c r="C7" s="19">
        <v>1</v>
      </c>
      <c r="D7" s="20">
        <v>1</v>
      </c>
      <c r="E7" s="19">
        <v>4.5</v>
      </c>
      <c r="F7" s="21">
        <f>ROUND(AVERAGE(I7,L7,O7),0)</f>
        <v>46380000</v>
      </c>
      <c r="G7" s="22">
        <v>4500000</v>
      </c>
      <c r="H7" s="19">
        <v>2.4</v>
      </c>
      <c r="I7" s="23">
        <f>G7*H7*E7*D7</f>
        <v>48600000</v>
      </c>
      <c r="J7" s="23">
        <v>3800000</v>
      </c>
      <c r="K7" s="19">
        <v>2.4</v>
      </c>
      <c r="L7" s="23">
        <f>D7*E7*J7*K7</f>
        <v>41040000</v>
      </c>
      <c r="M7" s="23">
        <v>5000000</v>
      </c>
      <c r="N7" s="19">
        <v>2.2000000000000002</v>
      </c>
      <c r="O7" s="23">
        <f>D7*E7*M7*N7</f>
        <v>49500000.000000007</v>
      </c>
    </row>
    <row r="8" spans="2:17" ht="81">
      <c r="B8" s="24" t="s">
        <v>16</v>
      </c>
      <c r="C8" s="25">
        <v>1</v>
      </c>
      <c r="D8" s="26">
        <v>1</v>
      </c>
      <c r="E8" s="25">
        <v>4.5</v>
      </c>
      <c r="F8" s="21">
        <f t="shared" ref="F8:F9" si="0">ROUND(AVERAGE(I8,L8,O8),0)</f>
        <v>39120000</v>
      </c>
      <c r="G8" s="22">
        <v>3600000</v>
      </c>
      <c r="H8" s="25">
        <v>2.4</v>
      </c>
      <c r="I8" s="23">
        <f t="shared" ref="I8:I9" si="1">G8*H8*E8*D8</f>
        <v>38880000</v>
      </c>
      <c r="J8" s="23">
        <v>3600000</v>
      </c>
      <c r="K8" s="19">
        <v>2.4</v>
      </c>
      <c r="L8" s="23">
        <f t="shared" ref="L8:L9" si="2">D8*E8*J8*K8</f>
        <v>38880000</v>
      </c>
      <c r="M8" s="23">
        <v>4000000</v>
      </c>
      <c r="N8" s="19">
        <v>2.2000000000000002</v>
      </c>
      <c r="O8" s="23">
        <f t="shared" ref="O8:O9" si="3">D8*E8*M8*N8</f>
        <v>39600000</v>
      </c>
    </row>
    <row r="9" spans="2:17" ht="41.25">
      <c r="B9" s="24" t="s">
        <v>17</v>
      </c>
      <c r="C9" s="25">
        <v>1</v>
      </c>
      <c r="D9" s="26">
        <v>0.5</v>
      </c>
      <c r="E9" s="25">
        <v>4.5</v>
      </c>
      <c r="F9" s="21">
        <f t="shared" si="0"/>
        <v>21210000</v>
      </c>
      <c r="G9" s="22">
        <v>3600000</v>
      </c>
      <c r="H9" s="25">
        <v>2.4</v>
      </c>
      <c r="I9" s="23">
        <f t="shared" si="1"/>
        <v>19440000</v>
      </c>
      <c r="J9" s="23">
        <v>3600000</v>
      </c>
      <c r="K9" s="19">
        <v>2.4</v>
      </c>
      <c r="L9" s="23">
        <f t="shared" si="2"/>
        <v>19440000</v>
      </c>
      <c r="M9" s="23">
        <v>5000000</v>
      </c>
      <c r="N9" s="19">
        <v>2.2000000000000002</v>
      </c>
      <c r="O9" s="23">
        <f t="shared" si="3"/>
        <v>24750000.000000004</v>
      </c>
    </row>
    <row r="10" spans="2:17" ht="24.75" customHeight="1">
      <c r="B10" s="27" t="s">
        <v>18</v>
      </c>
      <c r="C10" s="12" t="s">
        <v>14</v>
      </c>
      <c r="D10" s="12" t="s">
        <v>14</v>
      </c>
      <c r="E10" s="12" t="s">
        <v>14</v>
      </c>
      <c r="F10" s="28">
        <f>SUM(F7:F9)</f>
        <v>106710000</v>
      </c>
      <c r="G10" s="29"/>
      <c r="H10" s="12" t="s">
        <v>14</v>
      </c>
      <c r="I10" s="30">
        <f>SUM(I7:I9)</f>
        <v>106920000</v>
      </c>
      <c r="J10" s="30"/>
      <c r="K10" s="30"/>
      <c r="L10" s="30">
        <f>SUM(L7:L9)</f>
        <v>99360000</v>
      </c>
      <c r="M10" s="30"/>
      <c r="N10" s="30"/>
      <c r="O10" s="30">
        <f>SUM(O7:O9)</f>
        <v>113850000</v>
      </c>
    </row>
    <row r="11" spans="2:17">
      <c r="B11" s="32" t="s">
        <v>19</v>
      </c>
      <c r="C11" s="25" t="s">
        <v>14</v>
      </c>
      <c r="D11" s="25" t="s">
        <v>14</v>
      </c>
      <c r="E11" s="25" t="s">
        <v>14</v>
      </c>
      <c r="F11" s="31"/>
      <c r="G11" s="22"/>
      <c r="H11" s="25" t="s">
        <v>14</v>
      </c>
      <c r="I11" s="23"/>
      <c r="J11" s="23"/>
      <c r="K11" s="23"/>
      <c r="L11" s="23"/>
      <c r="M11" s="23"/>
      <c r="N11" s="23"/>
      <c r="O11" s="23"/>
    </row>
    <row r="12" spans="2:17" ht="20.25">
      <c r="B12" s="24" t="s">
        <v>20</v>
      </c>
      <c r="C12" s="25">
        <v>1</v>
      </c>
      <c r="D12" s="25" t="s">
        <v>14</v>
      </c>
      <c r="E12" s="25">
        <v>4.5</v>
      </c>
      <c r="F12" s="21">
        <f t="shared" ref="F12:F14" si="4">ROUND(AVERAGE(I12,L12,O12),0)</f>
        <v>10050000</v>
      </c>
      <c r="G12" s="22">
        <v>2500000</v>
      </c>
      <c r="H12" s="33" t="s">
        <v>14</v>
      </c>
      <c r="I12" s="23">
        <f>G12*E12*C12</f>
        <v>11250000</v>
      </c>
      <c r="J12" s="23">
        <v>3200000</v>
      </c>
      <c r="K12" s="23"/>
      <c r="L12" s="23">
        <f>E12*J12</f>
        <v>14400000</v>
      </c>
      <c r="M12" s="23">
        <v>1000000</v>
      </c>
      <c r="N12" s="23"/>
      <c r="O12" s="23">
        <f>M12*E12</f>
        <v>4500000</v>
      </c>
      <c r="Q12" s="1">
        <f>+F10*20%</f>
        <v>21342000</v>
      </c>
    </row>
    <row r="13" spans="2:17" ht="20.25" customHeight="1">
      <c r="B13" s="24" t="s">
        <v>21</v>
      </c>
      <c r="C13" s="25">
        <v>1</v>
      </c>
      <c r="D13" s="25" t="s">
        <v>14</v>
      </c>
      <c r="E13" s="25">
        <v>4.5</v>
      </c>
      <c r="F13" s="21">
        <f t="shared" si="4"/>
        <v>4350000</v>
      </c>
      <c r="G13" s="22">
        <v>1200000</v>
      </c>
      <c r="H13" s="33" t="s">
        <v>14</v>
      </c>
      <c r="I13" s="23">
        <f t="shared" ref="I13:I14" si="5">G13*E13*C13</f>
        <v>5400000</v>
      </c>
      <c r="J13" s="23">
        <v>1200000</v>
      </c>
      <c r="K13" s="23"/>
      <c r="L13" s="23">
        <f t="shared" ref="L13:L14" si="6">E13*J13</f>
        <v>5400000</v>
      </c>
      <c r="M13" s="23">
        <v>500000</v>
      </c>
      <c r="N13" s="23"/>
      <c r="O13" s="23">
        <f t="shared" ref="O13:O14" si="7">M13*E13</f>
        <v>2250000</v>
      </c>
    </row>
    <row r="14" spans="2:17" ht="20.25">
      <c r="B14" s="24" t="s">
        <v>22</v>
      </c>
      <c r="C14" s="25">
        <v>1</v>
      </c>
      <c r="D14" s="25" t="s">
        <v>14</v>
      </c>
      <c r="E14" s="25">
        <v>4.5</v>
      </c>
      <c r="F14" s="21">
        <f t="shared" si="4"/>
        <v>6075000</v>
      </c>
      <c r="G14" s="22">
        <v>2000000</v>
      </c>
      <c r="H14" s="33" t="s">
        <v>14</v>
      </c>
      <c r="I14" s="23">
        <f t="shared" si="5"/>
        <v>9000000</v>
      </c>
      <c r="J14" s="23">
        <v>1600000</v>
      </c>
      <c r="K14" s="23"/>
      <c r="L14" s="23">
        <f t="shared" si="6"/>
        <v>7200000</v>
      </c>
      <c r="M14" s="23">
        <v>450000</v>
      </c>
      <c r="N14" s="23"/>
      <c r="O14" s="23">
        <f t="shared" si="7"/>
        <v>2025000</v>
      </c>
    </row>
    <row r="15" spans="2:17" ht="19.5" customHeight="1">
      <c r="B15" s="27" t="s">
        <v>18</v>
      </c>
      <c r="C15" s="12" t="s">
        <v>14</v>
      </c>
      <c r="D15" s="12" t="s">
        <v>14</v>
      </c>
      <c r="E15" s="12" t="s">
        <v>14</v>
      </c>
      <c r="F15" s="28">
        <f>SUM(F12:F14)</f>
        <v>20475000</v>
      </c>
      <c r="G15" s="34"/>
      <c r="H15" s="12" t="s">
        <v>14</v>
      </c>
      <c r="I15" s="30">
        <f>SUM(I12:I14)</f>
        <v>25650000</v>
      </c>
      <c r="J15" s="30"/>
      <c r="K15" s="30"/>
      <c r="L15" s="30">
        <f>SUM(L12:L14)</f>
        <v>27000000</v>
      </c>
      <c r="M15" s="30"/>
      <c r="N15" s="30"/>
      <c r="O15" s="30">
        <f>SUM(O12:O14)</f>
        <v>8775000</v>
      </c>
    </row>
    <row r="16" spans="2:17" ht="18" customHeight="1">
      <c r="B16" s="35" t="s">
        <v>23</v>
      </c>
      <c r="C16" s="7"/>
      <c r="D16" s="7"/>
      <c r="E16" s="7"/>
      <c r="F16" s="36">
        <f>ROUNDUP((F10+F15),0)</f>
        <v>127185000</v>
      </c>
      <c r="G16" s="37"/>
      <c r="H16" s="37"/>
      <c r="I16" s="37"/>
      <c r="J16" s="37"/>
      <c r="K16" s="37"/>
      <c r="L16" s="37"/>
      <c r="M16" s="37"/>
      <c r="N16" s="37"/>
      <c r="O16" s="37"/>
    </row>
    <row r="17" spans="2:15" ht="19.5" customHeight="1">
      <c r="B17" s="24" t="s">
        <v>24</v>
      </c>
      <c r="C17" s="25"/>
      <c r="D17" s="25"/>
      <c r="E17" s="26">
        <v>0.19</v>
      </c>
      <c r="F17" s="38">
        <f>ROUND(F16*E17,0)</f>
        <v>24165150</v>
      </c>
      <c r="G17" s="37"/>
      <c r="H17" s="37"/>
      <c r="I17" s="37"/>
      <c r="J17" s="37"/>
      <c r="K17" s="37"/>
      <c r="L17" s="37"/>
      <c r="M17" s="37"/>
      <c r="N17" s="37"/>
      <c r="O17" s="37"/>
    </row>
    <row r="18" spans="2:15" ht="29.25" customHeight="1">
      <c r="B18" s="39" t="s">
        <v>25</v>
      </c>
      <c r="C18" s="40" t="s">
        <v>14</v>
      </c>
      <c r="D18" s="40" t="s">
        <v>14</v>
      </c>
      <c r="E18" s="40" t="s">
        <v>14</v>
      </c>
      <c r="F18" s="41">
        <f>+F16+F17</f>
        <v>151350150</v>
      </c>
      <c r="G18" s="37"/>
      <c r="H18" s="37"/>
      <c r="I18" s="42"/>
      <c r="J18" s="37"/>
      <c r="K18" s="37"/>
      <c r="L18" s="37"/>
      <c r="M18" s="37"/>
      <c r="N18" s="37"/>
      <c r="O18" s="37"/>
    </row>
    <row r="19" spans="2:15">
      <c r="I19" s="2"/>
    </row>
    <row r="21" spans="2:15">
      <c r="E21" s="43">
        <v>0.2</v>
      </c>
      <c r="F21" s="1">
        <f>+F10*E21</f>
        <v>21342000</v>
      </c>
    </row>
    <row r="22" spans="2:15">
      <c r="G22" s="3"/>
    </row>
    <row r="23" spans="2:15">
      <c r="F23" s="43">
        <f>+F15/F10</f>
        <v>0.19187517570986787</v>
      </c>
      <c r="G23" s="4"/>
    </row>
    <row r="33" spans="6:9">
      <c r="F33" s="5"/>
      <c r="I33" s="5"/>
    </row>
    <row r="36" spans="6:9">
      <c r="F36" s="6"/>
    </row>
  </sheetData>
  <mergeCells count="5">
    <mergeCell ref="B1:O3"/>
    <mergeCell ref="B5:F5"/>
    <mergeCell ref="G5:I5"/>
    <mergeCell ref="J5:L5"/>
    <mergeCell ref="M5:O5"/>
  </mergeCells>
  <pageMargins left="0.7" right="0.7" top="0.75" bottom="0.75" header="0.3" footer="0.3"/>
  <pageSetup orientation="portrait" horizontalDpi="200" verticalDpi="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4470C-2449-40B2-96BE-B31BA86EDA2D}">
  <dimension ref="B1:O36"/>
  <sheetViews>
    <sheetView topLeftCell="A4" zoomScaleNormal="100" workbookViewId="0">
      <selection activeCell="J13" sqref="J13"/>
    </sheetView>
  </sheetViews>
  <sheetFormatPr defaultColWidth="11.42578125" defaultRowHeight="12.75"/>
  <cols>
    <col min="1" max="1" width="11.42578125" style="1"/>
    <col min="2" max="2" width="16.85546875" style="1" customWidth="1"/>
    <col min="3" max="3" width="6.85546875" style="1" customWidth="1"/>
    <col min="4" max="4" width="7.5703125" style="1" customWidth="1"/>
    <col min="5" max="5" width="7.42578125" style="1" customWidth="1"/>
    <col min="6" max="6" width="14" style="1" customWidth="1"/>
    <col min="7" max="7" width="10.7109375" style="1" customWidth="1"/>
    <col min="8" max="8" width="7" style="1" customWidth="1"/>
    <col min="9" max="9" width="11.5703125" style="1" customWidth="1"/>
    <col min="10" max="10" width="9.5703125" style="1" customWidth="1"/>
    <col min="11" max="11" width="7.7109375" style="1" customWidth="1"/>
    <col min="12" max="12" width="11.7109375" style="1" customWidth="1"/>
    <col min="13" max="13" width="9.85546875" style="1" customWidth="1"/>
    <col min="14" max="14" width="7.28515625" style="1" customWidth="1"/>
    <col min="15" max="15" width="10.42578125" style="1" customWidth="1"/>
    <col min="16" max="16384" width="11.42578125" style="1"/>
  </cols>
  <sheetData>
    <row r="1" spans="2:15" ht="35.25" customHeight="1">
      <c r="B1" s="44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2:15" ht="24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15" customHeight="1">
      <c r="B3" s="45"/>
      <c r="C3" s="45"/>
      <c r="D3" s="45"/>
      <c r="E3" s="45"/>
      <c r="F3" s="45"/>
      <c r="G3" s="44"/>
      <c r="H3" s="44"/>
      <c r="I3" s="44"/>
      <c r="J3" s="44"/>
      <c r="K3" s="44"/>
      <c r="L3" s="44"/>
      <c r="M3" s="44"/>
      <c r="N3" s="44"/>
      <c r="O3" s="44"/>
    </row>
    <row r="4" spans="2:15" ht="54.75" customHeight="1">
      <c r="B4" s="8" t="s">
        <v>1</v>
      </c>
      <c r="C4" s="9" t="s">
        <v>2</v>
      </c>
      <c r="D4" s="9" t="s">
        <v>3</v>
      </c>
      <c r="E4" s="9" t="s">
        <v>4</v>
      </c>
      <c r="F4" s="10" t="s">
        <v>5</v>
      </c>
      <c r="G4" s="11" t="s">
        <v>6</v>
      </c>
      <c r="H4" s="12" t="s">
        <v>7</v>
      </c>
      <c r="I4" s="13" t="s">
        <v>8</v>
      </c>
      <c r="J4" s="12" t="s">
        <v>6</v>
      </c>
      <c r="K4" s="12" t="s">
        <v>7</v>
      </c>
      <c r="L4" s="13" t="s">
        <v>8</v>
      </c>
      <c r="M4" s="12" t="s">
        <v>6</v>
      </c>
      <c r="N4" s="12" t="s">
        <v>7</v>
      </c>
      <c r="O4" s="13" t="s">
        <v>8</v>
      </c>
    </row>
    <row r="5" spans="2:15" ht="22.5" customHeight="1">
      <c r="B5" s="46" t="s">
        <v>9</v>
      </c>
      <c r="C5" s="47"/>
      <c r="D5" s="47"/>
      <c r="E5" s="47"/>
      <c r="F5" s="48"/>
      <c r="G5" s="49" t="s">
        <v>10</v>
      </c>
      <c r="H5" s="50"/>
      <c r="I5" s="51"/>
      <c r="J5" s="49" t="s">
        <v>11</v>
      </c>
      <c r="K5" s="50"/>
      <c r="L5" s="51"/>
      <c r="M5" s="49" t="s">
        <v>12</v>
      </c>
      <c r="N5" s="50"/>
      <c r="O5" s="51"/>
    </row>
    <row r="6" spans="2:15" ht="22.5" customHeight="1">
      <c r="B6" s="14" t="s">
        <v>13</v>
      </c>
      <c r="C6" s="7" t="s">
        <v>14</v>
      </c>
      <c r="D6" s="7" t="s">
        <v>14</v>
      </c>
      <c r="E6" s="7" t="s">
        <v>14</v>
      </c>
      <c r="F6" s="15" t="s">
        <v>14</v>
      </c>
      <c r="G6" s="16"/>
      <c r="H6" s="7" t="s">
        <v>14</v>
      </c>
      <c r="I6" s="17"/>
      <c r="J6" s="17"/>
      <c r="K6" s="17"/>
      <c r="L6" s="17"/>
      <c r="M6" s="17"/>
      <c r="N6" s="17"/>
      <c r="O6" s="17"/>
    </row>
    <row r="7" spans="2:15" ht="62.25" customHeight="1">
      <c r="B7" s="18" t="s">
        <v>15</v>
      </c>
      <c r="C7" s="19">
        <v>1</v>
      </c>
      <c r="D7" s="20">
        <v>1</v>
      </c>
      <c r="E7" s="19">
        <v>4.5</v>
      </c>
      <c r="F7" s="21">
        <f>ROUND(AVERAGE(I7,L7,O7),0)</f>
        <v>46380000</v>
      </c>
      <c r="G7" s="22">
        <v>4500000</v>
      </c>
      <c r="H7" s="19">
        <v>2.4</v>
      </c>
      <c r="I7" s="23">
        <f>G7*H7*E7*D7</f>
        <v>48600000</v>
      </c>
      <c r="J7" s="23">
        <v>3800000</v>
      </c>
      <c r="K7" s="19">
        <v>2.4</v>
      </c>
      <c r="L7" s="23">
        <f>D7*E7*J7*K7</f>
        <v>41040000</v>
      </c>
      <c r="M7" s="23">
        <v>5000000</v>
      </c>
      <c r="N7" s="19">
        <v>2.2000000000000002</v>
      </c>
      <c r="O7" s="23">
        <f>D7*E7*M7*N7</f>
        <v>49500000.000000007</v>
      </c>
    </row>
    <row r="8" spans="2:15" ht="81">
      <c r="B8" s="24" t="s">
        <v>16</v>
      </c>
      <c r="C8" s="25">
        <v>1</v>
      </c>
      <c r="D8" s="26">
        <v>1</v>
      </c>
      <c r="E8" s="25">
        <v>4.5</v>
      </c>
      <c r="F8" s="21">
        <f t="shared" ref="F8:F9" si="0">ROUND(AVERAGE(I8,L8,O8),0)</f>
        <v>39120000</v>
      </c>
      <c r="G8" s="22">
        <v>3600000</v>
      </c>
      <c r="H8" s="25">
        <v>2.4</v>
      </c>
      <c r="I8" s="23">
        <f t="shared" ref="I8:I9" si="1">G8*H8*E8*D8</f>
        <v>38880000</v>
      </c>
      <c r="J8" s="23">
        <v>3600000</v>
      </c>
      <c r="K8" s="19">
        <v>2.4</v>
      </c>
      <c r="L8" s="23">
        <f t="shared" ref="L8:L9" si="2">D8*E8*J8*K8</f>
        <v>38880000</v>
      </c>
      <c r="M8" s="23">
        <v>4000000</v>
      </c>
      <c r="N8" s="19">
        <v>2.2000000000000002</v>
      </c>
      <c r="O8" s="23">
        <f t="shared" ref="O8:O9" si="3">D8*E8*M8*N8</f>
        <v>39600000</v>
      </c>
    </row>
    <row r="9" spans="2:15" ht="41.25">
      <c r="B9" s="24" t="s">
        <v>17</v>
      </c>
      <c r="C9" s="25">
        <v>1</v>
      </c>
      <c r="D9" s="26">
        <v>0.5</v>
      </c>
      <c r="E9" s="25">
        <v>4.5</v>
      </c>
      <c r="F9" s="21">
        <f t="shared" si="0"/>
        <v>21210000</v>
      </c>
      <c r="G9" s="22">
        <v>3600000</v>
      </c>
      <c r="H9" s="25">
        <v>2.4</v>
      </c>
      <c r="I9" s="23">
        <f t="shared" si="1"/>
        <v>19440000</v>
      </c>
      <c r="J9" s="23">
        <v>3600000</v>
      </c>
      <c r="K9" s="19">
        <v>2.4</v>
      </c>
      <c r="L9" s="23">
        <f t="shared" si="2"/>
        <v>19440000</v>
      </c>
      <c r="M9" s="23">
        <v>5000000</v>
      </c>
      <c r="N9" s="19">
        <v>2.2000000000000002</v>
      </c>
      <c r="O9" s="23">
        <f t="shared" si="3"/>
        <v>24750000.000000004</v>
      </c>
    </row>
    <row r="10" spans="2:15" ht="24.75" customHeight="1">
      <c r="B10" s="27" t="s">
        <v>18</v>
      </c>
      <c r="C10" s="12" t="s">
        <v>14</v>
      </c>
      <c r="D10" s="12" t="s">
        <v>14</v>
      </c>
      <c r="E10" s="12" t="s">
        <v>14</v>
      </c>
      <c r="F10" s="28">
        <f>SUM(F7:F9)</f>
        <v>106710000</v>
      </c>
      <c r="G10" s="29"/>
      <c r="H10" s="12" t="s">
        <v>14</v>
      </c>
      <c r="I10" s="30">
        <f>SUM(I7:I9)</f>
        <v>106920000</v>
      </c>
      <c r="J10" s="30"/>
      <c r="K10" s="30"/>
      <c r="L10" s="30">
        <f>SUM(L7:L9)</f>
        <v>99360000</v>
      </c>
      <c r="M10" s="30"/>
      <c r="N10" s="30"/>
      <c r="O10" s="30">
        <f>SUM(O7:O9)</f>
        <v>113850000</v>
      </c>
    </row>
    <row r="11" spans="2:15">
      <c r="B11" s="32" t="s">
        <v>19</v>
      </c>
      <c r="C11" s="25" t="s">
        <v>14</v>
      </c>
      <c r="D11" s="25" t="s">
        <v>14</v>
      </c>
      <c r="E11" s="25" t="s">
        <v>14</v>
      </c>
      <c r="F11" s="31"/>
      <c r="G11" s="22"/>
      <c r="H11" s="25" t="s">
        <v>14</v>
      </c>
      <c r="I11" s="23"/>
      <c r="J11" s="23"/>
      <c r="K11" s="23"/>
      <c r="L11" s="23"/>
      <c r="M11" s="23"/>
      <c r="N11" s="23"/>
      <c r="O11" s="23"/>
    </row>
    <row r="12" spans="2:15" ht="20.25">
      <c r="B12" s="24" t="s">
        <v>20</v>
      </c>
      <c r="C12" s="25">
        <v>1</v>
      </c>
      <c r="D12" s="25" t="s">
        <v>14</v>
      </c>
      <c r="E12" s="25">
        <v>4.5</v>
      </c>
      <c r="F12" s="21">
        <f t="shared" ref="F12:F14" si="4">ROUND(AVERAGE(I12,L12,O12),0)</f>
        <v>10050000</v>
      </c>
      <c r="G12" s="22">
        <v>2500000</v>
      </c>
      <c r="H12" s="33" t="s">
        <v>14</v>
      </c>
      <c r="I12" s="23">
        <f>G12*E12*C12</f>
        <v>11250000</v>
      </c>
      <c r="J12" s="23">
        <v>3200000</v>
      </c>
      <c r="K12" s="23"/>
      <c r="L12" s="23">
        <f>E12*J12</f>
        <v>14400000</v>
      </c>
      <c r="M12" s="23">
        <v>1000000</v>
      </c>
      <c r="N12" s="23"/>
      <c r="O12" s="23">
        <f>M12*E12</f>
        <v>4500000</v>
      </c>
    </row>
    <row r="13" spans="2:15" ht="20.25" customHeight="1">
      <c r="B13" s="24" t="s">
        <v>21</v>
      </c>
      <c r="C13" s="25">
        <v>1</v>
      </c>
      <c r="D13" s="25" t="s">
        <v>14</v>
      </c>
      <c r="E13" s="25">
        <v>4.5</v>
      </c>
      <c r="F13" s="21">
        <f t="shared" si="4"/>
        <v>4350000</v>
      </c>
      <c r="G13" s="22">
        <v>1200000</v>
      </c>
      <c r="H13" s="33" t="s">
        <v>14</v>
      </c>
      <c r="I13" s="23">
        <f t="shared" ref="I13:I14" si="5">G13*E13*C13</f>
        <v>5400000</v>
      </c>
      <c r="J13" s="23">
        <v>1200000</v>
      </c>
      <c r="K13" s="23"/>
      <c r="L13" s="23">
        <f t="shared" ref="L13:L14" si="6">E13*J13</f>
        <v>5400000</v>
      </c>
      <c r="M13" s="23">
        <v>500000</v>
      </c>
      <c r="N13" s="23"/>
      <c r="O13" s="23">
        <f t="shared" ref="O13:O14" si="7">M13*E13</f>
        <v>2250000</v>
      </c>
    </row>
    <row r="14" spans="2:15" ht="20.25">
      <c r="B14" s="24" t="s">
        <v>22</v>
      </c>
      <c r="C14" s="25">
        <v>1</v>
      </c>
      <c r="D14" s="25" t="s">
        <v>14</v>
      </c>
      <c r="E14" s="25">
        <v>4.5</v>
      </c>
      <c r="F14" s="21">
        <f t="shared" si="4"/>
        <v>6075000</v>
      </c>
      <c r="G14" s="22">
        <v>2000000</v>
      </c>
      <c r="H14" s="33" t="s">
        <v>14</v>
      </c>
      <c r="I14" s="23">
        <f t="shared" si="5"/>
        <v>9000000</v>
      </c>
      <c r="J14" s="23">
        <v>1600000</v>
      </c>
      <c r="K14" s="23"/>
      <c r="L14" s="23">
        <f t="shared" si="6"/>
        <v>7200000</v>
      </c>
      <c r="M14" s="23">
        <v>450000</v>
      </c>
      <c r="N14" s="23"/>
      <c r="O14" s="23">
        <f t="shared" si="7"/>
        <v>2025000</v>
      </c>
    </row>
    <row r="15" spans="2:15" ht="19.5" customHeight="1">
      <c r="B15" s="27" t="s">
        <v>18</v>
      </c>
      <c r="C15" s="12" t="s">
        <v>14</v>
      </c>
      <c r="D15" s="12" t="s">
        <v>14</v>
      </c>
      <c r="E15" s="12" t="s">
        <v>14</v>
      </c>
      <c r="F15" s="28">
        <f>SUM(F12:F14)</f>
        <v>20475000</v>
      </c>
      <c r="G15" s="34"/>
      <c r="H15" s="12" t="s">
        <v>14</v>
      </c>
      <c r="I15" s="30">
        <f>SUM(I12:I14)</f>
        <v>25650000</v>
      </c>
      <c r="J15" s="30"/>
      <c r="K15" s="30"/>
      <c r="L15" s="30">
        <f>SUM(L12:L14)</f>
        <v>27000000</v>
      </c>
      <c r="M15" s="30"/>
      <c r="N15" s="30"/>
      <c r="O15" s="30">
        <f>SUM(O12:O14)</f>
        <v>8775000</v>
      </c>
    </row>
    <row r="16" spans="2:15" ht="18" customHeight="1">
      <c r="B16" s="35" t="s">
        <v>23</v>
      </c>
      <c r="C16" s="7"/>
      <c r="D16" s="7"/>
      <c r="E16" s="7"/>
      <c r="F16" s="36">
        <f>ROUNDUP((F10+F15),0)</f>
        <v>127185000</v>
      </c>
      <c r="G16" s="37"/>
      <c r="H16" s="37"/>
      <c r="I16" s="37"/>
      <c r="J16" s="37"/>
      <c r="K16" s="37"/>
      <c r="L16" s="37"/>
      <c r="M16" s="37"/>
      <c r="N16" s="37"/>
      <c r="O16" s="37"/>
    </row>
    <row r="17" spans="2:15" ht="19.5" customHeight="1">
      <c r="B17" s="24" t="s">
        <v>24</v>
      </c>
      <c r="C17" s="25"/>
      <c r="D17" s="25"/>
      <c r="E17" s="26">
        <v>0.19</v>
      </c>
      <c r="F17" s="38">
        <f>ROUND(F16*E17,0)</f>
        <v>24165150</v>
      </c>
      <c r="G17" s="37"/>
      <c r="H17" s="37"/>
      <c r="I17" s="37"/>
      <c r="J17" s="37"/>
      <c r="K17" s="37"/>
      <c r="L17" s="37"/>
      <c r="M17" s="37"/>
      <c r="N17" s="37"/>
      <c r="O17" s="37"/>
    </row>
    <row r="18" spans="2:15" ht="29.25" customHeight="1">
      <c r="B18" s="39" t="s">
        <v>25</v>
      </c>
      <c r="C18" s="40" t="s">
        <v>14</v>
      </c>
      <c r="D18" s="40" t="s">
        <v>14</v>
      </c>
      <c r="E18" s="40" t="s">
        <v>14</v>
      </c>
      <c r="F18" s="41">
        <f>+F16+F17</f>
        <v>151350150</v>
      </c>
      <c r="G18" s="37"/>
      <c r="H18" s="37"/>
      <c r="I18" s="42"/>
      <c r="J18" s="37"/>
      <c r="K18" s="37"/>
      <c r="L18" s="37"/>
      <c r="M18" s="37"/>
      <c r="N18" s="37"/>
      <c r="O18" s="37"/>
    </row>
    <row r="19" spans="2:15">
      <c r="I19" s="2"/>
    </row>
    <row r="22" spans="2:15">
      <c r="G22" s="3"/>
    </row>
    <row r="23" spans="2:15">
      <c r="G23" s="4"/>
    </row>
    <row r="33" spans="6:9">
      <c r="F33" s="5"/>
      <c r="I33" s="5"/>
    </row>
    <row r="36" spans="6:9">
      <c r="F36" s="6"/>
    </row>
  </sheetData>
  <mergeCells count="5">
    <mergeCell ref="B1:O3"/>
    <mergeCell ref="B5:F5"/>
    <mergeCell ref="G5:I5"/>
    <mergeCell ref="J5:L5"/>
    <mergeCell ref="M5:O5"/>
  </mergeCells>
  <pageMargins left="0.7" right="0.7" top="0.75" bottom="0.75" header="0.3" footer="0.3"/>
  <pageSetup orientation="portrait" horizontalDpi="200" verticalDpi="2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FA2D2-AA6B-4B40-A99F-02170ECD78DF}">
  <dimension ref="B1:O37"/>
  <sheetViews>
    <sheetView zoomScaleNormal="100" workbookViewId="0">
      <selection activeCell="F7" sqref="F7"/>
    </sheetView>
  </sheetViews>
  <sheetFormatPr defaultColWidth="11.42578125" defaultRowHeight="12.75"/>
  <cols>
    <col min="1" max="1" width="11.42578125" style="1"/>
    <col min="2" max="2" width="16.85546875" style="1" customWidth="1"/>
    <col min="3" max="3" width="6.85546875" style="1" customWidth="1"/>
    <col min="4" max="4" width="7.5703125" style="1" customWidth="1"/>
    <col min="5" max="5" width="7.42578125" style="1" customWidth="1"/>
    <col min="6" max="6" width="14" style="1" customWidth="1"/>
    <col min="7" max="7" width="10.7109375" style="1" customWidth="1"/>
    <col min="8" max="8" width="7" style="1" customWidth="1"/>
    <col min="9" max="9" width="11.5703125" style="1" customWidth="1"/>
    <col min="10" max="10" width="9.5703125" style="1" customWidth="1"/>
    <col min="11" max="11" width="7.7109375" style="1" customWidth="1"/>
    <col min="12" max="12" width="11.7109375" style="1" customWidth="1"/>
    <col min="13" max="13" width="9.85546875" style="1" customWidth="1"/>
    <col min="14" max="14" width="7.28515625" style="1" customWidth="1"/>
    <col min="15" max="15" width="10.42578125" style="1" customWidth="1"/>
    <col min="16" max="16384" width="11.42578125" style="1"/>
  </cols>
  <sheetData>
    <row r="1" spans="2:15" ht="35.25" customHeight="1">
      <c r="B1" s="44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2:15" ht="24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15" customHeight="1" thickBot="1">
      <c r="B3" s="45"/>
      <c r="C3" s="45"/>
      <c r="D3" s="45"/>
      <c r="E3" s="45"/>
      <c r="F3" s="45"/>
      <c r="G3" s="44"/>
      <c r="H3" s="44"/>
      <c r="I3" s="44"/>
      <c r="J3" s="44"/>
      <c r="K3" s="44"/>
      <c r="L3" s="44"/>
      <c r="M3" s="44"/>
      <c r="N3" s="44"/>
      <c r="O3" s="44"/>
    </row>
    <row r="4" spans="2:15" ht="54.75" customHeight="1">
      <c r="B4" s="8" t="s">
        <v>1</v>
      </c>
      <c r="C4" s="9" t="s">
        <v>2</v>
      </c>
      <c r="D4" s="9" t="s">
        <v>3</v>
      </c>
      <c r="E4" s="9" t="s">
        <v>4</v>
      </c>
      <c r="F4" s="10" t="s">
        <v>5</v>
      </c>
      <c r="G4" s="11" t="s">
        <v>6</v>
      </c>
      <c r="H4" s="12" t="s">
        <v>7</v>
      </c>
      <c r="I4" s="13" t="s">
        <v>8</v>
      </c>
      <c r="J4" s="12" t="s">
        <v>6</v>
      </c>
      <c r="K4" s="12" t="s">
        <v>7</v>
      </c>
      <c r="L4" s="13" t="s">
        <v>8</v>
      </c>
      <c r="M4" s="12" t="s">
        <v>6</v>
      </c>
      <c r="N4" s="12" t="s">
        <v>7</v>
      </c>
      <c r="O4" s="13" t="s">
        <v>8</v>
      </c>
    </row>
    <row r="5" spans="2:15" ht="22.5" customHeight="1">
      <c r="B5" s="52"/>
      <c r="C5" s="53"/>
      <c r="D5" s="53"/>
      <c r="E5" s="53"/>
      <c r="F5" s="54"/>
      <c r="G5" s="49" t="s">
        <v>10</v>
      </c>
      <c r="H5" s="50"/>
      <c r="I5" s="51"/>
      <c r="J5" s="49" t="s">
        <v>11</v>
      </c>
      <c r="K5" s="50"/>
      <c r="L5" s="51"/>
      <c r="M5" s="49" t="s">
        <v>12</v>
      </c>
      <c r="N5" s="50"/>
      <c r="O5" s="51"/>
    </row>
    <row r="6" spans="2:15" ht="22.5" customHeight="1">
      <c r="B6" s="14" t="s">
        <v>13</v>
      </c>
      <c r="C6" s="7" t="s">
        <v>14</v>
      </c>
      <c r="D6" s="7" t="s">
        <v>14</v>
      </c>
      <c r="E6" s="7" t="s">
        <v>14</v>
      </c>
      <c r="F6" s="15" t="s">
        <v>14</v>
      </c>
      <c r="G6" s="16"/>
      <c r="H6" s="7" t="s">
        <v>14</v>
      </c>
      <c r="I6" s="17"/>
      <c r="J6" s="17"/>
      <c r="K6" s="17"/>
      <c r="L6" s="17"/>
      <c r="M6" s="17"/>
      <c r="N6" s="17"/>
      <c r="O6" s="17"/>
    </row>
    <row r="7" spans="2:15" ht="62.25" customHeight="1">
      <c r="B7" s="18" t="s">
        <v>15</v>
      </c>
      <c r="C7" s="19">
        <v>1</v>
      </c>
      <c r="D7" s="20">
        <v>1</v>
      </c>
      <c r="E7" s="19">
        <v>5</v>
      </c>
      <c r="F7" s="21">
        <f>AVERAGE(I7+L7+O7)</f>
        <v>154600000</v>
      </c>
      <c r="G7" s="22">
        <v>4500000</v>
      </c>
      <c r="H7" s="19">
        <v>2.4</v>
      </c>
      <c r="I7" s="23">
        <f>G7*H7*E7*D7</f>
        <v>54000000</v>
      </c>
      <c r="J7" s="23">
        <v>3800000</v>
      </c>
      <c r="K7" s="19">
        <v>2.4</v>
      </c>
      <c r="L7" s="23">
        <f>D7*E7*J7*K7</f>
        <v>45600000</v>
      </c>
      <c r="M7" s="23">
        <v>5000000</v>
      </c>
      <c r="N7" s="19">
        <v>2.2000000000000002</v>
      </c>
      <c r="O7" s="23">
        <f>D7*E7*M7*N7</f>
        <v>55000000.000000007</v>
      </c>
    </row>
    <row r="8" spans="2:15" ht="67.5">
      <c r="B8" s="24" t="s">
        <v>16</v>
      </c>
      <c r="C8" s="25">
        <v>1</v>
      </c>
      <c r="D8" s="26">
        <v>1</v>
      </c>
      <c r="E8" s="25">
        <v>5</v>
      </c>
      <c r="F8" s="21">
        <f t="shared" ref="F8:F16" si="0">AVERAGE(I8+L8+O8)</f>
        <v>130400000</v>
      </c>
      <c r="G8" s="22">
        <v>3600000</v>
      </c>
      <c r="H8" s="25">
        <v>2.4</v>
      </c>
      <c r="I8" s="23">
        <f t="shared" ref="I8:I9" si="1">G8*H8*E8*D8</f>
        <v>43200000</v>
      </c>
      <c r="J8" s="23">
        <v>3600000</v>
      </c>
      <c r="K8" s="19">
        <v>2.4</v>
      </c>
      <c r="L8" s="23">
        <f t="shared" ref="L8:L9" si="2">D8*E8*J8*K8</f>
        <v>43200000</v>
      </c>
      <c r="M8" s="23">
        <v>4000000</v>
      </c>
      <c r="N8" s="19">
        <v>2.2000000000000002</v>
      </c>
      <c r="O8" s="23">
        <f t="shared" ref="O8:O9" si="3">D8*E8*M8*N8</f>
        <v>44000000</v>
      </c>
    </row>
    <row r="9" spans="2:15" ht="33.75">
      <c r="B9" s="24" t="s">
        <v>17</v>
      </c>
      <c r="C9" s="25">
        <v>1</v>
      </c>
      <c r="D9" s="26">
        <v>0.5</v>
      </c>
      <c r="E9" s="25">
        <v>5</v>
      </c>
      <c r="F9" s="21">
        <f t="shared" si="0"/>
        <v>70700000</v>
      </c>
      <c r="G9" s="22">
        <v>3600000</v>
      </c>
      <c r="H9" s="25">
        <v>2.4</v>
      </c>
      <c r="I9" s="23">
        <f t="shared" si="1"/>
        <v>21600000</v>
      </c>
      <c r="J9" s="23">
        <v>3600000</v>
      </c>
      <c r="K9" s="19">
        <v>2.4</v>
      </c>
      <c r="L9" s="23">
        <f t="shared" si="2"/>
        <v>21600000</v>
      </c>
      <c r="M9" s="23">
        <v>5000000</v>
      </c>
      <c r="N9" s="19">
        <v>2.2000000000000002</v>
      </c>
      <c r="O9" s="23">
        <f t="shared" si="3"/>
        <v>27500000.000000004</v>
      </c>
    </row>
    <row r="10" spans="2:15" ht="24.75" customHeight="1">
      <c r="B10" s="27" t="s">
        <v>18</v>
      </c>
      <c r="C10" s="12" t="s">
        <v>14</v>
      </c>
      <c r="D10" s="12" t="s">
        <v>14</v>
      </c>
      <c r="E10" s="12" t="s">
        <v>14</v>
      </c>
      <c r="F10" s="28">
        <f>AVERAGE(I10,L10,O10)</f>
        <v>118566666.66666667</v>
      </c>
      <c r="G10" s="29"/>
      <c r="H10" s="12" t="s">
        <v>14</v>
      </c>
      <c r="I10" s="30">
        <f>SUM(I7:I9)</f>
        <v>118800000</v>
      </c>
      <c r="J10" s="30"/>
      <c r="K10" s="30"/>
      <c r="L10" s="30">
        <f>SUM(L7:L9)</f>
        <v>110400000</v>
      </c>
      <c r="M10" s="30"/>
      <c r="N10" s="30"/>
      <c r="O10" s="30">
        <f>SUM(O7:O9)</f>
        <v>126500000</v>
      </c>
    </row>
    <row r="11" spans="2:15">
      <c r="B11" s="24"/>
      <c r="C11" s="25"/>
      <c r="D11" s="25"/>
      <c r="E11" s="25"/>
      <c r="F11" s="31"/>
      <c r="G11" s="22"/>
      <c r="H11" s="25"/>
      <c r="I11" s="23"/>
      <c r="J11" s="23"/>
      <c r="K11" s="23"/>
      <c r="L11" s="23"/>
      <c r="M11" s="23"/>
      <c r="N11" s="23"/>
      <c r="O11" s="23"/>
    </row>
    <row r="12" spans="2:15">
      <c r="B12" s="32" t="s">
        <v>19</v>
      </c>
      <c r="C12" s="25" t="s">
        <v>14</v>
      </c>
      <c r="D12" s="25" t="s">
        <v>14</v>
      </c>
      <c r="E12" s="25" t="s">
        <v>14</v>
      </c>
      <c r="F12" s="31"/>
      <c r="G12" s="22"/>
      <c r="H12" s="25" t="s">
        <v>14</v>
      </c>
      <c r="I12" s="23"/>
      <c r="J12" s="23"/>
      <c r="K12" s="23"/>
      <c r="L12" s="23"/>
      <c r="M12" s="23"/>
      <c r="N12" s="23"/>
      <c r="O12" s="23"/>
    </row>
    <row r="13" spans="2:15" ht="22.5">
      <c r="B13" s="24" t="s">
        <v>20</v>
      </c>
      <c r="C13" s="25">
        <v>1</v>
      </c>
      <c r="D13" s="25" t="s">
        <v>14</v>
      </c>
      <c r="E13" s="25">
        <v>5</v>
      </c>
      <c r="F13" s="31">
        <f t="shared" si="0"/>
        <v>33500000</v>
      </c>
      <c r="G13" s="22">
        <v>2500000</v>
      </c>
      <c r="H13" s="33" t="s">
        <v>14</v>
      </c>
      <c r="I13" s="23">
        <f>G13*E13*C13</f>
        <v>12500000</v>
      </c>
      <c r="J13" s="23">
        <v>3200000</v>
      </c>
      <c r="K13" s="23"/>
      <c r="L13" s="23">
        <f>E13*J13</f>
        <v>16000000</v>
      </c>
      <c r="M13" s="23">
        <v>1000000</v>
      </c>
      <c r="N13" s="23"/>
      <c r="O13" s="23">
        <f>M13*E13</f>
        <v>5000000</v>
      </c>
    </row>
    <row r="14" spans="2:15" ht="20.25" customHeight="1">
      <c r="B14" s="24" t="s">
        <v>21</v>
      </c>
      <c r="C14" s="25">
        <v>1</v>
      </c>
      <c r="D14" s="25" t="s">
        <v>14</v>
      </c>
      <c r="E14" s="25">
        <v>5</v>
      </c>
      <c r="F14" s="31">
        <f t="shared" si="0"/>
        <v>14500000</v>
      </c>
      <c r="G14" s="22">
        <v>1200000</v>
      </c>
      <c r="H14" s="33" t="s">
        <v>14</v>
      </c>
      <c r="I14" s="23">
        <f t="shared" ref="I14:I15" si="4">G14*E14*C14</f>
        <v>6000000</v>
      </c>
      <c r="J14" s="23">
        <v>1200000</v>
      </c>
      <c r="K14" s="23"/>
      <c r="L14" s="23">
        <f t="shared" ref="L14:L15" si="5">E14*J14</f>
        <v>6000000</v>
      </c>
      <c r="M14" s="23">
        <v>500000</v>
      </c>
      <c r="N14" s="23"/>
      <c r="O14" s="23">
        <f t="shared" ref="O14:O15" si="6">M14*E14</f>
        <v>2500000</v>
      </c>
    </row>
    <row r="15" spans="2:15" ht="22.5">
      <c r="B15" s="24" t="s">
        <v>22</v>
      </c>
      <c r="C15" s="25">
        <v>1</v>
      </c>
      <c r="D15" s="25" t="s">
        <v>14</v>
      </c>
      <c r="E15" s="25">
        <v>5</v>
      </c>
      <c r="F15" s="31">
        <f t="shared" si="0"/>
        <v>20250000</v>
      </c>
      <c r="G15" s="22">
        <v>2000000</v>
      </c>
      <c r="H15" s="33" t="s">
        <v>14</v>
      </c>
      <c r="I15" s="23">
        <f t="shared" si="4"/>
        <v>10000000</v>
      </c>
      <c r="J15" s="23">
        <v>1600000</v>
      </c>
      <c r="K15" s="23"/>
      <c r="L15" s="23">
        <f t="shared" si="5"/>
        <v>8000000</v>
      </c>
      <c r="M15" s="23">
        <v>450000</v>
      </c>
      <c r="N15" s="23"/>
      <c r="O15" s="23">
        <f t="shared" si="6"/>
        <v>2250000</v>
      </c>
    </row>
    <row r="16" spans="2:15" ht="19.5" customHeight="1">
      <c r="B16" s="27" t="s">
        <v>18</v>
      </c>
      <c r="C16" s="12" t="s">
        <v>14</v>
      </c>
      <c r="D16" s="12" t="s">
        <v>14</v>
      </c>
      <c r="E16" s="12" t="s">
        <v>14</v>
      </c>
      <c r="F16" s="28">
        <f>AVERAGE(I16,L16,O16)</f>
        <v>22750000</v>
      </c>
      <c r="G16" s="34"/>
      <c r="H16" s="12" t="s">
        <v>14</v>
      </c>
      <c r="I16" s="30">
        <f>SUM(I13:I15)</f>
        <v>28500000</v>
      </c>
      <c r="J16" s="30"/>
      <c r="K16" s="30"/>
      <c r="L16" s="30">
        <f>SUM(L13:L15)</f>
        <v>30000000</v>
      </c>
      <c r="M16" s="30"/>
      <c r="N16" s="30"/>
      <c r="O16" s="30">
        <f>SUM(O13:O15)</f>
        <v>9750000</v>
      </c>
    </row>
    <row r="17" spans="2:15" ht="18" customHeight="1">
      <c r="B17" s="35" t="s">
        <v>23</v>
      </c>
      <c r="C17" s="7"/>
      <c r="D17" s="7"/>
      <c r="E17" s="7"/>
      <c r="F17" s="36">
        <f>ROUNDUP((F10+F16),0)</f>
        <v>141316667</v>
      </c>
      <c r="G17" s="37"/>
      <c r="H17" s="37"/>
      <c r="I17" s="37"/>
      <c r="J17" s="37"/>
      <c r="K17" s="37"/>
      <c r="L17" s="37"/>
      <c r="M17" s="37"/>
      <c r="N17" s="37"/>
      <c r="O17" s="37"/>
    </row>
    <row r="18" spans="2:15" ht="19.5" customHeight="1">
      <c r="B18" s="24" t="s">
        <v>26</v>
      </c>
      <c r="C18" s="25"/>
      <c r="D18" s="25"/>
      <c r="E18" s="25"/>
      <c r="F18" s="38">
        <f>F17*19%</f>
        <v>26850166.73</v>
      </c>
      <c r="G18" s="37"/>
      <c r="H18" s="37"/>
      <c r="I18" s="37"/>
      <c r="J18" s="37"/>
      <c r="K18" s="37"/>
      <c r="L18" s="37"/>
      <c r="M18" s="37"/>
      <c r="N18" s="37"/>
      <c r="O18" s="37"/>
    </row>
    <row r="19" spans="2:15" ht="29.25" customHeight="1" thickBot="1">
      <c r="B19" s="39" t="s">
        <v>25</v>
      </c>
      <c r="C19" s="40" t="s">
        <v>14</v>
      </c>
      <c r="D19" s="40" t="s">
        <v>14</v>
      </c>
      <c r="E19" s="40" t="s">
        <v>14</v>
      </c>
      <c r="F19" s="41">
        <f>ROUNDUP((F18+F17),0)</f>
        <v>168166834</v>
      </c>
      <c r="G19" s="37"/>
      <c r="H19" s="37"/>
      <c r="I19" s="42"/>
      <c r="J19" s="37"/>
      <c r="K19" s="37"/>
      <c r="L19" s="37"/>
      <c r="M19" s="37"/>
      <c r="N19" s="37"/>
      <c r="O19" s="37"/>
    </row>
    <row r="20" spans="2:15">
      <c r="I20" s="2"/>
    </row>
    <row r="23" spans="2:15">
      <c r="G23" s="3"/>
    </row>
    <row r="24" spans="2:15">
      <c r="G24" s="4"/>
    </row>
    <row r="34" spans="6:9">
      <c r="F34" s="5"/>
      <c r="I34" s="5"/>
    </row>
    <row r="37" spans="6:9">
      <c r="F37" s="6"/>
    </row>
  </sheetData>
  <mergeCells count="5">
    <mergeCell ref="G5:I5"/>
    <mergeCell ref="J5:L5"/>
    <mergeCell ref="M5:O5"/>
    <mergeCell ref="B5:F5"/>
    <mergeCell ref="B1:O3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Infraestructura Seccional Medellin</dc:creator>
  <cp:keywords/>
  <dc:description/>
  <cp:lastModifiedBy>Monica Jaqueline Durango Castro</cp:lastModifiedBy>
  <cp:revision/>
  <dcterms:created xsi:type="dcterms:W3CDTF">2025-03-27T13:27:52Z</dcterms:created>
  <dcterms:modified xsi:type="dcterms:W3CDTF">2026-07-16T21:53:13Z</dcterms:modified>
  <cp:category/>
  <cp:contentStatus/>
</cp:coreProperties>
</file>